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cbeattie\AppData\Local\Microsoft\Windows\INetCache\Content.Outlook\SRN62J13\"/>
    </mc:Choice>
  </mc:AlternateContent>
  <xr:revisionPtr revIDLastSave="0" documentId="8_{B54F3BAB-495D-47DE-93BB-8C197EA2F4C2}" xr6:coauthVersionLast="47" xr6:coauthVersionMax="47" xr10:uidLastSave="{00000000-0000-0000-0000-000000000000}"/>
  <bookViews>
    <workbookView xWindow="-19320" yWindow="-2070" windowWidth="19440" windowHeight="15000" firstSheet="15" activeTab="17" xr2:uid="{00000000-000D-0000-FFFF-FFFF00000000}"/>
  </bookViews>
  <sheets>
    <sheet name="Summary" sheetId="1" r:id="rId1"/>
    <sheet name="Number Allocation" sheetId="2" r:id="rId2"/>
    <sheet name="Alderholt" sheetId="3" r:id="rId3"/>
    <sheet name="Alderney" sheetId="4" r:id="rId4"/>
    <sheet name="Boscombe" sheetId="5" r:id="rId5"/>
    <sheet name="Bournemouth" sheetId="6" r:id="rId6"/>
    <sheet name="Bridport" sheetId="7" r:id="rId7"/>
    <sheet name="Christchurch" sheetId="8" r:id="rId8"/>
    <sheet name="Dorchester" sheetId="9" r:id="rId9"/>
    <sheet name="Lytchett" sheetId="10" r:id="rId10"/>
    <sheet name="Parkstone" sheetId="11" r:id="rId11"/>
    <sheet name="Poole" sheetId="12" r:id="rId12"/>
    <sheet name="Portland" sheetId="13" r:id="rId13"/>
    <sheet name="Shaftesbury" sheetId="14" r:id="rId14"/>
    <sheet name="Swanage" sheetId="15" r:id="rId15"/>
    <sheet name="Weymouth" sheetId="16" r:id="rId16"/>
    <sheet name="League Table" sheetId="17" r:id="rId17"/>
    <sheet name="Mens Averages" sheetId="18" r:id="rId18"/>
    <sheet name="Weekly Results" sheetId="19" r:id="rId19"/>
    <sheet name="Weekly Top 10" sheetId="20" r:id="rId20"/>
    <sheet name="All Team Data" sheetId="21" r:id="rId21"/>
    <sheet name="All Player Data Store" sheetId="22" r:id="rId22"/>
  </sheets>
  <definedNames>
    <definedName name="_xlnm._FilterDatabase" localSheetId="17" hidden="1">'Mens Averages'!$B$6:$AC$343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6" roundtripDataSignature="AMtx7mh3wX018NrC9Dl90FktVyoYrKs6jQ=="/>
    </ext>
  </extLst>
</workbook>
</file>

<file path=xl/calcChain.xml><?xml version="1.0" encoding="utf-8"?>
<calcChain xmlns="http://schemas.openxmlformats.org/spreadsheetml/2006/main">
  <c r="V594" i="22" l="1"/>
  <c r="U594" i="22"/>
  <c r="T594" i="22"/>
  <c r="S594" i="22"/>
  <c r="R594" i="22"/>
  <c r="Q594" i="22"/>
  <c r="P594" i="22"/>
  <c r="O594" i="22"/>
  <c r="N594" i="22"/>
  <c r="M594" i="22"/>
  <c r="L594" i="22"/>
  <c r="K594" i="22"/>
  <c r="J594" i="22"/>
  <c r="AD593" i="22"/>
  <c r="V593" i="22"/>
  <c r="AV593" i="22" s="1"/>
  <c r="U593" i="22"/>
  <c r="AU593" i="22" s="1"/>
  <c r="T593" i="22"/>
  <c r="AT593" i="22" s="1"/>
  <c r="S593" i="22"/>
  <c r="AS593" i="22" s="1"/>
  <c r="R593" i="22"/>
  <c r="AR593" i="22" s="1"/>
  <c r="Q593" i="22"/>
  <c r="AQ593" i="22" s="1"/>
  <c r="P593" i="22"/>
  <c r="AP593" i="22" s="1"/>
  <c r="O593" i="22"/>
  <c r="AO593" i="22" s="1"/>
  <c r="N593" i="22"/>
  <c r="AN593" i="22" s="1"/>
  <c r="M593" i="22"/>
  <c r="AM593" i="22" s="1"/>
  <c r="L593" i="22"/>
  <c r="AL593" i="22" s="1"/>
  <c r="K593" i="22"/>
  <c r="AK593" i="22" s="1"/>
  <c r="J593" i="22"/>
  <c r="AJ593" i="22" s="1"/>
  <c r="D593" i="22"/>
  <c r="C593" i="22"/>
  <c r="AC593" i="22" s="1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AT591" i="22"/>
  <c r="AR591" i="22"/>
  <c r="AP591" i="22"/>
  <c r="AN591" i="22"/>
  <c r="AL591" i="22"/>
  <c r="AJ591" i="22"/>
  <c r="AD591" i="22"/>
  <c r="V591" i="22"/>
  <c r="AV591" i="22" s="1"/>
  <c r="U591" i="22"/>
  <c r="AU591" i="22" s="1"/>
  <c r="T591" i="22"/>
  <c r="S591" i="22"/>
  <c r="AS591" i="22" s="1"/>
  <c r="R591" i="22"/>
  <c r="Q591" i="22"/>
  <c r="AQ591" i="22" s="1"/>
  <c r="P591" i="22"/>
  <c r="O591" i="22"/>
  <c r="AO591" i="22" s="1"/>
  <c r="N591" i="22"/>
  <c r="M591" i="22"/>
  <c r="AM591" i="22" s="1"/>
  <c r="L591" i="22"/>
  <c r="K591" i="22"/>
  <c r="AK591" i="22" s="1"/>
  <c r="J591" i="22"/>
  <c r="D591" i="22"/>
  <c r="C591" i="22"/>
  <c r="AC591" i="22" s="1"/>
  <c r="V590" i="22"/>
  <c r="U590" i="22"/>
  <c r="T590" i="22"/>
  <c r="S590" i="22"/>
  <c r="R590" i="22"/>
  <c r="Q590" i="22"/>
  <c r="P590" i="22"/>
  <c r="O590" i="22"/>
  <c r="N590" i="22"/>
  <c r="M590" i="22"/>
  <c r="L590" i="22"/>
  <c r="K590" i="22"/>
  <c r="J590" i="22"/>
  <c r="AU589" i="22"/>
  <c r="AS589" i="22"/>
  <c r="AQ589" i="22"/>
  <c r="AO589" i="22"/>
  <c r="AM589" i="22"/>
  <c r="AD589" i="22"/>
  <c r="V589" i="22"/>
  <c r="AV589" i="22" s="1"/>
  <c r="U589" i="22"/>
  <c r="T589" i="22"/>
  <c r="AT589" i="22" s="1"/>
  <c r="S589" i="22"/>
  <c r="R589" i="22"/>
  <c r="AR589" i="22" s="1"/>
  <c r="Q589" i="22"/>
  <c r="P589" i="22"/>
  <c r="AP589" i="22" s="1"/>
  <c r="O589" i="22"/>
  <c r="N589" i="22"/>
  <c r="AN589" i="22" s="1"/>
  <c r="M589" i="22"/>
  <c r="L589" i="22"/>
  <c r="AL589" i="22" s="1"/>
  <c r="K589" i="22"/>
  <c r="AK589" i="22" s="1"/>
  <c r="J589" i="22"/>
  <c r="AJ589" i="22" s="1"/>
  <c r="D589" i="22"/>
  <c r="C589" i="22"/>
  <c r="AC589" i="22" s="1"/>
  <c r="V588" i="22"/>
  <c r="U588" i="22"/>
  <c r="T588" i="22"/>
  <c r="S588" i="22"/>
  <c r="R588" i="22"/>
  <c r="Q588" i="22"/>
  <c r="P588" i="22"/>
  <c r="O588" i="22"/>
  <c r="N588" i="22"/>
  <c r="M588" i="22"/>
  <c r="L588" i="22"/>
  <c r="K588" i="22"/>
  <c r="J588" i="22"/>
  <c r="AT587" i="22"/>
  <c r="AR587" i="22"/>
  <c r="AP587" i="22"/>
  <c r="AN587" i="22"/>
  <c r="AL587" i="22"/>
  <c r="AJ587" i="22"/>
  <c r="AD587" i="22"/>
  <c r="V587" i="22"/>
  <c r="AV587" i="22" s="1"/>
  <c r="U587" i="22"/>
  <c r="AU587" i="22" s="1"/>
  <c r="T587" i="22"/>
  <c r="S587" i="22"/>
  <c r="AS587" i="22" s="1"/>
  <c r="R587" i="22"/>
  <c r="Q587" i="22"/>
  <c r="AQ587" i="22" s="1"/>
  <c r="P587" i="22"/>
  <c r="O587" i="22"/>
  <c r="AO587" i="22" s="1"/>
  <c r="N587" i="22"/>
  <c r="M587" i="22"/>
  <c r="AM587" i="22" s="1"/>
  <c r="L587" i="22"/>
  <c r="K587" i="22"/>
  <c r="AK587" i="22" s="1"/>
  <c r="J587" i="22"/>
  <c r="D587" i="22"/>
  <c r="C587" i="22"/>
  <c r="AC587" i="22" s="1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AU585" i="22"/>
  <c r="AS585" i="22"/>
  <c r="AQ585" i="22"/>
  <c r="AO585" i="22"/>
  <c r="AM585" i="22"/>
  <c r="AK585" i="22"/>
  <c r="AD585" i="22"/>
  <c r="AC585" i="22"/>
  <c r="V585" i="22"/>
  <c r="AV585" i="22" s="1"/>
  <c r="U585" i="22"/>
  <c r="T585" i="22"/>
  <c r="AT585" i="22" s="1"/>
  <c r="S585" i="22"/>
  <c r="R585" i="22"/>
  <c r="AR585" i="22" s="1"/>
  <c r="Q585" i="22"/>
  <c r="P585" i="22"/>
  <c r="AP585" i="22" s="1"/>
  <c r="O585" i="22"/>
  <c r="N585" i="22"/>
  <c r="AN585" i="22" s="1"/>
  <c r="M585" i="22"/>
  <c r="L585" i="22"/>
  <c r="AL585" i="22" s="1"/>
  <c r="K585" i="22"/>
  <c r="J585" i="22"/>
  <c r="AJ585" i="22" s="1"/>
  <c r="D585" i="22"/>
  <c r="C585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AO583" i="22"/>
  <c r="AM583" i="22"/>
  <c r="AK583" i="22"/>
  <c r="AD583" i="22"/>
  <c r="AC583" i="22"/>
  <c r="V583" i="22"/>
  <c r="AV583" i="22" s="1"/>
  <c r="U583" i="22"/>
  <c r="AU583" i="22" s="1"/>
  <c r="T583" i="22"/>
  <c r="AT583" i="22" s="1"/>
  <c r="S583" i="22"/>
  <c r="AS583" i="22" s="1"/>
  <c r="R583" i="22"/>
  <c r="AR583" i="22" s="1"/>
  <c r="Q583" i="22"/>
  <c r="AQ583" i="22" s="1"/>
  <c r="P583" i="22"/>
  <c r="AP583" i="22" s="1"/>
  <c r="O583" i="22"/>
  <c r="N583" i="22"/>
  <c r="AN583" i="22" s="1"/>
  <c r="M583" i="22"/>
  <c r="L583" i="22"/>
  <c r="AL583" i="22" s="1"/>
  <c r="K583" i="22"/>
  <c r="J583" i="22"/>
  <c r="AJ583" i="22" s="1"/>
  <c r="D583" i="22"/>
  <c r="C583" i="22"/>
  <c r="V582" i="22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AV581" i="22"/>
  <c r="AT581" i="22"/>
  <c r="AR581" i="22"/>
  <c r="AP581" i="22"/>
  <c r="AN581" i="22"/>
  <c r="AL581" i="22"/>
  <c r="AJ581" i="22"/>
  <c r="AD581" i="22"/>
  <c r="V581" i="22"/>
  <c r="U581" i="22"/>
  <c r="AU581" i="22" s="1"/>
  <c r="T581" i="22"/>
  <c r="S581" i="22"/>
  <c r="AS581" i="22" s="1"/>
  <c r="R581" i="22"/>
  <c r="Q581" i="22"/>
  <c r="AQ581" i="22" s="1"/>
  <c r="P581" i="22"/>
  <c r="O581" i="22"/>
  <c r="AO581" i="22" s="1"/>
  <c r="N581" i="22"/>
  <c r="M581" i="22"/>
  <c r="AM581" i="22" s="1"/>
  <c r="L581" i="22"/>
  <c r="K581" i="22"/>
  <c r="AK581" i="22" s="1"/>
  <c r="J581" i="22"/>
  <c r="D581" i="22"/>
  <c r="C581" i="22"/>
  <c r="AC581" i="22" s="1"/>
  <c r="V580" i="22"/>
  <c r="U580" i="22"/>
  <c r="T580" i="22"/>
  <c r="S580" i="22"/>
  <c r="R580" i="22"/>
  <c r="Q580" i="22"/>
  <c r="P580" i="22"/>
  <c r="O580" i="22"/>
  <c r="N580" i="22"/>
  <c r="M580" i="22"/>
  <c r="L580" i="22"/>
  <c r="K580" i="22"/>
  <c r="J580" i="22"/>
  <c r="AD579" i="22"/>
  <c r="V579" i="22"/>
  <c r="AV579" i="22" s="1"/>
  <c r="U579" i="22"/>
  <c r="AU579" i="22" s="1"/>
  <c r="T579" i="22"/>
  <c r="AT579" i="22" s="1"/>
  <c r="S579" i="22"/>
  <c r="AS579" i="22" s="1"/>
  <c r="R579" i="22"/>
  <c r="AR579" i="22" s="1"/>
  <c r="Q579" i="22"/>
  <c r="AQ579" i="22" s="1"/>
  <c r="P579" i="22"/>
  <c r="AP579" i="22" s="1"/>
  <c r="O579" i="22"/>
  <c r="AO579" i="22" s="1"/>
  <c r="N579" i="22"/>
  <c r="AN579" i="22" s="1"/>
  <c r="M579" i="22"/>
  <c r="AM579" i="22" s="1"/>
  <c r="L579" i="22"/>
  <c r="AL579" i="22" s="1"/>
  <c r="K579" i="22"/>
  <c r="AK579" i="22" s="1"/>
  <c r="J579" i="22"/>
  <c r="AJ579" i="22" s="1"/>
  <c r="D579" i="22"/>
  <c r="C579" i="22"/>
  <c r="AC579" i="22" s="1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AD577" i="22"/>
  <c r="V577" i="22"/>
  <c r="AV577" i="22" s="1"/>
  <c r="U577" i="22"/>
  <c r="AU577" i="22" s="1"/>
  <c r="T577" i="22"/>
  <c r="AT577" i="22" s="1"/>
  <c r="S577" i="22"/>
  <c r="AS577" i="22" s="1"/>
  <c r="R577" i="22"/>
  <c r="AR577" i="22" s="1"/>
  <c r="Q577" i="22"/>
  <c r="AQ577" i="22" s="1"/>
  <c r="P577" i="22"/>
  <c r="AP577" i="22" s="1"/>
  <c r="O577" i="22"/>
  <c r="AO577" i="22" s="1"/>
  <c r="N577" i="22"/>
  <c r="AN577" i="22" s="1"/>
  <c r="M577" i="22"/>
  <c r="AM577" i="22" s="1"/>
  <c r="L577" i="22"/>
  <c r="AL577" i="22" s="1"/>
  <c r="K577" i="22"/>
  <c r="AK577" i="22" s="1"/>
  <c r="J577" i="22"/>
  <c r="AJ577" i="22" s="1"/>
  <c r="D577" i="22"/>
  <c r="C577" i="22"/>
  <c r="AC577" i="22" s="1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AD575" i="22"/>
  <c r="V575" i="22"/>
  <c r="AV575" i="22" s="1"/>
  <c r="U575" i="22"/>
  <c r="AU575" i="22" s="1"/>
  <c r="T575" i="22"/>
  <c r="AT575" i="22" s="1"/>
  <c r="S575" i="22"/>
  <c r="AS575" i="22" s="1"/>
  <c r="R575" i="22"/>
  <c r="AR575" i="22" s="1"/>
  <c r="Q575" i="22"/>
  <c r="AQ575" i="22" s="1"/>
  <c r="P575" i="22"/>
  <c r="AP575" i="22" s="1"/>
  <c r="O575" i="22"/>
  <c r="AO575" i="22" s="1"/>
  <c r="N575" i="22"/>
  <c r="AN575" i="22" s="1"/>
  <c r="M575" i="22"/>
  <c r="AM575" i="22" s="1"/>
  <c r="L575" i="22"/>
  <c r="AL575" i="22" s="1"/>
  <c r="K575" i="22"/>
  <c r="AK575" i="22" s="1"/>
  <c r="J575" i="22"/>
  <c r="AJ575" i="22" s="1"/>
  <c r="D575" i="22"/>
  <c r="C575" i="22"/>
  <c r="AC575" i="22" s="1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AD573" i="22"/>
  <c r="V573" i="22"/>
  <c r="AV573" i="22" s="1"/>
  <c r="U573" i="22"/>
  <c r="AU573" i="22" s="1"/>
  <c r="T573" i="22"/>
  <c r="AT573" i="22" s="1"/>
  <c r="S573" i="22"/>
  <c r="AS573" i="22" s="1"/>
  <c r="R573" i="22"/>
  <c r="AR573" i="22" s="1"/>
  <c r="Q573" i="22"/>
  <c r="AQ573" i="22" s="1"/>
  <c r="P573" i="22"/>
  <c r="AP573" i="22" s="1"/>
  <c r="O573" i="22"/>
  <c r="AO573" i="22" s="1"/>
  <c r="N573" i="22"/>
  <c r="AN573" i="22" s="1"/>
  <c r="M573" i="22"/>
  <c r="AM573" i="22" s="1"/>
  <c r="L573" i="22"/>
  <c r="AL573" i="22" s="1"/>
  <c r="K573" i="22"/>
  <c r="AK573" i="22" s="1"/>
  <c r="J573" i="22"/>
  <c r="AJ573" i="22" s="1"/>
  <c r="D573" i="22"/>
  <c r="C573" i="22"/>
  <c r="AC573" i="22" s="1"/>
  <c r="V572" i="22"/>
  <c r="U572" i="22"/>
  <c r="T572" i="22"/>
  <c r="S572" i="22"/>
  <c r="R572" i="22"/>
  <c r="Q572" i="22"/>
  <c r="P572" i="22"/>
  <c r="O572" i="22"/>
  <c r="N572" i="22"/>
  <c r="M572" i="22"/>
  <c r="L572" i="22"/>
  <c r="K572" i="22"/>
  <c r="J572" i="22"/>
  <c r="AD571" i="22"/>
  <c r="V571" i="22"/>
  <c r="AV571" i="22" s="1"/>
  <c r="U571" i="22"/>
  <c r="AU571" i="22" s="1"/>
  <c r="T571" i="22"/>
  <c r="AT571" i="22" s="1"/>
  <c r="S571" i="22"/>
  <c r="AS571" i="22" s="1"/>
  <c r="R571" i="22"/>
  <c r="AR571" i="22" s="1"/>
  <c r="Q571" i="22"/>
  <c r="AQ571" i="22" s="1"/>
  <c r="P571" i="22"/>
  <c r="AP571" i="22" s="1"/>
  <c r="O571" i="22"/>
  <c r="AO571" i="22" s="1"/>
  <c r="N571" i="22"/>
  <c r="AN571" i="22" s="1"/>
  <c r="M571" i="22"/>
  <c r="AM571" i="22" s="1"/>
  <c r="L571" i="22"/>
  <c r="AL571" i="22" s="1"/>
  <c r="K571" i="22"/>
  <c r="AK571" i="22" s="1"/>
  <c r="J571" i="22"/>
  <c r="AJ571" i="22" s="1"/>
  <c r="D571" i="22"/>
  <c r="C571" i="22"/>
  <c r="AC571" i="22" s="1"/>
  <c r="V570" i="22"/>
  <c r="U570" i="22"/>
  <c r="T570" i="22"/>
  <c r="S570" i="22"/>
  <c r="R570" i="22"/>
  <c r="Q570" i="22"/>
  <c r="P570" i="22"/>
  <c r="O570" i="22"/>
  <c r="N570" i="22"/>
  <c r="M570" i="22"/>
  <c r="L570" i="22"/>
  <c r="K570" i="22"/>
  <c r="J570" i="22"/>
  <c r="AD569" i="22"/>
  <c r="V569" i="22"/>
  <c r="AV569" i="22" s="1"/>
  <c r="U569" i="22"/>
  <c r="AU569" i="22" s="1"/>
  <c r="T569" i="22"/>
  <c r="AT569" i="22" s="1"/>
  <c r="S569" i="22"/>
  <c r="AS569" i="22" s="1"/>
  <c r="R569" i="22"/>
  <c r="AR569" i="22" s="1"/>
  <c r="Q569" i="22"/>
  <c r="AQ569" i="22" s="1"/>
  <c r="P569" i="22"/>
  <c r="AP569" i="22" s="1"/>
  <c r="O569" i="22"/>
  <c r="AO569" i="22" s="1"/>
  <c r="N569" i="22"/>
  <c r="AN569" i="22" s="1"/>
  <c r="M569" i="22"/>
  <c r="AM569" i="22" s="1"/>
  <c r="L569" i="22"/>
  <c r="AL569" i="22" s="1"/>
  <c r="K569" i="22"/>
  <c r="AK569" i="22" s="1"/>
  <c r="J569" i="22"/>
  <c r="AJ569" i="22" s="1"/>
  <c r="D569" i="22"/>
  <c r="C569" i="22"/>
  <c r="AC569" i="22" s="1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AD567" i="22"/>
  <c r="V567" i="22"/>
  <c r="AV567" i="22" s="1"/>
  <c r="U567" i="22"/>
  <c r="AU567" i="22" s="1"/>
  <c r="T567" i="22"/>
  <c r="AT567" i="22" s="1"/>
  <c r="S567" i="22"/>
  <c r="AS567" i="22" s="1"/>
  <c r="R567" i="22"/>
  <c r="AR567" i="22" s="1"/>
  <c r="Q567" i="22"/>
  <c r="AQ567" i="22" s="1"/>
  <c r="P567" i="22"/>
  <c r="AP567" i="22" s="1"/>
  <c r="O567" i="22"/>
  <c r="AO567" i="22" s="1"/>
  <c r="N567" i="22"/>
  <c r="AN567" i="22" s="1"/>
  <c r="M567" i="22"/>
  <c r="AM567" i="22" s="1"/>
  <c r="L567" i="22"/>
  <c r="AL567" i="22" s="1"/>
  <c r="K567" i="22"/>
  <c r="AK567" i="22" s="1"/>
  <c r="J567" i="22"/>
  <c r="AJ567" i="22" s="1"/>
  <c r="D567" i="22"/>
  <c r="C567" i="22"/>
  <c r="AC567" i="22" s="1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AD565" i="22"/>
  <c r="V565" i="22"/>
  <c r="AV565" i="22" s="1"/>
  <c r="U565" i="22"/>
  <c r="AU565" i="22" s="1"/>
  <c r="T565" i="22"/>
  <c r="AT565" i="22" s="1"/>
  <c r="S565" i="22"/>
  <c r="AS565" i="22" s="1"/>
  <c r="R565" i="22"/>
  <c r="AR565" i="22" s="1"/>
  <c r="Q565" i="22"/>
  <c r="AQ565" i="22" s="1"/>
  <c r="P565" i="22"/>
  <c r="AP565" i="22" s="1"/>
  <c r="O565" i="22"/>
  <c r="AO565" i="22" s="1"/>
  <c r="N565" i="22"/>
  <c r="AN565" i="22" s="1"/>
  <c r="M565" i="22"/>
  <c r="AM565" i="22" s="1"/>
  <c r="L565" i="22"/>
  <c r="AL565" i="22" s="1"/>
  <c r="K565" i="22"/>
  <c r="AK565" i="22" s="1"/>
  <c r="J565" i="22"/>
  <c r="AJ565" i="22" s="1"/>
  <c r="D565" i="22"/>
  <c r="C565" i="22"/>
  <c r="AC565" i="22" s="1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AD563" i="22"/>
  <c r="V563" i="22"/>
  <c r="AV563" i="22" s="1"/>
  <c r="U563" i="22"/>
  <c r="AU563" i="22" s="1"/>
  <c r="T563" i="22"/>
  <c r="AT563" i="22" s="1"/>
  <c r="S563" i="22"/>
  <c r="AS563" i="22" s="1"/>
  <c r="R563" i="22"/>
  <c r="AR563" i="22" s="1"/>
  <c r="Q563" i="22"/>
  <c r="AQ563" i="22" s="1"/>
  <c r="P563" i="22"/>
  <c r="AP563" i="22" s="1"/>
  <c r="O563" i="22"/>
  <c r="AO563" i="22" s="1"/>
  <c r="N563" i="22"/>
  <c r="AN563" i="22" s="1"/>
  <c r="M563" i="22"/>
  <c r="AM563" i="22" s="1"/>
  <c r="L563" i="22"/>
  <c r="AL563" i="22" s="1"/>
  <c r="K563" i="22"/>
  <c r="AK563" i="22" s="1"/>
  <c r="J563" i="22"/>
  <c r="AJ563" i="22" s="1"/>
  <c r="D563" i="22"/>
  <c r="C563" i="22"/>
  <c r="AC563" i="22" s="1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AD561" i="22"/>
  <c r="V561" i="22"/>
  <c r="AV561" i="22" s="1"/>
  <c r="U561" i="22"/>
  <c r="AU561" i="22" s="1"/>
  <c r="T561" i="22"/>
  <c r="AT561" i="22" s="1"/>
  <c r="S561" i="22"/>
  <c r="AS561" i="22" s="1"/>
  <c r="R561" i="22"/>
  <c r="AR561" i="22" s="1"/>
  <c r="Q561" i="22"/>
  <c r="AQ561" i="22" s="1"/>
  <c r="P561" i="22"/>
  <c r="AP561" i="22" s="1"/>
  <c r="O561" i="22"/>
  <c r="AO561" i="22" s="1"/>
  <c r="N561" i="22"/>
  <c r="AN561" i="22" s="1"/>
  <c r="M561" i="22"/>
  <c r="AM561" i="22" s="1"/>
  <c r="L561" i="22"/>
  <c r="AL561" i="22" s="1"/>
  <c r="K561" i="22"/>
  <c r="AK561" i="22" s="1"/>
  <c r="J561" i="22"/>
  <c r="AJ561" i="22" s="1"/>
  <c r="D561" i="22"/>
  <c r="C561" i="22"/>
  <c r="AC561" i="22" s="1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AD559" i="22"/>
  <c r="V559" i="22"/>
  <c r="AV559" i="22" s="1"/>
  <c r="U559" i="22"/>
  <c r="AU559" i="22" s="1"/>
  <c r="T559" i="22"/>
  <c r="AT559" i="22" s="1"/>
  <c r="S559" i="22"/>
  <c r="AS559" i="22" s="1"/>
  <c r="R559" i="22"/>
  <c r="AR559" i="22" s="1"/>
  <c r="Q559" i="22"/>
  <c r="AQ559" i="22" s="1"/>
  <c r="P559" i="22"/>
  <c r="AP559" i="22" s="1"/>
  <c r="O559" i="22"/>
  <c r="AO559" i="22" s="1"/>
  <c r="N559" i="22"/>
  <c r="AN559" i="22" s="1"/>
  <c r="M559" i="22"/>
  <c r="AM559" i="22" s="1"/>
  <c r="L559" i="22"/>
  <c r="AL559" i="22" s="1"/>
  <c r="K559" i="22"/>
  <c r="AK559" i="22" s="1"/>
  <c r="J559" i="22"/>
  <c r="AJ559" i="22" s="1"/>
  <c r="D559" i="22"/>
  <c r="C559" i="22"/>
  <c r="AC559" i="22" s="1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AD557" i="22"/>
  <c r="V557" i="22"/>
  <c r="AV557" i="22" s="1"/>
  <c r="U557" i="22"/>
  <c r="AU557" i="22" s="1"/>
  <c r="T557" i="22"/>
  <c r="AT557" i="22" s="1"/>
  <c r="S557" i="22"/>
  <c r="AS557" i="22" s="1"/>
  <c r="R557" i="22"/>
  <c r="AR557" i="22" s="1"/>
  <c r="Q557" i="22"/>
  <c r="AQ557" i="22" s="1"/>
  <c r="P557" i="22"/>
  <c r="AP557" i="22" s="1"/>
  <c r="O557" i="22"/>
  <c r="AO557" i="22" s="1"/>
  <c r="N557" i="22"/>
  <c r="AN557" i="22" s="1"/>
  <c r="M557" i="22"/>
  <c r="AM557" i="22" s="1"/>
  <c r="L557" i="22"/>
  <c r="AL557" i="22" s="1"/>
  <c r="K557" i="22"/>
  <c r="AK557" i="22" s="1"/>
  <c r="J557" i="22"/>
  <c r="AJ557" i="22" s="1"/>
  <c r="D557" i="22"/>
  <c r="C557" i="22"/>
  <c r="AC557" i="22" s="1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AD555" i="22"/>
  <c r="V555" i="22"/>
  <c r="AV555" i="22" s="1"/>
  <c r="U555" i="22"/>
  <c r="AU555" i="22" s="1"/>
  <c r="T555" i="22"/>
  <c r="AT555" i="22" s="1"/>
  <c r="S555" i="22"/>
  <c r="AS555" i="22" s="1"/>
  <c r="R555" i="22"/>
  <c r="AR555" i="22" s="1"/>
  <c r="Q555" i="22"/>
  <c r="AQ555" i="22" s="1"/>
  <c r="P555" i="22"/>
  <c r="AP555" i="22" s="1"/>
  <c r="O555" i="22"/>
  <c r="AO555" i="22" s="1"/>
  <c r="N555" i="22"/>
  <c r="AN555" i="22" s="1"/>
  <c r="M555" i="22"/>
  <c r="AM555" i="22" s="1"/>
  <c r="L555" i="22"/>
  <c r="AL555" i="22" s="1"/>
  <c r="K555" i="22"/>
  <c r="AK555" i="22" s="1"/>
  <c r="J555" i="22"/>
  <c r="AJ555" i="22" s="1"/>
  <c r="D555" i="22"/>
  <c r="C555" i="22"/>
  <c r="AC555" i="22" s="1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AD553" i="22"/>
  <c r="V553" i="22"/>
  <c r="AV553" i="22" s="1"/>
  <c r="U553" i="22"/>
  <c r="AU553" i="22" s="1"/>
  <c r="T553" i="22"/>
  <c r="AT553" i="22" s="1"/>
  <c r="S553" i="22"/>
  <c r="AS553" i="22" s="1"/>
  <c r="R553" i="22"/>
  <c r="AR553" i="22" s="1"/>
  <c r="Q553" i="22"/>
  <c r="AQ553" i="22" s="1"/>
  <c r="P553" i="22"/>
  <c r="AP553" i="22" s="1"/>
  <c r="O553" i="22"/>
  <c r="AO553" i="22" s="1"/>
  <c r="N553" i="22"/>
  <c r="AN553" i="22" s="1"/>
  <c r="M553" i="22"/>
  <c r="AM553" i="22" s="1"/>
  <c r="L553" i="22"/>
  <c r="AL553" i="22" s="1"/>
  <c r="K553" i="22"/>
  <c r="AK553" i="22" s="1"/>
  <c r="J553" i="22"/>
  <c r="AJ553" i="22" s="1"/>
  <c r="D553" i="22"/>
  <c r="C553" i="22"/>
  <c r="AC553" i="22" s="1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AD551" i="22"/>
  <c r="V551" i="22"/>
  <c r="AV551" i="22" s="1"/>
  <c r="U551" i="22"/>
  <c r="AU551" i="22" s="1"/>
  <c r="T551" i="22"/>
  <c r="AT551" i="22" s="1"/>
  <c r="S551" i="22"/>
  <c r="AS551" i="22" s="1"/>
  <c r="R551" i="22"/>
  <c r="AR551" i="22" s="1"/>
  <c r="Q551" i="22"/>
  <c r="AQ551" i="22" s="1"/>
  <c r="P551" i="22"/>
  <c r="AP551" i="22" s="1"/>
  <c r="O551" i="22"/>
  <c r="AO551" i="22" s="1"/>
  <c r="N551" i="22"/>
  <c r="AN551" i="22" s="1"/>
  <c r="M551" i="22"/>
  <c r="AM551" i="22" s="1"/>
  <c r="L551" i="22"/>
  <c r="AL551" i="22" s="1"/>
  <c r="K551" i="22"/>
  <c r="AK551" i="22" s="1"/>
  <c r="J551" i="22"/>
  <c r="AJ551" i="22" s="1"/>
  <c r="D551" i="22"/>
  <c r="C551" i="22"/>
  <c r="AC551" i="22" s="1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AD549" i="22"/>
  <c r="V549" i="22"/>
  <c r="AV549" i="22" s="1"/>
  <c r="U549" i="22"/>
  <c r="AU549" i="22" s="1"/>
  <c r="T549" i="22"/>
  <c r="AT549" i="22" s="1"/>
  <c r="S549" i="22"/>
  <c r="AS549" i="22" s="1"/>
  <c r="R549" i="22"/>
  <c r="AR549" i="22" s="1"/>
  <c r="Q549" i="22"/>
  <c r="AQ549" i="22" s="1"/>
  <c r="P549" i="22"/>
  <c r="AP549" i="22" s="1"/>
  <c r="O549" i="22"/>
  <c r="AO549" i="22" s="1"/>
  <c r="N549" i="22"/>
  <c r="AN549" i="22" s="1"/>
  <c r="M549" i="22"/>
  <c r="AM549" i="22" s="1"/>
  <c r="L549" i="22"/>
  <c r="AL549" i="22" s="1"/>
  <c r="K549" i="22"/>
  <c r="AK549" i="22" s="1"/>
  <c r="J549" i="22"/>
  <c r="AJ549" i="22" s="1"/>
  <c r="D549" i="22"/>
  <c r="C549" i="22"/>
  <c r="AC549" i="22" s="1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AD547" i="22"/>
  <c r="V547" i="22"/>
  <c r="AV547" i="22" s="1"/>
  <c r="U547" i="22"/>
  <c r="AU547" i="22" s="1"/>
  <c r="T547" i="22"/>
  <c r="AT547" i="22" s="1"/>
  <c r="S547" i="22"/>
  <c r="AS547" i="22" s="1"/>
  <c r="R547" i="22"/>
  <c r="AR547" i="22" s="1"/>
  <c r="Q547" i="22"/>
  <c r="AQ547" i="22" s="1"/>
  <c r="P547" i="22"/>
  <c r="AP547" i="22" s="1"/>
  <c r="O547" i="22"/>
  <c r="AO547" i="22" s="1"/>
  <c r="N547" i="22"/>
  <c r="AN547" i="22" s="1"/>
  <c r="M547" i="22"/>
  <c r="AM547" i="22" s="1"/>
  <c r="L547" i="22"/>
  <c r="AL547" i="22" s="1"/>
  <c r="K547" i="22"/>
  <c r="AK547" i="22" s="1"/>
  <c r="J547" i="22"/>
  <c r="AJ547" i="22" s="1"/>
  <c r="D547" i="22"/>
  <c r="C547" i="22"/>
  <c r="AC547" i="22" s="1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AD545" i="22"/>
  <c r="V545" i="22"/>
  <c r="AV545" i="22" s="1"/>
  <c r="U545" i="22"/>
  <c r="AU545" i="22" s="1"/>
  <c r="T545" i="22"/>
  <c r="AT545" i="22" s="1"/>
  <c r="S545" i="22"/>
  <c r="AS545" i="22" s="1"/>
  <c r="R545" i="22"/>
  <c r="AR545" i="22" s="1"/>
  <c r="Q545" i="22"/>
  <c r="AQ545" i="22" s="1"/>
  <c r="P545" i="22"/>
  <c r="AP545" i="22" s="1"/>
  <c r="O545" i="22"/>
  <c r="AO545" i="22" s="1"/>
  <c r="N545" i="22"/>
  <c r="AN545" i="22" s="1"/>
  <c r="M545" i="22"/>
  <c r="AM545" i="22" s="1"/>
  <c r="L545" i="22"/>
  <c r="AL545" i="22" s="1"/>
  <c r="K545" i="22"/>
  <c r="AK545" i="22" s="1"/>
  <c r="J545" i="22"/>
  <c r="AJ545" i="22" s="1"/>
  <c r="D545" i="22"/>
  <c r="C545" i="22"/>
  <c r="AC545" i="22" s="1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AD543" i="22"/>
  <c r="V543" i="22"/>
  <c r="AV543" i="22" s="1"/>
  <c r="U543" i="22"/>
  <c r="AU543" i="22" s="1"/>
  <c r="T543" i="22"/>
  <c r="AT543" i="22" s="1"/>
  <c r="S543" i="22"/>
  <c r="AS543" i="22" s="1"/>
  <c r="R543" i="22"/>
  <c r="AR543" i="22" s="1"/>
  <c r="Q543" i="22"/>
  <c r="AQ543" i="22" s="1"/>
  <c r="P543" i="22"/>
  <c r="AP543" i="22" s="1"/>
  <c r="O543" i="22"/>
  <c r="AO543" i="22" s="1"/>
  <c r="N543" i="22"/>
  <c r="AN543" i="22" s="1"/>
  <c r="M543" i="22"/>
  <c r="AM543" i="22" s="1"/>
  <c r="L543" i="22"/>
  <c r="AL543" i="22" s="1"/>
  <c r="K543" i="22"/>
  <c r="AK543" i="22" s="1"/>
  <c r="J543" i="22"/>
  <c r="AJ543" i="22" s="1"/>
  <c r="D543" i="22"/>
  <c r="C543" i="22"/>
  <c r="AC543" i="22" s="1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AD541" i="22"/>
  <c r="V541" i="22"/>
  <c r="AV541" i="22" s="1"/>
  <c r="U541" i="22"/>
  <c r="AU541" i="22" s="1"/>
  <c r="T541" i="22"/>
  <c r="AT541" i="22" s="1"/>
  <c r="S541" i="22"/>
  <c r="AS541" i="22" s="1"/>
  <c r="R541" i="22"/>
  <c r="AR541" i="22" s="1"/>
  <c r="Q541" i="22"/>
  <c r="AQ541" i="22" s="1"/>
  <c r="P541" i="22"/>
  <c r="AP541" i="22" s="1"/>
  <c r="O541" i="22"/>
  <c r="AO541" i="22" s="1"/>
  <c r="N541" i="22"/>
  <c r="AN541" i="22" s="1"/>
  <c r="M541" i="22"/>
  <c r="AM541" i="22" s="1"/>
  <c r="L541" i="22"/>
  <c r="AL541" i="22" s="1"/>
  <c r="K541" i="22"/>
  <c r="AK541" i="22" s="1"/>
  <c r="J541" i="22"/>
  <c r="AJ541" i="22" s="1"/>
  <c r="D541" i="22"/>
  <c r="C541" i="22"/>
  <c r="AC541" i="22" s="1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AD539" i="22"/>
  <c r="V539" i="22"/>
  <c r="AV539" i="22" s="1"/>
  <c r="U539" i="22"/>
  <c r="AU539" i="22" s="1"/>
  <c r="T539" i="22"/>
  <c r="AT539" i="22" s="1"/>
  <c r="S539" i="22"/>
  <c r="AS539" i="22" s="1"/>
  <c r="R539" i="22"/>
  <c r="AR539" i="22" s="1"/>
  <c r="Q539" i="22"/>
  <c r="AQ539" i="22" s="1"/>
  <c r="P539" i="22"/>
  <c r="AP539" i="22" s="1"/>
  <c r="O539" i="22"/>
  <c r="AO539" i="22" s="1"/>
  <c r="N539" i="22"/>
  <c r="AN539" i="22" s="1"/>
  <c r="M539" i="22"/>
  <c r="AM539" i="22" s="1"/>
  <c r="L539" i="22"/>
  <c r="AL539" i="22" s="1"/>
  <c r="K539" i="22"/>
  <c r="AK539" i="22" s="1"/>
  <c r="J539" i="22"/>
  <c r="AJ539" i="22" s="1"/>
  <c r="D539" i="22"/>
  <c r="C539" i="22"/>
  <c r="AC539" i="22" s="1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AD537" i="22"/>
  <c r="V537" i="22"/>
  <c r="AV537" i="22" s="1"/>
  <c r="U537" i="22"/>
  <c r="AU537" i="22" s="1"/>
  <c r="T537" i="22"/>
  <c r="AT537" i="22" s="1"/>
  <c r="S537" i="22"/>
  <c r="AS537" i="22" s="1"/>
  <c r="R537" i="22"/>
  <c r="AR537" i="22" s="1"/>
  <c r="Q537" i="22"/>
  <c r="AQ537" i="22" s="1"/>
  <c r="P537" i="22"/>
  <c r="AP537" i="22" s="1"/>
  <c r="O537" i="22"/>
  <c r="AO537" i="22" s="1"/>
  <c r="N537" i="22"/>
  <c r="AN537" i="22" s="1"/>
  <c r="M537" i="22"/>
  <c r="AM537" i="22" s="1"/>
  <c r="L537" i="22"/>
  <c r="AL537" i="22" s="1"/>
  <c r="K537" i="22"/>
  <c r="AK537" i="22" s="1"/>
  <c r="J537" i="22"/>
  <c r="AJ537" i="22" s="1"/>
  <c r="D537" i="22"/>
  <c r="C537" i="22"/>
  <c r="AC537" i="22" s="1"/>
  <c r="V536" i="22"/>
  <c r="U536" i="22"/>
  <c r="T536" i="22"/>
  <c r="S536" i="22"/>
  <c r="R536" i="22"/>
  <c r="Q536" i="22"/>
  <c r="P536" i="22"/>
  <c r="O536" i="22"/>
  <c r="N536" i="22"/>
  <c r="M536" i="22"/>
  <c r="L536" i="22"/>
  <c r="K536" i="22"/>
  <c r="J536" i="22"/>
  <c r="AD535" i="22"/>
  <c r="V535" i="22"/>
  <c r="AV535" i="22" s="1"/>
  <c r="U535" i="22"/>
  <c r="AU535" i="22" s="1"/>
  <c r="T535" i="22"/>
  <c r="AT535" i="22" s="1"/>
  <c r="S535" i="22"/>
  <c r="AS535" i="22" s="1"/>
  <c r="R535" i="22"/>
  <c r="AR535" i="22" s="1"/>
  <c r="Q535" i="22"/>
  <c r="AQ535" i="22" s="1"/>
  <c r="P535" i="22"/>
  <c r="AP535" i="22" s="1"/>
  <c r="O535" i="22"/>
  <c r="AO535" i="22" s="1"/>
  <c r="N535" i="22"/>
  <c r="AN535" i="22" s="1"/>
  <c r="M535" i="22"/>
  <c r="AM535" i="22" s="1"/>
  <c r="L535" i="22"/>
  <c r="AL535" i="22" s="1"/>
  <c r="K535" i="22"/>
  <c r="AK535" i="22" s="1"/>
  <c r="J535" i="22"/>
  <c r="AJ535" i="22" s="1"/>
  <c r="D535" i="22"/>
  <c r="C535" i="22"/>
  <c r="AC535" i="22" s="1"/>
  <c r="V534" i="22"/>
  <c r="U534" i="22"/>
  <c r="T534" i="22"/>
  <c r="S534" i="22"/>
  <c r="R534" i="22"/>
  <c r="Q534" i="22"/>
  <c r="P534" i="22"/>
  <c r="O534" i="22"/>
  <c r="N534" i="22"/>
  <c r="M534" i="22"/>
  <c r="L534" i="22"/>
  <c r="K534" i="22"/>
  <c r="J534" i="22"/>
  <c r="AD533" i="22"/>
  <c r="V533" i="22"/>
  <c r="AV533" i="22" s="1"/>
  <c r="U533" i="22"/>
  <c r="AU533" i="22" s="1"/>
  <c r="T533" i="22"/>
  <c r="AT533" i="22" s="1"/>
  <c r="S533" i="22"/>
  <c r="AS533" i="22" s="1"/>
  <c r="R533" i="22"/>
  <c r="AR533" i="22" s="1"/>
  <c r="Q533" i="22"/>
  <c r="AQ533" i="22" s="1"/>
  <c r="P533" i="22"/>
  <c r="AP533" i="22" s="1"/>
  <c r="O533" i="22"/>
  <c r="AO533" i="22" s="1"/>
  <c r="N533" i="22"/>
  <c r="AN533" i="22" s="1"/>
  <c r="M533" i="22"/>
  <c r="AM533" i="22" s="1"/>
  <c r="L533" i="22"/>
  <c r="AL533" i="22" s="1"/>
  <c r="K533" i="22"/>
  <c r="AK533" i="22" s="1"/>
  <c r="J533" i="22"/>
  <c r="AJ533" i="22" s="1"/>
  <c r="D533" i="22"/>
  <c r="C533" i="22"/>
  <c r="AC533" i="22" s="1"/>
  <c r="V532" i="22"/>
  <c r="U532" i="22"/>
  <c r="T532" i="22"/>
  <c r="S532" i="22"/>
  <c r="R532" i="22"/>
  <c r="Q532" i="22"/>
  <c r="P532" i="22"/>
  <c r="O532" i="22"/>
  <c r="N532" i="22"/>
  <c r="M532" i="22"/>
  <c r="L532" i="22"/>
  <c r="K532" i="22"/>
  <c r="J532" i="22"/>
  <c r="AD531" i="22"/>
  <c r="V531" i="22"/>
  <c r="AV531" i="22" s="1"/>
  <c r="U531" i="22"/>
  <c r="AU531" i="22" s="1"/>
  <c r="T531" i="22"/>
  <c r="AT531" i="22" s="1"/>
  <c r="S531" i="22"/>
  <c r="AS531" i="22" s="1"/>
  <c r="R531" i="22"/>
  <c r="AR531" i="22" s="1"/>
  <c r="Q531" i="22"/>
  <c r="AQ531" i="22" s="1"/>
  <c r="P531" i="22"/>
  <c r="AP531" i="22" s="1"/>
  <c r="O531" i="22"/>
  <c r="AO531" i="22" s="1"/>
  <c r="N531" i="22"/>
  <c r="AN531" i="22" s="1"/>
  <c r="M531" i="22"/>
  <c r="AM531" i="22" s="1"/>
  <c r="L531" i="22"/>
  <c r="AL531" i="22" s="1"/>
  <c r="K531" i="22"/>
  <c r="AK531" i="22" s="1"/>
  <c r="J531" i="22"/>
  <c r="AJ531" i="22" s="1"/>
  <c r="D531" i="22"/>
  <c r="C531" i="22"/>
  <c r="AC531" i="22" s="1"/>
  <c r="V530" i="22"/>
  <c r="U530" i="22"/>
  <c r="T530" i="22"/>
  <c r="S530" i="22"/>
  <c r="R530" i="22"/>
  <c r="Q530" i="22"/>
  <c r="P530" i="22"/>
  <c r="O530" i="22"/>
  <c r="N530" i="22"/>
  <c r="M530" i="22"/>
  <c r="L530" i="22"/>
  <c r="K530" i="22"/>
  <c r="J530" i="22"/>
  <c r="AD529" i="22"/>
  <c r="V529" i="22"/>
  <c r="AV529" i="22" s="1"/>
  <c r="U529" i="22"/>
  <c r="AU529" i="22" s="1"/>
  <c r="T529" i="22"/>
  <c r="AT529" i="22" s="1"/>
  <c r="S529" i="22"/>
  <c r="AS529" i="22" s="1"/>
  <c r="R529" i="22"/>
  <c r="AR529" i="22" s="1"/>
  <c r="Q529" i="22"/>
  <c r="AQ529" i="22" s="1"/>
  <c r="P529" i="22"/>
  <c r="AP529" i="22" s="1"/>
  <c r="O529" i="22"/>
  <c r="AO529" i="22" s="1"/>
  <c r="N529" i="22"/>
  <c r="AN529" i="22" s="1"/>
  <c r="M529" i="22"/>
  <c r="AM529" i="22" s="1"/>
  <c r="L529" i="22"/>
  <c r="AL529" i="22" s="1"/>
  <c r="K529" i="22"/>
  <c r="AK529" i="22" s="1"/>
  <c r="J529" i="22"/>
  <c r="AJ529" i="22" s="1"/>
  <c r="D529" i="22"/>
  <c r="C529" i="22"/>
  <c r="AC529" i="22" s="1"/>
  <c r="V528" i="22"/>
  <c r="U528" i="22"/>
  <c r="T528" i="22"/>
  <c r="S528" i="22"/>
  <c r="R528" i="22"/>
  <c r="Q528" i="22"/>
  <c r="P528" i="22"/>
  <c r="O528" i="22"/>
  <c r="N528" i="22"/>
  <c r="M528" i="22"/>
  <c r="L528" i="22"/>
  <c r="K528" i="22"/>
  <c r="J528" i="22"/>
  <c r="AD527" i="22"/>
  <c r="V527" i="22"/>
  <c r="AV527" i="22" s="1"/>
  <c r="U527" i="22"/>
  <c r="AU527" i="22" s="1"/>
  <c r="T527" i="22"/>
  <c r="AT527" i="22" s="1"/>
  <c r="S527" i="22"/>
  <c r="AS527" i="22" s="1"/>
  <c r="R527" i="22"/>
  <c r="AR527" i="22" s="1"/>
  <c r="Q527" i="22"/>
  <c r="AQ527" i="22" s="1"/>
  <c r="P527" i="22"/>
  <c r="AP527" i="22" s="1"/>
  <c r="O527" i="22"/>
  <c r="AO527" i="22" s="1"/>
  <c r="N527" i="22"/>
  <c r="AN527" i="22" s="1"/>
  <c r="M527" i="22"/>
  <c r="AM527" i="22" s="1"/>
  <c r="L527" i="22"/>
  <c r="AL527" i="22" s="1"/>
  <c r="K527" i="22"/>
  <c r="AK527" i="22" s="1"/>
  <c r="J527" i="22"/>
  <c r="AJ527" i="22" s="1"/>
  <c r="D527" i="22"/>
  <c r="C527" i="22"/>
  <c r="AC527" i="22" s="1"/>
  <c r="V526" i="22"/>
  <c r="U526" i="22"/>
  <c r="T526" i="22"/>
  <c r="S526" i="22"/>
  <c r="R526" i="22"/>
  <c r="Q526" i="22"/>
  <c r="P526" i="22"/>
  <c r="O526" i="22"/>
  <c r="N526" i="22"/>
  <c r="M526" i="22"/>
  <c r="L526" i="22"/>
  <c r="K526" i="22"/>
  <c r="J526" i="22"/>
  <c r="AD525" i="22"/>
  <c r="V525" i="22"/>
  <c r="AV525" i="22" s="1"/>
  <c r="U525" i="22"/>
  <c r="AU525" i="22" s="1"/>
  <c r="T525" i="22"/>
  <c r="AT525" i="22" s="1"/>
  <c r="S525" i="22"/>
  <c r="AS525" i="22" s="1"/>
  <c r="R525" i="22"/>
  <c r="AR525" i="22" s="1"/>
  <c r="Q525" i="22"/>
  <c r="AQ525" i="22" s="1"/>
  <c r="P525" i="22"/>
  <c r="AP525" i="22" s="1"/>
  <c r="O525" i="22"/>
  <c r="AO525" i="22" s="1"/>
  <c r="N525" i="22"/>
  <c r="AN525" i="22" s="1"/>
  <c r="M525" i="22"/>
  <c r="AM525" i="22" s="1"/>
  <c r="L525" i="22"/>
  <c r="AL525" i="22" s="1"/>
  <c r="K525" i="22"/>
  <c r="AK525" i="22" s="1"/>
  <c r="J525" i="22"/>
  <c r="AJ525" i="22" s="1"/>
  <c r="D525" i="22"/>
  <c r="C525" i="22"/>
  <c r="AC525" i="22" s="1"/>
  <c r="V524" i="22"/>
  <c r="U524" i="22"/>
  <c r="T524" i="22"/>
  <c r="S524" i="22"/>
  <c r="R524" i="22"/>
  <c r="Q524" i="22"/>
  <c r="P524" i="22"/>
  <c r="O524" i="22"/>
  <c r="N524" i="22"/>
  <c r="M524" i="22"/>
  <c r="L524" i="22"/>
  <c r="K524" i="22"/>
  <c r="J524" i="22"/>
  <c r="AD523" i="22"/>
  <c r="V523" i="22"/>
  <c r="AV523" i="22" s="1"/>
  <c r="U523" i="22"/>
  <c r="AU523" i="22" s="1"/>
  <c r="T523" i="22"/>
  <c r="AT523" i="22" s="1"/>
  <c r="S523" i="22"/>
  <c r="AS523" i="22" s="1"/>
  <c r="R523" i="22"/>
  <c r="AR523" i="22" s="1"/>
  <c r="Q523" i="22"/>
  <c r="AQ523" i="22" s="1"/>
  <c r="P523" i="22"/>
  <c r="AP523" i="22" s="1"/>
  <c r="O523" i="22"/>
  <c r="AO523" i="22" s="1"/>
  <c r="N523" i="22"/>
  <c r="AN523" i="22" s="1"/>
  <c r="M523" i="22"/>
  <c r="AM523" i="22" s="1"/>
  <c r="L523" i="22"/>
  <c r="AL523" i="22" s="1"/>
  <c r="K523" i="22"/>
  <c r="AK523" i="22" s="1"/>
  <c r="J523" i="22"/>
  <c r="AJ523" i="22" s="1"/>
  <c r="D523" i="22"/>
  <c r="C523" i="22"/>
  <c r="AC523" i="22" s="1"/>
  <c r="V522" i="22"/>
  <c r="U522" i="22"/>
  <c r="T522" i="22"/>
  <c r="S522" i="22"/>
  <c r="R522" i="22"/>
  <c r="Q522" i="22"/>
  <c r="P522" i="22"/>
  <c r="O522" i="22"/>
  <c r="N522" i="22"/>
  <c r="M522" i="22"/>
  <c r="L522" i="22"/>
  <c r="K522" i="22"/>
  <c r="J522" i="22"/>
  <c r="AD521" i="22"/>
  <c r="V521" i="22"/>
  <c r="AV521" i="22" s="1"/>
  <c r="U521" i="22"/>
  <c r="AU521" i="22" s="1"/>
  <c r="T521" i="22"/>
  <c r="AT521" i="22" s="1"/>
  <c r="S521" i="22"/>
  <c r="AS521" i="22" s="1"/>
  <c r="R521" i="22"/>
  <c r="AR521" i="22" s="1"/>
  <c r="Q521" i="22"/>
  <c r="AQ521" i="22" s="1"/>
  <c r="P521" i="22"/>
  <c r="AP521" i="22" s="1"/>
  <c r="O521" i="22"/>
  <c r="AO521" i="22" s="1"/>
  <c r="N521" i="22"/>
  <c r="AN521" i="22" s="1"/>
  <c r="M521" i="22"/>
  <c r="AM521" i="22" s="1"/>
  <c r="L521" i="22"/>
  <c r="AL521" i="22" s="1"/>
  <c r="K521" i="22"/>
  <c r="AK521" i="22" s="1"/>
  <c r="J521" i="22"/>
  <c r="AJ521" i="22" s="1"/>
  <c r="D521" i="22"/>
  <c r="C521" i="22"/>
  <c r="AC521" i="22" s="1"/>
  <c r="V520" i="22"/>
  <c r="U520" i="22"/>
  <c r="T520" i="22"/>
  <c r="S520" i="22"/>
  <c r="R520" i="22"/>
  <c r="Q520" i="22"/>
  <c r="P520" i="22"/>
  <c r="O520" i="22"/>
  <c r="N520" i="22"/>
  <c r="M520" i="22"/>
  <c r="L520" i="22"/>
  <c r="K520" i="22"/>
  <c r="J520" i="22"/>
  <c r="AD519" i="22"/>
  <c r="V519" i="22"/>
  <c r="AV519" i="22" s="1"/>
  <c r="U519" i="22"/>
  <c r="AU519" i="22" s="1"/>
  <c r="T519" i="22"/>
  <c r="AT519" i="22" s="1"/>
  <c r="S519" i="22"/>
  <c r="AS519" i="22" s="1"/>
  <c r="R519" i="22"/>
  <c r="AR519" i="22" s="1"/>
  <c r="Q519" i="22"/>
  <c r="AQ519" i="22" s="1"/>
  <c r="P519" i="22"/>
  <c r="AP519" i="22" s="1"/>
  <c r="O519" i="22"/>
  <c r="AO519" i="22" s="1"/>
  <c r="N519" i="22"/>
  <c r="AN519" i="22" s="1"/>
  <c r="M519" i="22"/>
  <c r="AM519" i="22" s="1"/>
  <c r="L519" i="22"/>
  <c r="AL519" i="22" s="1"/>
  <c r="K519" i="22"/>
  <c r="AK519" i="22" s="1"/>
  <c r="J519" i="22"/>
  <c r="AJ519" i="22" s="1"/>
  <c r="D519" i="22"/>
  <c r="C519" i="22"/>
  <c r="AC519" i="22" s="1"/>
  <c r="V518" i="22"/>
  <c r="U518" i="22"/>
  <c r="T518" i="22"/>
  <c r="S518" i="22"/>
  <c r="R518" i="22"/>
  <c r="Q518" i="22"/>
  <c r="P518" i="22"/>
  <c r="O518" i="22"/>
  <c r="N518" i="22"/>
  <c r="M518" i="22"/>
  <c r="L518" i="22"/>
  <c r="K518" i="22"/>
  <c r="J518" i="22"/>
  <c r="AD517" i="22"/>
  <c r="V517" i="22"/>
  <c r="AV517" i="22" s="1"/>
  <c r="U517" i="22"/>
  <c r="AU517" i="22" s="1"/>
  <c r="T517" i="22"/>
  <c r="AT517" i="22" s="1"/>
  <c r="S517" i="22"/>
  <c r="AS517" i="22" s="1"/>
  <c r="R517" i="22"/>
  <c r="AR517" i="22" s="1"/>
  <c r="Q517" i="22"/>
  <c r="AQ517" i="22" s="1"/>
  <c r="P517" i="22"/>
  <c r="AP517" i="22" s="1"/>
  <c r="O517" i="22"/>
  <c r="AO517" i="22" s="1"/>
  <c r="N517" i="22"/>
  <c r="AN517" i="22" s="1"/>
  <c r="M517" i="22"/>
  <c r="AM517" i="22" s="1"/>
  <c r="L517" i="22"/>
  <c r="AL517" i="22" s="1"/>
  <c r="K517" i="22"/>
  <c r="AK517" i="22" s="1"/>
  <c r="J517" i="22"/>
  <c r="AJ517" i="22" s="1"/>
  <c r="D517" i="22"/>
  <c r="C517" i="22"/>
  <c r="AC517" i="22" s="1"/>
  <c r="V516" i="22"/>
  <c r="U516" i="22"/>
  <c r="T516" i="22"/>
  <c r="S516" i="22"/>
  <c r="R516" i="22"/>
  <c r="Q516" i="22"/>
  <c r="P516" i="22"/>
  <c r="O516" i="22"/>
  <c r="N516" i="22"/>
  <c r="M516" i="22"/>
  <c r="L516" i="22"/>
  <c r="K516" i="22"/>
  <c r="J516" i="22"/>
  <c r="AD515" i="22"/>
  <c r="V515" i="22"/>
  <c r="AV515" i="22" s="1"/>
  <c r="U515" i="22"/>
  <c r="AU515" i="22" s="1"/>
  <c r="T515" i="22"/>
  <c r="AT515" i="22" s="1"/>
  <c r="S515" i="22"/>
  <c r="AS515" i="22" s="1"/>
  <c r="R515" i="22"/>
  <c r="AR515" i="22" s="1"/>
  <c r="Q515" i="22"/>
  <c r="AQ515" i="22" s="1"/>
  <c r="P515" i="22"/>
  <c r="AP515" i="22" s="1"/>
  <c r="O515" i="22"/>
  <c r="AO515" i="22" s="1"/>
  <c r="N515" i="22"/>
  <c r="AN515" i="22" s="1"/>
  <c r="M515" i="22"/>
  <c r="AM515" i="22" s="1"/>
  <c r="L515" i="22"/>
  <c r="AL515" i="22" s="1"/>
  <c r="K515" i="22"/>
  <c r="AK515" i="22" s="1"/>
  <c r="J515" i="22"/>
  <c r="AJ515" i="22" s="1"/>
  <c r="D515" i="22"/>
  <c r="C515" i="22"/>
  <c r="AC515" i="22" s="1"/>
  <c r="V514" i="22"/>
  <c r="U514" i="22"/>
  <c r="T514" i="22"/>
  <c r="S514" i="22"/>
  <c r="R514" i="22"/>
  <c r="Q514" i="22"/>
  <c r="P514" i="22"/>
  <c r="O514" i="22"/>
  <c r="N514" i="22"/>
  <c r="M514" i="22"/>
  <c r="L514" i="22"/>
  <c r="K514" i="22"/>
  <c r="J514" i="22"/>
  <c r="AD513" i="22"/>
  <c r="V513" i="22"/>
  <c r="AV513" i="22" s="1"/>
  <c r="U513" i="22"/>
  <c r="AU513" i="22" s="1"/>
  <c r="T513" i="22"/>
  <c r="AT513" i="22" s="1"/>
  <c r="S513" i="22"/>
  <c r="AS513" i="22" s="1"/>
  <c r="R513" i="22"/>
  <c r="AR513" i="22" s="1"/>
  <c r="Q513" i="22"/>
  <c r="AQ513" i="22" s="1"/>
  <c r="P513" i="22"/>
  <c r="AP513" i="22" s="1"/>
  <c r="O513" i="22"/>
  <c r="AO513" i="22" s="1"/>
  <c r="N513" i="22"/>
  <c r="AN513" i="22" s="1"/>
  <c r="M513" i="22"/>
  <c r="AM513" i="22" s="1"/>
  <c r="L513" i="22"/>
  <c r="AL513" i="22" s="1"/>
  <c r="K513" i="22"/>
  <c r="AK513" i="22" s="1"/>
  <c r="J513" i="22"/>
  <c r="AJ513" i="22" s="1"/>
  <c r="D513" i="22"/>
  <c r="C513" i="22"/>
  <c r="AC513" i="22" s="1"/>
  <c r="V512" i="22"/>
  <c r="U512" i="22"/>
  <c r="T512" i="22"/>
  <c r="S512" i="22"/>
  <c r="R512" i="22"/>
  <c r="Q512" i="22"/>
  <c r="P512" i="22"/>
  <c r="O512" i="22"/>
  <c r="N512" i="22"/>
  <c r="M512" i="22"/>
  <c r="L512" i="22"/>
  <c r="K512" i="22"/>
  <c r="J512" i="22"/>
  <c r="AD511" i="22"/>
  <c r="V511" i="22"/>
  <c r="AV511" i="22" s="1"/>
  <c r="U511" i="22"/>
  <c r="AU511" i="22" s="1"/>
  <c r="T511" i="22"/>
  <c r="AT511" i="22" s="1"/>
  <c r="S511" i="22"/>
  <c r="AS511" i="22" s="1"/>
  <c r="R511" i="22"/>
  <c r="AR511" i="22" s="1"/>
  <c r="Q511" i="22"/>
  <c r="AQ511" i="22" s="1"/>
  <c r="P511" i="22"/>
  <c r="AP511" i="22" s="1"/>
  <c r="O511" i="22"/>
  <c r="AO511" i="22" s="1"/>
  <c r="N511" i="22"/>
  <c r="AN511" i="22" s="1"/>
  <c r="M511" i="22"/>
  <c r="AM511" i="22" s="1"/>
  <c r="L511" i="22"/>
  <c r="AL511" i="22" s="1"/>
  <c r="K511" i="22"/>
  <c r="AK511" i="22" s="1"/>
  <c r="J511" i="22"/>
  <c r="AJ511" i="22" s="1"/>
  <c r="D511" i="22"/>
  <c r="C511" i="22"/>
  <c r="AC511" i="22" s="1"/>
  <c r="V510" i="22"/>
  <c r="U510" i="22"/>
  <c r="T510" i="22"/>
  <c r="S510" i="22"/>
  <c r="R510" i="22"/>
  <c r="Q510" i="22"/>
  <c r="P510" i="22"/>
  <c r="O510" i="22"/>
  <c r="N510" i="22"/>
  <c r="M510" i="22"/>
  <c r="L510" i="22"/>
  <c r="K510" i="22"/>
  <c r="J510" i="22"/>
  <c r="AS509" i="22"/>
  <c r="AQ509" i="22"/>
  <c r="AO509" i="22"/>
  <c r="AM509" i="22"/>
  <c r="AK509" i="22"/>
  <c r="AD509" i="22"/>
  <c r="AC509" i="22"/>
  <c r="V509" i="22"/>
  <c r="AV509" i="22" s="1"/>
  <c r="U509" i="22"/>
  <c r="AU509" i="22" s="1"/>
  <c r="T509" i="22"/>
  <c r="AT509" i="22" s="1"/>
  <c r="S509" i="22"/>
  <c r="R509" i="22"/>
  <c r="AR509" i="22" s="1"/>
  <c r="Q509" i="22"/>
  <c r="P509" i="22"/>
  <c r="AP509" i="22" s="1"/>
  <c r="O509" i="22"/>
  <c r="N509" i="22"/>
  <c r="AN509" i="22" s="1"/>
  <c r="M509" i="22"/>
  <c r="L509" i="22"/>
  <c r="AL509" i="22" s="1"/>
  <c r="K509" i="22"/>
  <c r="J509" i="22"/>
  <c r="AJ509" i="22" s="1"/>
  <c r="D509" i="22"/>
  <c r="C509" i="22"/>
  <c r="V508" i="22"/>
  <c r="U508" i="22"/>
  <c r="T508" i="22"/>
  <c r="S508" i="22"/>
  <c r="R508" i="22"/>
  <c r="Q508" i="22"/>
  <c r="P508" i="22"/>
  <c r="O508" i="22"/>
  <c r="N508" i="22"/>
  <c r="M508" i="22"/>
  <c r="L508" i="22"/>
  <c r="K508" i="22"/>
  <c r="J508" i="22"/>
  <c r="AV507" i="22"/>
  <c r="AT507" i="22"/>
  <c r="AR507" i="22"/>
  <c r="AP507" i="22"/>
  <c r="AN507" i="22"/>
  <c r="AL507" i="22"/>
  <c r="AJ507" i="22"/>
  <c r="AD507" i="22"/>
  <c r="V507" i="22"/>
  <c r="U507" i="22"/>
  <c r="AU507" i="22" s="1"/>
  <c r="T507" i="22"/>
  <c r="S507" i="22"/>
  <c r="AS507" i="22" s="1"/>
  <c r="R507" i="22"/>
  <c r="Q507" i="22"/>
  <c r="AQ507" i="22" s="1"/>
  <c r="P507" i="22"/>
  <c r="O507" i="22"/>
  <c r="AO507" i="22" s="1"/>
  <c r="N507" i="22"/>
  <c r="M507" i="22"/>
  <c r="AM507" i="22" s="1"/>
  <c r="L507" i="22"/>
  <c r="K507" i="22"/>
  <c r="AK507" i="22" s="1"/>
  <c r="J507" i="22"/>
  <c r="D507" i="22"/>
  <c r="C507" i="22"/>
  <c r="AC507" i="22" s="1"/>
  <c r="V506" i="22"/>
  <c r="U506" i="22"/>
  <c r="T506" i="22"/>
  <c r="S506" i="22"/>
  <c r="R506" i="22"/>
  <c r="Q506" i="22"/>
  <c r="P506" i="22"/>
  <c r="O506" i="22"/>
  <c r="N506" i="22"/>
  <c r="M506" i="22"/>
  <c r="L506" i="22"/>
  <c r="K506" i="22"/>
  <c r="J506" i="22"/>
  <c r="AU505" i="22"/>
  <c r="AS505" i="22"/>
  <c r="AQ505" i="22"/>
  <c r="AO505" i="22"/>
  <c r="AM505" i="22"/>
  <c r="AK505" i="22"/>
  <c r="AD505" i="22"/>
  <c r="AC505" i="22"/>
  <c r="V505" i="22"/>
  <c r="AV505" i="22" s="1"/>
  <c r="U505" i="22"/>
  <c r="T505" i="22"/>
  <c r="AT505" i="22" s="1"/>
  <c r="S505" i="22"/>
  <c r="R505" i="22"/>
  <c r="AR505" i="22" s="1"/>
  <c r="Q505" i="22"/>
  <c r="P505" i="22"/>
  <c r="AP505" i="22" s="1"/>
  <c r="O505" i="22"/>
  <c r="N505" i="22"/>
  <c r="AN505" i="22" s="1"/>
  <c r="M505" i="22"/>
  <c r="L505" i="22"/>
  <c r="AL505" i="22" s="1"/>
  <c r="K505" i="22"/>
  <c r="J505" i="22"/>
  <c r="AJ505" i="22" s="1"/>
  <c r="D505" i="22"/>
  <c r="C505" i="22"/>
  <c r="V504" i="22"/>
  <c r="U504" i="22"/>
  <c r="T504" i="22"/>
  <c r="S504" i="22"/>
  <c r="R504" i="22"/>
  <c r="Q504" i="22"/>
  <c r="P504" i="22"/>
  <c r="O504" i="22"/>
  <c r="N504" i="22"/>
  <c r="M504" i="22"/>
  <c r="L504" i="22"/>
  <c r="K504" i="22"/>
  <c r="J504" i="22"/>
  <c r="AV503" i="22"/>
  <c r="AT503" i="22"/>
  <c r="AR503" i="22"/>
  <c r="AP503" i="22"/>
  <c r="AD503" i="22"/>
  <c r="V503" i="22"/>
  <c r="U503" i="22"/>
  <c r="AU503" i="22" s="1"/>
  <c r="T503" i="22"/>
  <c r="S503" i="22"/>
  <c r="AS503" i="22" s="1"/>
  <c r="R503" i="22"/>
  <c r="Q503" i="22"/>
  <c r="AQ503" i="22" s="1"/>
  <c r="P503" i="22"/>
  <c r="O503" i="22"/>
  <c r="AO503" i="22" s="1"/>
  <c r="N503" i="22"/>
  <c r="AN503" i="22" s="1"/>
  <c r="M503" i="22"/>
  <c r="AM503" i="22" s="1"/>
  <c r="L503" i="22"/>
  <c r="AL503" i="22" s="1"/>
  <c r="K503" i="22"/>
  <c r="AK503" i="22" s="1"/>
  <c r="J503" i="22"/>
  <c r="AJ503" i="22" s="1"/>
  <c r="D503" i="22"/>
  <c r="C503" i="22"/>
  <c r="AC503" i="22" s="1"/>
  <c r="V502" i="22"/>
  <c r="U502" i="22"/>
  <c r="T502" i="22"/>
  <c r="S502" i="22"/>
  <c r="R502" i="22"/>
  <c r="Q502" i="22"/>
  <c r="P502" i="22"/>
  <c r="O502" i="22"/>
  <c r="N502" i="22"/>
  <c r="M502" i="22"/>
  <c r="L502" i="22"/>
  <c r="K502" i="22"/>
  <c r="J502" i="22"/>
  <c r="AV501" i="22"/>
  <c r="AT501" i="22"/>
  <c r="AR501" i="22"/>
  <c r="AP501" i="22"/>
  <c r="AN501" i="22"/>
  <c r="AL501" i="22"/>
  <c r="AJ501" i="22"/>
  <c r="AD501" i="22"/>
  <c r="V501" i="22"/>
  <c r="U501" i="22"/>
  <c r="AU501" i="22" s="1"/>
  <c r="T501" i="22"/>
  <c r="S501" i="22"/>
  <c r="AS501" i="22" s="1"/>
  <c r="R501" i="22"/>
  <c r="Q501" i="22"/>
  <c r="AQ501" i="22" s="1"/>
  <c r="P501" i="22"/>
  <c r="O501" i="22"/>
  <c r="AO501" i="22" s="1"/>
  <c r="N501" i="22"/>
  <c r="M501" i="22"/>
  <c r="AM501" i="22" s="1"/>
  <c r="L501" i="22"/>
  <c r="K501" i="22"/>
  <c r="AK501" i="22" s="1"/>
  <c r="J501" i="22"/>
  <c r="D501" i="22"/>
  <c r="C501" i="22"/>
  <c r="AC501" i="22" s="1"/>
  <c r="V500" i="22"/>
  <c r="U500" i="22"/>
  <c r="T500" i="22"/>
  <c r="S500" i="22"/>
  <c r="R500" i="22"/>
  <c r="Q500" i="22"/>
  <c r="P500" i="22"/>
  <c r="O500" i="22"/>
  <c r="N500" i="22"/>
  <c r="M500" i="22"/>
  <c r="L500" i="22"/>
  <c r="K500" i="22"/>
  <c r="J500" i="22"/>
  <c r="AU499" i="22"/>
  <c r="AS499" i="22"/>
  <c r="AQ499" i="22"/>
  <c r="AO499" i="22"/>
  <c r="AM499" i="22"/>
  <c r="AK499" i="22"/>
  <c r="AD499" i="22"/>
  <c r="AC499" i="22"/>
  <c r="V499" i="22"/>
  <c r="AV499" i="22" s="1"/>
  <c r="U499" i="22"/>
  <c r="T499" i="22"/>
  <c r="AT499" i="22" s="1"/>
  <c r="S499" i="22"/>
  <c r="R499" i="22"/>
  <c r="AR499" i="22" s="1"/>
  <c r="Q499" i="22"/>
  <c r="P499" i="22"/>
  <c r="AP499" i="22" s="1"/>
  <c r="O499" i="22"/>
  <c r="N499" i="22"/>
  <c r="AN499" i="22" s="1"/>
  <c r="M499" i="22"/>
  <c r="L499" i="22"/>
  <c r="AL499" i="22" s="1"/>
  <c r="K499" i="22"/>
  <c r="J499" i="22"/>
  <c r="AJ499" i="22" s="1"/>
  <c r="D499" i="22"/>
  <c r="C499" i="22"/>
  <c r="V498" i="22"/>
  <c r="U498" i="22"/>
  <c r="T498" i="22"/>
  <c r="S498" i="22"/>
  <c r="R498" i="22"/>
  <c r="Q498" i="22"/>
  <c r="P498" i="22"/>
  <c r="O498" i="22"/>
  <c r="N498" i="22"/>
  <c r="M498" i="22"/>
  <c r="L498" i="22"/>
  <c r="K498" i="22"/>
  <c r="J498" i="22"/>
  <c r="AV497" i="22"/>
  <c r="AT497" i="22"/>
  <c r="AR497" i="22"/>
  <c r="AP497" i="22"/>
  <c r="AN497" i="22"/>
  <c r="AL497" i="22"/>
  <c r="AJ497" i="22"/>
  <c r="AD497" i="22"/>
  <c r="V497" i="22"/>
  <c r="U497" i="22"/>
  <c r="AU497" i="22" s="1"/>
  <c r="T497" i="22"/>
  <c r="S497" i="22"/>
  <c r="AS497" i="22" s="1"/>
  <c r="R497" i="22"/>
  <c r="Q497" i="22"/>
  <c r="AQ497" i="22" s="1"/>
  <c r="P497" i="22"/>
  <c r="O497" i="22"/>
  <c r="AO497" i="22" s="1"/>
  <c r="N497" i="22"/>
  <c r="M497" i="22"/>
  <c r="AM497" i="22" s="1"/>
  <c r="L497" i="22"/>
  <c r="K497" i="22"/>
  <c r="AK497" i="22" s="1"/>
  <c r="J497" i="22"/>
  <c r="D497" i="22"/>
  <c r="C497" i="22"/>
  <c r="AC497" i="22" s="1"/>
  <c r="V496" i="22"/>
  <c r="U496" i="22"/>
  <c r="T496" i="22"/>
  <c r="S496" i="22"/>
  <c r="R496" i="22"/>
  <c r="Q496" i="22"/>
  <c r="P496" i="22"/>
  <c r="O496" i="22"/>
  <c r="N496" i="22"/>
  <c r="M496" i="22"/>
  <c r="L496" i="22"/>
  <c r="K496" i="22"/>
  <c r="J496" i="22"/>
  <c r="AU495" i="22"/>
  <c r="AS495" i="22"/>
  <c r="AQ495" i="22"/>
  <c r="AO495" i="22"/>
  <c r="AM495" i="22"/>
  <c r="AK495" i="22"/>
  <c r="AD495" i="22"/>
  <c r="AC495" i="22"/>
  <c r="V495" i="22"/>
  <c r="AV495" i="22" s="1"/>
  <c r="U495" i="22"/>
  <c r="T495" i="22"/>
  <c r="AT495" i="22" s="1"/>
  <c r="S495" i="22"/>
  <c r="R495" i="22"/>
  <c r="AR495" i="22" s="1"/>
  <c r="Q495" i="22"/>
  <c r="P495" i="22"/>
  <c r="AP495" i="22" s="1"/>
  <c r="O495" i="22"/>
  <c r="N495" i="22"/>
  <c r="AN495" i="22" s="1"/>
  <c r="M495" i="22"/>
  <c r="L495" i="22"/>
  <c r="AL495" i="22" s="1"/>
  <c r="K495" i="22"/>
  <c r="J495" i="22"/>
  <c r="AJ495" i="22" s="1"/>
  <c r="D495" i="22"/>
  <c r="C495" i="22"/>
  <c r="V494" i="22"/>
  <c r="U494" i="22"/>
  <c r="T494" i="22"/>
  <c r="S494" i="22"/>
  <c r="R494" i="22"/>
  <c r="Q494" i="22"/>
  <c r="P494" i="22"/>
  <c r="O494" i="22"/>
  <c r="N494" i="22"/>
  <c r="M494" i="22"/>
  <c r="L494" i="22"/>
  <c r="K494" i="22"/>
  <c r="J494" i="22"/>
  <c r="AV493" i="22"/>
  <c r="AT493" i="22"/>
  <c r="AR493" i="22"/>
  <c r="AP493" i="22"/>
  <c r="AN493" i="22"/>
  <c r="AL493" i="22"/>
  <c r="AJ493" i="22"/>
  <c r="AD493" i="22"/>
  <c r="V493" i="22"/>
  <c r="U493" i="22"/>
  <c r="AU493" i="22" s="1"/>
  <c r="T493" i="22"/>
  <c r="S493" i="22"/>
  <c r="AS493" i="22" s="1"/>
  <c r="R493" i="22"/>
  <c r="Q493" i="22"/>
  <c r="AQ493" i="22" s="1"/>
  <c r="P493" i="22"/>
  <c r="O493" i="22"/>
  <c r="AO493" i="22" s="1"/>
  <c r="N493" i="22"/>
  <c r="M493" i="22"/>
  <c r="AM493" i="22" s="1"/>
  <c r="L493" i="22"/>
  <c r="K493" i="22"/>
  <c r="AK493" i="22" s="1"/>
  <c r="J493" i="22"/>
  <c r="D493" i="22"/>
  <c r="C493" i="22"/>
  <c r="AC493" i="22" s="1"/>
  <c r="V492" i="22"/>
  <c r="U492" i="22"/>
  <c r="T492" i="22"/>
  <c r="S492" i="22"/>
  <c r="R492" i="22"/>
  <c r="Q492" i="22"/>
  <c r="P492" i="22"/>
  <c r="O492" i="22"/>
  <c r="N492" i="22"/>
  <c r="M492" i="22"/>
  <c r="L492" i="22"/>
  <c r="K492" i="22"/>
  <c r="J492" i="22"/>
  <c r="AU491" i="22"/>
  <c r="AS491" i="22"/>
  <c r="AQ491" i="22"/>
  <c r="AM491" i="22"/>
  <c r="AK491" i="22"/>
  <c r="AD491" i="22"/>
  <c r="V491" i="22"/>
  <c r="AV491" i="22" s="1"/>
  <c r="U491" i="22"/>
  <c r="T491" i="22"/>
  <c r="AT491" i="22" s="1"/>
  <c r="S491" i="22"/>
  <c r="R491" i="22"/>
  <c r="AR491" i="22" s="1"/>
  <c r="Q491" i="22"/>
  <c r="P491" i="22"/>
  <c r="AP491" i="22" s="1"/>
  <c r="O491" i="22"/>
  <c r="AO491" i="22" s="1"/>
  <c r="N491" i="22"/>
  <c r="AN491" i="22" s="1"/>
  <c r="M491" i="22"/>
  <c r="L491" i="22"/>
  <c r="AL491" i="22" s="1"/>
  <c r="K491" i="22"/>
  <c r="J491" i="22"/>
  <c r="AJ491" i="22" s="1"/>
  <c r="D491" i="22"/>
  <c r="C491" i="22"/>
  <c r="AC491" i="22" s="1"/>
  <c r="V490" i="22"/>
  <c r="U490" i="22"/>
  <c r="T490" i="22"/>
  <c r="S490" i="22"/>
  <c r="R490" i="22"/>
  <c r="Q490" i="22"/>
  <c r="P490" i="22"/>
  <c r="O490" i="22"/>
  <c r="N490" i="22"/>
  <c r="M490" i="22"/>
  <c r="L490" i="22"/>
  <c r="K490" i="22"/>
  <c r="J490" i="22"/>
  <c r="AT489" i="22"/>
  <c r="AR489" i="22"/>
  <c r="AP489" i="22"/>
  <c r="AN489" i="22"/>
  <c r="AL489" i="22"/>
  <c r="AJ489" i="22"/>
  <c r="AD489" i="22"/>
  <c r="V489" i="22"/>
  <c r="AV489" i="22" s="1"/>
  <c r="U489" i="22"/>
  <c r="AU489" i="22" s="1"/>
  <c r="T489" i="22"/>
  <c r="S489" i="22"/>
  <c r="AS489" i="22" s="1"/>
  <c r="R489" i="22"/>
  <c r="Q489" i="22"/>
  <c r="AQ489" i="22" s="1"/>
  <c r="P489" i="22"/>
  <c r="O489" i="22"/>
  <c r="AO489" i="22" s="1"/>
  <c r="N489" i="22"/>
  <c r="M489" i="22"/>
  <c r="AM489" i="22" s="1"/>
  <c r="L489" i="22"/>
  <c r="K489" i="22"/>
  <c r="AK489" i="22" s="1"/>
  <c r="J489" i="22"/>
  <c r="D489" i="22"/>
  <c r="C489" i="22"/>
  <c r="AC489" i="22" s="1"/>
  <c r="V488" i="22"/>
  <c r="U488" i="22"/>
  <c r="T488" i="22"/>
  <c r="S488" i="22"/>
  <c r="R488" i="22"/>
  <c r="Q488" i="22"/>
  <c r="P488" i="22"/>
  <c r="O488" i="22"/>
  <c r="N488" i="22"/>
  <c r="M488" i="22"/>
  <c r="L488" i="22"/>
  <c r="K488" i="22"/>
  <c r="J488" i="22"/>
  <c r="AU487" i="22"/>
  <c r="AM487" i="22"/>
  <c r="AD487" i="22"/>
  <c r="AC487" i="22"/>
  <c r="V487" i="22"/>
  <c r="AV487" i="22" s="1"/>
  <c r="U487" i="22"/>
  <c r="T487" i="22"/>
  <c r="AT487" i="22" s="1"/>
  <c r="S487" i="22"/>
  <c r="AS487" i="22" s="1"/>
  <c r="R487" i="22"/>
  <c r="AR487" i="22" s="1"/>
  <c r="Q487" i="22"/>
  <c r="AQ487" i="22" s="1"/>
  <c r="P487" i="22"/>
  <c r="AP487" i="22" s="1"/>
  <c r="O487" i="22"/>
  <c r="AO487" i="22" s="1"/>
  <c r="N487" i="22"/>
  <c r="AN487" i="22" s="1"/>
  <c r="M487" i="22"/>
  <c r="L487" i="22"/>
  <c r="AL487" i="22" s="1"/>
  <c r="K487" i="22"/>
  <c r="AK487" i="22" s="1"/>
  <c r="J487" i="22"/>
  <c r="AJ487" i="22" s="1"/>
  <c r="D487" i="22"/>
  <c r="C487" i="22"/>
  <c r="V486" i="22"/>
  <c r="U486" i="22"/>
  <c r="T486" i="22"/>
  <c r="S486" i="22"/>
  <c r="R486" i="22"/>
  <c r="Q486" i="22"/>
  <c r="P486" i="22"/>
  <c r="O486" i="22"/>
  <c r="N486" i="22"/>
  <c r="M486" i="22"/>
  <c r="L486" i="22"/>
  <c r="K486" i="22"/>
  <c r="J486" i="22"/>
  <c r="AU485" i="22"/>
  <c r="AS485" i="22"/>
  <c r="AQ485" i="22"/>
  <c r="AO485" i="22"/>
  <c r="AM485" i="22"/>
  <c r="AK485" i="22"/>
  <c r="AD485" i="22"/>
  <c r="AC485" i="22"/>
  <c r="V485" i="22"/>
  <c r="AV485" i="22" s="1"/>
  <c r="U485" i="22"/>
  <c r="T485" i="22"/>
  <c r="AT485" i="22" s="1"/>
  <c r="S485" i="22"/>
  <c r="R485" i="22"/>
  <c r="AR485" i="22" s="1"/>
  <c r="Q485" i="22"/>
  <c r="P485" i="22"/>
  <c r="AP485" i="22" s="1"/>
  <c r="O485" i="22"/>
  <c r="N485" i="22"/>
  <c r="AN485" i="22" s="1"/>
  <c r="M485" i="22"/>
  <c r="L485" i="22"/>
  <c r="AL485" i="22" s="1"/>
  <c r="K485" i="22"/>
  <c r="J485" i="22"/>
  <c r="AJ485" i="22" s="1"/>
  <c r="D485" i="22"/>
  <c r="C485" i="22"/>
  <c r="V484" i="22"/>
  <c r="U484" i="22"/>
  <c r="T484" i="22"/>
  <c r="S484" i="22"/>
  <c r="R484" i="22"/>
  <c r="Q484" i="22"/>
  <c r="P484" i="22"/>
  <c r="O484" i="22"/>
  <c r="N484" i="22"/>
  <c r="M484" i="22"/>
  <c r="L484" i="22"/>
  <c r="K484" i="22"/>
  <c r="J484" i="22"/>
  <c r="AT483" i="22"/>
  <c r="AR483" i="22"/>
  <c r="AP483" i="22"/>
  <c r="AN483" i="22"/>
  <c r="AL483" i="22"/>
  <c r="AJ483" i="22"/>
  <c r="AD483" i="22"/>
  <c r="V483" i="22"/>
  <c r="AV483" i="22" s="1"/>
  <c r="U483" i="22"/>
  <c r="AU483" i="22" s="1"/>
  <c r="T483" i="22"/>
  <c r="S483" i="22"/>
  <c r="AS483" i="22" s="1"/>
  <c r="R483" i="22"/>
  <c r="Q483" i="22"/>
  <c r="AQ483" i="22" s="1"/>
  <c r="P483" i="22"/>
  <c r="O483" i="22"/>
  <c r="AO483" i="22" s="1"/>
  <c r="N483" i="22"/>
  <c r="M483" i="22"/>
  <c r="AM483" i="22" s="1"/>
  <c r="L483" i="22"/>
  <c r="K483" i="22"/>
  <c r="AK483" i="22" s="1"/>
  <c r="J483" i="22"/>
  <c r="D483" i="22"/>
  <c r="C483" i="22"/>
  <c r="AC483" i="22" s="1"/>
  <c r="V482" i="22"/>
  <c r="U482" i="22"/>
  <c r="T482" i="22"/>
  <c r="S482" i="22"/>
  <c r="R482" i="22"/>
  <c r="Q482" i="22"/>
  <c r="P482" i="22"/>
  <c r="O482" i="22"/>
  <c r="N482" i="22"/>
  <c r="M482" i="22"/>
  <c r="L482" i="22"/>
  <c r="K482" i="22"/>
  <c r="J482" i="22"/>
  <c r="AU481" i="22"/>
  <c r="AS481" i="22"/>
  <c r="AQ481" i="22"/>
  <c r="AM481" i="22"/>
  <c r="AK481" i="22"/>
  <c r="AD481" i="22"/>
  <c r="AC481" i="22"/>
  <c r="V481" i="22"/>
  <c r="AV481" i="22" s="1"/>
  <c r="U481" i="22"/>
  <c r="T481" i="22"/>
  <c r="AT481" i="22" s="1"/>
  <c r="S481" i="22"/>
  <c r="R481" i="22"/>
  <c r="AR481" i="22" s="1"/>
  <c r="Q481" i="22"/>
  <c r="P481" i="22"/>
  <c r="AP481" i="22" s="1"/>
  <c r="O481" i="22"/>
  <c r="AO481" i="22" s="1"/>
  <c r="N481" i="22"/>
  <c r="AN481" i="22" s="1"/>
  <c r="M481" i="22"/>
  <c r="L481" i="22"/>
  <c r="AL481" i="22" s="1"/>
  <c r="K481" i="22"/>
  <c r="J481" i="22"/>
  <c r="AJ481" i="22" s="1"/>
  <c r="D481" i="22"/>
  <c r="C481" i="22"/>
  <c r="V480" i="22"/>
  <c r="U480" i="22"/>
  <c r="T480" i="22"/>
  <c r="S480" i="22"/>
  <c r="R480" i="22"/>
  <c r="Q480" i="22"/>
  <c r="P480" i="22"/>
  <c r="O480" i="22"/>
  <c r="N480" i="22"/>
  <c r="M480" i="22"/>
  <c r="L480" i="22"/>
  <c r="K480" i="22"/>
  <c r="J480" i="22"/>
  <c r="AV479" i="22"/>
  <c r="AT479" i="22"/>
  <c r="AR479" i="22"/>
  <c r="AP479" i="22"/>
  <c r="AN479" i="22"/>
  <c r="AL479" i="22"/>
  <c r="AJ479" i="22"/>
  <c r="AD479" i="22"/>
  <c r="V479" i="22"/>
  <c r="U479" i="22"/>
  <c r="AU479" i="22" s="1"/>
  <c r="T479" i="22"/>
  <c r="S479" i="22"/>
  <c r="AS479" i="22" s="1"/>
  <c r="R479" i="22"/>
  <c r="Q479" i="22"/>
  <c r="AQ479" i="22" s="1"/>
  <c r="P479" i="22"/>
  <c r="O479" i="22"/>
  <c r="AO479" i="22" s="1"/>
  <c r="N479" i="22"/>
  <c r="M479" i="22"/>
  <c r="AM479" i="22" s="1"/>
  <c r="L479" i="22"/>
  <c r="K479" i="22"/>
  <c r="AK479" i="22" s="1"/>
  <c r="J479" i="22"/>
  <c r="D479" i="22"/>
  <c r="C479" i="22"/>
  <c r="AC479" i="22" s="1"/>
  <c r="V478" i="22"/>
  <c r="U478" i="22"/>
  <c r="T478" i="22"/>
  <c r="S478" i="22"/>
  <c r="R478" i="22"/>
  <c r="Q478" i="22"/>
  <c r="P478" i="22"/>
  <c r="O478" i="22"/>
  <c r="N478" i="22"/>
  <c r="M478" i="22"/>
  <c r="L478" i="22"/>
  <c r="K478" i="22"/>
  <c r="J478" i="22"/>
  <c r="AU477" i="22"/>
  <c r="AS477" i="22"/>
  <c r="AQ477" i="22"/>
  <c r="AM477" i="22"/>
  <c r="AK477" i="22"/>
  <c r="AD477" i="22"/>
  <c r="AC477" i="22"/>
  <c r="V477" i="22"/>
  <c r="AV477" i="22" s="1"/>
  <c r="U477" i="22"/>
  <c r="T477" i="22"/>
  <c r="AT477" i="22" s="1"/>
  <c r="S477" i="22"/>
  <c r="R477" i="22"/>
  <c r="AR477" i="22" s="1"/>
  <c r="Q477" i="22"/>
  <c r="P477" i="22"/>
  <c r="AP477" i="22" s="1"/>
  <c r="O477" i="22"/>
  <c r="AO477" i="22" s="1"/>
  <c r="N477" i="22"/>
  <c r="AN477" i="22" s="1"/>
  <c r="M477" i="22"/>
  <c r="L477" i="22"/>
  <c r="AL477" i="22" s="1"/>
  <c r="K477" i="22"/>
  <c r="J477" i="22"/>
  <c r="AJ477" i="22" s="1"/>
  <c r="D477" i="22"/>
  <c r="C477" i="22"/>
  <c r="V476" i="22"/>
  <c r="U476" i="22"/>
  <c r="T476" i="22"/>
  <c r="S476" i="22"/>
  <c r="R476" i="22"/>
  <c r="Q476" i="22"/>
  <c r="P476" i="22"/>
  <c r="O476" i="22"/>
  <c r="N476" i="22"/>
  <c r="M476" i="22"/>
  <c r="L476" i="22"/>
  <c r="K476" i="22"/>
  <c r="J476" i="22"/>
  <c r="AT475" i="22"/>
  <c r="AR475" i="22"/>
  <c r="AP475" i="22"/>
  <c r="AN475" i="22"/>
  <c r="AL475" i="22"/>
  <c r="AJ475" i="22"/>
  <c r="AD475" i="22"/>
  <c r="V475" i="22"/>
  <c r="AV475" i="22" s="1"/>
  <c r="U475" i="22"/>
  <c r="AU475" i="22" s="1"/>
  <c r="T475" i="22"/>
  <c r="S475" i="22"/>
  <c r="AS475" i="22" s="1"/>
  <c r="R475" i="22"/>
  <c r="Q475" i="22"/>
  <c r="AQ475" i="22" s="1"/>
  <c r="P475" i="22"/>
  <c r="O475" i="22"/>
  <c r="AO475" i="22" s="1"/>
  <c r="N475" i="22"/>
  <c r="M475" i="22"/>
  <c r="AM475" i="22" s="1"/>
  <c r="L475" i="22"/>
  <c r="K475" i="22"/>
  <c r="AK475" i="22" s="1"/>
  <c r="J475" i="22"/>
  <c r="D475" i="22"/>
  <c r="C475" i="22"/>
  <c r="AC475" i="22" s="1"/>
  <c r="V474" i="22"/>
  <c r="U474" i="22"/>
  <c r="T474" i="22"/>
  <c r="S474" i="22"/>
  <c r="R474" i="22"/>
  <c r="Q474" i="22"/>
  <c r="P474" i="22"/>
  <c r="O474" i="22"/>
  <c r="N474" i="22"/>
  <c r="M474" i="22"/>
  <c r="L474" i="22"/>
  <c r="K474" i="22"/>
  <c r="J474" i="22"/>
  <c r="AU473" i="22"/>
  <c r="AS473" i="22"/>
  <c r="AQ473" i="22"/>
  <c r="AM473" i="22"/>
  <c r="AK473" i="22"/>
  <c r="AD473" i="22"/>
  <c r="AC473" i="22"/>
  <c r="V473" i="22"/>
  <c r="AV473" i="22" s="1"/>
  <c r="U473" i="22"/>
  <c r="T473" i="22"/>
  <c r="AT473" i="22" s="1"/>
  <c r="S473" i="22"/>
  <c r="R473" i="22"/>
  <c r="AR473" i="22" s="1"/>
  <c r="Q473" i="22"/>
  <c r="P473" i="22"/>
  <c r="AP473" i="22" s="1"/>
  <c r="O473" i="22"/>
  <c r="AO473" i="22" s="1"/>
  <c r="N473" i="22"/>
  <c r="AN473" i="22" s="1"/>
  <c r="M473" i="22"/>
  <c r="L473" i="22"/>
  <c r="AL473" i="22" s="1"/>
  <c r="K473" i="22"/>
  <c r="J473" i="22"/>
  <c r="AJ473" i="22" s="1"/>
  <c r="D473" i="22"/>
  <c r="C473" i="22"/>
  <c r="V472" i="22"/>
  <c r="U472" i="22"/>
  <c r="T472" i="22"/>
  <c r="S472" i="22"/>
  <c r="R472" i="22"/>
  <c r="Q472" i="22"/>
  <c r="P472" i="22"/>
  <c r="O472" i="22"/>
  <c r="N472" i="22"/>
  <c r="M472" i="22"/>
  <c r="L472" i="22"/>
  <c r="K472" i="22"/>
  <c r="J472" i="22"/>
  <c r="AT471" i="22"/>
  <c r="AR471" i="22"/>
  <c r="AP471" i="22"/>
  <c r="AN471" i="22"/>
  <c r="AL471" i="22"/>
  <c r="AJ471" i="22"/>
  <c r="AD471" i="22"/>
  <c r="V471" i="22"/>
  <c r="AV471" i="22" s="1"/>
  <c r="U471" i="22"/>
  <c r="AU471" i="22" s="1"/>
  <c r="T471" i="22"/>
  <c r="S471" i="22"/>
  <c r="AS471" i="22" s="1"/>
  <c r="R471" i="22"/>
  <c r="Q471" i="22"/>
  <c r="AQ471" i="22" s="1"/>
  <c r="P471" i="22"/>
  <c r="O471" i="22"/>
  <c r="AO471" i="22" s="1"/>
  <c r="N471" i="22"/>
  <c r="M471" i="22"/>
  <c r="AM471" i="22" s="1"/>
  <c r="L471" i="22"/>
  <c r="K471" i="22"/>
  <c r="AK471" i="22" s="1"/>
  <c r="J471" i="22"/>
  <c r="D471" i="22"/>
  <c r="C471" i="22"/>
  <c r="AC471" i="22" s="1"/>
  <c r="V470" i="22"/>
  <c r="U470" i="22"/>
  <c r="T470" i="22"/>
  <c r="S470" i="22"/>
  <c r="R470" i="22"/>
  <c r="Q470" i="22"/>
  <c r="P470" i="22"/>
  <c r="O470" i="22"/>
  <c r="N470" i="22"/>
  <c r="M470" i="22"/>
  <c r="L470" i="22"/>
  <c r="K470" i="22"/>
  <c r="J470" i="22"/>
  <c r="AU469" i="22"/>
  <c r="AS469" i="22"/>
  <c r="AQ469" i="22"/>
  <c r="AO469" i="22"/>
  <c r="AM469" i="22"/>
  <c r="AK469" i="22"/>
  <c r="AD469" i="22"/>
  <c r="AC469" i="22"/>
  <c r="V469" i="22"/>
  <c r="AV469" i="22" s="1"/>
  <c r="U469" i="22"/>
  <c r="T469" i="22"/>
  <c r="AT469" i="22" s="1"/>
  <c r="S469" i="22"/>
  <c r="R469" i="22"/>
  <c r="AR469" i="22" s="1"/>
  <c r="Q469" i="22"/>
  <c r="P469" i="22"/>
  <c r="AP469" i="22" s="1"/>
  <c r="O469" i="22"/>
  <c r="N469" i="22"/>
  <c r="AN469" i="22" s="1"/>
  <c r="M469" i="22"/>
  <c r="L469" i="22"/>
  <c r="AL469" i="22" s="1"/>
  <c r="K469" i="22"/>
  <c r="J469" i="22"/>
  <c r="AJ469" i="22" s="1"/>
  <c r="D469" i="22"/>
  <c r="C469" i="22"/>
  <c r="V468" i="22"/>
  <c r="U468" i="22"/>
  <c r="T468" i="22"/>
  <c r="S468" i="22"/>
  <c r="R468" i="22"/>
  <c r="Q468" i="22"/>
  <c r="P468" i="22"/>
  <c r="O468" i="22"/>
  <c r="N468" i="22"/>
  <c r="M468" i="22"/>
  <c r="L468" i="22"/>
  <c r="K468" i="22"/>
  <c r="J468" i="22"/>
  <c r="AV467" i="22"/>
  <c r="AT467" i="22"/>
  <c r="AR467" i="22"/>
  <c r="AP467" i="22"/>
  <c r="AN467" i="22"/>
  <c r="AL467" i="22"/>
  <c r="AJ467" i="22"/>
  <c r="AD467" i="22"/>
  <c r="V467" i="22"/>
  <c r="U467" i="22"/>
  <c r="AU467" i="22" s="1"/>
  <c r="T467" i="22"/>
  <c r="S467" i="22"/>
  <c r="AS467" i="22" s="1"/>
  <c r="R467" i="22"/>
  <c r="Q467" i="22"/>
  <c r="AQ467" i="22" s="1"/>
  <c r="P467" i="22"/>
  <c r="O467" i="22"/>
  <c r="AO467" i="22" s="1"/>
  <c r="N467" i="22"/>
  <c r="M467" i="22"/>
  <c r="AM467" i="22" s="1"/>
  <c r="L467" i="22"/>
  <c r="K467" i="22"/>
  <c r="AK467" i="22" s="1"/>
  <c r="J467" i="22"/>
  <c r="D467" i="22"/>
  <c r="C467" i="22"/>
  <c r="AC467" i="22" s="1"/>
  <c r="V466" i="22"/>
  <c r="U466" i="22"/>
  <c r="T466" i="22"/>
  <c r="S466" i="22"/>
  <c r="R466" i="22"/>
  <c r="Q466" i="22"/>
  <c r="P466" i="22"/>
  <c r="O466" i="22"/>
  <c r="N466" i="22"/>
  <c r="M466" i="22"/>
  <c r="L466" i="22"/>
  <c r="K466" i="22"/>
  <c r="J466" i="22"/>
  <c r="AU465" i="22"/>
  <c r="AS465" i="22"/>
  <c r="AQ465" i="22"/>
  <c r="AO465" i="22"/>
  <c r="AM465" i="22"/>
  <c r="AK465" i="22"/>
  <c r="AD465" i="22"/>
  <c r="AC465" i="22"/>
  <c r="V465" i="22"/>
  <c r="AV465" i="22" s="1"/>
  <c r="U465" i="22"/>
  <c r="T465" i="22"/>
  <c r="AT465" i="22" s="1"/>
  <c r="S465" i="22"/>
  <c r="R465" i="22"/>
  <c r="AR465" i="22" s="1"/>
  <c r="Q465" i="22"/>
  <c r="P465" i="22"/>
  <c r="AP465" i="22" s="1"/>
  <c r="O465" i="22"/>
  <c r="N465" i="22"/>
  <c r="AN465" i="22" s="1"/>
  <c r="M465" i="22"/>
  <c r="L465" i="22"/>
  <c r="AL465" i="22" s="1"/>
  <c r="K465" i="22"/>
  <c r="J465" i="22"/>
  <c r="AJ465" i="22" s="1"/>
  <c r="D465" i="22"/>
  <c r="C465" i="22"/>
  <c r="V464" i="22"/>
  <c r="U464" i="22"/>
  <c r="T464" i="22"/>
  <c r="S464" i="22"/>
  <c r="R464" i="22"/>
  <c r="Q464" i="22"/>
  <c r="P464" i="22"/>
  <c r="O464" i="22"/>
  <c r="N464" i="22"/>
  <c r="M464" i="22"/>
  <c r="L464" i="22"/>
  <c r="K464" i="22"/>
  <c r="J464" i="22"/>
  <c r="AV463" i="22"/>
  <c r="AT463" i="22"/>
  <c r="AR463" i="22"/>
  <c r="AP463" i="22"/>
  <c r="AN463" i="22"/>
  <c r="AL463" i="22"/>
  <c r="AJ463" i="22"/>
  <c r="AD463" i="22"/>
  <c r="V463" i="22"/>
  <c r="U463" i="22"/>
  <c r="AU463" i="22" s="1"/>
  <c r="T463" i="22"/>
  <c r="S463" i="22"/>
  <c r="AS463" i="22" s="1"/>
  <c r="R463" i="22"/>
  <c r="Q463" i="22"/>
  <c r="AQ463" i="22" s="1"/>
  <c r="P463" i="22"/>
  <c r="O463" i="22"/>
  <c r="AO463" i="22" s="1"/>
  <c r="N463" i="22"/>
  <c r="M463" i="22"/>
  <c r="AM463" i="22" s="1"/>
  <c r="L463" i="22"/>
  <c r="K463" i="22"/>
  <c r="AK463" i="22" s="1"/>
  <c r="J463" i="22"/>
  <c r="D463" i="22"/>
  <c r="C463" i="22"/>
  <c r="AC463" i="22" s="1"/>
  <c r="V462" i="22"/>
  <c r="U462" i="22"/>
  <c r="T462" i="22"/>
  <c r="S462" i="22"/>
  <c r="R462" i="22"/>
  <c r="Q462" i="22"/>
  <c r="P462" i="22"/>
  <c r="O462" i="22"/>
  <c r="N462" i="22"/>
  <c r="M462" i="22"/>
  <c r="L462" i="22"/>
  <c r="K462" i="22"/>
  <c r="J462" i="22"/>
  <c r="AU461" i="22"/>
  <c r="AS461" i="22"/>
  <c r="AQ461" i="22"/>
  <c r="AO461" i="22"/>
  <c r="AM461" i="22"/>
  <c r="AK461" i="22"/>
  <c r="AD461" i="22"/>
  <c r="AC461" i="22"/>
  <c r="V461" i="22"/>
  <c r="AV461" i="22" s="1"/>
  <c r="U461" i="22"/>
  <c r="T461" i="22"/>
  <c r="AT461" i="22" s="1"/>
  <c r="S461" i="22"/>
  <c r="R461" i="22"/>
  <c r="AR461" i="22" s="1"/>
  <c r="Q461" i="22"/>
  <c r="P461" i="22"/>
  <c r="AP461" i="22" s="1"/>
  <c r="O461" i="22"/>
  <c r="N461" i="22"/>
  <c r="AN461" i="22" s="1"/>
  <c r="M461" i="22"/>
  <c r="L461" i="22"/>
  <c r="AL461" i="22" s="1"/>
  <c r="K461" i="22"/>
  <c r="J461" i="22"/>
  <c r="AJ461" i="22" s="1"/>
  <c r="D461" i="22"/>
  <c r="C461" i="22"/>
  <c r="V460" i="22"/>
  <c r="U460" i="22"/>
  <c r="T460" i="22"/>
  <c r="S460" i="22"/>
  <c r="R460" i="22"/>
  <c r="Q460" i="22"/>
  <c r="P460" i="22"/>
  <c r="O460" i="22"/>
  <c r="N460" i="22"/>
  <c r="M460" i="22"/>
  <c r="L460" i="22"/>
  <c r="K460" i="22"/>
  <c r="J460" i="22"/>
  <c r="AV459" i="22"/>
  <c r="AT459" i="22"/>
  <c r="AR459" i="22"/>
  <c r="AP459" i="22"/>
  <c r="AN459" i="22"/>
  <c r="AL459" i="22"/>
  <c r="AJ459" i="22"/>
  <c r="AD459" i="22"/>
  <c r="V459" i="22"/>
  <c r="U459" i="22"/>
  <c r="AU459" i="22" s="1"/>
  <c r="T459" i="22"/>
  <c r="S459" i="22"/>
  <c r="AS459" i="22" s="1"/>
  <c r="R459" i="22"/>
  <c r="Q459" i="22"/>
  <c r="AQ459" i="22" s="1"/>
  <c r="P459" i="22"/>
  <c r="O459" i="22"/>
  <c r="AO459" i="22" s="1"/>
  <c r="N459" i="22"/>
  <c r="M459" i="22"/>
  <c r="AM459" i="22" s="1"/>
  <c r="L459" i="22"/>
  <c r="K459" i="22"/>
  <c r="AK459" i="22" s="1"/>
  <c r="J459" i="22"/>
  <c r="D459" i="22"/>
  <c r="C459" i="22"/>
  <c r="AC459" i="22" s="1"/>
  <c r="V458" i="22"/>
  <c r="U458" i="22"/>
  <c r="T458" i="22"/>
  <c r="S458" i="22"/>
  <c r="R458" i="22"/>
  <c r="Q458" i="22"/>
  <c r="P458" i="22"/>
  <c r="O458" i="22"/>
  <c r="N458" i="22"/>
  <c r="M458" i="22"/>
  <c r="L458" i="22"/>
  <c r="K458" i="22"/>
  <c r="J458" i="22"/>
  <c r="AU457" i="22"/>
  <c r="AS457" i="22"/>
  <c r="AQ457" i="22"/>
  <c r="AO457" i="22"/>
  <c r="AM457" i="22"/>
  <c r="AK457" i="22"/>
  <c r="AD457" i="22"/>
  <c r="AC457" i="22"/>
  <c r="V457" i="22"/>
  <c r="AV457" i="22" s="1"/>
  <c r="U457" i="22"/>
  <c r="T457" i="22"/>
  <c r="AT457" i="22" s="1"/>
  <c r="S457" i="22"/>
  <c r="R457" i="22"/>
  <c r="AR457" i="22" s="1"/>
  <c r="Q457" i="22"/>
  <c r="P457" i="22"/>
  <c r="AP457" i="22" s="1"/>
  <c r="O457" i="22"/>
  <c r="N457" i="22"/>
  <c r="AN457" i="22" s="1"/>
  <c r="M457" i="22"/>
  <c r="L457" i="22"/>
  <c r="AL457" i="22" s="1"/>
  <c r="K457" i="22"/>
  <c r="J457" i="22"/>
  <c r="AJ457" i="22" s="1"/>
  <c r="D457" i="22"/>
  <c r="C457" i="22"/>
  <c r="V456" i="22"/>
  <c r="U456" i="22"/>
  <c r="T456" i="22"/>
  <c r="S456" i="22"/>
  <c r="R456" i="22"/>
  <c r="Q456" i="22"/>
  <c r="P456" i="22"/>
  <c r="O456" i="22"/>
  <c r="N456" i="22"/>
  <c r="M456" i="22"/>
  <c r="L456" i="22"/>
  <c r="K456" i="22"/>
  <c r="J456" i="22"/>
  <c r="AV455" i="22"/>
  <c r="AT455" i="22"/>
  <c r="AR455" i="22"/>
  <c r="AP455" i="22"/>
  <c r="AN455" i="22"/>
  <c r="AL455" i="22"/>
  <c r="AJ455" i="22"/>
  <c r="AD455" i="22"/>
  <c r="V455" i="22"/>
  <c r="U455" i="22"/>
  <c r="AU455" i="22" s="1"/>
  <c r="T455" i="22"/>
  <c r="S455" i="22"/>
  <c r="AS455" i="22" s="1"/>
  <c r="R455" i="22"/>
  <c r="Q455" i="22"/>
  <c r="AQ455" i="22" s="1"/>
  <c r="P455" i="22"/>
  <c r="O455" i="22"/>
  <c r="AO455" i="22" s="1"/>
  <c r="N455" i="22"/>
  <c r="M455" i="22"/>
  <c r="AM455" i="22" s="1"/>
  <c r="L455" i="22"/>
  <c r="K455" i="22"/>
  <c r="AK455" i="22" s="1"/>
  <c r="J455" i="22"/>
  <c r="D455" i="22"/>
  <c r="C455" i="22"/>
  <c r="AC455" i="22" s="1"/>
  <c r="V454" i="22"/>
  <c r="U454" i="22"/>
  <c r="T454" i="22"/>
  <c r="S454" i="22"/>
  <c r="R454" i="22"/>
  <c r="Q454" i="22"/>
  <c r="P454" i="22"/>
  <c r="O454" i="22"/>
  <c r="N454" i="22"/>
  <c r="M454" i="22"/>
  <c r="L454" i="22"/>
  <c r="K454" i="22"/>
  <c r="J454" i="22"/>
  <c r="AU453" i="22"/>
  <c r="AS453" i="22"/>
  <c r="AQ453" i="22"/>
  <c r="AO453" i="22"/>
  <c r="AM453" i="22"/>
  <c r="AK453" i="22"/>
  <c r="AD453" i="22"/>
  <c r="AC453" i="22"/>
  <c r="V453" i="22"/>
  <c r="AV453" i="22" s="1"/>
  <c r="U453" i="22"/>
  <c r="T453" i="22"/>
  <c r="AT453" i="22" s="1"/>
  <c r="S453" i="22"/>
  <c r="R453" i="22"/>
  <c r="AR453" i="22" s="1"/>
  <c r="Q453" i="22"/>
  <c r="P453" i="22"/>
  <c r="AP453" i="22" s="1"/>
  <c r="O453" i="22"/>
  <c r="N453" i="22"/>
  <c r="AN453" i="22" s="1"/>
  <c r="M453" i="22"/>
  <c r="L453" i="22"/>
  <c r="AL453" i="22" s="1"/>
  <c r="K453" i="22"/>
  <c r="J453" i="22"/>
  <c r="AJ453" i="22" s="1"/>
  <c r="D453" i="22"/>
  <c r="C453" i="22"/>
  <c r="V452" i="22"/>
  <c r="U452" i="22"/>
  <c r="T452" i="22"/>
  <c r="S452" i="22"/>
  <c r="R452" i="22"/>
  <c r="Q452" i="22"/>
  <c r="P452" i="22"/>
  <c r="O452" i="22"/>
  <c r="N452" i="22"/>
  <c r="M452" i="22"/>
  <c r="L452" i="22"/>
  <c r="K452" i="22"/>
  <c r="J452" i="22"/>
  <c r="AT451" i="22"/>
  <c r="AR451" i="22"/>
  <c r="AP451" i="22"/>
  <c r="AN451" i="22"/>
  <c r="AL451" i="22"/>
  <c r="AJ451" i="22"/>
  <c r="AD451" i="22"/>
  <c r="V451" i="22"/>
  <c r="AV451" i="22" s="1"/>
  <c r="U451" i="22"/>
  <c r="AU451" i="22" s="1"/>
  <c r="T451" i="22"/>
  <c r="S451" i="22"/>
  <c r="AS451" i="22" s="1"/>
  <c r="R451" i="22"/>
  <c r="Q451" i="22"/>
  <c r="AQ451" i="22" s="1"/>
  <c r="P451" i="22"/>
  <c r="O451" i="22"/>
  <c r="AO451" i="22" s="1"/>
  <c r="N451" i="22"/>
  <c r="M451" i="22"/>
  <c r="AM451" i="22" s="1"/>
  <c r="L451" i="22"/>
  <c r="K451" i="22"/>
  <c r="AK451" i="22" s="1"/>
  <c r="J451" i="22"/>
  <c r="D451" i="22"/>
  <c r="C451" i="22"/>
  <c r="AC451" i="22" s="1"/>
  <c r="V450" i="22"/>
  <c r="U450" i="22"/>
  <c r="T450" i="22"/>
  <c r="S450" i="22"/>
  <c r="R450" i="22"/>
  <c r="Q450" i="22"/>
  <c r="P450" i="22"/>
  <c r="O450" i="22"/>
  <c r="N450" i="22"/>
  <c r="M450" i="22"/>
  <c r="L450" i="22"/>
  <c r="K450" i="22"/>
  <c r="J450" i="22"/>
  <c r="AU449" i="22"/>
  <c r="AS449" i="22"/>
  <c r="AQ449" i="22"/>
  <c r="AO449" i="22"/>
  <c r="AM449" i="22"/>
  <c r="AK449" i="22"/>
  <c r="AD449" i="22"/>
  <c r="V449" i="22"/>
  <c r="AV449" i="22" s="1"/>
  <c r="U449" i="22"/>
  <c r="T449" i="22"/>
  <c r="AT449" i="22" s="1"/>
  <c r="S449" i="22"/>
  <c r="R449" i="22"/>
  <c r="AR449" i="22" s="1"/>
  <c r="Q449" i="22"/>
  <c r="P449" i="22"/>
  <c r="AP449" i="22" s="1"/>
  <c r="O449" i="22"/>
  <c r="N449" i="22"/>
  <c r="AN449" i="22" s="1"/>
  <c r="M449" i="22"/>
  <c r="L449" i="22"/>
  <c r="AL449" i="22" s="1"/>
  <c r="K449" i="22"/>
  <c r="J449" i="22"/>
  <c r="AJ449" i="22" s="1"/>
  <c r="D449" i="22"/>
  <c r="C449" i="22"/>
  <c r="AC449" i="22" s="1"/>
  <c r="V448" i="22"/>
  <c r="U448" i="22"/>
  <c r="T448" i="22"/>
  <c r="S448" i="22"/>
  <c r="R448" i="22"/>
  <c r="Q448" i="22"/>
  <c r="P448" i="22"/>
  <c r="O448" i="22"/>
  <c r="N448" i="22"/>
  <c r="M448" i="22"/>
  <c r="L448" i="22"/>
  <c r="K448" i="22"/>
  <c r="J448" i="22"/>
  <c r="AU447" i="22"/>
  <c r="AS447" i="22"/>
  <c r="AQ447" i="22"/>
  <c r="AO447" i="22"/>
  <c r="AM447" i="22"/>
  <c r="AK447" i="22"/>
  <c r="AD447" i="22"/>
  <c r="AC447" i="22"/>
  <c r="V447" i="22"/>
  <c r="AV447" i="22" s="1"/>
  <c r="U447" i="22"/>
  <c r="T447" i="22"/>
  <c r="AT447" i="22" s="1"/>
  <c r="S447" i="22"/>
  <c r="R447" i="22"/>
  <c r="AR447" i="22" s="1"/>
  <c r="Q447" i="22"/>
  <c r="P447" i="22"/>
  <c r="AP447" i="22" s="1"/>
  <c r="O447" i="22"/>
  <c r="N447" i="22"/>
  <c r="AN447" i="22" s="1"/>
  <c r="M447" i="22"/>
  <c r="L447" i="22"/>
  <c r="AL447" i="22" s="1"/>
  <c r="K447" i="22"/>
  <c r="J447" i="22"/>
  <c r="AJ447" i="22" s="1"/>
  <c r="D447" i="22"/>
  <c r="C447" i="22"/>
  <c r="V446" i="22"/>
  <c r="U446" i="22"/>
  <c r="T446" i="22"/>
  <c r="S446" i="22"/>
  <c r="R446" i="22"/>
  <c r="Q446" i="22"/>
  <c r="P446" i="22"/>
  <c r="O446" i="22"/>
  <c r="N446" i="22"/>
  <c r="M446" i="22"/>
  <c r="L446" i="22"/>
  <c r="K446" i="22"/>
  <c r="J446" i="22"/>
  <c r="AV445" i="22"/>
  <c r="AT445" i="22"/>
  <c r="AR445" i="22"/>
  <c r="AP445" i="22"/>
  <c r="AN445" i="22"/>
  <c r="AL445" i="22"/>
  <c r="AJ445" i="22"/>
  <c r="AD445" i="22"/>
  <c r="V445" i="22"/>
  <c r="U445" i="22"/>
  <c r="AU445" i="22" s="1"/>
  <c r="T445" i="22"/>
  <c r="S445" i="22"/>
  <c r="AS445" i="22" s="1"/>
  <c r="R445" i="22"/>
  <c r="Q445" i="22"/>
  <c r="AQ445" i="22" s="1"/>
  <c r="P445" i="22"/>
  <c r="O445" i="22"/>
  <c r="AO445" i="22" s="1"/>
  <c r="N445" i="22"/>
  <c r="M445" i="22"/>
  <c r="AM445" i="22" s="1"/>
  <c r="L445" i="22"/>
  <c r="K445" i="22"/>
  <c r="AK445" i="22" s="1"/>
  <c r="J445" i="22"/>
  <c r="D445" i="22"/>
  <c r="C445" i="22"/>
  <c r="AC445" i="22" s="1"/>
  <c r="V444" i="22"/>
  <c r="U444" i="22"/>
  <c r="T444" i="22"/>
  <c r="S444" i="22"/>
  <c r="R444" i="22"/>
  <c r="Q444" i="22"/>
  <c r="P444" i="22"/>
  <c r="O444" i="22"/>
  <c r="N444" i="22"/>
  <c r="M444" i="22"/>
  <c r="L444" i="22"/>
  <c r="K444" i="22"/>
  <c r="J444" i="22"/>
  <c r="AU443" i="22"/>
  <c r="AS443" i="22"/>
  <c r="AQ443" i="22"/>
  <c r="AO443" i="22"/>
  <c r="AM443" i="22"/>
  <c r="AK443" i="22"/>
  <c r="AD443" i="22"/>
  <c r="AC443" i="22"/>
  <c r="V443" i="22"/>
  <c r="AV443" i="22" s="1"/>
  <c r="U443" i="22"/>
  <c r="T443" i="22"/>
  <c r="AT443" i="22" s="1"/>
  <c r="S443" i="22"/>
  <c r="R443" i="22"/>
  <c r="AR443" i="22" s="1"/>
  <c r="Q443" i="22"/>
  <c r="P443" i="22"/>
  <c r="AP443" i="22" s="1"/>
  <c r="O443" i="22"/>
  <c r="N443" i="22"/>
  <c r="AN443" i="22" s="1"/>
  <c r="M443" i="22"/>
  <c r="L443" i="22"/>
  <c r="AL443" i="22" s="1"/>
  <c r="K443" i="22"/>
  <c r="J443" i="22"/>
  <c r="AJ443" i="22" s="1"/>
  <c r="D443" i="22"/>
  <c r="C443" i="22"/>
  <c r="V442" i="22"/>
  <c r="U442" i="22"/>
  <c r="T442" i="22"/>
  <c r="S442" i="22"/>
  <c r="R442" i="22"/>
  <c r="Q442" i="22"/>
  <c r="P442" i="22"/>
  <c r="O442" i="22"/>
  <c r="N442" i="22"/>
  <c r="M442" i="22"/>
  <c r="L442" i="22"/>
  <c r="K442" i="22"/>
  <c r="J442" i="22"/>
  <c r="AT441" i="22"/>
  <c r="AR441" i="22"/>
  <c r="AP441" i="22"/>
  <c r="AN441" i="22"/>
  <c r="AL441" i="22"/>
  <c r="AJ441" i="22"/>
  <c r="AD441" i="22"/>
  <c r="V441" i="22"/>
  <c r="AV441" i="22" s="1"/>
  <c r="U441" i="22"/>
  <c r="AU441" i="22" s="1"/>
  <c r="T441" i="22"/>
  <c r="S441" i="22"/>
  <c r="AS441" i="22" s="1"/>
  <c r="R441" i="22"/>
  <c r="Q441" i="22"/>
  <c r="AQ441" i="22" s="1"/>
  <c r="P441" i="22"/>
  <c r="O441" i="22"/>
  <c r="AO441" i="22" s="1"/>
  <c r="N441" i="22"/>
  <c r="M441" i="22"/>
  <c r="AM441" i="22" s="1"/>
  <c r="L441" i="22"/>
  <c r="K441" i="22"/>
  <c r="AK441" i="22" s="1"/>
  <c r="J441" i="22"/>
  <c r="D441" i="22"/>
  <c r="C441" i="22"/>
  <c r="AC441" i="22" s="1"/>
  <c r="V440" i="22"/>
  <c r="U440" i="22"/>
  <c r="T440" i="22"/>
  <c r="S440" i="22"/>
  <c r="R440" i="22"/>
  <c r="Q440" i="22"/>
  <c r="P440" i="22"/>
  <c r="O440" i="22"/>
  <c r="N440" i="22"/>
  <c r="M440" i="22"/>
  <c r="L440" i="22"/>
  <c r="K440" i="22"/>
  <c r="J440" i="22"/>
  <c r="AU439" i="22"/>
  <c r="AS439" i="22"/>
  <c r="AQ439" i="22"/>
  <c r="AO439" i="22"/>
  <c r="AM439" i="22"/>
  <c r="AK439" i="22"/>
  <c r="AD439" i="22"/>
  <c r="AC439" i="22"/>
  <c r="V439" i="22"/>
  <c r="AV439" i="22" s="1"/>
  <c r="U439" i="22"/>
  <c r="T439" i="22"/>
  <c r="AT439" i="22" s="1"/>
  <c r="S439" i="22"/>
  <c r="R439" i="22"/>
  <c r="AR439" i="22" s="1"/>
  <c r="Q439" i="22"/>
  <c r="P439" i="22"/>
  <c r="AP439" i="22" s="1"/>
  <c r="O439" i="22"/>
  <c r="N439" i="22"/>
  <c r="AN439" i="22" s="1"/>
  <c r="M439" i="22"/>
  <c r="L439" i="22"/>
  <c r="AL439" i="22" s="1"/>
  <c r="K439" i="22"/>
  <c r="J439" i="22"/>
  <c r="AJ439" i="22" s="1"/>
  <c r="D439" i="22"/>
  <c r="C439" i="22"/>
  <c r="V438" i="22"/>
  <c r="U438" i="22"/>
  <c r="T438" i="22"/>
  <c r="S438" i="22"/>
  <c r="R438" i="22"/>
  <c r="Q438" i="22"/>
  <c r="P438" i="22"/>
  <c r="O438" i="22"/>
  <c r="N438" i="22"/>
  <c r="M438" i="22"/>
  <c r="L438" i="22"/>
  <c r="K438" i="22"/>
  <c r="J438" i="22"/>
  <c r="AV437" i="22"/>
  <c r="AT437" i="22"/>
  <c r="AR437" i="22"/>
  <c r="AP437" i="22"/>
  <c r="AN437" i="22"/>
  <c r="AL437" i="22"/>
  <c r="AJ437" i="22"/>
  <c r="AD437" i="22"/>
  <c r="V437" i="22"/>
  <c r="U437" i="22"/>
  <c r="AU437" i="22" s="1"/>
  <c r="T437" i="22"/>
  <c r="S437" i="22"/>
  <c r="AS437" i="22" s="1"/>
  <c r="R437" i="22"/>
  <c r="Q437" i="22"/>
  <c r="AQ437" i="22" s="1"/>
  <c r="P437" i="22"/>
  <c r="O437" i="22"/>
  <c r="AO437" i="22" s="1"/>
  <c r="N437" i="22"/>
  <c r="M437" i="22"/>
  <c r="AM437" i="22" s="1"/>
  <c r="L437" i="22"/>
  <c r="K437" i="22"/>
  <c r="AK437" i="22" s="1"/>
  <c r="J437" i="22"/>
  <c r="D437" i="22"/>
  <c r="C437" i="22"/>
  <c r="AC437" i="22" s="1"/>
  <c r="V436" i="22"/>
  <c r="U436" i="22"/>
  <c r="T436" i="22"/>
  <c r="S436" i="22"/>
  <c r="R436" i="22"/>
  <c r="Q436" i="22"/>
  <c r="P436" i="22"/>
  <c r="O436" i="22"/>
  <c r="N436" i="22"/>
  <c r="M436" i="22"/>
  <c r="L436" i="22"/>
  <c r="K436" i="22"/>
  <c r="J436" i="22"/>
  <c r="AU435" i="22"/>
  <c r="AS435" i="22"/>
  <c r="AQ435" i="22"/>
  <c r="AO435" i="22"/>
  <c r="AM435" i="22"/>
  <c r="AK435" i="22"/>
  <c r="AD435" i="22"/>
  <c r="AC435" i="22"/>
  <c r="V435" i="22"/>
  <c r="AV435" i="22" s="1"/>
  <c r="U435" i="22"/>
  <c r="T435" i="22"/>
  <c r="AT435" i="22" s="1"/>
  <c r="S435" i="22"/>
  <c r="R435" i="22"/>
  <c r="AR435" i="22" s="1"/>
  <c r="Q435" i="22"/>
  <c r="P435" i="22"/>
  <c r="AP435" i="22" s="1"/>
  <c r="O435" i="22"/>
  <c r="N435" i="22"/>
  <c r="AN435" i="22" s="1"/>
  <c r="M435" i="22"/>
  <c r="L435" i="22"/>
  <c r="AL435" i="22" s="1"/>
  <c r="K435" i="22"/>
  <c r="J435" i="22"/>
  <c r="AJ435" i="22" s="1"/>
  <c r="D435" i="22"/>
  <c r="C435" i="22"/>
  <c r="V434" i="22"/>
  <c r="U434" i="22"/>
  <c r="T434" i="22"/>
  <c r="S434" i="22"/>
  <c r="R434" i="22"/>
  <c r="Q434" i="22"/>
  <c r="P434" i="22"/>
  <c r="O434" i="22"/>
  <c r="N434" i="22"/>
  <c r="M434" i="22"/>
  <c r="L434" i="22"/>
  <c r="K434" i="22"/>
  <c r="J434" i="22"/>
  <c r="AV433" i="22"/>
  <c r="AT433" i="22"/>
  <c r="AR433" i="22"/>
  <c r="AP433" i="22"/>
  <c r="AN433" i="22"/>
  <c r="AL433" i="22"/>
  <c r="AJ433" i="22"/>
  <c r="AD433" i="22"/>
  <c r="V433" i="22"/>
  <c r="U433" i="22"/>
  <c r="AU433" i="22" s="1"/>
  <c r="T433" i="22"/>
  <c r="S433" i="22"/>
  <c r="AS433" i="22" s="1"/>
  <c r="R433" i="22"/>
  <c r="Q433" i="22"/>
  <c r="AQ433" i="22" s="1"/>
  <c r="P433" i="22"/>
  <c r="O433" i="22"/>
  <c r="AO433" i="22" s="1"/>
  <c r="N433" i="22"/>
  <c r="M433" i="22"/>
  <c r="AM433" i="22" s="1"/>
  <c r="L433" i="22"/>
  <c r="K433" i="22"/>
  <c r="AK433" i="22" s="1"/>
  <c r="J433" i="22"/>
  <c r="D433" i="22"/>
  <c r="C433" i="22"/>
  <c r="AC433" i="22" s="1"/>
  <c r="V432" i="22"/>
  <c r="U432" i="22"/>
  <c r="T432" i="22"/>
  <c r="S432" i="22"/>
  <c r="R432" i="22"/>
  <c r="Q432" i="22"/>
  <c r="P432" i="22"/>
  <c r="O432" i="22"/>
  <c r="N432" i="22"/>
  <c r="M432" i="22"/>
  <c r="L432" i="22"/>
  <c r="K432" i="22"/>
  <c r="J432" i="22"/>
  <c r="AU431" i="22"/>
  <c r="AS431" i="22"/>
  <c r="AQ431" i="22"/>
  <c r="AO431" i="22"/>
  <c r="AM431" i="22"/>
  <c r="AK431" i="22"/>
  <c r="AD431" i="22"/>
  <c r="AC431" i="22"/>
  <c r="V431" i="22"/>
  <c r="AV431" i="22" s="1"/>
  <c r="U431" i="22"/>
  <c r="T431" i="22"/>
  <c r="AT431" i="22" s="1"/>
  <c r="S431" i="22"/>
  <c r="R431" i="22"/>
  <c r="AR431" i="22" s="1"/>
  <c r="Q431" i="22"/>
  <c r="P431" i="22"/>
  <c r="AP431" i="22" s="1"/>
  <c r="O431" i="22"/>
  <c r="N431" i="22"/>
  <c r="AN431" i="22" s="1"/>
  <c r="M431" i="22"/>
  <c r="L431" i="22"/>
  <c r="AL431" i="22" s="1"/>
  <c r="K431" i="22"/>
  <c r="J431" i="22"/>
  <c r="AJ431" i="22" s="1"/>
  <c r="D431" i="22"/>
  <c r="C431" i="22"/>
  <c r="V430" i="22"/>
  <c r="U430" i="22"/>
  <c r="T430" i="22"/>
  <c r="S430" i="22"/>
  <c r="R430" i="22"/>
  <c r="Q430" i="22"/>
  <c r="P430" i="22"/>
  <c r="O430" i="22"/>
  <c r="N430" i="22"/>
  <c r="M430" i="22"/>
  <c r="L430" i="22"/>
  <c r="K430" i="22"/>
  <c r="J430" i="22"/>
  <c r="AT429" i="22"/>
  <c r="AR429" i="22"/>
  <c r="AP429" i="22"/>
  <c r="AN429" i="22"/>
  <c r="AL429" i="22"/>
  <c r="AJ429" i="22"/>
  <c r="AD429" i="22"/>
  <c r="V429" i="22"/>
  <c r="AV429" i="22" s="1"/>
  <c r="U429" i="22"/>
  <c r="AU429" i="22" s="1"/>
  <c r="T429" i="22"/>
  <c r="S429" i="22"/>
  <c r="AS429" i="22" s="1"/>
  <c r="R429" i="22"/>
  <c r="Q429" i="22"/>
  <c r="AQ429" i="22" s="1"/>
  <c r="P429" i="22"/>
  <c r="O429" i="22"/>
  <c r="AO429" i="22" s="1"/>
  <c r="N429" i="22"/>
  <c r="M429" i="22"/>
  <c r="AM429" i="22" s="1"/>
  <c r="L429" i="22"/>
  <c r="K429" i="22"/>
  <c r="AK429" i="22" s="1"/>
  <c r="J429" i="22"/>
  <c r="D429" i="22"/>
  <c r="C429" i="22"/>
  <c r="AC429" i="22" s="1"/>
  <c r="V428" i="22"/>
  <c r="U428" i="22"/>
  <c r="T428" i="22"/>
  <c r="S428" i="22"/>
  <c r="R428" i="22"/>
  <c r="Q428" i="22"/>
  <c r="P428" i="22"/>
  <c r="O428" i="22"/>
  <c r="N428" i="22"/>
  <c r="M428" i="22"/>
  <c r="L428" i="22"/>
  <c r="K428" i="22"/>
  <c r="J428" i="22"/>
  <c r="AU427" i="22"/>
  <c r="AS427" i="22"/>
  <c r="AQ427" i="22"/>
  <c r="AO427" i="22"/>
  <c r="AM427" i="22"/>
  <c r="AK427" i="22"/>
  <c r="AD427" i="22"/>
  <c r="AC427" i="22"/>
  <c r="V427" i="22"/>
  <c r="AV427" i="22" s="1"/>
  <c r="U427" i="22"/>
  <c r="T427" i="22"/>
  <c r="AT427" i="22" s="1"/>
  <c r="S427" i="22"/>
  <c r="R427" i="22"/>
  <c r="AR427" i="22" s="1"/>
  <c r="Q427" i="22"/>
  <c r="P427" i="22"/>
  <c r="AP427" i="22" s="1"/>
  <c r="O427" i="22"/>
  <c r="N427" i="22"/>
  <c r="AN427" i="22" s="1"/>
  <c r="M427" i="22"/>
  <c r="L427" i="22"/>
  <c r="AL427" i="22" s="1"/>
  <c r="K427" i="22"/>
  <c r="J427" i="22"/>
  <c r="AJ427" i="22" s="1"/>
  <c r="D427" i="22"/>
  <c r="C427" i="22"/>
  <c r="V426" i="22"/>
  <c r="U426" i="22"/>
  <c r="T426" i="22"/>
  <c r="S426" i="22"/>
  <c r="R426" i="22"/>
  <c r="Q426" i="22"/>
  <c r="P426" i="22"/>
  <c r="O426" i="22"/>
  <c r="N426" i="22"/>
  <c r="M426" i="22"/>
  <c r="L426" i="22"/>
  <c r="K426" i="22"/>
  <c r="J426" i="22"/>
  <c r="AV425" i="22"/>
  <c r="AT425" i="22"/>
  <c r="AR425" i="22"/>
  <c r="AP425" i="22"/>
  <c r="AN425" i="22"/>
  <c r="AL425" i="22"/>
  <c r="AJ425" i="22"/>
  <c r="AD425" i="22"/>
  <c r="V425" i="22"/>
  <c r="U425" i="22"/>
  <c r="AU425" i="22" s="1"/>
  <c r="T425" i="22"/>
  <c r="S425" i="22"/>
  <c r="AS425" i="22" s="1"/>
  <c r="R425" i="22"/>
  <c r="Q425" i="22"/>
  <c r="AQ425" i="22" s="1"/>
  <c r="P425" i="22"/>
  <c r="O425" i="22"/>
  <c r="AO425" i="22" s="1"/>
  <c r="N425" i="22"/>
  <c r="M425" i="22"/>
  <c r="AM425" i="22" s="1"/>
  <c r="L425" i="22"/>
  <c r="K425" i="22"/>
  <c r="AK425" i="22" s="1"/>
  <c r="J425" i="22"/>
  <c r="D425" i="22"/>
  <c r="C425" i="22"/>
  <c r="AC425" i="22" s="1"/>
  <c r="V424" i="22"/>
  <c r="U424" i="22"/>
  <c r="T424" i="22"/>
  <c r="S424" i="22"/>
  <c r="R424" i="22"/>
  <c r="Q424" i="22"/>
  <c r="P424" i="22"/>
  <c r="O424" i="22"/>
  <c r="N424" i="22"/>
  <c r="M424" i="22"/>
  <c r="L424" i="22"/>
  <c r="K424" i="22"/>
  <c r="J424" i="22"/>
  <c r="AU423" i="22"/>
  <c r="AS423" i="22"/>
  <c r="AQ423" i="22"/>
  <c r="AO423" i="22"/>
  <c r="AM423" i="22"/>
  <c r="AK423" i="22"/>
  <c r="AD423" i="22"/>
  <c r="AC423" i="22"/>
  <c r="V423" i="22"/>
  <c r="AV423" i="22" s="1"/>
  <c r="U423" i="22"/>
  <c r="T423" i="22"/>
  <c r="AT423" i="22" s="1"/>
  <c r="S423" i="22"/>
  <c r="R423" i="22"/>
  <c r="AR423" i="22" s="1"/>
  <c r="Q423" i="22"/>
  <c r="P423" i="22"/>
  <c r="AP423" i="22" s="1"/>
  <c r="O423" i="22"/>
  <c r="N423" i="22"/>
  <c r="AN423" i="22" s="1"/>
  <c r="M423" i="22"/>
  <c r="L423" i="22"/>
  <c r="AL423" i="22" s="1"/>
  <c r="K423" i="22"/>
  <c r="J423" i="22"/>
  <c r="AJ423" i="22" s="1"/>
  <c r="D423" i="22"/>
  <c r="C423" i="22"/>
  <c r="V422" i="22"/>
  <c r="U422" i="22"/>
  <c r="T422" i="22"/>
  <c r="S422" i="22"/>
  <c r="R422" i="22"/>
  <c r="Q422" i="22"/>
  <c r="P422" i="22"/>
  <c r="O422" i="22"/>
  <c r="N422" i="22"/>
  <c r="M422" i="22"/>
  <c r="L422" i="22"/>
  <c r="K422" i="22"/>
  <c r="J422" i="22"/>
  <c r="AV421" i="22"/>
  <c r="AT421" i="22"/>
  <c r="AR421" i="22"/>
  <c r="AP421" i="22"/>
  <c r="AN421" i="22"/>
  <c r="AL421" i="22"/>
  <c r="AJ421" i="22"/>
  <c r="AD421" i="22"/>
  <c r="V421" i="22"/>
  <c r="U421" i="22"/>
  <c r="AU421" i="22" s="1"/>
  <c r="T421" i="22"/>
  <c r="S421" i="22"/>
  <c r="AS421" i="22" s="1"/>
  <c r="R421" i="22"/>
  <c r="Q421" i="22"/>
  <c r="AQ421" i="22" s="1"/>
  <c r="P421" i="22"/>
  <c r="O421" i="22"/>
  <c r="AO421" i="22" s="1"/>
  <c r="N421" i="22"/>
  <c r="M421" i="22"/>
  <c r="AM421" i="22" s="1"/>
  <c r="L421" i="22"/>
  <c r="K421" i="22"/>
  <c r="AK421" i="22" s="1"/>
  <c r="J421" i="22"/>
  <c r="D421" i="22"/>
  <c r="C421" i="22"/>
  <c r="AC421" i="22" s="1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AU419" i="22"/>
  <c r="AS419" i="22"/>
  <c r="AQ419" i="22"/>
  <c r="AO419" i="22"/>
  <c r="AM419" i="22"/>
  <c r="AK419" i="22"/>
  <c r="AD419" i="22"/>
  <c r="AC419" i="22"/>
  <c r="V419" i="22"/>
  <c r="AV419" i="22" s="1"/>
  <c r="U419" i="22"/>
  <c r="T419" i="22"/>
  <c r="AT419" i="22" s="1"/>
  <c r="S419" i="22"/>
  <c r="R419" i="22"/>
  <c r="AR419" i="22" s="1"/>
  <c r="Q419" i="22"/>
  <c r="P419" i="22"/>
  <c r="AP419" i="22" s="1"/>
  <c r="O419" i="22"/>
  <c r="N419" i="22"/>
  <c r="AN419" i="22" s="1"/>
  <c r="M419" i="22"/>
  <c r="L419" i="22"/>
  <c r="AL419" i="22" s="1"/>
  <c r="K419" i="22"/>
  <c r="J419" i="22"/>
  <c r="AJ419" i="22" s="1"/>
  <c r="D419" i="22"/>
  <c r="C419" i="22"/>
  <c r="V418" i="22"/>
  <c r="U418" i="22"/>
  <c r="T418" i="22"/>
  <c r="S418" i="22"/>
  <c r="R418" i="22"/>
  <c r="Q418" i="22"/>
  <c r="P418" i="22"/>
  <c r="O418" i="22"/>
  <c r="N418" i="22"/>
  <c r="M418" i="22"/>
  <c r="L418" i="22"/>
  <c r="K418" i="22"/>
  <c r="J418" i="22"/>
  <c r="AV417" i="22"/>
  <c r="AT417" i="22"/>
  <c r="AR417" i="22"/>
  <c r="AP417" i="22"/>
  <c r="AN417" i="22"/>
  <c r="AL417" i="22"/>
  <c r="AJ417" i="22"/>
  <c r="AD417" i="22"/>
  <c r="V417" i="22"/>
  <c r="U417" i="22"/>
  <c r="AU417" i="22" s="1"/>
  <c r="T417" i="22"/>
  <c r="S417" i="22"/>
  <c r="AS417" i="22" s="1"/>
  <c r="R417" i="22"/>
  <c r="Q417" i="22"/>
  <c r="AQ417" i="22" s="1"/>
  <c r="P417" i="22"/>
  <c r="O417" i="22"/>
  <c r="AO417" i="22" s="1"/>
  <c r="N417" i="22"/>
  <c r="M417" i="22"/>
  <c r="AM417" i="22" s="1"/>
  <c r="L417" i="22"/>
  <c r="K417" i="22"/>
  <c r="AK417" i="22" s="1"/>
  <c r="J417" i="22"/>
  <c r="D417" i="22"/>
  <c r="C417" i="22"/>
  <c r="AC417" i="22" s="1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AU415" i="22"/>
  <c r="AS415" i="22"/>
  <c r="AQ415" i="22"/>
  <c r="AO415" i="22"/>
  <c r="AM415" i="22"/>
  <c r="AK415" i="22"/>
  <c r="AD415" i="22"/>
  <c r="AC415" i="22"/>
  <c r="V415" i="22"/>
  <c r="AV415" i="22" s="1"/>
  <c r="U415" i="22"/>
  <c r="T415" i="22"/>
  <c r="AT415" i="22" s="1"/>
  <c r="S415" i="22"/>
  <c r="R415" i="22"/>
  <c r="AR415" i="22" s="1"/>
  <c r="Q415" i="22"/>
  <c r="P415" i="22"/>
  <c r="AP415" i="22" s="1"/>
  <c r="O415" i="22"/>
  <c r="N415" i="22"/>
  <c r="AN415" i="22" s="1"/>
  <c r="M415" i="22"/>
  <c r="L415" i="22"/>
  <c r="AL415" i="22" s="1"/>
  <c r="K415" i="22"/>
  <c r="J415" i="22"/>
  <c r="AJ415" i="22" s="1"/>
  <c r="D415" i="22"/>
  <c r="C415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AV413" i="22"/>
  <c r="AT413" i="22"/>
  <c r="AR413" i="22"/>
  <c r="AP413" i="22"/>
  <c r="AN413" i="22"/>
  <c r="AL413" i="22"/>
  <c r="AJ413" i="22"/>
  <c r="AD413" i="22"/>
  <c r="V413" i="22"/>
  <c r="U413" i="22"/>
  <c r="AU413" i="22" s="1"/>
  <c r="T413" i="22"/>
  <c r="S413" i="22"/>
  <c r="AS413" i="22" s="1"/>
  <c r="R413" i="22"/>
  <c r="Q413" i="22"/>
  <c r="AQ413" i="22" s="1"/>
  <c r="P413" i="22"/>
  <c r="O413" i="22"/>
  <c r="AO413" i="22" s="1"/>
  <c r="N413" i="22"/>
  <c r="M413" i="22"/>
  <c r="AM413" i="22" s="1"/>
  <c r="L413" i="22"/>
  <c r="K413" i="22"/>
  <c r="AK413" i="22" s="1"/>
  <c r="J413" i="22"/>
  <c r="D413" i="22"/>
  <c r="C413" i="22"/>
  <c r="AC413" i="22" s="1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AU411" i="22"/>
  <c r="AS411" i="22"/>
  <c r="AQ411" i="22"/>
  <c r="AO411" i="22"/>
  <c r="AM411" i="22"/>
  <c r="AK411" i="22"/>
  <c r="AD411" i="22"/>
  <c r="AC411" i="22"/>
  <c r="V411" i="22"/>
  <c r="AV411" i="22" s="1"/>
  <c r="U411" i="22"/>
  <c r="T411" i="22"/>
  <c r="AT411" i="22" s="1"/>
  <c r="S411" i="22"/>
  <c r="R411" i="22"/>
  <c r="AR411" i="22" s="1"/>
  <c r="Q411" i="22"/>
  <c r="P411" i="22"/>
  <c r="AP411" i="22" s="1"/>
  <c r="O411" i="22"/>
  <c r="N411" i="22"/>
  <c r="AN411" i="22" s="1"/>
  <c r="M411" i="22"/>
  <c r="L411" i="22"/>
  <c r="AL411" i="22" s="1"/>
  <c r="K411" i="22"/>
  <c r="J411" i="22"/>
  <c r="AJ411" i="22" s="1"/>
  <c r="D411" i="22"/>
  <c r="C411" i="22"/>
  <c r="V410" i="22"/>
  <c r="U410" i="22"/>
  <c r="T410" i="22"/>
  <c r="S410" i="22"/>
  <c r="R410" i="22"/>
  <c r="Q410" i="22"/>
  <c r="P410" i="22"/>
  <c r="O410" i="22"/>
  <c r="N410" i="22"/>
  <c r="M410" i="22"/>
  <c r="L410" i="22"/>
  <c r="K410" i="22"/>
  <c r="J410" i="22"/>
  <c r="AV409" i="22"/>
  <c r="AT409" i="22"/>
  <c r="AR409" i="22"/>
  <c r="AP409" i="22"/>
  <c r="AN409" i="22"/>
  <c r="AL409" i="22"/>
  <c r="AJ409" i="22"/>
  <c r="AD409" i="22"/>
  <c r="V409" i="22"/>
  <c r="U409" i="22"/>
  <c r="AU409" i="22" s="1"/>
  <c r="T409" i="22"/>
  <c r="S409" i="22"/>
  <c r="AS409" i="22" s="1"/>
  <c r="R409" i="22"/>
  <c r="Q409" i="22"/>
  <c r="AQ409" i="22" s="1"/>
  <c r="P409" i="22"/>
  <c r="O409" i="22"/>
  <c r="AO409" i="22" s="1"/>
  <c r="N409" i="22"/>
  <c r="M409" i="22"/>
  <c r="AM409" i="22" s="1"/>
  <c r="L409" i="22"/>
  <c r="K409" i="22"/>
  <c r="AK409" i="22" s="1"/>
  <c r="J409" i="22"/>
  <c r="D409" i="22"/>
  <c r="C409" i="22"/>
  <c r="AC409" i="22" s="1"/>
  <c r="V408" i="22"/>
  <c r="U408" i="22"/>
  <c r="T408" i="22"/>
  <c r="S408" i="22"/>
  <c r="R408" i="22"/>
  <c r="Q408" i="22"/>
  <c r="P408" i="22"/>
  <c r="O408" i="22"/>
  <c r="N408" i="22"/>
  <c r="M408" i="22"/>
  <c r="L408" i="22"/>
  <c r="K408" i="22"/>
  <c r="J408" i="22"/>
  <c r="AU407" i="22"/>
  <c r="AS407" i="22"/>
  <c r="AQ407" i="22"/>
  <c r="AO407" i="22"/>
  <c r="AM407" i="22"/>
  <c r="AK407" i="22"/>
  <c r="AD407" i="22"/>
  <c r="AC407" i="22"/>
  <c r="V407" i="22"/>
  <c r="AV407" i="22" s="1"/>
  <c r="U407" i="22"/>
  <c r="T407" i="22"/>
  <c r="AT407" i="22" s="1"/>
  <c r="S407" i="22"/>
  <c r="R407" i="22"/>
  <c r="AR407" i="22" s="1"/>
  <c r="Q407" i="22"/>
  <c r="P407" i="22"/>
  <c r="AP407" i="22" s="1"/>
  <c r="O407" i="22"/>
  <c r="N407" i="22"/>
  <c r="AN407" i="22" s="1"/>
  <c r="M407" i="22"/>
  <c r="L407" i="22"/>
  <c r="AL407" i="22" s="1"/>
  <c r="K407" i="22"/>
  <c r="J407" i="22"/>
  <c r="AJ407" i="22" s="1"/>
  <c r="D407" i="22"/>
  <c r="C407" i="22"/>
  <c r="V406" i="22"/>
  <c r="U406" i="22"/>
  <c r="T406" i="22"/>
  <c r="S406" i="22"/>
  <c r="R406" i="22"/>
  <c r="Q406" i="22"/>
  <c r="P406" i="22"/>
  <c r="O406" i="22"/>
  <c r="N406" i="22"/>
  <c r="M406" i="22"/>
  <c r="L406" i="22"/>
  <c r="K406" i="22"/>
  <c r="J406" i="22"/>
  <c r="AT405" i="22"/>
  <c r="AR405" i="22"/>
  <c r="AP405" i="22"/>
  <c r="AN405" i="22"/>
  <c r="AL405" i="22"/>
  <c r="AD405" i="22"/>
  <c r="V405" i="22"/>
  <c r="AV405" i="22" s="1"/>
  <c r="U405" i="22"/>
  <c r="AU405" i="22" s="1"/>
  <c r="T405" i="22"/>
  <c r="S405" i="22"/>
  <c r="AS405" i="22" s="1"/>
  <c r="R405" i="22"/>
  <c r="Q405" i="22"/>
  <c r="AQ405" i="22" s="1"/>
  <c r="P405" i="22"/>
  <c r="O405" i="22"/>
  <c r="AO405" i="22" s="1"/>
  <c r="N405" i="22"/>
  <c r="M405" i="22"/>
  <c r="AM405" i="22" s="1"/>
  <c r="L405" i="22"/>
  <c r="K405" i="22"/>
  <c r="AK405" i="22" s="1"/>
  <c r="J405" i="22"/>
  <c r="AJ405" i="22" s="1"/>
  <c r="D405" i="22"/>
  <c r="C405" i="22"/>
  <c r="AC405" i="22" s="1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AU403" i="22"/>
  <c r="AQ403" i="22"/>
  <c r="AO403" i="22"/>
  <c r="AM403" i="22"/>
  <c r="AK403" i="22"/>
  <c r="AD403" i="22"/>
  <c r="AC403" i="22"/>
  <c r="V403" i="22"/>
  <c r="AV403" i="22" s="1"/>
  <c r="U403" i="22"/>
  <c r="T403" i="22"/>
  <c r="AT403" i="22" s="1"/>
  <c r="S403" i="22"/>
  <c r="AS403" i="22" s="1"/>
  <c r="R403" i="22"/>
  <c r="AR403" i="22" s="1"/>
  <c r="Q403" i="22"/>
  <c r="P403" i="22"/>
  <c r="AP403" i="22" s="1"/>
  <c r="O403" i="22"/>
  <c r="N403" i="22"/>
  <c r="AN403" i="22" s="1"/>
  <c r="M403" i="22"/>
  <c r="L403" i="22"/>
  <c r="AL403" i="22" s="1"/>
  <c r="K403" i="22"/>
  <c r="J403" i="22"/>
  <c r="AJ403" i="22" s="1"/>
  <c r="D403" i="22"/>
  <c r="C403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AT401" i="22"/>
  <c r="AR401" i="22"/>
  <c r="AP401" i="22"/>
  <c r="AN401" i="22"/>
  <c r="AL401" i="22"/>
  <c r="AD401" i="22"/>
  <c r="V401" i="22"/>
  <c r="AV401" i="22" s="1"/>
  <c r="U401" i="22"/>
  <c r="AU401" i="22" s="1"/>
  <c r="T401" i="22"/>
  <c r="S401" i="22"/>
  <c r="AS401" i="22" s="1"/>
  <c r="R401" i="22"/>
  <c r="Q401" i="22"/>
  <c r="AQ401" i="22" s="1"/>
  <c r="P401" i="22"/>
  <c r="O401" i="22"/>
  <c r="AO401" i="22" s="1"/>
  <c r="N401" i="22"/>
  <c r="M401" i="22"/>
  <c r="AM401" i="22" s="1"/>
  <c r="L401" i="22"/>
  <c r="K401" i="22"/>
  <c r="AK401" i="22" s="1"/>
  <c r="J401" i="22"/>
  <c r="AJ401" i="22" s="1"/>
  <c r="D401" i="22"/>
  <c r="C401" i="22"/>
  <c r="AC401" i="22" s="1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AU399" i="22"/>
  <c r="AS399" i="22"/>
  <c r="AQ399" i="22"/>
  <c r="AO399" i="22"/>
  <c r="AM399" i="22"/>
  <c r="AK399" i="22"/>
  <c r="AD399" i="22"/>
  <c r="AC399" i="22"/>
  <c r="V399" i="22"/>
  <c r="AV399" i="22" s="1"/>
  <c r="U399" i="22"/>
  <c r="T399" i="22"/>
  <c r="AT399" i="22" s="1"/>
  <c r="S399" i="22"/>
  <c r="R399" i="22"/>
  <c r="AR399" i="22" s="1"/>
  <c r="Q399" i="22"/>
  <c r="P399" i="22"/>
  <c r="AP399" i="22" s="1"/>
  <c r="O399" i="22"/>
  <c r="N399" i="22"/>
  <c r="AN399" i="22" s="1"/>
  <c r="M399" i="22"/>
  <c r="L399" i="22"/>
  <c r="AL399" i="22" s="1"/>
  <c r="K399" i="22"/>
  <c r="J399" i="22"/>
  <c r="AJ399" i="22" s="1"/>
  <c r="D399" i="22"/>
  <c r="C399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AT397" i="22"/>
  <c r="AR397" i="22"/>
  <c r="AP397" i="22"/>
  <c r="AN397" i="22"/>
  <c r="AL397" i="22"/>
  <c r="AD397" i="22"/>
  <c r="V397" i="22"/>
  <c r="AV397" i="22" s="1"/>
  <c r="U397" i="22"/>
  <c r="AU397" i="22" s="1"/>
  <c r="T397" i="22"/>
  <c r="S397" i="22"/>
  <c r="AS397" i="22" s="1"/>
  <c r="R397" i="22"/>
  <c r="Q397" i="22"/>
  <c r="AQ397" i="22" s="1"/>
  <c r="P397" i="22"/>
  <c r="O397" i="22"/>
  <c r="AO397" i="22" s="1"/>
  <c r="N397" i="22"/>
  <c r="M397" i="22"/>
  <c r="AM397" i="22" s="1"/>
  <c r="L397" i="22"/>
  <c r="K397" i="22"/>
  <c r="AK397" i="22" s="1"/>
  <c r="J397" i="22"/>
  <c r="AJ397" i="22" s="1"/>
  <c r="D397" i="22"/>
  <c r="C397" i="22"/>
  <c r="AC397" i="22" s="1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AU395" i="22"/>
  <c r="AS395" i="22"/>
  <c r="AQ395" i="22"/>
  <c r="AO395" i="22"/>
  <c r="AM395" i="22"/>
  <c r="AK395" i="22"/>
  <c r="AD395" i="22"/>
  <c r="AC395" i="22"/>
  <c r="V395" i="22"/>
  <c r="AV395" i="22" s="1"/>
  <c r="U395" i="22"/>
  <c r="T395" i="22"/>
  <c r="AT395" i="22" s="1"/>
  <c r="S395" i="22"/>
  <c r="R395" i="22"/>
  <c r="AR395" i="22" s="1"/>
  <c r="Q395" i="22"/>
  <c r="P395" i="22"/>
  <c r="AP395" i="22" s="1"/>
  <c r="O395" i="22"/>
  <c r="N395" i="22"/>
  <c r="AN395" i="22" s="1"/>
  <c r="M395" i="22"/>
  <c r="L395" i="22"/>
  <c r="AL395" i="22" s="1"/>
  <c r="K395" i="22"/>
  <c r="J395" i="22"/>
  <c r="AJ395" i="22" s="1"/>
  <c r="D395" i="22"/>
  <c r="C395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AV393" i="22"/>
  <c r="AT393" i="22"/>
  <c r="AR393" i="22"/>
  <c r="AP393" i="22"/>
  <c r="AN393" i="22"/>
  <c r="AL393" i="22"/>
  <c r="AJ393" i="22"/>
  <c r="AD393" i="22"/>
  <c r="V393" i="22"/>
  <c r="U393" i="22"/>
  <c r="AU393" i="22" s="1"/>
  <c r="T393" i="22"/>
  <c r="S393" i="22"/>
  <c r="AS393" i="22" s="1"/>
  <c r="R393" i="22"/>
  <c r="Q393" i="22"/>
  <c r="AQ393" i="22" s="1"/>
  <c r="P393" i="22"/>
  <c r="O393" i="22"/>
  <c r="AO393" i="22" s="1"/>
  <c r="N393" i="22"/>
  <c r="M393" i="22"/>
  <c r="AM393" i="22" s="1"/>
  <c r="L393" i="22"/>
  <c r="K393" i="22"/>
  <c r="AK393" i="22" s="1"/>
  <c r="J393" i="22"/>
  <c r="D393" i="22"/>
  <c r="C393" i="22"/>
  <c r="AC393" i="22" s="1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AU391" i="22"/>
  <c r="AQ391" i="22"/>
  <c r="AO391" i="22"/>
  <c r="AM391" i="22"/>
  <c r="AK391" i="22"/>
  <c r="AD391" i="22"/>
  <c r="AC391" i="22"/>
  <c r="V391" i="22"/>
  <c r="AV391" i="22" s="1"/>
  <c r="U391" i="22"/>
  <c r="T391" i="22"/>
  <c r="AT391" i="22" s="1"/>
  <c r="S391" i="22"/>
  <c r="AS391" i="22" s="1"/>
  <c r="R391" i="22"/>
  <c r="AR391" i="22" s="1"/>
  <c r="Q391" i="22"/>
  <c r="P391" i="22"/>
  <c r="AP391" i="22" s="1"/>
  <c r="O391" i="22"/>
  <c r="N391" i="22"/>
  <c r="AN391" i="22" s="1"/>
  <c r="M391" i="22"/>
  <c r="L391" i="22"/>
  <c r="AL391" i="22" s="1"/>
  <c r="K391" i="22"/>
  <c r="J391" i="22"/>
  <c r="AJ391" i="22" s="1"/>
  <c r="D391" i="22"/>
  <c r="C391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AV389" i="22"/>
  <c r="AT389" i="22"/>
  <c r="AR389" i="22"/>
  <c r="AP389" i="22"/>
  <c r="AN389" i="22"/>
  <c r="AL389" i="22"/>
  <c r="AD389" i="22"/>
  <c r="V389" i="22"/>
  <c r="U389" i="22"/>
  <c r="AU389" i="22" s="1"/>
  <c r="T389" i="22"/>
  <c r="S389" i="22"/>
  <c r="AS389" i="22" s="1"/>
  <c r="R389" i="22"/>
  <c r="Q389" i="22"/>
  <c r="AQ389" i="22" s="1"/>
  <c r="P389" i="22"/>
  <c r="O389" i="22"/>
  <c r="AO389" i="22" s="1"/>
  <c r="N389" i="22"/>
  <c r="M389" i="22"/>
  <c r="AM389" i="22" s="1"/>
  <c r="L389" i="22"/>
  <c r="K389" i="22"/>
  <c r="AK389" i="22" s="1"/>
  <c r="J389" i="22"/>
  <c r="AJ389" i="22" s="1"/>
  <c r="D389" i="22"/>
  <c r="C389" i="22"/>
  <c r="AC389" i="22" s="1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AU387" i="22"/>
  <c r="AQ387" i="22"/>
  <c r="AO387" i="22"/>
  <c r="AM387" i="22"/>
  <c r="AK387" i="22"/>
  <c r="AD387" i="22"/>
  <c r="AC387" i="22"/>
  <c r="V387" i="22"/>
  <c r="AV387" i="22" s="1"/>
  <c r="U387" i="22"/>
  <c r="T387" i="22"/>
  <c r="AT387" i="22" s="1"/>
  <c r="S387" i="22"/>
  <c r="AS387" i="22" s="1"/>
  <c r="R387" i="22"/>
  <c r="AR387" i="22" s="1"/>
  <c r="Q387" i="22"/>
  <c r="P387" i="22"/>
  <c r="AP387" i="22" s="1"/>
  <c r="O387" i="22"/>
  <c r="N387" i="22"/>
  <c r="AN387" i="22" s="1"/>
  <c r="M387" i="22"/>
  <c r="L387" i="22"/>
  <c r="AL387" i="22" s="1"/>
  <c r="K387" i="22"/>
  <c r="J387" i="22"/>
  <c r="AJ387" i="22" s="1"/>
  <c r="D387" i="22"/>
  <c r="C387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AT385" i="22"/>
  <c r="AR385" i="22"/>
  <c r="AP385" i="22"/>
  <c r="AN385" i="22"/>
  <c r="AL385" i="22"/>
  <c r="AD385" i="22"/>
  <c r="V385" i="22"/>
  <c r="AV385" i="22" s="1"/>
  <c r="U385" i="22"/>
  <c r="AU385" i="22" s="1"/>
  <c r="T385" i="22"/>
  <c r="S385" i="22"/>
  <c r="AS385" i="22" s="1"/>
  <c r="R385" i="22"/>
  <c r="Q385" i="22"/>
  <c r="AQ385" i="22" s="1"/>
  <c r="P385" i="22"/>
  <c r="O385" i="22"/>
  <c r="AO385" i="22" s="1"/>
  <c r="N385" i="22"/>
  <c r="M385" i="22"/>
  <c r="AM385" i="22" s="1"/>
  <c r="L385" i="22"/>
  <c r="K385" i="22"/>
  <c r="AK385" i="22" s="1"/>
  <c r="J385" i="22"/>
  <c r="AJ385" i="22" s="1"/>
  <c r="D385" i="22"/>
  <c r="C385" i="22"/>
  <c r="AC385" i="22" s="1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AU383" i="22"/>
  <c r="AS383" i="22"/>
  <c r="AQ383" i="22"/>
  <c r="AO383" i="22"/>
  <c r="AM383" i="22"/>
  <c r="AK383" i="22"/>
  <c r="AD383" i="22"/>
  <c r="AC383" i="22"/>
  <c r="V383" i="22"/>
  <c r="AV383" i="22" s="1"/>
  <c r="U383" i="22"/>
  <c r="T383" i="22"/>
  <c r="AT383" i="22" s="1"/>
  <c r="S383" i="22"/>
  <c r="R383" i="22"/>
  <c r="AR383" i="22" s="1"/>
  <c r="Q383" i="22"/>
  <c r="P383" i="22"/>
  <c r="AP383" i="22" s="1"/>
  <c r="O383" i="22"/>
  <c r="N383" i="22"/>
  <c r="AN383" i="22" s="1"/>
  <c r="M383" i="22"/>
  <c r="L383" i="22"/>
  <c r="AL383" i="22" s="1"/>
  <c r="K383" i="22"/>
  <c r="J383" i="22"/>
  <c r="AJ383" i="22" s="1"/>
  <c r="D383" i="22"/>
  <c r="C383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AV381" i="22"/>
  <c r="AT381" i="22"/>
  <c r="AR381" i="22"/>
  <c r="AP381" i="22"/>
  <c r="AN381" i="22"/>
  <c r="AL381" i="22"/>
  <c r="AJ381" i="22"/>
  <c r="AD381" i="22"/>
  <c r="V381" i="22"/>
  <c r="U381" i="22"/>
  <c r="AU381" i="22" s="1"/>
  <c r="T381" i="22"/>
  <c r="S381" i="22"/>
  <c r="AS381" i="22" s="1"/>
  <c r="R381" i="22"/>
  <c r="Q381" i="22"/>
  <c r="AQ381" i="22" s="1"/>
  <c r="P381" i="22"/>
  <c r="O381" i="22"/>
  <c r="AO381" i="22" s="1"/>
  <c r="N381" i="22"/>
  <c r="M381" i="22"/>
  <c r="AM381" i="22" s="1"/>
  <c r="L381" i="22"/>
  <c r="K381" i="22"/>
  <c r="AK381" i="22" s="1"/>
  <c r="J381" i="22"/>
  <c r="D381" i="22"/>
  <c r="C381" i="22"/>
  <c r="AC381" i="22" s="1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AU379" i="22"/>
  <c r="AS379" i="22"/>
  <c r="AQ379" i="22"/>
  <c r="AO379" i="22"/>
  <c r="AM379" i="22"/>
  <c r="AK379" i="22"/>
  <c r="AD379" i="22"/>
  <c r="AC379" i="22"/>
  <c r="V379" i="22"/>
  <c r="AV379" i="22" s="1"/>
  <c r="U379" i="22"/>
  <c r="T379" i="22"/>
  <c r="AT379" i="22" s="1"/>
  <c r="S379" i="22"/>
  <c r="R379" i="22"/>
  <c r="AR379" i="22" s="1"/>
  <c r="Q379" i="22"/>
  <c r="P379" i="22"/>
  <c r="AP379" i="22" s="1"/>
  <c r="O379" i="22"/>
  <c r="N379" i="22"/>
  <c r="AN379" i="22" s="1"/>
  <c r="M379" i="22"/>
  <c r="L379" i="22"/>
  <c r="AL379" i="22" s="1"/>
  <c r="K379" i="22"/>
  <c r="J379" i="22"/>
  <c r="AJ379" i="22" s="1"/>
  <c r="D379" i="22"/>
  <c r="C379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AV377" i="22"/>
  <c r="AT377" i="22"/>
  <c r="AR377" i="22"/>
  <c r="AP377" i="22"/>
  <c r="AN377" i="22"/>
  <c r="AL377" i="22"/>
  <c r="AJ377" i="22"/>
  <c r="AD377" i="22"/>
  <c r="V377" i="22"/>
  <c r="U377" i="22"/>
  <c r="AU377" i="22" s="1"/>
  <c r="T377" i="22"/>
  <c r="S377" i="22"/>
  <c r="AS377" i="22" s="1"/>
  <c r="R377" i="22"/>
  <c r="Q377" i="22"/>
  <c r="AQ377" i="22" s="1"/>
  <c r="P377" i="22"/>
  <c r="O377" i="22"/>
  <c r="AO377" i="22" s="1"/>
  <c r="N377" i="22"/>
  <c r="M377" i="22"/>
  <c r="AM377" i="22" s="1"/>
  <c r="L377" i="22"/>
  <c r="K377" i="22"/>
  <c r="AK377" i="22" s="1"/>
  <c r="J377" i="22"/>
  <c r="D377" i="22"/>
  <c r="C377" i="22"/>
  <c r="AC377" i="22" s="1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AU375" i="22"/>
  <c r="AS375" i="22"/>
  <c r="AQ375" i="22"/>
  <c r="AO375" i="22"/>
  <c r="AM375" i="22"/>
  <c r="AK375" i="22"/>
  <c r="AD375" i="22"/>
  <c r="AC375" i="22"/>
  <c r="V375" i="22"/>
  <c r="AV375" i="22" s="1"/>
  <c r="U375" i="22"/>
  <c r="T375" i="22"/>
  <c r="AT375" i="22" s="1"/>
  <c r="S375" i="22"/>
  <c r="R375" i="22"/>
  <c r="AR375" i="22" s="1"/>
  <c r="Q375" i="22"/>
  <c r="P375" i="22"/>
  <c r="AP375" i="22" s="1"/>
  <c r="O375" i="22"/>
  <c r="N375" i="22"/>
  <c r="AN375" i="22" s="1"/>
  <c r="M375" i="22"/>
  <c r="L375" i="22"/>
  <c r="AL375" i="22" s="1"/>
  <c r="K375" i="22"/>
  <c r="J375" i="22"/>
  <c r="AJ375" i="22" s="1"/>
  <c r="D375" i="22"/>
  <c r="C375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AV373" i="22"/>
  <c r="AT373" i="22"/>
  <c r="AR373" i="22"/>
  <c r="AP373" i="22"/>
  <c r="AN373" i="22"/>
  <c r="AL373" i="22"/>
  <c r="AJ373" i="22"/>
  <c r="AD373" i="22"/>
  <c r="V373" i="22"/>
  <c r="U373" i="22"/>
  <c r="AU373" i="22" s="1"/>
  <c r="T373" i="22"/>
  <c r="S373" i="22"/>
  <c r="AS373" i="22" s="1"/>
  <c r="R373" i="22"/>
  <c r="Q373" i="22"/>
  <c r="AQ373" i="22" s="1"/>
  <c r="P373" i="22"/>
  <c r="O373" i="22"/>
  <c r="AO373" i="22" s="1"/>
  <c r="N373" i="22"/>
  <c r="M373" i="22"/>
  <c r="AM373" i="22" s="1"/>
  <c r="L373" i="22"/>
  <c r="K373" i="22"/>
  <c r="AK373" i="22" s="1"/>
  <c r="J373" i="22"/>
  <c r="D373" i="22"/>
  <c r="C373" i="22"/>
  <c r="AC373" i="22" s="1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AU371" i="22"/>
  <c r="AS371" i="22"/>
  <c r="AQ371" i="22"/>
  <c r="AO371" i="22"/>
  <c r="AM371" i="22"/>
  <c r="AK371" i="22"/>
  <c r="AD371" i="22"/>
  <c r="AC371" i="22"/>
  <c r="V371" i="22"/>
  <c r="AV371" i="22" s="1"/>
  <c r="U371" i="22"/>
  <c r="T371" i="22"/>
  <c r="AT371" i="22" s="1"/>
  <c r="S371" i="22"/>
  <c r="R371" i="22"/>
  <c r="AR371" i="22" s="1"/>
  <c r="Q371" i="22"/>
  <c r="P371" i="22"/>
  <c r="AP371" i="22" s="1"/>
  <c r="O371" i="22"/>
  <c r="N371" i="22"/>
  <c r="AN371" i="22" s="1"/>
  <c r="M371" i="22"/>
  <c r="L371" i="22"/>
  <c r="AL371" i="22" s="1"/>
  <c r="K371" i="22"/>
  <c r="J371" i="22"/>
  <c r="AJ371" i="22" s="1"/>
  <c r="D371" i="22"/>
  <c r="C371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AV369" i="22"/>
  <c r="AT369" i="22"/>
  <c r="AR369" i="22"/>
  <c r="AP369" i="22"/>
  <c r="AN369" i="22"/>
  <c r="AL369" i="22"/>
  <c r="AJ369" i="22"/>
  <c r="AD369" i="22"/>
  <c r="V369" i="22"/>
  <c r="U369" i="22"/>
  <c r="AU369" i="22" s="1"/>
  <c r="T369" i="22"/>
  <c r="S369" i="22"/>
  <c r="AS369" i="22" s="1"/>
  <c r="R369" i="22"/>
  <c r="Q369" i="22"/>
  <c r="AQ369" i="22" s="1"/>
  <c r="P369" i="22"/>
  <c r="O369" i="22"/>
  <c r="AO369" i="22" s="1"/>
  <c r="N369" i="22"/>
  <c r="M369" i="22"/>
  <c r="AM369" i="22" s="1"/>
  <c r="L369" i="22"/>
  <c r="K369" i="22"/>
  <c r="AK369" i="22" s="1"/>
  <c r="J369" i="22"/>
  <c r="D369" i="22"/>
  <c r="C369" i="22"/>
  <c r="AC369" i="22" s="1"/>
  <c r="V368" i="22"/>
  <c r="U368" i="22"/>
  <c r="T368" i="22"/>
  <c r="S368" i="22"/>
  <c r="R368" i="22"/>
  <c r="Q368" i="22"/>
  <c r="P368" i="22"/>
  <c r="O368" i="22"/>
  <c r="N368" i="22"/>
  <c r="M368" i="22"/>
  <c r="L368" i="22"/>
  <c r="K368" i="22"/>
  <c r="J368" i="22"/>
  <c r="AU367" i="22"/>
  <c r="AS367" i="22"/>
  <c r="AQ367" i="22"/>
  <c r="AO367" i="22"/>
  <c r="AM367" i="22"/>
  <c r="AK367" i="22"/>
  <c r="AD367" i="22"/>
  <c r="V367" i="22"/>
  <c r="AV367" i="22" s="1"/>
  <c r="U367" i="22"/>
  <c r="T367" i="22"/>
  <c r="AT367" i="22" s="1"/>
  <c r="S367" i="22"/>
  <c r="R367" i="22"/>
  <c r="AR367" i="22" s="1"/>
  <c r="Q367" i="22"/>
  <c r="P367" i="22"/>
  <c r="AP367" i="22" s="1"/>
  <c r="O367" i="22"/>
  <c r="N367" i="22"/>
  <c r="AN367" i="22" s="1"/>
  <c r="M367" i="22"/>
  <c r="L367" i="22"/>
  <c r="AL367" i="22" s="1"/>
  <c r="K367" i="22"/>
  <c r="J367" i="22"/>
  <c r="AJ367" i="22" s="1"/>
  <c r="D367" i="22"/>
  <c r="C367" i="22"/>
  <c r="AC367" i="22" s="1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AV365" i="22"/>
  <c r="AT365" i="22"/>
  <c r="AR365" i="22"/>
  <c r="AP365" i="22"/>
  <c r="AN365" i="22"/>
  <c r="AL365" i="22"/>
  <c r="AJ365" i="22"/>
  <c r="AD365" i="22"/>
  <c r="V365" i="22"/>
  <c r="U365" i="22"/>
  <c r="AU365" i="22" s="1"/>
  <c r="T365" i="22"/>
  <c r="S365" i="22"/>
  <c r="AS365" i="22" s="1"/>
  <c r="R365" i="22"/>
  <c r="Q365" i="22"/>
  <c r="AQ365" i="22" s="1"/>
  <c r="P365" i="22"/>
  <c r="O365" i="22"/>
  <c r="AO365" i="22" s="1"/>
  <c r="N365" i="22"/>
  <c r="M365" i="22"/>
  <c r="AM365" i="22" s="1"/>
  <c r="L365" i="22"/>
  <c r="K365" i="22"/>
  <c r="AK365" i="22" s="1"/>
  <c r="J365" i="22"/>
  <c r="D365" i="22"/>
  <c r="C365" i="22"/>
  <c r="AC365" i="22" s="1"/>
  <c r="V364" i="22"/>
  <c r="U364" i="22"/>
  <c r="T364" i="22"/>
  <c r="S364" i="22"/>
  <c r="R364" i="22"/>
  <c r="Q364" i="22"/>
  <c r="P364" i="22"/>
  <c r="O364" i="22"/>
  <c r="N364" i="22"/>
  <c r="M364" i="22"/>
  <c r="L364" i="22"/>
  <c r="K364" i="22"/>
  <c r="J364" i="22"/>
  <c r="AU363" i="22"/>
  <c r="AS363" i="22"/>
  <c r="AQ363" i="22"/>
  <c r="AO363" i="22"/>
  <c r="AM363" i="22"/>
  <c r="AK363" i="22"/>
  <c r="AD363" i="22"/>
  <c r="AC363" i="22"/>
  <c r="V363" i="22"/>
  <c r="AV363" i="22" s="1"/>
  <c r="U363" i="22"/>
  <c r="T363" i="22"/>
  <c r="AT363" i="22" s="1"/>
  <c r="S363" i="22"/>
  <c r="R363" i="22"/>
  <c r="AR363" i="22" s="1"/>
  <c r="Q363" i="22"/>
  <c r="P363" i="22"/>
  <c r="AP363" i="22" s="1"/>
  <c r="O363" i="22"/>
  <c r="N363" i="22"/>
  <c r="AN363" i="22" s="1"/>
  <c r="M363" i="22"/>
  <c r="L363" i="22"/>
  <c r="AL363" i="22" s="1"/>
  <c r="K363" i="22"/>
  <c r="J363" i="22"/>
  <c r="AJ363" i="22" s="1"/>
  <c r="D363" i="22"/>
  <c r="C363" i="22"/>
  <c r="V362" i="22"/>
  <c r="U362" i="22"/>
  <c r="T362" i="22"/>
  <c r="S362" i="22"/>
  <c r="R362" i="22"/>
  <c r="Q362" i="22"/>
  <c r="P362" i="22"/>
  <c r="O362" i="22"/>
  <c r="N362" i="22"/>
  <c r="M362" i="22"/>
  <c r="L362" i="22"/>
  <c r="K362" i="22"/>
  <c r="J362" i="22"/>
  <c r="AT361" i="22"/>
  <c r="AR361" i="22"/>
  <c r="AP361" i="22"/>
  <c r="AN361" i="22"/>
  <c r="AL361" i="22"/>
  <c r="AJ361" i="22"/>
  <c r="AD361" i="22"/>
  <c r="V361" i="22"/>
  <c r="AV361" i="22" s="1"/>
  <c r="U361" i="22"/>
  <c r="AU361" i="22" s="1"/>
  <c r="T361" i="22"/>
  <c r="S361" i="22"/>
  <c r="AS361" i="22" s="1"/>
  <c r="R361" i="22"/>
  <c r="Q361" i="22"/>
  <c r="AQ361" i="22" s="1"/>
  <c r="P361" i="22"/>
  <c r="O361" i="22"/>
  <c r="AO361" i="22" s="1"/>
  <c r="N361" i="22"/>
  <c r="M361" i="22"/>
  <c r="AM361" i="22" s="1"/>
  <c r="L361" i="22"/>
  <c r="K361" i="22"/>
  <c r="AK361" i="22" s="1"/>
  <c r="J361" i="22"/>
  <c r="D361" i="22"/>
  <c r="C361" i="22"/>
  <c r="AC361" i="22" s="1"/>
  <c r="V360" i="22"/>
  <c r="U360" i="22"/>
  <c r="T360" i="22"/>
  <c r="S360" i="22"/>
  <c r="R360" i="22"/>
  <c r="Q360" i="22"/>
  <c r="P360" i="22"/>
  <c r="O360" i="22"/>
  <c r="N360" i="22"/>
  <c r="M360" i="22"/>
  <c r="L360" i="22"/>
  <c r="K360" i="22"/>
  <c r="J360" i="22"/>
  <c r="AU359" i="22"/>
  <c r="AS359" i="22"/>
  <c r="AQ359" i="22"/>
  <c r="AO359" i="22"/>
  <c r="AM359" i="22"/>
  <c r="AK359" i="22"/>
  <c r="AD359" i="22"/>
  <c r="AC359" i="22"/>
  <c r="V359" i="22"/>
  <c r="AV359" i="22" s="1"/>
  <c r="U359" i="22"/>
  <c r="T359" i="22"/>
  <c r="AT359" i="22" s="1"/>
  <c r="S359" i="22"/>
  <c r="R359" i="22"/>
  <c r="AR359" i="22" s="1"/>
  <c r="Q359" i="22"/>
  <c r="P359" i="22"/>
  <c r="AP359" i="22" s="1"/>
  <c r="O359" i="22"/>
  <c r="N359" i="22"/>
  <c r="AN359" i="22" s="1"/>
  <c r="M359" i="22"/>
  <c r="L359" i="22"/>
  <c r="AL359" i="22" s="1"/>
  <c r="K359" i="22"/>
  <c r="J359" i="22"/>
  <c r="AJ359" i="22" s="1"/>
  <c r="D359" i="22"/>
  <c r="C359" i="22"/>
  <c r="V358" i="22"/>
  <c r="U358" i="22"/>
  <c r="T358" i="22"/>
  <c r="S358" i="22"/>
  <c r="R358" i="22"/>
  <c r="Q358" i="22"/>
  <c r="P358" i="22"/>
  <c r="O358" i="22"/>
  <c r="N358" i="22"/>
  <c r="M358" i="22"/>
  <c r="L358" i="22"/>
  <c r="K358" i="22"/>
  <c r="J358" i="22"/>
  <c r="AT357" i="22"/>
  <c r="AR357" i="22"/>
  <c r="AP357" i="22"/>
  <c r="AN357" i="22"/>
  <c r="AL357" i="22"/>
  <c r="AJ357" i="22"/>
  <c r="AD357" i="22"/>
  <c r="V357" i="22"/>
  <c r="AV357" i="22" s="1"/>
  <c r="U357" i="22"/>
  <c r="AU357" i="22" s="1"/>
  <c r="T357" i="22"/>
  <c r="S357" i="22"/>
  <c r="AS357" i="22" s="1"/>
  <c r="R357" i="22"/>
  <c r="Q357" i="22"/>
  <c r="AQ357" i="22" s="1"/>
  <c r="P357" i="22"/>
  <c r="O357" i="22"/>
  <c r="AO357" i="22" s="1"/>
  <c r="N357" i="22"/>
  <c r="M357" i="22"/>
  <c r="AM357" i="22" s="1"/>
  <c r="L357" i="22"/>
  <c r="K357" i="22"/>
  <c r="AK357" i="22" s="1"/>
  <c r="J357" i="22"/>
  <c r="D357" i="22"/>
  <c r="C357" i="22"/>
  <c r="AC357" i="22" s="1"/>
  <c r="V356" i="22"/>
  <c r="U356" i="22"/>
  <c r="T356" i="22"/>
  <c r="S356" i="22"/>
  <c r="R356" i="22"/>
  <c r="Q356" i="22"/>
  <c r="P356" i="22"/>
  <c r="O356" i="22"/>
  <c r="N356" i="22"/>
  <c r="M356" i="22"/>
  <c r="L356" i="22"/>
  <c r="K356" i="22"/>
  <c r="J356" i="22"/>
  <c r="AU355" i="22"/>
  <c r="AS355" i="22"/>
  <c r="AQ355" i="22"/>
  <c r="AO355" i="22"/>
  <c r="AM355" i="22"/>
  <c r="AK355" i="22"/>
  <c r="AD355" i="22"/>
  <c r="AC355" i="22"/>
  <c r="V355" i="22"/>
  <c r="AV355" i="22" s="1"/>
  <c r="U355" i="22"/>
  <c r="T355" i="22"/>
  <c r="AT355" i="22" s="1"/>
  <c r="S355" i="22"/>
  <c r="R355" i="22"/>
  <c r="AR355" i="22" s="1"/>
  <c r="Q355" i="22"/>
  <c r="P355" i="22"/>
  <c r="AP355" i="22" s="1"/>
  <c r="O355" i="22"/>
  <c r="N355" i="22"/>
  <c r="AN355" i="22" s="1"/>
  <c r="M355" i="22"/>
  <c r="L355" i="22"/>
  <c r="AL355" i="22" s="1"/>
  <c r="K355" i="22"/>
  <c r="J355" i="22"/>
  <c r="AJ355" i="22" s="1"/>
  <c r="D355" i="22"/>
  <c r="C355" i="22"/>
  <c r="V354" i="22"/>
  <c r="U354" i="22"/>
  <c r="T354" i="22"/>
  <c r="S354" i="22"/>
  <c r="R354" i="22"/>
  <c r="Q354" i="22"/>
  <c r="P354" i="22"/>
  <c r="O354" i="22"/>
  <c r="N354" i="22"/>
  <c r="M354" i="22"/>
  <c r="L354" i="22"/>
  <c r="K354" i="22"/>
  <c r="J354" i="22"/>
  <c r="AV353" i="22"/>
  <c r="AT353" i="22"/>
  <c r="AR353" i="22"/>
  <c r="AP353" i="22"/>
  <c r="AN353" i="22"/>
  <c r="AL353" i="22"/>
  <c r="AJ353" i="22"/>
  <c r="AD353" i="22"/>
  <c r="V353" i="22"/>
  <c r="U353" i="22"/>
  <c r="AU353" i="22" s="1"/>
  <c r="T353" i="22"/>
  <c r="S353" i="22"/>
  <c r="AS353" i="22" s="1"/>
  <c r="R353" i="22"/>
  <c r="Q353" i="22"/>
  <c r="AQ353" i="22" s="1"/>
  <c r="P353" i="22"/>
  <c r="O353" i="22"/>
  <c r="AO353" i="22" s="1"/>
  <c r="N353" i="22"/>
  <c r="M353" i="22"/>
  <c r="AM353" i="22" s="1"/>
  <c r="L353" i="22"/>
  <c r="K353" i="22"/>
  <c r="AK353" i="22" s="1"/>
  <c r="J353" i="22"/>
  <c r="D353" i="22"/>
  <c r="C353" i="22"/>
  <c r="AC353" i="22" s="1"/>
  <c r="V352" i="22"/>
  <c r="U352" i="22"/>
  <c r="T352" i="22"/>
  <c r="S352" i="22"/>
  <c r="R352" i="22"/>
  <c r="Q352" i="22"/>
  <c r="P352" i="22"/>
  <c r="O352" i="22"/>
  <c r="N352" i="22"/>
  <c r="M352" i="22"/>
  <c r="L352" i="22"/>
  <c r="K352" i="22"/>
  <c r="J352" i="22"/>
  <c r="AU351" i="22"/>
  <c r="AS351" i="22"/>
  <c r="AQ351" i="22"/>
  <c r="AO351" i="22"/>
  <c r="AM351" i="22"/>
  <c r="AK351" i="22"/>
  <c r="AD351" i="22"/>
  <c r="AC351" i="22"/>
  <c r="V351" i="22"/>
  <c r="AV351" i="22" s="1"/>
  <c r="U351" i="22"/>
  <c r="T351" i="22"/>
  <c r="AT351" i="22" s="1"/>
  <c r="S351" i="22"/>
  <c r="R351" i="22"/>
  <c r="AR351" i="22" s="1"/>
  <c r="Q351" i="22"/>
  <c r="P351" i="22"/>
  <c r="AP351" i="22" s="1"/>
  <c r="O351" i="22"/>
  <c r="N351" i="22"/>
  <c r="AN351" i="22" s="1"/>
  <c r="M351" i="22"/>
  <c r="L351" i="22"/>
  <c r="AL351" i="22" s="1"/>
  <c r="K351" i="22"/>
  <c r="J351" i="22"/>
  <c r="AJ351" i="22" s="1"/>
  <c r="D351" i="22"/>
  <c r="C351" i="22"/>
  <c r="V350" i="22"/>
  <c r="U350" i="22"/>
  <c r="T350" i="22"/>
  <c r="S350" i="22"/>
  <c r="R350" i="22"/>
  <c r="Q350" i="22"/>
  <c r="P350" i="22"/>
  <c r="O350" i="22"/>
  <c r="N350" i="22"/>
  <c r="M350" i="22"/>
  <c r="L350" i="22"/>
  <c r="K350" i="22"/>
  <c r="J350" i="22"/>
  <c r="AT349" i="22"/>
  <c r="AR349" i="22"/>
  <c r="AP349" i="22"/>
  <c r="AN349" i="22"/>
  <c r="AL349" i="22"/>
  <c r="AJ349" i="22"/>
  <c r="AD349" i="22"/>
  <c r="V349" i="22"/>
  <c r="AV349" i="22" s="1"/>
  <c r="U349" i="22"/>
  <c r="AU349" i="22" s="1"/>
  <c r="T349" i="22"/>
  <c r="S349" i="22"/>
  <c r="AS349" i="22" s="1"/>
  <c r="R349" i="22"/>
  <c r="Q349" i="22"/>
  <c r="AQ349" i="22" s="1"/>
  <c r="P349" i="22"/>
  <c r="O349" i="22"/>
  <c r="AO349" i="22" s="1"/>
  <c r="N349" i="22"/>
  <c r="M349" i="22"/>
  <c r="AM349" i="22" s="1"/>
  <c r="L349" i="22"/>
  <c r="K349" i="22"/>
  <c r="AK349" i="22" s="1"/>
  <c r="J349" i="22"/>
  <c r="D349" i="22"/>
  <c r="C349" i="22"/>
  <c r="AC349" i="22" s="1"/>
  <c r="V348" i="22"/>
  <c r="U348" i="22"/>
  <c r="T348" i="22"/>
  <c r="S348" i="22"/>
  <c r="R348" i="22"/>
  <c r="Q348" i="22"/>
  <c r="P348" i="22"/>
  <c r="O348" i="22"/>
  <c r="N348" i="22"/>
  <c r="M348" i="22"/>
  <c r="L348" i="22"/>
  <c r="K348" i="22"/>
  <c r="J348" i="22"/>
  <c r="AU347" i="22"/>
  <c r="AS347" i="22"/>
  <c r="AQ347" i="22"/>
  <c r="AO347" i="22"/>
  <c r="AM347" i="22"/>
  <c r="AK347" i="22"/>
  <c r="AD347" i="22"/>
  <c r="AC347" i="22"/>
  <c r="V347" i="22"/>
  <c r="AV347" i="22" s="1"/>
  <c r="U347" i="22"/>
  <c r="T347" i="22"/>
  <c r="AT347" i="22" s="1"/>
  <c r="S347" i="22"/>
  <c r="R347" i="22"/>
  <c r="AR347" i="22" s="1"/>
  <c r="Q347" i="22"/>
  <c r="P347" i="22"/>
  <c r="AP347" i="22" s="1"/>
  <c r="O347" i="22"/>
  <c r="N347" i="22"/>
  <c r="AN347" i="22" s="1"/>
  <c r="M347" i="22"/>
  <c r="L347" i="22"/>
  <c r="AL347" i="22" s="1"/>
  <c r="K347" i="22"/>
  <c r="J347" i="22"/>
  <c r="AJ347" i="22" s="1"/>
  <c r="D347" i="22"/>
  <c r="C347" i="22"/>
  <c r="V346" i="22"/>
  <c r="U346" i="22"/>
  <c r="T346" i="22"/>
  <c r="S346" i="22"/>
  <c r="R346" i="22"/>
  <c r="Q346" i="22"/>
  <c r="P346" i="22"/>
  <c r="O346" i="22"/>
  <c r="N346" i="22"/>
  <c r="M346" i="22"/>
  <c r="L346" i="22"/>
  <c r="K346" i="22"/>
  <c r="J346" i="22"/>
  <c r="AT345" i="22"/>
  <c r="AR345" i="22"/>
  <c r="AP345" i="22"/>
  <c r="AN345" i="22"/>
  <c r="AL345" i="22"/>
  <c r="AJ345" i="22"/>
  <c r="AD345" i="22"/>
  <c r="V345" i="22"/>
  <c r="AV345" i="22" s="1"/>
  <c r="U345" i="22"/>
  <c r="AU345" i="22" s="1"/>
  <c r="T345" i="22"/>
  <c r="S345" i="22"/>
  <c r="AS345" i="22" s="1"/>
  <c r="R345" i="22"/>
  <c r="Q345" i="22"/>
  <c r="AQ345" i="22" s="1"/>
  <c r="P345" i="22"/>
  <c r="O345" i="22"/>
  <c r="AO345" i="22" s="1"/>
  <c r="N345" i="22"/>
  <c r="M345" i="22"/>
  <c r="AM345" i="22" s="1"/>
  <c r="L345" i="22"/>
  <c r="K345" i="22"/>
  <c r="AK345" i="22" s="1"/>
  <c r="J345" i="22"/>
  <c r="D345" i="22"/>
  <c r="C345" i="22"/>
  <c r="AC345" i="22" s="1"/>
  <c r="V344" i="22"/>
  <c r="U344" i="22"/>
  <c r="T344" i="22"/>
  <c r="S344" i="22"/>
  <c r="R344" i="22"/>
  <c r="Q344" i="22"/>
  <c r="P344" i="22"/>
  <c r="O344" i="22"/>
  <c r="N344" i="22"/>
  <c r="M344" i="22"/>
  <c r="L344" i="22"/>
  <c r="K344" i="22"/>
  <c r="J344" i="22"/>
  <c r="AU343" i="22"/>
  <c r="AS343" i="22"/>
  <c r="AQ343" i="22"/>
  <c r="AO343" i="22"/>
  <c r="AM343" i="22"/>
  <c r="AK343" i="22"/>
  <c r="AD343" i="22"/>
  <c r="AC343" i="22"/>
  <c r="V343" i="22"/>
  <c r="AV343" i="22" s="1"/>
  <c r="U343" i="22"/>
  <c r="T343" i="22"/>
  <c r="AT343" i="22" s="1"/>
  <c r="S343" i="22"/>
  <c r="R343" i="22"/>
  <c r="AR343" i="22" s="1"/>
  <c r="Q343" i="22"/>
  <c r="P343" i="22"/>
  <c r="AP343" i="22" s="1"/>
  <c r="O343" i="22"/>
  <c r="N343" i="22"/>
  <c r="AN343" i="22" s="1"/>
  <c r="M343" i="22"/>
  <c r="L343" i="22"/>
  <c r="AL343" i="22" s="1"/>
  <c r="K343" i="22"/>
  <c r="J343" i="22"/>
  <c r="AJ343" i="22" s="1"/>
  <c r="D343" i="22"/>
  <c r="C343" i="22"/>
  <c r="V342" i="22"/>
  <c r="U342" i="22"/>
  <c r="T342" i="22"/>
  <c r="S342" i="22"/>
  <c r="R342" i="22"/>
  <c r="Q342" i="22"/>
  <c r="P342" i="22"/>
  <c r="O342" i="22"/>
  <c r="N342" i="22"/>
  <c r="M342" i="22"/>
  <c r="L342" i="22"/>
  <c r="K342" i="22"/>
  <c r="J342" i="22"/>
  <c r="AV341" i="22"/>
  <c r="AT341" i="22"/>
  <c r="AR341" i="22"/>
  <c r="AP341" i="22"/>
  <c r="AN341" i="22"/>
  <c r="AL341" i="22"/>
  <c r="AJ341" i="22"/>
  <c r="AD341" i="22"/>
  <c r="V341" i="22"/>
  <c r="U341" i="22"/>
  <c r="AU341" i="22" s="1"/>
  <c r="T341" i="22"/>
  <c r="S341" i="22"/>
  <c r="AS341" i="22" s="1"/>
  <c r="R341" i="22"/>
  <c r="Q341" i="22"/>
  <c r="AQ341" i="22" s="1"/>
  <c r="P341" i="22"/>
  <c r="O341" i="22"/>
  <c r="AO341" i="22" s="1"/>
  <c r="N341" i="22"/>
  <c r="M341" i="22"/>
  <c r="AM341" i="22" s="1"/>
  <c r="L341" i="22"/>
  <c r="K341" i="22"/>
  <c r="AK341" i="22" s="1"/>
  <c r="J341" i="22"/>
  <c r="D341" i="22"/>
  <c r="C341" i="22"/>
  <c r="AC341" i="22" s="1"/>
  <c r="V340" i="22"/>
  <c r="U340" i="22"/>
  <c r="T340" i="22"/>
  <c r="S340" i="22"/>
  <c r="R340" i="22"/>
  <c r="Q340" i="22"/>
  <c r="P340" i="22"/>
  <c r="O340" i="22"/>
  <c r="N340" i="22"/>
  <c r="M340" i="22"/>
  <c r="L340" i="22"/>
  <c r="K340" i="22"/>
  <c r="J340" i="22"/>
  <c r="AU339" i="22"/>
  <c r="AS339" i="22"/>
  <c r="AQ339" i="22"/>
  <c r="AO339" i="22"/>
  <c r="AM339" i="22"/>
  <c r="AK339" i="22"/>
  <c r="AD339" i="22"/>
  <c r="AC339" i="22"/>
  <c r="V339" i="22"/>
  <c r="AV339" i="22" s="1"/>
  <c r="U339" i="22"/>
  <c r="T339" i="22"/>
  <c r="AT339" i="22" s="1"/>
  <c r="S339" i="22"/>
  <c r="R339" i="22"/>
  <c r="AR339" i="22" s="1"/>
  <c r="Q339" i="22"/>
  <c r="P339" i="22"/>
  <c r="AP339" i="22" s="1"/>
  <c r="O339" i="22"/>
  <c r="N339" i="22"/>
  <c r="AN339" i="22" s="1"/>
  <c r="M339" i="22"/>
  <c r="L339" i="22"/>
  <c r="AL339" i="22" s="1"/>
  <c r="K339" i="22"/>
  <c r="J339" i="22"/>
  <c r="AJ339" i="22" s="1"/>
  <c r="D339" i="22"/>
  <c r="C339" i="22"/>
  <c r="V338" i="22"/>
  <c r="U338" i="22"/>
  <c r="T338" i="22"/>
  <c r="S338" i="22"/>
  <c r="R338" i="22"/>
  <c r="Q338" i="22"/>
  <c r="P338" i="22"/>
  <c r="O338" i="22"/>
  <c r="N338" i="22"/>
  <c r="M338" i="22"/>
  <c r="L338" i="22"/>
  <c r="K338" i="22"/>
  <c r="J338" i="22"/>
  <c r="AV337" i="22"/>
  <c r="AT337" i="22"/>
  <c r="AR337" i="22"/>
  <c r="AP337" i="22"/>
  <c r="AN337" i="22"/>
  <c r="AL337" i="22"/>
  <c r="AJ337" i="22"/>
  <c r="AD337" i="22"/>
  <c r="V337" i="22"/>
  <c r="U337" i="22"/>
  <c r="AU337" i="22" s="1"/>
  <c r="T337" i="22"/>
  <c r="S337" i="22"/>
  <c r="AS337" i="22" s="1"/>
  <c r="R337" i="22"/>
  <c r="Q337" i="22"/>
  <c r="AQ337" i="22" s="1"/>
  <c r="P337" i="22"/>
  <c r="O337" i="22"/>
  <c r="AO337" i="22" s="1"/>
  <c r="N337" i="22"/>
  <c r="M337" i="22"/>
  <c r="AM337" i="22" s="1"/>
  <c r="L337" i="22"/>
  <c r="K337" i="22"/>
  <c r="AK337" i="22" s="1"/>
  <c r="J337" i="22"/>
  <c r="D337" i="22"/>
  <c r="C337" i="22"/>
  <c r="AC337" i="22" s="1"/>
  <c r="V336" i="22"/>
  <c r="U336" i="22"/>
  <c r="T336" i="22"/>
  <c r="S336" i="22"/>
  <c r="R336" i="22"/>
  <c r="Q336" i="22"/>
  <c r="P336" i="22"/>
  <c r="O336" i="22"/>
  <c r="N336" i="22"/>
  <c r="M336" i="22"/>
  <c r="L336" i="22"/>
  <c r="K336" i="22"/>
  <c r="J336" i="22"/>
  <c r="AU335" i="22"/>
  <c r="AS335" i="22"/>
  <c r="AQ335" i="22"/>
  <c r="AO335" i="22"/>
  <c r="AM335" i="22"/>
  <c r="AK335" i="22"/>
  <c r="AD335" i="22"/>
  <c r="AC335" i="22"/>
  <c r="V335" i="22"/>
  <c r="AV335" i="22" s="1"/>
  <c r="U335" i="22"/>
  <c r="T335" i="22"/>
  <c r="AT335" i="22" s="1"/>
  <c r="S335" i="22"/>
  <c r="R335" i="22"/>
  <c r="AR335" i="22" s="1"/>
  <c r="Q335" i="22"/>
  <c r="P335" i="22"/>
  <c r="AP335" i="22" s="1"/>
  <c r="O335" i="22"/>
  <c r="N335" i="22"/>
  <c r="AN335" i="22" s="1"/>
  <c r="M335" i="22"/>
  <c r="L335" i="22"/>
  <c r="AL335" i="22" s="1"/>
  <c r="K335" i="22"/>
  <c r="J335" i="22"/>
  <c r="AJ335" i="22" s="1"/>
  <c r="D335" i="22"/>
  <c r="C335" i="22"/>
  <c r="V334" i="22"/>
  <c r="U334" i="22"/>
  <c r="T334" i="22"/>
  <c r="S334" i="22"/>
  <c r="R334" i="22"/>
  <c r="Q334" i="22"/>
  <c r="P334" i="22"/>
  <c r="O334" i="22"/>
  <c r="N334" i="22"/>
  <c r="M334" i="22"/>
  <c r="L334" i="22"/>
  <c r="K334" i="22"/>
  <c r="J334" i="22"/>
  <c r="AV333" i="22"/>
  <c r="AT333" i="22"/>
  <c r="AR333" i="22"/>
  <c r="AP333" i="22"/>
  <c r="AN333" i="22"/>
  <c r="AL333" i="22"/>
  <c r="AJ333" i="22"/>
  <c r="AD333" i="22"/>
  <c r="V333" i="22"/>
  <c r="U333" i="22"/>
  <c r="AU333" i="22" s="1"/>
  <c r="T333" i="22"/>
  <c r="S333" i="22"/>
  <c r="AS333" i="22" s="1"/>
  <c r="R333" i="22"/>
  <c r="Q333" i="22"/>
  <c r="AQ333" i="22" s="1"/>
  <c r="P333" i="22"/>
  <c r="O333" i="22"/>
  <c r="AO333" i="22" s="1"/>
  <c r="N333" i="22"/>
  <c r="M333" i="22"/>
  <c r="AM333" i="22" s="1"/>
  <c r="L333" i="22"/>
  <c r="K333" i="22"/>
  <c r="AK333" i="22" s="1"/>
  <c r="J333" i="22"/>
  <c r="D333" i="22"/>
  <c r="C333" i="22"/>
  <c r="AC333" i="22" s="1"/>
  <c r="V332" i="22"/>
  <c r="U332" i="22"/>
  <c r="T332" i="22"/>
  <c r="S332" i="22"/>
  <c r="R332" i="22"/>
  <c r="Q332" i="22"/>
  <c r="P332" i="22"/>
  <c r="O332" i="22"/>
  <c r="N332" i="22"/>
  <c r="M332" i="22"/>
  <c r="L332" i="22"/>
  <c r="K332" i="22"/>
  <c r="J332" i="22"/>
  <c r="AU331" i="22"/>
  <c r="AS331" i="22"/>
  <c r="AQ331" i="22"/>
  <c r="AO331" i="22"/>
  <c r="AM331" i="22"/>
  <c r="AK331" i="22"/>
  <c r="AD331" i="22"/>
  <c r="AC331" i="22"/>
  <c r="V331" i="22"/>
  <c r="AV331" i="22" s="1"/>
  <c r="U331" i="22"/>
  <c r="T331" i="22"/>
  <c r="AT331" i="22" s="1"/>
  <c r="S331" i="22"/>
  <c r="R331" i="22"/>
  <c r="AR331" i="22" s="1"/>
  <c r="Q331" i="22"/>
  <c r="P331" i="22"/>
  <c r="AP331" i="22" s="1"/>
  <c r="O331" i="22"/>
  <c r="N331" i="22"/>
  <c r="AN331" i="22" s="1"/>
  <c r="M331" i="22"/>
  <c r="L331" i="22"/>
  <c r="AL331" i="22" s="1"/>
  <c r="K331" i="22"/>
  <c r="J331" i="22"/>
  <c r="AJ331" i="22" s="1"/>
  <c r="D331" i="22"/>
  <c r="C331" i="22"/>
  <c r="V330" i="22"/>
  <c r="U330" i="22"/>
  <c r="T330" i="22"/>
  <c r="S330" i="22"/>
  <c r="R330" i="22"/>
  <c r="Q330" i="22"/>
  <c r="P330" i="22"/>
  <c r="O330" i="22"/>
  <c r="N330" i="22"/>
  <c r="M330" i="22"/>
  <c r="L330" i="22"/>
  <c r="K330" i="22"/>
  <c r="J330" i="22"/>
  <c r="AV329" i="22"/>
  <c r="AT329" i="22"/>
  <c r="AR329" i="22"/>
  <c r="AP329" i="22"/>
  <c r="AN329" i="22"/>
  <c r="AL329" i="22"/>
  <c r="AJ329" i="22"/>
  <c r="AD329" i="22"/>
  <c r="V329" i="22"/>
  <c r="U329" i="22"/>
  <c r="AU329" i="22" s="1"/>
  <c r="T329" i="22"/>
  <c r="S329" i="22"/>
  <c r="AS329" i="22" s="1"/>
  <c r="R329" i="22"/>
  <c r="Q329" i="22"/>
  <c r="AQ329" i="22" s="1"/>
  <c r="P329" i="22"/>
  <c r="O329" i="22"/>
  <c r="AO329" i="22" s="1"/>
  <c r="N329" i="22"/>
  <c r="M329" i="22"/>
  <c r="AM329" i="22" s="1"/>
  <c r="L329" i="22"/>
  <c r="K329" i="22"/>
  <c r="AK329" i="22" s="1"/>
  <c r="J329" i="22"/>
  <c r="D329" i="22"/>
  <c r="C329" i="22"/>
  <c r="AC329" i="22" s="1"/>
  <c r="V328" i="22"/>
  <c r="U328" i="22"/>
  <c r="T328" i="22"/>
  <c r="S328" i="22"/>
  <c r="R328" i="22"/>
  <c r="Q328" i="22"/>
  <c r="P328" i="22"/>
  <c r="O328" i="22"/>
  <c r="N328" i="22"/>
  <c r="M328" i="22"/>
  <c r="L328" i="22"/>
  <c r="K328" i="22"/>
  <c r="J328" i="22"/>
  <c r="AU327" i="22"/>
  <c r="AS327" i="22"/>
  <c r="AQ327" i="22"/>
  <c r="AO327" i="22"/>
  <c r="AM327" i="22"/>
  <c r="AK327" i="22"/>
  <c r="AD327" i="22"/>
  <c r="AC327" i="22"/>
  <c r="V327" i="22"/>
  <c r="AV327" i="22" s="1"/>
  <c r="U327" i="22"/>
  <c r="T327" i="22"/>
  <c r="AT327" i="22" s="1"/>
  <c r="S327" i="22"/>
  <c r="R327" i="22"/>
  <c r="AR327" i="22" s="1"/>
  <c r="Q327" i="22"/>
  <c r="P327" i="22"/>
  <c r="AP327" i="22" s="1"/>
  <c r="O327" i="22"/>
  <c r="N327" i="22"/>
  <c r="AN327" i="22" s="1"/>
  <c r="M327" i="22"/>
  <c r="L327" i="22"/>
  <c r="AL327" i="22" s="1"/>
  <c r="K327" i="22"/>
  <c r="J327" i="22"/>
  <c r="AJ327" i="22" s="1"/>
  <c r="D327" i="22"/>
  <c r="C327" i="22"/>
  <c r="V326" i="22"/>
  <c r="U326" i="22"/>
  <c r="T326" i="22"/>
  <c r="S326" i="22"/>
  <c r="R326" i="22"/>
  <c r="Q326" i="22"/>
  <c r="P326" i="22"/>
  <c r="O326" i="22"/>
  <c r="N326" i="22"/>
  <c r="M326" i="22"/>
  <c r="L326" i="22"/>
  <c r="K326" i="22"/>
  <c r="J326" i="22"/>
  <c r="AV325" i="22"/>
  <c r="AT325" i="22"/>
  <c r="AR325" i="22"/>
  <c r="AP325" i="22"/>
  <c r="AN325" i="22"/>
  <c r="AL325" i="22"/>
  <c r="AJ325" i="22"/>
  <c r="AD325" i="22"/>
  <c r="V325" i="22"/>
  <c r="U325" i="22"/>
  <c r="AU325" i="22" s="1"/>
  <c r="T325" i="22"/>
  <c r="S325" i="22"/>
  <c r="AS325" i="22" s="1"/>
  <c r="R325" i="22"/>
  <c r="Q325" i="22"/>
  <c r="AQ325" i="22" s="1"/>
  <c r="P325" i="22"/>
  <c r="O325" i="22"/>
  <c r="AO325" i="22" s="1"/>
  <c r="N325" i="22"/>
  <c r="M325" i="22"/>
  <c r="AM325" i="22" s="1"/>
  <c r="L325" i="22"/>
  <c r="K325" i="22"/>
  <c r="AK325" i="22" s="1"/>
  <c r="J325" i="22"/>
  <c r="D325" i="22"/>
  <c r="C325" i="22"/>
  <c r="AC325" i="22" s="1"/>
  <c r="V324" i="22"/>
  <c r="U324" i="22"/>
  <c r="T324" i="22"/>
  <c r="S324" i="22"/>
  <c r="R324" i="22"/>
  <c r="Q324" i="22"/>
  <c r="P324" i="22"/>
  <c r="O324" i="22"/>
  <c r="N324" i="22"/>
  <c r="M324" i="22"/>
  <c r="L324" i="22"/>
  <c r="K324" i="22"/>
  <c r="J324" i="22"/>
  <c r="AU323" i="22"/>
  <c r="AS323" i="22"/>
  <c r="AQ323" i="22"/>
  <c r="AO323" i="22"/>
  <c r="AM323" i="22"/>
  <c r="AK323" i="22"/>
  <c r="AD323" i="22"/>
  <c r="AC323" i="22"/>
  <c r="V323" i="22"/>
  <c r="AV323" i="22" s="1"/>
  <c r="U323" i="22"/>
  <c r="T323" i="22"/>
  <c r="AT323" i="22" s="1"/>
  <c r="S323" i="22"/>
  <c r="R323" i="22"/>
  <c r="AR323" i="22" s="1"/>
  <c r="Q323" i="22"/>
  <c r="P323" i="22"/>
  <c r="AP323" i="22" s="1"/>
  <c r="O323" i="22"/>
  <c r="N323" i="22"/>
  <c r="AN323" i="22" s="1"/>
  <c r="M323" i="22"/>
  <c r="L323" i="22"/>
  <c r="AL323" i="22" s="1"/>
  <c r="K323" i="22"/>
  <c r="J323" i="22"/>
  <c r="AJ323" i="22" s="1"/>
  <c r="D323" i="22"/>
  <c r="C323" i="22"/>
  <c r="V322" i="22"/>
  <c r="U322" i="22"/>
  <c r="T322" i="22"/>
  <c r="S322" i="22"/>
  <c r="R322" i="22"/>
  <c r="Q322" i="22"/>
  <c r="P322" i="22"/>
  <c r="O322" i="22"/>
  <c r="N322" i="22"/>
  <c r="M322" i="22"/>
  <c r="L322" i="22"/>
  <c r="K322" i="22"/>
  <c r="J322" i="22"/>
  <c r="AT321" i="22"/>
  <c r="AR321" i="22"/>
  <c r="AP321" i="22"/>
  <c r="AN321" i="22"/>
  <c r="AL321" i="22"/>
  <c r="AJ321" i="22"/>
  <c r="AD321" i="22"/>
  <c r="V321" i="22"/>
  <c r="AV321" i="22" s="1"/>
  <c r="U321" i="22"/>
  <c r="AU321" i="22" s="1"/>
  <c r="T321" i="22"/>
  <c r="S321" i="22"/>
  <c r="AS321" i="22" s="1"/>
  <c r="R321" i="22"/>
  <c r="Q321" i="22"/>
  <c r="AQ321" i="22" s="1"/>
  <c r="P321" i="22"/>
  <c r="O321" i="22"/>
  <c r="AO321" i="22" s="1"/>
  <c r="N321" i="22"/>
  <c r="M321" i="22"/>
  <c r="AM321" i="22" s="1"/>
  <c r="L321" i="22"/>
  <c r="K321" i="22"/>
  <c r="AK321" i="22" s="1"/>
  <c r="J321" i="22"/>
  <c r="D321" i="22"/>
  <c r="C321" i="22"/>
  <c r="AC321" i="22" s="1"/>
  <c r="V320" i="22"/>
  <c r="U320" i="22"/>
  <c r="T320" i="22"/>
  <c r="S320" i="22"/>
  <c r="R320" i="22"/>
  <c r="Q320" i="22"/>
  <c r="P320" i="22"/>
  <c r="O320" i="22"/>
  <c r="N320" i="22"/>
  <c r="M320" i="22"/>
  <c r="L320" i="22"/>
  <c r="K320" i="22"/>
  <c r="J320" i="22"/>
  <c r="AU319" i="22"/>
  <c r="AS319" i="22"/>
  <c r="AQ319" i="22"/>
  <c r="AO319" i="22"/>
  <c r="AM319" i="22"/>
  <c r="AK319" i="22"/>
  <c r="AD319" i="22"/>
  <c r="AC319" i="22"/>
  <c r="V319" i="22"/>
  <c r="AV319" i="22" s="1"/>
  <c r="U319" i="22"/>
  <c r="T319" i="22"/>
  <c r="AT319" i="22" s="1"/>
  <c r="S319" i="22"/>
  <c r="R319" i="22"/>
  <c r="AR319" i="22" s="1"/>
  <c r="Q319" i="22"/>
  <c r="P319" i="22"/>
  <c r="AP319" i="22" s="1"/>
  <c r="O319" i="22"/>
  <c r="N319" i="22"/>
  <c r="AN319" i="22" s="1"/>
  <c r="M319" i="22"/>
  <c r="L319" i="22"/>
  <c r="AL319" i="22" s="1"/>
  <c r="K319" i="22"/>
  <c r="J319" i="22"/>
  <c r="AJ319" i="22" s="1"/>
  <c r="D319" i="22"/>
  <c r="C319" i="22"/>
  <c r="V318" i="22"/>
  <c r="U318" i="22"/>
  <c r="T318" i="22"/>
  <c r="S318" i="22"/>
  <c r="R318" i="22"/>
  <c r="Q318" i="22"/>
  <c r="P318" i="22"/>
  <c r="O318" i="22"/>
  <c r="N318" i="22"/>
  <c r="M318" i="22"/>
  <c r="L318" i="22"/>
  <c r="K318" i="22"/>
  <c r="J318" i="22"/>
  <c r="AR317" i="22"/>
  <c r="AN317" i="22"/>
  <c r="AJ317" i="22"/>
  <c r="AD317" i="22"/>
  <c r="V317" i="22"/>
  <c r="AV317" i="22" s="1"/>
  <c r="U317" i="22"/>
  <c r="AU317" i="22" s="1"/>
  <c r="T317" i="22"/>
  <c r="AT317" i="22" s="1"/>
  <c r="S317" i="22"/>
  <c r="AS317" i="22" s="1"/>
  <c r="R317" i="22"/>
  <c r="Q317" i="22"/>
  <c r="AQ317" i="22" s="1"/>
  <c r="P317" i="22"/>
  <c r="AP317" i="22" s="1"/>
  <c r="O317" i="22"/>
  <c r="AO317" i="22" s="1"/>
  <c r="N317" i="22"/>
  <c r="M317" i="22"/>
  <c r="AM317" i="22" s="1"/>
  <c r="L317" i="22"/>
  <c r="AL317" i="22" s="1"/>
  <c r="K317" i="22"/>
  <c r="AK317" i="22" s="1"/>
  <c r="J317" i="22"/>
  <c r="D317" i="22"/>
  <c r="C317" i="22"/>
  <c r="AC317" i="22" s="1"/>
  <c r="V316" i="22"/>
  <c r="U316" i="22"/>
  <c r="T316" i="22"/>
  <c r="S316" i="22"/>
  <c r="R316" i="22"/>
  <c r="Q316" i="22"/>
  <c r="P316" i="22"/>
  <c r="O316" i="22"/>
  <c r="N316" i="22"/>
  <c r="M316" i="22"/>
  <c r="L316" i="22"/>
  <c r="K316" i="22"/>
  <c r="J316" i="22"/>
  <c r="AU315" i="22"/>
  <c r="AS315" i="22"/>
  <c r="AQ315" i="22"/>
  <c r="AO315" i="22"/>
  <c r="AM315" i="22"/>
  <c r="AK315" i="22"/>
  <c r="AD315" i="22"/>
  <c r="AC315" i="22"/>
  <c r="V315" i="22"/>
  <c r="AV315" i="22" s="1"/>
  <c r="U315" i="22"/>
  <c r="T315" i="22"/>
  <c r="AT315" i="22" s="1"/>
  <c r="S315" i="22"/>
  <c r="R315" i="22"/>
  <c r="AR315" i="22" s="1"/>
  <c r="Q315" i="22"/>
  <c r="P315" i="22"/>
  <c r="AP315" i="22" s="1"/>
  <c r="O315" i="22"/>
  <c r="N315" i="22"/>
  <c r="AN315" i="22" s="1"/>
  <c r="M315" i="22"/>
  <c r="L315" i="22"/>
  <c r="AL315" i="22" s="1"/>
  <c r="K315" i="22"/>
  <c r="J315" i="22"/>
  <c r="AJ315" i="22" s="1"/>
  <c r="D315" i="22"/>
  <c r="C315" i="22"/>
  <c r="V314" i="22"/>
  <c r="U314" i="22"/>
  <c r="T314" i="22"/>
  <c r="S314" i="22"/>
  <c r="R314" i="22"/>
  <c r="Q314" i="22"/>
  <c r="P314" i="22"/>
  <c r="O314" i="22"/>
  <c r="N314" i="22"/>
  <c r="M314" i="22"/>
  <c r="L314" i="22"/>
  <c r="K314" i="22"/>
  <c r="J314" i="22"/>
  <c r="AT313" i="22"/>
  <c r="AR313" i="22"/>
  <c r="AP313" i="22"/>
  <c r="AN313" i="22"/>
  <c r="AL313" i="22"/>
  <c r="AJ313" i="22"/>
  <c r="AD313" i="22"/>
  <c r="V313" i="22"/>
  <c r="AV313" i="22" s="1"/>
  <c r="U313" i="22"/>
  <c r="AU313" i="22" s="1"/>
  <c r="T313" i="22"/>
  <c r="S313" i="22"/>
  <c r="AS313" i="22" s="1"/>
  <c r="R313" i="22"/>
  <c r="Q313" i="22"/>
  <c r="AQ313" i="22" s="1"/>
  <c r="P313" i="22"/>
  <c r="O313" i="22"/>
  <c r="AO313" i="22" s="1"/>
  <c r="N313" i="22"/>
  <c r="M313" i="22"/>
  <c r="AM313" i="22" s="1"/>
  <c r="L313" i="22"/>
  <c r="K313" i="22"/>
  <c r="AK313" i="22" s="1"/>
  <c r="J313" i="22"/>
  <c r="D313" i="22"/>
  <c r="C313" i="22"/>
  <c r="AC313" i="22" s="1"/>
  <c r="V312" i="22"/>
  <c r="U312" i="22"/>
  <c r="T312" i="22"/>
  <c r="S312" i="22"/>
  <c r="R312" i="22"/>
  <c r="Q312" i="22"/>
  <c r="P312" i="22"/>
  <c r="O312" i="22"/>
  <c r="N312" i="22"/>
  <c r="M312" i="22"/>
  <c r="L312" i="22"/>
  <c r="K312" i="22"/>
  <c r="J312" i="22"/>
  <c r="AS311" i="22"/>
  <c r="AQ311" i="22"/>
  <c r="AO311" i="22"/>
  <c r="AM311" i="22"/>
  <c r="AK311" i="22"/>
  <c r="AD311" i="22"/>
  <c r="AC311" i="22"/>
  <c r="V311" i="22"/>
  <c r="AV311" i="22" s="1"/>
  <c r="U311" i="22"/>
  <c r="AU311" i="22" s="1"/>
  <c r="T311" i="22"/>
  <c r="AT311" i="22" s="1"/>
  <c r="S311" i="22"/>
  <c r="R311" i="22"/>
  <c r="AR311" i="22" s="1"/>
  <c r="Q311" i="22"/>
  <c r="P311" i="22"/>
  <c r="AP311" i="22" s="1"/>
  <c r="O311" i="22"/>
  <c r="N311" i="22"/>
  <c r="AN311" i="22" s="1"/>
  <c r="M311" i="22"/>
  <c r="L311" i="22"/>
  <c r="AL311" i="22" s="1"/>
  <c r="K311" i="22"/>
  <c r="J311" i="22"/>
  <c r="AJ311" i="22" s="1"/>
  <c r="D311" i="22"/>
  <c r="C311" i="22"/>
  <c r="V310" i="22"/>
  <c r="U310" i="22"/>
  <c r="T310" i="22"/>
  <c r="S310" i="22"/>
  <c r="R310" i="22"/>
  <c r="Q310" i="22"/>
  <c r="P310" i="22"/>
  <c r="O310" i="22"/>
  <c r="N310" i="22"/>
  <c r="M310" i="22"/>
  <c r="L310" i="22"/>
  <c r="K310" i="22"/>
  <c r="J310" i="22"/>
  <c r="AT309" i="22"/>
  <c r="AR309" i="22"/>
  <c r="AP309" i="22"/>
  <c r="AN309" i="22"/>
  <c r="AL309" i="22"/>
  <c r="AJ309" i="22"/>
  <c r="AD309" i="22"/>
  <c r="V309" i="22"/>
  <c r="AV309" i="22" s="1"/>
  <c r="U309" i="22"/>
  <c r="AU309" i="22" s="1"/>
  <c r="T309" i="22"/>
  <c r="S309" i="22"/>
  <c r="AS309" i="22" s="1"/>
  <c r="R309" i="22"/>
  <c r="Q309" i="22"/>
  <c r="AQ309" i="22" s="1"/>
  <c r="P309" i="22"/>
  <c r="O309" i="22"/>
  <c r="AO309" i="22" s="1"/>
  <c r="N309" i="22"/>
  <c r="M309" i="22"/>
  <c r="AM309" i="22" s="1"/>
  <c r="L309" i="22"/>
  <c r="K309" i="22"/>
  <c r="AK309" i="22" s="1"/>
  <c r="J309" i="22"/>
  <c r="D309" i="22"/>
  <c r="C309" i="22"/>
  <c r="AC309" i="22" s="1"/>
  <c r="V308" i="22"/>
  <c r="U308" i="22"/>
  <c r="T308" i="22"/>
  <c r="S308" i="22"/>
  <c r="R308" i="22"/>
  <c r="Q308" i="22"/>
  <c r="P308" i="22"/>
  <c r="O308" i="22"/>
  <c r="N308" i="22"/>
  <c r="M308" i="22"/>
  <c r="L308" i="22"/>
  <c r="K308" i="22"/>
  <c r="J308" i="22"/>
  <c r="AS307" i="22"/>
  <c r="AQ307" i="22"/>
  <c r="AO307" i="22"/>
  <c r="AM307" i="22"/>
  <c r="AK307" i="22"/>
  <c r="AD307" i="22"/>
  <c r="AC307" i="22"/>
  <c r="V307" i="22"/>
  <c r="AV307" i="22" s="1"/>
  <c r="U307" i="22"/>
  <c r="AU307" i="22" s="1"/>
  <c r="T307" i="22"/>
  <c r="AT307" i="22" s="1"/>
  <c r="S307" i="22"/>
  <c r="R307" i="22"/>
  <c r="AR307" i="22" s="1"/>
  <c r="Q307" i="22"/>
  <c r="P307" i="22"/>
  <c r="AP307" i="22" s="1"/>
  <c r="O307" i="22"/>
  <c r="N307" i="22"/>
  <c r="AN307" i="22" s="1"/>
  <c r="M307" i="22"/>
  <c r="L307" i="22"/>
  <c r="AL307" i="22" s="1"/>
  <c r="K307" i="22"/>
  <c r="J307" i="22"/>
  <c r="AJ307" i="22" s="1"/>
  <c r="D307" i="22"/>
  <c r="C307" i="22"/>
  <c r="V306" i="22"/>
  <c r="U306" i="22"/>
  <c r="T306" i="22"/>
  <c r="S306" i="22"/>
  <c r="R306" i="22"/>
  <c r="Q306" i="22"/>
  <c r="P306" i="22"/>
  <c r="O306" i="22"/>
  <c r="N306" i="22"/>
  <c r="M306" i="22"/>
  <c r="L306" i="22"/>
  <c r="K306" i="22"/>
  <c r="J306" i="22"/>
  <c r="AV305" i="22"/>
  <c r="AT305" i="22"/>
  <c r="AR305" i="22"/>
  <c r="AP305" i="22"/>
  <c r="AN305" i="22"/>
  <c r="AL305" i="22"/>
  <c r="AJ305" i="22"/>
  <c r="AD305" i="22"/>
  <c r="V305" i="22"/>
  <c r="U305" i="22"/>
  <c r="AU305" i="22" s="1"/>
  <c r="T305" i="22"/>
  <c r="S305" i="22"/>
  <c r="AS305" i="22" s="1"/>
  <c r="R305" i="22"/>
  <c r="Q305" i="22"/>
  <c r="AQ305" i="22" s="1"/>
  <c r="P305" i="22"/>
  <c r="O305" i="22"/>
  <c r="AO305" i="22" s="1"/>
  <c r="N305" i="22"/>
  <c r="M305" i="22"/>
  <c r="AM305" i="22" s="1"/>
  <c r="L305" i="22"/>
  <c r="K305" i="22"/>
  <c r="AK305" i="22" s="1"/>
  <c r="J305" i="22"/>
  <c r="D305" i="22"/>
  <c r="C305" i="22"/>
  <c r="AC305" i="22" s="1"/>
  <c r="V304" i="22"/>
  <c r="U304" i="22"/>
  <c r="T304" i="22"/>
  <c r="S304" i="22"/>
  <c r="R304" i="22"/>
  <c r="Q304" i="22"/>
  <c r="P304" i="22"/>
  <c r="O304" i="22"/>
  <c r="N304" i="22"/>
  <c r="M304" i="22"/>
  <c r="L304" i="22"/>
  <c r="K304" i="22"/>
  <c r="J304" i="22"/>
  <c r="AS303" i="22"/>
  <c r="AQ303" i="22"/>
  <c r="AO303" i="22"/>
  <c r="AM303" i="22"/>
  <c r="AK303" i="22"/>
  <c r="AD303" i="22"/>
  <c r="AC303" i="22"/>
  <c r="V303" i="22"/>
  <c r="AV303" i="22" s="1"/>
  <c r="U303" i="22"/>
  <c r="AU303" i="22" s="1"/>
  <c r="T303" i="22"/>
  <c r="AT303" i="22" s="1"/>
  <c r="S303" i="22"/>
  <c r="R303" i="22"/>
  <c r="AR303" i="22" s="1"/>
  <c r="Q303" i="22"/>
  <c r="P303" i="22"/>
  <c r="AP303" i="22" s="1"/>
  <c r="O303" i="22"/>
  <c r="N303" i="22"/>
  <c r="AN303" i="22" s="1"/>
  <c r="M303" i="22"/>
  <c r="L303" i="22"/>
  <c r="AL303" i="22" s="1"/>
  <c r="K303" i="22"/>
  <c r="J303" i="22"/>
  <c r="AJ303" i="22" s="1"/>
  <c r="D303" i="22"/>
  <c r="C303" i="22"/>
  <c r="V302" i="22"/>
  <c r="U302" i="22"/>
  <c r="T302" i="22"/>
  <c r="S302" i="22"/>
  <c r="R302" i="22"/>
  <c r="Q302" i="22"/>
  <c r="P302" i="22"/>
  <c r="O302" i="22"/>
  <c r="N302" i="22"/>
  <c r="M302" i="22"/>
  <c r="L302" i="22"/>
  <c r="K302" i="22"/>
  <c r="J302" i="22"/>
  <c r="AT301" i="22"/>
  <c r="AR301" i="22"/>
  <c r="AP301" i="22"/>
  <c r="AN301" i="22"/>
  <c r="AL301" i="22"/>
  <c r="AJ301" i="22"/>
  <c r="AD301" i="22"/>
  <c r="V301" i="22"/>
  <c r="AV301" i="22" s="1"/>
  <c r="U301" i="22"/>
  <c r="AU301" i="22" s="1"/>
  <c r="T301" i="22"/>
  <c r="S301" i="22"/>
  <c r="AS301" i="22" s="1"/>
  <c r="R301" i="22"/>
  <c r="Q301" i="22"/>
  <c r="AQ301" i="22" s="1"/>
  <c r="P301" i="22"/>
  <c r="O301" i="22"/>
  <c r="AO301" i="22" s="1"/>
  <c r="N301" i="22"/>
  <c r="M301" i="22"/>
  <c r="AM301" i="22" s="1"/>
  <c r="L301" i="22"/>
  <c r="K301" i="22"/>
  <c r="AK301" i="22" s="1"/>
  <c r="J301" i="22"/>
  <c r="D301" i="22"/>
  <c r="C301" i="22"/>
  <c r="AC301" i="22" s="1"/>
  <c r="V300" i="22"/>
  <c r="U300" i="22"/>
  <c r="T300" i="22"/>
  <c r="S300" i="22"/>
  <c r="R300" i="22"/>
  <c r="Q300" i="22"/>
  <c r="P300" i="22"/>
  <c r="O300" i="22"/>
  <c r="N300" i="22"/>
  <c r="M300" i="22"/>
  <c r="L300" i="22"/>
  <c r="K300" i="22"/>
  <c r="J300" i="22"/>
  <c r="AU299" i="22"/>
  <c r="AS299" i="22"/>
  <c r="AQ299" i="22"/>
  <c r="AO299" i="22"/>
  <c r="AM299" i="22"/>
  <c r="AK299" i="22"/>
  <c r="AD299" i="22"/>
  <c r="AC299" i="22"/>
  <c r="V299" i="22"/>
  <c r="AV299" i="22" s="1"/>
  <c r="U299" i="22"/>
  <c r="T299" i="22"/>
  <c r="AT299" i="22" s="1"/>
  <c r="S299" i="22"/>
  <c r="R299" i="22"/>
  <c r="AR299" i="22" s="1"/>
  <c r="Q299" i="22"/>
  <c r="P299" i="22"/>
  <c r="AP299" i="22" s="1"/>
  <c r="O299" i="22"/>
  <c r="N299" i="22"/>
  <c r="AN299" i="22" s="1"/>
  <c r="M299" i="22"/>
  <c r="L299" i="22"/>
  <c r="AL299" i="22" s="1"/>
  <c r="K299" i="22"/>
  <c r="J299" i="22"/>
  <c r="AJ299" i="22" s="1"/>
  <c r="D299" i="22"/>
  <c r="C299" i="22"/>
  <c r="V298" i="22"/>
  <c r="U298" i="22"/>
  <c r="T298" i="22"/>
  <c r="S298" i="22"/>
  <c r="R298" i="22"/>
  <c r="Q298" i="22"/>
  <c r="P298" i="22"/>
  <c r="O298" i="22"/>
  <c r="N298" i="22"/>
  <c r="M298" i="22"/>
  <c r="L298" i="22"/>
  <c r="K298" i="22"/>
  <c r="J298" i="22"/>
  <c r="AV297" i="22"/>
  <c r="AT297" i="22"/>
  <c r="AR297" i="22"/>
  <c r="AP297" i="22"/>
  <c r="AN297" i="22"/>
  <c r="AL297" i="22"/>
  <c r="AJ297" i="22"/>
  <c r="AD297" i="22"/>
  <c r="V297" i="22"/>
  <c r="U297" i="22"/>
  <c r="AU297" i="22" s="1"/>
  <c r="T297" i="22"/>
  <c r="S297" i="22"/>
  <c r="AS297" i="22" s="1"/>
  <c r="R297" i="22"/>
  <c r="Q297" i="22"/>
  <c r="AQ297" i="22" s="1"/>
  <c r="P297" i="22"/>
  <c r="O297" i="22"/>
  <c r="AO297" i="22" s="1"/>
  <c r="N297" i="22"/>
  <c r="M297" i="22"/>
  <c r="AM297" i="22" s="1"/>
  <c r="L297" i="22"/>
  <c r="K297" i="22"/>
  <c r="AK297" i="22" s="1"/>
  <c r="J297" i="22"/>
  <c r="D297" i="22"/>
  <c r="C297" i="22"/>
  <c r="AC297" i="22" s="1"/>
  <c r="V296" i="22"/>
  <c r="U296" i="22"/>
  <c r="T296" i="22"/>
  <c r="S296" i="22"/>
  <c r="R296" i="22"/>
  <c r="Q296" i="22"/>
  <c r="P296" i="22"/>
  <c r="O296" i="22"/>
  <c r="N296" i="22"/>
  <c r="M296" i="22"/>
  <c r="L296" i="22"/>
  <c r="K296" i="22"/>
  <c r="J296" i="22"/>
  <c r="AU295" i="22"/>
  <c r="AS295" i="22"/>
  <c r="AQ295" i="22"/>
  <c r="AO295" i="22"/>
  <c r="AM295" i="22"/>
  <c r="AK295" i="22"/>
  <c r="AD295" i="22"/>
  <c r="AC295" i="22"/>
  <c r="V295" i="22"/>
  <c r="AV295" i="22" s="1"/>
  <c r="U295" i="22"/>
  <c r="T295" i="22"/>
  <c r="AT295" i="22" s="1"/>
  <c r="S295" i="22"/>
  <c r="R295" i="22"/>
  <c r="AR295" i="22" s="1"/>
  <c r="Q295" i="22"/>
  <c r="P295" i="22"/>
  <c r="AP295" i="22" s="1"/>
  <c r="O295" i="22"/>
  <c r="N295" i="22"/>
  <c r="AN295" i="22" s="1"/>
  <c r="M295" i="22"/>
  <c r="L295" i="22"/>
  <c r="AL295" i="22" s="1"/>
  <c r="K295" i="22"/>
  <c r="J295" i="22"/>
  <c r="AJ295" i="22" s="1"/>
  <c r="D295" i="22"/>
  <c r="C295" i="22"/>
  <c r="V294" i="22"/>
  <c r="U294" i="22"/>
  <c r="T294" i="22"/>
  <c r="S294" i="22"/>
  <c r="R294" i="22"/>
  <c r="Q294" i="22"/>
  <c r="P294" i="22"/>
  <c r="O294" i="22"/>
  <c r="N294" i="22"/>
  <c r="M294" i="22"/>
  <c r="L294" i="22"/>
  <c r="K294" i="22"/>
  <c r="J294" i="22"/>
  <c r="AV293" i="22"/>
  <c r="AT293" i="22"/>
  <c r="AR293" i="22"/>
  <c r="AP293" i="22"/>
  <c r="AN293" i="22"/>
  <c r="AL293" i="22"/>
  <c r="AJ293" i="22"/>
  <c r="AD293" i="22"/>
  <c r="V293" i="22"/>
  <c r="U293" i="22"/>
  <c r="AU293" i="22" s="1"/>
  <c r="T293" i="22"/>
  <c r="S293" i="22"/>
  <c r="AS293" i="22" s="1"/>
  <c r="R293" i="22"/>
  <c r="Q293" i="22"/>
  <c r="AQ293" i="22" s="1"/>
  <c r="P293" i="22"/>
  <c r="O293" i="22"/>
  <c r="AO293" i="22" s="1"/>
  <c r="N293" i="22"/>
  <c r="M293" i="22"/>
  <c r="AM293" i="22" s="1"/>
  <c r="L293" i="22"/>
  <c r="K293" i="22"/>
  <c r="AK293" i="22" s="1"/>
  <c r="J293" i="22"/>
  <c r="D293" i="22"/>
  <c r="C293" i="22"/>
  <c r="AC293" i="22" s="1"/>
  <c r="V292" i="22"/>
  <c r="U292" i="22"/>
  <c r="T292" i="22"/>
  <c r="S292" i="22"/>
  <c r="R292" i="22"/>
  <c r="Q292" i="22"/>
  <c r="P292" i="22"/>
  <c r="O292" i="22"/>
  <c r="N292" i="22"/>
  <c r="M292" i="22"/>
  <c r="L292" i="22"/>
  <c r="K292" i="22"/>
  <c r="J292" i="22"/>
  <c r="AU291" i="22"/>
  <c r="AS291" i="22"/>
  <c r="AQ291" i="22"/>
  <c r="AO291" i="22"/>
  <c r="AM291" i="22"/>
  <c r="AK291" i="22"/>
  <c r="AD291" i="22"/>
  <c r="AC291" i="22"/>
  <c r="V291" i="22"/>
  <c r="AV291" i="22" s="1"/>
  <c r="U291" i="22"/>
  <c r="T291" i="22"/>
  <c r="AT291" i="22" s="1"/>
  <c r="S291" i="22"/>
  <c r="R291" i="22"/>
  <c r="AR291" i="22" s="1"/>
  <c r="Q291" i="22"/>
  <c r="P291" i="22"/>
  <c r="AP291" i="22" s="1"/>
  <c r="O291" i="22"/>
  <c r="N291" i="22"/>
  <c r="AN291" i="22" s="1"/>
  <c r="M291" i="22"/>
  <c r="L291" i="22"/>
  <c r="AL291" i="22" s="1"/>
  <c r="K291" i="22"/>
  <c r="J291" i="22"/>
  <c r="AJ291" i="22" s="1"/>
  <c r="D291" i="22"/>
  <c r="C291" i="22"/>
  <c r="V290" i="22"/>
  <c r="U290" i="22"/>
  <c r="T290" i="22"/>
  <c r="S290" i="22"/>
  <c r="R290" i="22"/>
  <c r="Q290" i="22"/>
  <c r="P290" i="22"/>
  <c r="O290" i="22"/>
  <c r="N290" i="22"/>
  <c r="M290" i="22"/>
  <c r="L290" i="22"/>
  <c r="K290" i="22"/>
  <c r="J290" i="22"/>
  <c r="AV289" i="22"/>
  <c r="AT289" i="22"/>
  <c r="AR289" i="22"/>
  <c r="AP289" i="22"/>
  <c r="AN289" i="22"/>
  <c r="AL289" i="22"/>
  <c r="AJ289" i="22"/>
  <c r="AD289" i="22"/>
  <c r="V289" i="22"/>
  <c r="U289" i="22"/>
  <c r="AU289" i="22" s="1"/>
  <c r="T289" i="22"/>
  <c r="S289" i="22"/>
  <c r="AS289" i="22" s="1"/>
  <c r="R289" i="22"/>
  <c r="Q289" i="22"/>
  <c r="AQ289" i="22" s="1"/>
  <c r="P289" i="22"/>
  <c r="O289" i="22"/>
  <c r="AO289" i="22" s="1"/>
  <c r="N289" i="22"/>
  <c r="M289" i="22"/>
  <c r="AM289" i="22" s="1"/>
  <c r="L289" i="22"/>
  <c r="K289" i="22"/>
  <c r="AK289" i="22" s="1"/>
  <c r="J289" i="22"/>
  <c r="D289" i="22"/>
  <c r="C289" i="22"/>
  <c r="AC289" i="22" s="1"/>
  <c r="V288" i="22"/>
  <c r="U288" i="22"/>
  <c r="T288" i="22"/>
  <c r="S288" i="22"/>
  <c r="R288" i="22"/>
  <c r="Q288" i="22"/>
  <c r="P288" i="22"/>
  <c r="O288" i="22"/>
  <c r="N288" i="22"/>
  <c r="M288" i="22"/>
  <c r="L288" i="22"/>
  <c r="K288" i="22"/>
  <c r="J288" i="22"/>
  <c r="AU287" i="22"/>
  <c r="AS287" i="22"/>
  <c r="AQ287" i="22"/>
  <c r="AO287" i="22"/>
  <c r="AM287" i="22"/>
  <c r="AK287" i="22"/>
  <c r="AD287" i="22"/>
  <c r="AC287" i="22"/>
  <c r="V287" i="22"/>
  <c r="AV287" i="22" s="1"/>
  <c r="U287" i="22"/>
  <c r="T287" i="22"/>
  <c r="AT287" i="22" s="1"/>
  <c r="S287" i="22"/>
  <c r="R287" i="22"/>
  <c r="AR287" i="22" s="1"/>
  <c r="Q287" i="22"/>
  <c r="P287" i="22"/>
  <c r="AP287" i="22" s="1"/>
  <c r="O287" i="22"/>
  <c r="N287" i="22"/>
  <c r="AN287" i="22" s="1"/>
  <c r="M287" i="22"/>
  <c r="L287" i="22"/>
  <c r="AL287" i="22" s="1"/>
  <c r="K287" i="22"/>
  <c r="J287" i="22"/>
  <c r="AJ287" i="22" s="1"/>
  <c r="D287" i="22"/>
  <c r="C287" i="22"/>
  <c r="V286" i="22"/>
  <c r="U286" i="22"/>
  <c r="T286" i="22"/>
  <c r="S286" i="22"/>
  <c r="R286" i="22"/>
  <c r="Q286" i="22"/>
  <c r="P286" i="22"/>
  <c r="O286" i="22"/>
  <c r="N286" i="22"/>
  <c r="M286" i="22"/>
  <c r="L286" i="22"/>
  <c r="K286" i="22"/>
  <c r="J286" i="22"/>
  <c r="AV285" i="22"/>
  <c r="AT285" i="22"/>
  <c r="AR285" i="22"/>
  <c r="AP285" i="22"/>
  <c r="AN285" i="22"/>
  <c r="AL285" i="22"/>
  <c r="AJ285" i="22"/>
  <c r="AD285" i="22"/>
  <c r="V285" i="22"/>
  <c r="U285" i="22"/>
  <c r="AU285" i="22" s="1"/>
  <c r="T285" i="22"/>
  <c r="S285" i="22"/>
  <c r="AS285" i="22" s="1"/>
  <c r="R285" i="22"/>
  <c r="Q285" i="22"/>
  <c r="AQ285" i="22" s="1"/>
  <c r="P285" i="22"/>
  <c r="O285" i="22"/>
  <c r="AO285" i="22" s="1"/>
  <c r="N285" i="22"/>
  <c r="M285" i="22"/>
  <c r="AM285" i="22" s="1"/>
  <c r="L285" i="22"/>
  <c r="K285" i="22"/>
  <c r="AK285" i="22" s="1"/>
  <c r="J285" i="22"/>
  <c r="D285" i="22"/>
  <c r="C285" i="22"/>
  <c r="AC285" i="22" s="1"/>
  <c r="V284" i="22"/>
  <c r="U284" i="22"/>
  <c r="T284" i="22"/>
  <c r="S284" i="22"/>
  <c r="R284" i="22"/>
  <c r="Q284" i="22"/>
  <c r="P284" i="22"/>
  <c r="O284" i="22"/>
  <c r="N284" i="22"/>
  <c r="M284" i="22"/>
  <c r="L284" i="22"/>
  <c r="K284" i="22"/>
  <c r="J284" i="22"/>
  <c r="AU283" i="22"/>
  <c r="AS283" i="22"/>
  <c r="AQ283" i="22"/>
  <c r="AO283" i="22"/>
  <c r="AM283" i="22"/>
  <c r="AK283" i="22"/>
  <c r="AD283" i="22"/>
  <c r="AC283" i="22"/>
  <c r="V283" i="22"/>
  <c r="AV283" i="22" s="1"/>
  <c r="U283" i="22"/>
  <c r="T283" i="22"/>
  <c r="AT283" i="22" s="1"/>
  <c r="S283" i="22"/>
  <c r="R283" i="22"/>
  <c r="AR283" i="22" s="1"/>
  <c r="Q283" i="22"/>
  <c r="P283" i="22"/>
  <c r="AP283" i="22" s="1"/>
  <c r="O283" i="22"/>
  <c r="N283" i="22"/>
  <c r="AN283" i="22" s="1"/>
  <c r="M283" i="22"/>
  <c r="L283" i="22"/>
  <c r="AL283" i="22" s="1"/>
  <c r="K283" i="22"/>
  <c r="J283" i="22"/>
  <c r="AJ283" i="22" s="1"/>
  <c r="D283" i="22"/>
  <c r="C283" i="22"/>
  <c r="V282" i="22"/>
  <c r="U282" i="22"/>
  <c r="T282" i="22"/>
  <c r="S282" i="22"/>
  <c r="R282" i="22"/>
  <c r="Q282" i="22"/>
  <c r="P282" i="22"/>
  <c r="O282" i="22"/>
  <c r="N282" i="22"/>
  <c r="M282" i="22"/>
  <c r="L282" i="22"/>
  <c r="K282" i="22"/>
  <c r="J282" i="22"/>
  <c r="AT281" i="22"/>
  <c r="AR281" i="22"/>
  <c r="AP281" i="22"/>
  <c r="AN281" i="22"/>
  <c r="AL281" i="22"/>
  <c r="AJ281" i="22"/>
  <c r="AD281" i="22"/>
  <c r="V281" i="22"/>
  <c r="AV281" i="22" s="1"/>
  <c r="U281" i="22"/>
  <c r="AU281" i="22" s="1"/>
  <c r="T281" i="22"/>
  <c r="S281" i="22"/>
  <c r="AS281" i="22" s="1"/>
  <c r="R281" i="22"/>
  <c r="Q281" i="22"/>
  <c r="AQ281" i="22" s="1"/>
  <c r="P281" i="22"/>
  <c r="O281" i="22"/>
  <c r="AO281" i="22" s="1"/>
  <c r="N281" i="22"/>
  <c r="M281" i="22"/>
  <c r="AM281" i="22" s="1"/>
  <c r="L281" i="22"/>
  <c r="K281" i="22"/>
  <c r="AK281" i="22" s="1"/>
  <c r="J281" i="22"/>
  <c r="D281" i="22"/>
  <c r="C281" i="22"/>
  <c r="AC281" i="22" s="1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AU279" i="22"/>
  <c r="AS279" i="22"/>
  <c r="AQ279" i="22"/>
  <c r="AO279" i="22"/>
  <c r="AM279" i="22"/>
  <c r="AK279" i="22"/>
  <c r="AD279" i="22"/>
  <c r="AC279" i="22"/>
  <c r="V279" i="22"/>
  <c r="AV279" i="22" s="1"/>
  <c r="U279" i="22"/>
  <c r="T279" i="22"/>
  <c r="AT279" i="22" s="1"/>
  <c r="S279" i="22"/>
  <c r="R279" i="22"/>
  <c r="AR279" i="22" s="1"/>
  <c r="Q279" i="22"/>
  <c r="P279" i="22"/>
  <c r="AP279" i="22" s="1"/>
  <c r="O279" i="22"/>
  <c r="N279" i="22"/>
  <c r="AN279" i="22" s="1"/>
  <c r="M279" i="22"/>
  <c r="L279" i="22"/>
  <c r="AL279" i="22" s="1"/>
  <c r="K279" i="22"/>
  <c r="J279" i="22"/>
  <c r="AJ279" i="22" s="1"/>
  <c r="D279" i="22"/>
  <c r="C279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AT277" i="22"/>
  <c r="AR277" i="22"/>
  <c r="AP277" i="22"/>
  <c r="AN277" i="22"/>
  <c r="AL277" i="22"/>
  <c r="AJ277" i="22"/>
  <c r="AD277" i="22"/>
  <c r="V277" i="22"/>
  <c r="AV277" i="22" s="1"/>
  <c r="U277" i="22"/>
  <c r="AU277" i="22" s="1"/>
  <c r="T277" i="22"/>
  <c r="S277" i="22"/>
  <c r="AS277" i="22" s="1"/>
  <c r="R277" i="22"/>
  <c r="Q277" i="22"/>
  <c r="AQ277" i="22" s="1"/>
  <c r="P277" i="22"/>
  <c r="O277" i="22"/>
  <c r="AO277" i="22" s="1"/>
  <c r="N277" i="22"/>
  <c r="M277" i="22"/>
  <c r="AM277" i="22" s="1"/>
  <c r="L277" i="22"/>
  <c r="K277" i="22"/>
  <c r="AK277" i="22" s="1"/>
  <c r="J277" i="22"/>
  <c r="D277" i="22"/>
  <c r="C277" i="22"/>
  <c r="AC277" i="22" s="1"/>
  <c r="V276" i="22"/>
  <c r="U276" i="22"/>
  <c r="T276" i="22"/>
  <c r="S276" i="22"/>
  <c r="R276" i="22"/>
  <c r="Q276" i="22"/>
  <c r="P276" i="22"/>
  <c r="O276" i="22"/>
  <c r="N276" i="22"/>
  <c r="M276" i="22"/>
  <c r="L276" i="22"/>
  <c r="K276" i="22"/>
  <c r="J276" i="22"/>
  <c r="AU275" i="22"/>
  <c r="AS275" i="22"/>
  <c r="AQ275" i="22"/>
  <c r="AO275" i="22"/>
  <c r="AM275" i="22"/>
  <c r="AK275" i="22"/>
  <c r="AD275" i="22"/>
  <c r="AC275" i="22"/>
  <c r="V275" i="22"/>
  <c r="AV275" i="22" s="1"/>
  <c r="U275" i="22"/>
  <c r="T275" i="22"/>
  <c r="AT275" i="22" s="1"/>
  <c r="S275" i="22"/>
  <c r="R275" i="22"/>
  <c r="AR275" i="22" s="1"/>
  <c r="Q275" i="22"/>
  <c r="P275" i="22"/>
  <c r="AP275" i="22" s="1"/>
  <c r="O275" i="22"/>
  <c r="N275" i="22"/>
  <c r="AN275" i="22" s="1"/>
  <c r="M275" i="22"/>
  <c r="L275" i="22"/>
  <c r="AL275" i="22" s="1"/>
  <c r="K275" i="22"/>
  <c r="J275" i="22"/>
  <c r="AJ275" i="22" s="1"/>
  <c r="D275" i="22"/>
  <c r="C275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AT273" i="22"/>
  <c r="AR273" i="22"/>
  <c r="AP273" i="22"/>
  <c r="AN273" i="22"/>
  <c r="AL273" i="22"/>
  <c r="AJ273" i="22"/>
  <c r="AD273" i="22"/>
  <c r="V273" i="22"/>
  <c r="AV273" i="22" s="1"/>
  <c r="U273" i="22"/>
  <c r="AU273" i="22" s="1"/>
  <c r="T273" i="22"/>
  <c r="S273" i="22"/>
  <c r="AS273" i="22" s="1"/>
  <c r="R273" i="22"/>
  <c r="Q273" i="22"/>
  <c r="AQ273" i="22" s="1"/>
  <c r="P273" i="22"/>
  <c r="O273" i="22"/>
  <c r="AO273" i="22" s="1"/>
  <c r="N273" i="22"/>
  <c r="M273" i="22"/>
  <c r="AM273" i="22" s="1"/>
  <c r="L273" i="22"/>
  <c r="K273" i="22"/>
  <c r="AK273" i="22" s="1"/>
  <c r="J273" i="22"/>
  <c r="D273" i="22"/>
  <c r="C273" i="22"/>
  <c r="AC273" i="22" s="1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AU271" i="22"/>
  <c r="AS271" i="22"/>
  <c r="AQ271" i="22"/>
  <c r="AO271" i="22"/>
  <c r="AM271" i="22"/>
  <c r="AK271" i="22"/>
  <c r="AD271" i="22"/>
  <c r="AC271" i="22"/>
  <c r="V271" i="22"/>
  <c r="AV271" i="22" s="1"/>
  <c r="U271" i="22"/>
  <c r="T271" i="22"/>
  <c r="AT271" i="22" s="1"/>
  <c r="S271" i="22"/>
  <c r="R271" i="22"/>
  <c r="AR271" i="22" s="1"/>
  <c r="Q271" i="22"/>
  <c r="P271" i="22"/>
  <c r="AP271" i="22" s="1"/>
  <c r="O271" i="22"/>
  <c r="N271" i="22"/>
  <c r="AN271" i="22" s="1"/>
  <c r="M271" i="22"/>
  <c r="L271" i="22"/>
  <c r="AL271" i="22" s="1"/>
  <c r="K271" i="22"/>
  <c r="J271" i="22"/>
  <c r="AJ271" i="22" s="1"/>
  <c r="D271" i="22"/>
  <c r="C271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AT269" i="22"/>
  <c r="AR269" i="22"/>
  <c r="AP269" i="22"/>
  <c r="AN269" i="22"/>
  <c r="AL269" i="22"/>
  <c r="AJ269" i="22"/>
  <c r="AD269" i="22"/>
  <c r="V269" i="22"/>
  <c r="AV269" i="22" s="1"/>
  <c r="U269" i="22"/>
  <c r="AU269" i="22" s="1"/>
  <c r="T269" i="22"/>
  <c r="S269" i="22"/>
  <c r="AS269" i="22" s="1"/>
  <c r="R269" i="22"/>
  <c r="Q269" i="22"/>
  <c r="AQ269" i="22" s="1"/>
  <c r="P269" i="22"/>
  <c r="O269" i="22"/>
  <c r="AO269" i="22" s="1"/>
  <c r="N269" i="22"/>
  <c r="M269" i="22"/>
  <c r="AM269" i="22" s="1"/>
  <c r="L269" i="22"/>
  <c r="K269" i="22"/>
  <c r="AK269" i="22" s="1"/>
  <c r="J269" i="22"/>
  <c r="D269" i="22"/>
  <c r="C269" i="22"/>
  <c r="AC269" i="22" s="1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AU267" i="22"/>
  <c r="AS267" i="22"/>
  <c r="AQ267" i="22"/>
  <c r="AO267" i="22"/>
  <c r="AM267" i="22"/>
  <c r="AK267" i="22"/>
  <c r="AD267" i="22"/>
  <c r="AC267" i="22"/>
  <c r="V267" i="22"/>
  <c r="AV267" i="22" s="1"/>
  <c r="U267" i="22"/>
  <c r="T267" i="22"/>
  <c r="AT267" i="22" s="1"/>
  <c r="S267" i="22"/>
  <c r="R267" i="22"/>
  <c r="AR267" i="22" s="1"/>
  <c r="Q267" i="22"/>
  <c r="P267" i="22"/>
  <c r="AP267" i="22" s="1"/>
  <c r="O267" i="22"/>
  <c r="N267" i="22"/>
  <c r="AN267" i="22" s="1"/>
  <c r="M267" i="22"/>
  <c r="L267" i="22"/>
  <c r="AL267" i="22" s="1"/>
  <c r="K267" i="22"/>
  <c r="J267" i="22"/>
  <c r="AJ267" i="22" s="1"/>
  <c r="D267" i="22"/>
  <c r="C267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AT265" i="22"/>
  <c r="AR265" i="22"/>
  <c r="AP265" i="22"/>
  <c r="AN265" i="22"/>
  <c r="AL265" i="22"/>
  <c r="AJ265" i="22"/>
  <c r="AD265" i="22"/>
  <c r="V265" i="22"/>
  <c r="AV265" i="22" s="1"/>
  <c r="U265" i="22"/>
  <c r="AU265" i="22" s="1"/>
  <c r="T265" i="22"/>
  <c r="S265" i="22"/>
  <c r="AS265" i="22" s="1"/>
  <c r="R265" i="22"/>
  <c r="Q265" i="22"/>
  <c r="AQ265" i="22" s="1"/>
  <c r="P265" i="22"/>
  <c r="O265" i="22"/>
  <c r="AO265" i="22" s="1"/>
  <c r="N265" i="22"/>
  <c r="M265" i="22"/>
  <c r="AM265" i="22" s="1"/>
  <c r="L265" i="22"/>
  <c r="K265" i="22"/>
  <c r="AK265" i="22" s="1"/>
  <c r="J265" i="22"/>
  <c r="D265" i="22"/>
  <c r="C265" i="22"/>
  <c r="AC265" i="22" s="1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AU263" i="22"/>
  <c r="AS263" i="22"/>
  <c r="AQ263" i="22"/>
  <c r="AO263" i="22"/>
  <c r="AM263" i="22"/>
  <c r="AK263" i="22"/>
  <c r="AD263" i="22"/>
  <c r="AC263" i="22"/>
  <c r="V263" i="22"/>
  <c r="AV263" i="22" s="1"/>
  <c r="U263" i="22"/>
  <c r="T263" i="22"/>
  <c r="AT263" i="22" s="1"/>
  <c r="S263" i="22"/>
  <c r="R263" i="22"/>
  <c r="AR263" i="22" s="1"/>
  <c r="Q263" i="22"/>
  <c r="P263" i="22"/>
  <c r="AP263" i="22" s="1"/>
  <c r="O263" i="22"/>
  <c r="N263" i="22"/>
  <c r="AN263" i="22" s="1"/>
  <c r="M263" i="22"/>
  <c r="L263" i="22"/>
  <c r="AL263" i="22" s="1"/>
  <c r="K263" i="22"/>
  <c r="J263" i="22"/>
  <c r="AJ263" i="22" s="1"/>
  <c r="D263" i="22"/>
  <c r="C263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AV261" i="22"/>
  <c r="AT261" i="22"/>
  <c r="AR261" i="22"/>
  <c r="AP261" i="22"/>
  <c r="AN261" i="22"/>
  <c r="AL261" i="22"/>
  <c r="AJ261" i="22"/>
  <c r="AD261" i="22"/>
  <c r="V261" i="22"/>
  <c r="U261" i="22"/>
  <c r="AU261" i="22" s="1"/>
  <c r="T261" i="22"/>
  <c r="S261" i="22"/>
  <c r="AS261" i="22" s="1"/>
  <c r="R261" i="22"/>
  <c r="Q261" i="22"/>
  <c r="AQ261" i="22" s="1"/>
  <c r="P261" i="22"/>
  <c r="O261" i="22"/>
  <c r="AO261" i="22" s="1"/>
  <c r="N261" i="22"/>
  <c r="M261" i="22"/>
  <c r="AM261" i="22" s="1"/>
  <c r="L261" i="22"/>
  <c r="K261" i="22"/>
  <c r="AK261" i="22" s="1"/>
  <c r="J261" i="22"/>
  <c r="D261" i="22"/>
  <c r="C261" i="22"/>
  <c r="AC261" i="22" s="1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AU259" i="22"/>
  <c r="AS259" i="22"/>
  <c r="AQ259" i="22"/>
  <c r="AO259" i="22"/>
  <c r="AM259" i="22"/>
  <c r="AK259" i="22"/>
  <c r="AD259" i="22"/>
  <c r="AC259" i="22"/>
  <c r="V259" i="22"/>
  <c r="AV259" i="22" s="1"/>
  <c r="U259" i="22"/>
  <c r="T259" i="22"/>
  <c r="AT259" i="22" s="1"/>
  <c r="S259" i="22"/>
  <c r="R259" i="22"/>
  <c r="AR259" i="22" s="1"/>
  <c r="Q259" i="22"/>
  <c r="P259" i="22"/>
  <c r="AP259" i="22" s="1"/>
  <c r="O259" i="22"/>
  <c r="N259" i="22"/>
  <c r="AN259" i="22" s="1"/>
  <c r="M259" i="22"/>
  <c r="L259" i="22"/>
  <c r="AL259" i="22" s="1"/>
  <c r="K259" i="22"/>
  <c r="J259" i="22"/>
  <c r="AJ259" i="22" s="1"/>
  <c r="D259" i="22"/>
  <c r="C259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AV257" i="22"/>
  <c r="AT257" i="22"/>
  <c r="AR257" i="22"/>
  <c r="AP257" i="22"/>
  <c r="AN257" i="22"/>
  <c r="AL257" i="22"/>
  <c r="AJ257" i="22"/>
  <c r="AD257" i="22"/>
  <c r="V257" i="22"/>
  <c r="U257" i="22"/>
  <c r="AU257" i="22" s="1"/>
  <c r="T257" i="22"/>
  <c r="S257" i="22"/>
  <c r="AS257" i="22" s="1"/>
  <c r="R257" i="22"/>
  <c r="Q257" i="22"/>
  <c r="AQ257" i="22" s="1"/>
  <c r="P257" i="22"/>
  <c r="O257" i="22"/>
  <c r="AO257" i="22" s="1"/>
  <c r="N257" i="22"/>
  <c r="M257" i="22"/>
  <c r="AM257" i="22" s="1"/>
  <c r="L257" i="22"/>
  <c r="K257" i="22"/>
  <c r="AK257" i="22" s="1"/>
  <c r="J257" i="22"/>
  <c r="D257" i="22"/>
  <c r="C257" i="22"/>
  <c r="AC257" i="22" s="1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AU255" i="22"/>
  <c r="AS255" i="22"/>
  <c r="AQ255" i="22"/>
  <c r="AO255" i="22"/>
  <c r="AM255" i="22"/>
  <c r="AK255" i="22"/>
  <c r="AD255" i="22"/>
  <c r="V255" i="22"/>
  <c r="AV255" i="22" s="1"/>
  <c r="U255" i="22"/>
  <c r="T255" i="22"/>
  <c r="AT255" i="22" s="1"/>
  <c r="S255" i="22"/>
  <c r="R255" i="22"/>
  <c r="AR255" i="22" s="1"/>
  <c r="Q255" i="22"/>
  <c r="P255" i="22"/>
  <c r="AP255" i="22" s="1"/>
  <c r="O255" i="22"/>
  <c r="N255" i="22"/>
  <c r="AN255" i="22" s="1"/>
  <c r="M255" i="22"/>
  <c r="L255" i="22"/>
  <c r="AL255" i="22" s="1"/>
  <c r="K255" i="22"/>
  <c r="J255" i="22"/>
  <c r="AJ255" i="22" s="1"/>
  <c r="D255" i="22"/>
  <c r="C255" i="22"/>
  <c r="AC255" i="22" s="1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AV253" i="22"/>
  <c r="AT253" i="22"/>
  <c r="AR253" i="22"/>
  <c r="AP253" i="22"/>
  <c r="AN253" i="22"/>
  <c r="AL253" i="22"/>
  <c r="AJ253" i="22"/>
  <c r="AD253" i="22"/>
  <c r="V253" i="22"/>
  <c r="U253" i="22"/>
  <c r="AU253" i="22" s="1"/>
  <c r="T253" i="22"/>
  <c r="S253" i="22"/>
  <c r="AS253" i="22" s="1"/>
  <c r="R253" i="22"/>
  <c r="Q253" i="22"/>
  <c r="AQ253" i="22" s="1"/>
  <c r="P253" i="22"/>
  <c r="O253" i="22"/>
  <c r="AO253" i="22" s="1"/>
  <c r="N253" i="22"/>
  <c r="M253" i="22"/>
  <c r="AM253" i="22" s="1"/>
  <c r="L253" i="22"/>
  <c r="K253" i="22"/>
  <c r="AK253" i="22" s="1"/>
  <c r="J253" i="22"/>
  <c r="D253" i="22"/>
  <c r="C253" i="22"/>
  <c r="AC253" i="22" s="1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AU251" i="22"/>
  <c r="AS251" i="22"/>
  <c r="AQ251" i="22"/>
  <c r="AO251" i="22"/>
  <c r="AM251" i="22"/>
  <c r="AK251" i="22"/>
  <c r="AD251" i="22"/>
  <c r="AC251" i="22"/>
  <c r="V251" i="22"/>
  <c r="AV251" i="22" s="1"/>
  <c r="U251" i="22"/>
  <c r="T251" i="22"/>
  <c r="AT251" i="22" s="1"/>
  <c r="S251" i="22"/>
  <c r="R251" i="22"/>
  <c r="AR251" i="22" s="1"/>
  <c r="Q251" i="22"/>
  <c r="P251" i="22"/>
  <c r="AP251" i="22" s="1"/>
  <c r="O251" i="22"/>
  <c r="N251" i="22"/>
  <c r="AN251" i="22" s="1"/>
  <c r="M251" i="22"/>
  <c r="L251" i="22"/>
  <c r="AL251" i="22" s="1"/>
  <c r="K251" i="22"/>
  <c r="J251" i="22"/>
  <c r="AJ251" i="22" s="1"/>
  <c r="D251" i="22"/>
  <c r="C251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AV249" i="22"/>
  <c r="AT249" i="22"/>
  <c r="AR249" i="22"/>
  <c r="AP249" i="22"/>
  <c r="AN249" i="22"/>
  <c r="AL249" i="22"/>
  <c r="AJ249" i="22"/>
  <c r="AD249" i="22"/>
  <c r="V249" i="22"/>
  <c r="U249" i="22"/>
  <c r="AU249" i="22" s="1"/>
  <c r="T249" i="22"/>
  <c r="S249" i="22"/>
  <c r="AS249" i="22" s="1"/>
  <c r="R249" i="22"/>
  <c r="Q249" i="22"/>
  <c r="AQ249" i="22" s="1"/>
  <c r="P249" i="22"/>
  <c r="O249" i="22"/>
  <c r="AO249" i="22" s="1"/>
  <c r="N249" i="22"/>
  <c r="M249" i="22"/>
  <c r="AM249" i="22" s="1"/>
  <c r="L249" i="22"/>
  <c r="K249" i="22"/>
  <c r="AK249" i="22" s="1"/>
  <c r="J249" i="22"/>
  <c r="D249" i="22"/>
  <c r="C249" i="22"/>
  <c r="AC249" i="22" s="1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AU247" i="22"/>
  <c r="AS247" i="22"/>
  <c r="AQ247" i="22"/>
  <c r="AO247" i="22"/>
  <c r="AM247" i="22"/>
  <c r="AK247" i="22"/>
  <c r="AD247" i="22"/>
  <c r="AC247" i="22"/>
  <c r="V247" i="22"/>
  <c r="AV247" i="22" s="1"/>
  <c r="U247" i="22"/>
  <c r="T247" i="22"/>
  <c r="AT247" i="22" s="1"/>
  <c r="S247" i="22"/>
  <c r="R247" i="22"/>
  <c r="AR247" i="22" s="1"/>
  <c r="Q247" i="22"/>
  <c r="P247" i="22"/>
  <c r="AP247" i="22" s="1"/>
  <c r="O247" i="22"/>
  <c r="N247" i="22"/>
  <c r="AN247" i="22" s="1"/>
  <c r="M247" i="22"/>
  <c r="L247" i="22"/>
  <c r="AL247" i="22" s="1"/>
  <c r="K247" i="22"/>
  <c r="J247" i="22"/>
  <c r="AJ247" i="22" s="1"/>
  <c r="D247" i="22"/>
  <c r="C247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AV245" i="22"/>
  <c r="AT245" i="22"/>
  <c r="AR245" i="22"/>
  <c r="AP245" i="22"/>
  <c r="AN245" i="22"/>
  <c r="AL245" i="22"/>
  <c r="AJ245" i="22"/>
  <c r="AD245" i="22"/>
  <c r="V245" i="22"/>
  <c r="U245" i="22"/>
  <c r="AU245" i="22" s="1"/>
  <c r="T245" i="22"/>
  <c r="S245" i="22"/>
  <c r="AS245" i="22" s="1"/>
  <c r="R245" i="22"/>
  <c r="Q245" i="22"/>
  <c r="AQ245" i="22" s="1"/>
  <c r="P245" i="22"/>
  <c r="O245" i="22"/>
  <c r="AO245" i="22" s="1"/>
  <c r="N245" i="22"/>
  <c r="M245" i="22"/>
  <c r="AM245" i="22" s="1"/>
  <c r="L245" i="22"/>
  <c r="K245" i="22"/>
  <c r="AK245" i="22" s="1"/>
  <c r="J245" i="22"/>
  <c r="D245" i="22"/>
  <c r="C245" i="22"/>
  <c r="AC245" i="22" s="1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AU243" i="22"/>
  <c r="AS243" i="22"/>
  <c r="AQ243" i="22"/>
  <c r="AO243" i="22"/>
  <c r="AM243" i="22"/>
  <c r="AK243" i="22"/>
  <c r="AD243" i="22"/>
  <c r="AC243" i="22"/>
  <c r="V243" i="22"/>
  <c r="AV243" i="22" s="1"/>
  <c r="U243" i="22"/>
  <c r="T243" i="22"/>
  <c r="AT243" i="22" s="1"/>
  <c r="S243" i="22"/>
  <c r="R243" i="22"/>
  <c r="AR243" i="22" s="1"/>
  <c r="Q243" i="22"/>
  <c r="P243" i="22"/>
  <c r="AP243" i="22" s="1"/>
  <c r="O243" i="22"/>
  <c r="N243" i="22"/>
  <c r="AN243" i="22" s="1"/>
  <c r="M243" i="22"/>
  <c r="L243" i="22"/>
  <c r="AL243" i="22" s="1"/>
  <c r="K243" i="22"/>
  <c r="J243" i="22"/>
  <c r="AJ243" i="22" s="1"/>
  <c r="D243" i="22"/>
  <c r="C243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AV241" i="22"/>
  <c r="AR241" i="22"/>
  <c r="AP241" i="22"/>
  <c r="AN241" i="22"/>
  <c r="AL241" i="22"/>
  <c r="AJ241" i="22"/>
  <c r="AD241" i="22"/>
  <c r="V241" i="22"/>
  <c r="U241" i="22"/>
  <c r="AU241" i="22" s="1"/>
  <c r="T241" i="22"/>
  <c r="AT241" i="22" s="1"/>
  <c r="S241" i="22"/>
  <c r="AS241" i="22" s="1"/>
  <c r="R241" i="22"/>
  <c r="Q241" i="22"/>
  <c r="AQ241" i="22" s="1"/>
  <c r="P241" i="22"/>
  <c r="O241" i="22"/>
  <c r="AO241" i="22" s="1"/>
  <c r="N241" i="22"/>
  <c r="M241" i="22"/>
  <c r="AM241" i="22" s="1"/>
  <c r="L241" i="22"/>
  <c r="K241" i="22"/>
  <c r="AK241" i="22" s="1"/>
  <c r="J241" i="22"/>
  <c r="D241" i="22"/>
  <c r="C241" i="22"/>
  <c r="AC241" i="22" s="1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AU239" i="22"/>
  <c r="AS239" i="22"/>
  <c r="AQ239" i="22"/>
  <c r="AO239" i="22"/>
  <c r="AM239" i="22"/>
  <c r="AK239" i="22"/>
  <c r="AD239" i="22"/>
  <c r="V239" i="22"/>
  <c r="AV239" i="22" s="1"/>
  <c r="U239" i="22"/>
  <c r="T239" i="22"/>
  <c r="AT239" i="22" s="1"/>
  <c r="S239" i="22"/>
  <c r="R239" i="22"/>
  <c r="AR239" i="22" s="1"/>
  <c r="Q239" i="22"/>
  <c r="P239" i="22"/>
  <c r="AP239" i="22" s="1"/>
  <c r="O239" i="22"/>
  <c r="N239" i="22"/>
  <c r="AN239" i="22" s="1"/>
  <c r="M239" i="22"/>
  <c r="L239" i="22"/>
  <c r="AL239" i="22" s="1"/>
  <c r="K239" i="22"/>
  <c r="J239" i="22"/>
  <c r="AJ239" i="22" s="1"/>
  <c r="D239" i="22"/>
  <c r="C239" i="22"/>
  <c r="AC239" i="22" s="1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AV237" i="22"/>
  <c r="AR237" i="22"/>
  <c r="AP237" i="22"/>
  <c r="AN237" i="22"/>
  <c r="AL237" i="22"/>
  <c r="AJ237" i="22"/>
  <c r="AD237" i="22"/>
  <c r="V237" i="22"/>
  <c r="U237" i="22"/>
  <c r="AU237" i="22" s="1"/>
  <c r="T237" i="22"/>
  <c r="AT237" i="22" s="1"/>
  <c r="S237" i="22"/>
  <c r="AS237" i="22" s="1"/>
  <c r="R237" i="22"/>
  <c r="Q237" i="22"/>
  <c r="AQ237" i="22" s="1"/>
  <c r="P237" i="22"/>
  <c r="O237" i="22"/>
  <c r="AO237" i="22" s="1"/>
  <c r="N237" i="22"/>
  <c r="M237" i="22"/>
  <c r="AM237" i="22" s="1"/>
  <c r="L237" i="22"/>
  <c r="K237" i="22"/>
  <c r="AK237" i="22" s="1"/>
  <c r="J237" i="22"/>
  <c r="D237" i="22"/>
  <c r="C237" i="22"/>
  <c r="AC237" i="22" s="1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AU235" i="22"/>
  <c r="AS235" i="22"/>
  <c r="AQ235" i="22"/>
  <c r="AO235" i="22"/>
  <c r="AM235" i="22"/>
  <c r="AK235" i="22"/>
  <c r="AD235" i="22"/>
  <c r="V235" i="22"/>
  <c r="AV235" i="22" s="1"/>
  <c r="U235" i="22"/>
  <c r="T235" i="22"/>
  <c r="AT235" i="22" s="1"/>
  <c r="S235" i="22"/>
  <c r="R235" i="22"/>
  <c r="AR235" i="22" s="1"/>
  <c r="Q235" i="22"/>
  <c r="P235" i="22"/>
  <c r="AP235" i="22" s="1"/>
  <c r="O235" i="22"/>
  <c r="N235" i="22"/>
  <c r="AN235" i="22" s="1"/>
  <c r="M235" i="22"/>
  <c r="L235" i="22"/>
  <c r="AL235" i="22" s="1"/>
  <c r="K235" i="22"/>
  <c r="J235" i="22"/>
  <c r="AJ235" i="22" s="1"/>
  <c r="D235" i="22"/>
  <c r="C235" i="22"/>
  <c r="AC235" i="22" s="1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AR233" i="22"/>
  <c r="AP233" i="22"/>
  <c r="AN233" i="22"/>
  <c r="AL233" i="22"/>
  <c r="AJ233" i="22"/>
  <c r="AD233" i="22"/>
  <c r="V233" i="22"/>
  <c r="AV233" i="22" s="1"/>
  <c r="U233" i="22"/>
  <c r="AU233" i="22" s="1"/>
  <c r="T233" i="22"/>
  <c r="AT233" i="22" s="1"/>
  <c r="S233" i="22"/>
  <c r="AS233" i="22" s="1"/>
  <c r="R233" i="22"/>
  <c r="Q233" i="22"/>
  <c r="AQ233" i="22" s="1"/>
  <c r="P233" i="22"/>
  <c r="O233" i="22"/>
  <c r="AO233" i="22" s="1"/>
  <c r="N233" i="22"/>
  <c r="M233" i="22"/>
  <c r="AM233" i="22" s="1"/>
  <c r="L233" i="22"/>
  <c r="K233" i="22"/>
  <c r="AK233" i="22" s="1"/>
  <c r="J233" i="22"/>
  <c r="D233" i="22"/>
  <c r="C233" i="22"/>
  <c r="AC233" i="22" s="1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AU231" i="22"/>
  <c r="AD231" i="22"/>
  <c r="V231" i="22"/>
  <c r="AV231" i="22" s="1"/>
  <c r="U231" i="22"/>
  <c r="T231" i="22"/>
  <c r="AT231" i="22" s="1"/>
  <c r="S231" i="22"/>
  <c r="AS231" i="22" s="1"/>
  <c r="R231" i="22"/>
  <c r="AR231" i="22" s="1"/>
  <c r="Q231" i="22"/>
  <c r="AQ231" i="22" s="1"/>
  <c r="P231" i="22"/>
  <c r="AP231" i="22" s="1"/>
  <c r="O231" i="22"/>
  <c r="AO231" i="22" s="1"/>
  <c r="N231" i="22"/>
  <c r="AN231" i="22" s="1"/>
  <c r="M231" i="22"/>
  <c r="AM231" i="22" s="1"/>
  <c r="L231" i="22"/>
  <c r="AL231" i="22" s="1"/>
  <c r="K231" i="22"/>
  <c r="AK231" i="22" s="1"/>
  <c r="J231" i="22"/>
  <c r="AJ231" i="22" s="1"/>
  <c r="D231" i="22"/>
  <c r="C231" i="22"/>
  <c r="AC231" i="22" s="1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AD229" i="22"/>
  <c r="V229" i="22"/>
  <c r="AV229" i="22" s="1"/>
  <c r="U229" i="22"/>
  <c r="AU229" i="22" s="1"/>
  <c r="T229" i="22"/>
  <c r="AT229" i="22" s="1"/>
  <c r="S229" i="22"/>
  <c r="AS229" i="22" s="1"/>
  <c r="R229" i="22"/>
  <c r="AR229" i="22" s="1"/>
  <c r="Q229" i="22"/>
  <c r="AQ229" i="22" s="1"/>
  <c r="P229" i="22"/>
  <c r="AP229" i="22" s="1"/>
  <c r="O229" i="22"/>
  <c r="AO229" i="22" s="1"/>
  <c r="N229" i="22"/>
  <c r="AN229" i="22" s="1"/>
  <c r="M229" i="22"/>
  <c r="AM229" i="22" s="1"/>
  <c r="L229" i="22"/>
  <c r="AL229" i="22" s="1"/>
  <c r="K229" i="22"/>
  <c r="AK229" i="22" s="1"/>
  <c r="J229" i="22"/>
  <c r="AJ229" i="22" s="1"/>
  <c r="D229" i="22"/>
  <c r="C229" i="22"/>
  <c r="AC229" i="22" s="1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AP227" i="22"/>
  <c r="AN227" i="22"/>
  <c r="AL227" i="22"/>
  <c r="AJ227" i="22"/>
  <c r="AD227" i="22"/>
  <c r="V227" i="22"/>
  <c r="AV227" i="22" s="1"/>
  <c r="U227" i="22"/>
  <c r="AU227" i="22" s="1"/>
  <c r="T227" i="22"/>
  <c r="AT227" i="22" s="1"/>
  <c r="S227" i="22"/>
  <c r="AS227" i="22" s="1"/>
  <c r="R227" i="22"/>
  <c r="AR227" i="22" s="1"/>
  <c r="Q227" i="22"/>
  <c r="AQ227" i="22" s="1"/>
  <c r="P227" i="22"/>
  <c r="O227" i="22"/>
  <c r="AO227" i="22" s="1"/>
  <c r="N227" i="22"/>
  <c r="M227" i="22"/>
  <c r="AM227" i="22" s="1"/>
  <c r="L227" i="22"/>
  <c r="K227" i="22"/>
  <c r="AK227" i="22" s="1"/>
  <c r="J227" i="22"/>
  <c r="D227" i="22"/>
  <c r="C227" i="22"/>
  <c r="AC227" i="22" s="1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AU225" i="22"/>
  <c r="AS225" i="22"/>
  <c r="AQ225" i="22"/>
  <c r="AO225" i="22"/>
  <c r="AM225" i="22"/>
  <c r="AK225" i="22"/>
  <c r="AD225" i="22"/>
  <c r="AC225" i="22"/>
  <c r="V225" i="22"/>
  <c r="AV225" i="22" s="1"/>
  <c r="U225" i="22"/>
  <c r="T225" i="22"/>
  <c r="AT225" i="22" s="1"/>
  <c r="S225" i="22"/>
  <c r="R225" i="22"/>
  <c r="AR225" i="22" s="1"/>
  <c r="Q225" i="22"/>
  <c r="P225" i="22"/>
  <c r="AP225" i="22" s="1"/>
  <c r="O225" i="22"/>
  <c r="N225" i="22"/>
  <c r="AN225" i="22" s="1"/>
  <c r="M225" i="22"/>
  <c r="L225" i="22"/>
  <c r="AL225" i="22" s="1"/>
  <c r="K225" i="22"/>
  <c r="J225" i="22"/>
  <c r="AJ225" i="22" s="1"/>
  <c r="D225" i="22"/>
  <c r="C225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AR223" i="22"/>
  <c r="AP223" i="22"/>
  <c r="AN223" i="22"/>
  <c r="AL223" i="22"/>
  <c r="AJ223" i="22"/>
  <c r="AD223" i="22"/>
  <c r="V223" i="22"/>
  <c r="AV223" i="22" s="1"/>
  <c r="U223" i="22"/>
  <c r="AU223" i="22" s="1"/>
  <c r="T223" i="22"/>
  <c r="AT223" i="22" s="1"/>
  <c r="S223" i="22"/>
  <c r="AS223" i="22" s="1"/>
  <c r="R223" i="22"/>
  <c r="Q223" i="22"/>
  <c r="AQ223" i="22" s="1"/>
  <c r="P223" i="22"/>
  <c r="O223" i="22"/>
  <c r="AO223" i="22" s="1"/>
  <c r="N223" i="22"/>
  <c r="M223" i="22"/>
  <c r="AM223" i="22" s="1"/>
  <c r="L223" i="22"/>
  <c r="K223" i="22"/>
  <c r="AK223" i="22" s="1"/>
  <c r="J223" i="22"/>
  <c r="D223" i="22"/>
  <c r="C223" i="22"/>
  <c r="AC223" i="22" s="1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AU221" i="22"/>
  <c r="AS221" i="22"/>
  <c r="AQ221" i="22"/>
  <c r="AO221" i="22"/>
  <c r="AM221" i="22"/>
  <c r="AK221" i="22"/>
  <c r="AD221" i="22"/>
  <c r="AC221" i="22"/>
  <c r="V221" i="22"/>
  <c r="AV221" i="22" s="1"/>
  <c r="U221" i="22"/>
  <c r="T221" i="22"/>
  <c r="AT221" i="22" s="1"/>
  <c r="S221" i="22"/>
  <c r="R221" i="22"/>
  <c r="AR221" i="22" s="1"/>
  <c r="Q221" i="22"/>
  <c r="P221" i="22"/>
  <c r="AP221" i="22" s="1"/>
  <c r="O221" i="22"/>
  <c r="N221" i="22"/>
  <c r="AN221" i="22" s="1"/>
  <c r="M221" i="22"/>
  <c r="L221" i="22"/>
  <c r="AL221" i="22" s="1"/>
  <c r="K221" i="22"/>
  <c r="J221" i="22"/>
  <c r="AJ221" i="22" s="1"/>
  <c r="D221" i="22"/>
  <c r="C221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AV219" i="22"/>
  <c r="AR219" i="22"/>
  <c r="AP219" i="22"/>
  <c r="AN219" i="22"/>
  <c r="AL219" i="22"/>
  <c r="AJ219" i="22"/>
  <c r="AD219" i="22"/>
  <c r="V219" i="22"/>
  <c r="U219" i="22"/>
  <c r="AU219" i="22" s="1"/>
  <c r="T219" i="22"/>
  <c r="AT219" i="22" s="1"/>
  <c r="S219" i="22"/>
  <c r="AS219" i="22" s="1"/>
  <c r="R219" i="22"/>
  <c r="Q219" i="22"/>
  <c r="AQ219" i="22" s="1"/>
  <c r="P219" i="22"/>
  <c r="O219" i="22"/>
  <c r="AO219" i="22" s="1"/>
  <c r="N219" i="22"/>
  <c r="M219" i="22"/>
  <c r="AM219" i="22" s="1"/>
  <c r="L219" i="22"/>
  <c r="K219" i="22"/>
  <c r="AK219" i="22" s="1"/>
  <c r="J219" i="22"/>
  <c r="D219" i="22"/>
  <c r="C219" i="22"/>
  <c r="AC219" i="22" s="1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AU217" i="22"/>
  <c r="AS217" i="22"/>
  <c r="AQ217" i="22"/>
  <c r="AO217" i="22"/>
  <c r="AM217" i="22"/>
  <c r="AK217" i="22"/>
  <c r="AD217" i="22"/>
  <c r="AC217" i="22"/>
  <c r="V217" i="22"/>
  <c r="AV217" i="22" s="1"/>
  <c r="U217" i="22"/>
  <c r="T217" i="22"/>
  <c r="AT217" i="22" s="1"/>
  <c r="S217" i="22"/>
  <c r="R217" i="22"/>
  <c r="AR217" i="22" s="1"/>
  <c r="Q217" i="22"/>
  <c r="P217" i="22"/>
  <c r="AP217" i="22" s="1"/>
  <c r="O217" i="22"/>
  <c r="N217" i="22"/>
  <c r="AN217" i="22" s="1"/>
  <c r="M217" i="22"/>
  <c r="L217" i="22"/>
  <c r="AL217" i="22" s="1"/>
  <c r="K217" i="22"/>
  <c r="J217" i="22"/>
  <c r="AJ217" i="22" s="1"/>
  <c r="D217" i="22"/>
  <c r="C217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AV215" i="22"/>
  <c r="AT215" i="22"/>
  <c r="AR215" i="22"/>
  <c r="AP215" i="22"/>
  <c r="AN215" i="22"/>
  <c r="AL215" i="22"/>
  <c r="AJ215" i="22"/>
  <c r="AD215" i="22"/>
  <c r="V215" i="22"/>
  <c r="U215" i="22"/>
  <c r="AU215" i="22" s="1"/>
  <c r="T215" i="22"/>
  <c r="S215" i="22"/>
  <c r="AS215" i="22" s="1"/>
  <c r="R215" i="22"/>
  <c r="Q215" i="22"/>
  <c r="AQ215" i="22" s="1"/>
  <c r="P215" i="22"/>
  <c r="O215" i="22"/>
  <c r="AO215" i="22" s="1"/>
  <c r="N215" i="22"/>
  <c r="M215" i="22"/>
  <c r="AM215" i="22" s="1"/>
  <c r="L215" i="22"/>
  <c r="K215" i="22"/>
  <c r="AK215" i="22" s="1"/>
  <c r="J215" i="22"/>
  <c r="D215" i="22"/>
  <c r="C215" i="22"/>
  <c r="AC215" i="22" s="1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AU213" i="22"/>
  <c r="AS213" i="22"/>
  <c r="AQ213" i="22"/>
  <c r="AO213" i="22"/>
  <c r="AM213" i="22"/>
  <c r="AK213" i="22"/>
  <c r="AD213" i="22"/>
  <c r="AC213" i="22"/>
  <c r="V213" i="22"/>
  <c r="AV213" i="22" s="1"/>
  <c r="U213" i="22"/>
  <c r="T213" i="22"/>
  <c r="AT213" i="22" s="1"/>
  <c r="S213" i="22"/>
  <c r="R213" i="22"/>
  <c r="AR213" i="22" s="1"/>
  <c r="Q213" i="22"/>
  <c r="P213" i="22"/>
  <c r="AP213" i="22" s="1"/>
  <c r="O213" i="22"/>
  <c r="N213" i="22"/>
  <c r="AN213" i="22" s="1"/>
  <c r="M213" i="22"/>
  <c r="L213" i="22"/>
  <c r="AL213" i="22" s="1"/>
  <c r="K213" i="22"/>
  <c r="J213" i="22"/>
  <c r="AJ213" i="22" s="1"/>
  <c r="D213" i="22"/>
  <c r="C213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AV211" i="22"/>
  <c r="AT211" i="22"/>
  <c r="AR211" i="22"/>
  <c r="AP211" i="22"/>
  <c r="AN211" i="22"/>
  <c r="AL211" i="22"/>
  <c r="AJ211" i="22"/>
  <c r="AD211" i="22"/>
  <c r="V211" i="22"/>
  <c r="U211" i="22"/>
  <c r="AU211" i="22" s="1"/>
  <c r="T211" i="22"/>
  <c r="S211" i="22"/>
  <c r="AS211" i="22" s="1"/>
  <c r="R211" i="22"/>
  <c r="Q211" i="22"/>
  <c r="AQ211" i="22" s="1"/>
  <c r="P211" i="22"/>
  <c r="O211" i="22"/>
  <c r="AO211" i="22" s="1"/>
  <c r="N211" i="22"/>
  <c r="M211" i="22"/>
  <c r="AM211" i="22" s="1"/>
  <c r="L211" i="22"/>
  <c r="K211" i="22"/>
  <c r="AK211" i="22" s="1"/>
  <c r="J211" i="22"/>
  <c r="D211" i="22"/>
  <c r="C211" i="22"/>
  <c r="AC211" i="22" s="1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AU209" i="22"/>
  <c r="AS209" i="22"/>
  <c r="AQ209" i="22"/>
  <c r="AO209" i="22"/>
  <c r="AM209" i="22"/>
  <c r="AK209" i="22"/>
  <c r="AD209" i="22"/>
  <c r="AC209" i="22"/>
  <c r="V209" i="22"/>
  <c r="AV209" i="22" s="1"/>
  <c r="U209" i="22"/>
  <c r="T209" i="22"/>
  <c r="AT209" i="22" s="1"/>
  <c r="S209" i="22"/>
  <c r="R209" i="22"/>
  <c r="AR209" i="22" s="1"/>
  <c r="Q209" i="22"/>
  <c r="P209" i="22"/>
  <c r="AP209" i="22" s="1"/>
  <c r="O209" i="22"/>
  <c r="N209" i="22"/>
  <c r="AN209" i="22" s="1"/>
  <c r="M209" i="22"/>
  <c r="L209" i="22"/>
  <c r="AL209" i="22" s="1"/>
  <c r="K209" i="22"/>
  <c r="J209" i="22"/>
  <c r="AJ209" i="22" s="1"/>
  <c r="D209" i="22"/>
  <c r="C209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AV207" i="22"/>
  <c r="AT207" i="22"/>
  <c r="AR207" i="22"/>
  <c r="AP207" i="22"/>
  <c r="AN207" i="22"/>
  <c r="AL207" i="22"/>
  <c r="AJ207" i="22"/>
  <c r="AD207" i="22"/>
  <c r="V207" i="22"/>
  <c r="U207" i="22"/>
  <c r="AU207" i="22" s="1"/>
  <c r="T207" i="22"/>
  <c r="S207" i="22"/>
  <c r="AS207" i="22" s="1"/>
  <c r="R207" i="22"/>
  <c r="Q207" i="22"/>
  <c r="AQ207" i="22" s="1"/>
  <c r="P207" i="22"/>
  <c r="O207" i="22"/>
  <c r="AO207" i="22" s="1"/>
  <c r="N207" i="22"/>
  <c r="M207" i="22"/>
  <c r="AM207" i="22" s="1"/>
  <c r="L207" i="22"/>
  <c r="K207" i="22"/>
  <c r="AK207" i="22" s="1"/>
  <c r="J207" i="22"/>
  <c r="D207" i="22"/>
  <c r="C207" i="22"/>
  <c r="AC207" i="22" s="1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AU205" i="22"/>
  <c r="AS205" i="22"/>
  <c r="AQ205" i="22"/>
  <c r="AO205" i="22"/>
  <c r="AM205" i="22"/>
  <c r="AK205" i="22"/>
  <c r="AD205" i="22"/>
  <c r="AC205" i="22"/>
  <c r="V205" i="22"/>
  <c r="AV205" i="22" s="1"/>
  <c r="U205" i="22"/>
  <c r="T205" i="22"/>
  <c r="AT205" i="22" s="1"/>
  <c r="S205" i="22"/>
  <c r="R205" i="22"/>
  <c r="AR205" i="22" s="1"/>
  <c r="Q205" i="22"/>
  <c r="P205" i="22"/>
  <c r="AP205" i="22" s="1"/>
  <c r="O205" i="22"/>
  <c r="N205" i="22"/>
  <c r="AN205" i="22" s="1"/>
  <c r="M205" i="22"/>
  <c r="L205" i="22"/>
  <c r="AL205" i="22" s="1"/>
  <c r="K205" i="22"/>
  <c r="J205" i="22"/>
  <c r="AJ205" i="22" s="1"/>
  <c r="D205" i="22"/>
  <c r="C205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AV203" i="22"/>
  <c r="AT203" i="22"/>
  <c r="AR203" i="22"/>
  <c r="AP203" i="22"/>
  <c r="AN203" i="22"/>
  <c r="AL203" i="22"/>
  <c r="AJ203" i="22"/>
  <c r="AD203" i="22"/>
  <c r="V203" i="22"/>
  <c r="U203" i="22"/>
  <c r="AU203" i="22" s="1"/>
  <c r="T203" i="22"/>
  <c r="S203" i="22"/>
  <c r="AS203" i="22" s="1"/>
  <c r="R203" i="22"/>
  <c r="Q203" i="22"/>
  <c r="AQ203" i="22" s="1"/>
  <c r="P203" i="22"/>
  <c r="O203" i="22"/>
  <c r="AO203" i="22" s="1"/>
  <c r="N203" i="22"/>
  <c r="M203" i="22"/>
  <c r="AM203" i="22" s="1"/>
  <c r="L203" i="22"/>
  <c r="K203" i="22"/>
  <c r="AK203" i="22" s="1"/>
  <c r="J203" i="22"/>
  <c r="D203" i="22"/>
  <c r="C203" i="22"/>
  <c r="AC203" i="22" s="1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AU201" i="22"/>
  <c r="AS201" i="22"/>
  <c r="AQ201" i="22"/>
  <c r="AO201" i="22"/>
  <c r="AM201" i="22"/>
  <c r="AK201" i="22"/>
  <c r="AD201" i="22"/>
  <c r="AC201" i="22"/>
  <c r="V201" i="22"/>
  <c r="AV201" i="22" s="1"/>
  <c r="U201" i="22"/>
  <c r="T201" i="22"/>
  <c r="AT201" i="22" s="1"/>
  <c r="S201" i="22"/>
  <c r="R201" i="22"/>
  <c r="AR201" i="22" s="1"/>
  <c r="Q201" i="22"/>
  <c r="P201" i="22"/>
  <c r="AP201" i="22" s="1"/>
  <c r="O201" i="22"/>
  <c r="N201" i="22"/>
  <c r="AN201" i="22" s="1"/>
  <c r="M201" i="22"/>
  <c r="L201" i="22"/>
  <c r="AL201" i="22" s="1"/>
  <c r="K201" i="22"/>
  <c r="J201" i="22"/>
  <c r="AJ201" i="22" s="1"/>
  <c r="D201" i="22"/>
  <c r="C201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AV199" i="22"/>
  <c r="AT199" i="22"/>
  <c r="AR199" i="22"/>
  <c r="AP199" i="22"/>
  <c r="AN199" i="22"/>
  <c r="AL199" i="22"/>
  <c r="AJ199" i="22"/>
  <c r="AD199" i="22"/>
  <c r="V199" i="22"/>
  <c r="U199" i="22"/>
  <c r="AU199" i="22" s="1"/>
  <c r="T199" i="22"/>
  <c r="S199" i="22"/>
  <c r="AS199" i="22" s="1"/>
  <c r="R199" i="22"/>
  <c r="Q199" i="22"/>
  <c r="AQ199" i="22" s="1"/>
  <c r="P199" i="22"/>
  <c r="O199" i="22"/>
  <c r="AO199" i="22" s="1"/>
  <c r="N199" i="22"/>
  <c r="M199" i="22"/>
  <c r="AM199" i="22" s="1"/>
  <c r="L199" i="22"/>
  <c r="K199" i="22"/>
  <c r="AK199" i="22" s="1"/>
  <c r="J199" i="22"/>
  <c r="D199" i="22"/>
  <c r="C199" i="22"/>
  <c r="AC199" i="22" s="1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AU197" i="22"/>
  <c r="AS197" i="22"/>
  <c r="AQ197" i="22"/>
  <c r="AO197" i="22"/>
  <c r="AM197" i="22"/>
  <c r="AK197" i="22"/>
  <c r="AD197" i="22"/>
  <c r="AC197" i="22"/>
  <c r="V197" i="22"/>
  <c r="AV197" i="22" s="1"/>
  <c r="U197" i="22"/>
  <c r="T197" i="22"/>
  <c r="AT197" i="22" s="1"/>
  <c r="S197" i="22"/>
  <c r="R197" i="22"/>
  <c r="AR197" i="22" s="1"/>
  <c r="Q197" i="22"/>
  <c r="P197" i="22"/>
  <c r="AP197" i="22" s="1"/>
  <c r="O197" i="22"/>
  <c r="N197" i="22"/>
  <c r="AN197" i="22" s="1"/>
  <c r="M197" i="22"/>
  <c r="L197" i="22"/>
  <c r="AL197" i="22" s="1"/>
  <c r="K197" i="22"/>
  <c r="J197" i="22"/>
  <c r="AJ197" i="22" s="1"/>
  <c r="D197" i="22"/>
  <c r="C197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AV195" i="22"/>
  <c r="AT195" i="22"/>
  <c r="AR195" i="22"/>
  <c r="AP195" i="22"/>
  <c r="AN195" i="22"/>
  <c r="AL195" i="22"/>
  <c r="AJ195" i="22"/>
  <c r="AD195" i="22"/>
  <c r="V195" i="22"/>
  <c r="U195" i="22"/>
  <c r="AU195" i="22" s="1"/>
  <c r="T195" i="22"/>
  <c r="S195" i="22"/>
  <c r="AS195" i="22" s="1"/>
  <c r="R195" i="22"/>
  <c r="Q195" i="22"/>
  <c r="AQ195" i="22" s="1"/>
  <c r="P195" i="22"/>
  <c r="O195" i="22"/>
  <c r="AO195" i="22" s="1"/>
  <c r="N195" i="22"/>
  <c r="M195" i="22"/>
  <c r="AM195" i="22" s="1"/>
  <c r="L195" i="22"/>
  <c r="K195" i="22"/>
  <c r="AK195" i="22" s="1"/>
  <c r="J195" i="22"/>
  <c r="D195" i="22"/>
  <c r="C195" i="22"/>
  <c r="AC195" i="22" s="1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AU193" i="22"/>
  <c r="AS193" i="22"/>
  <c r="AQ193" i="22"/>
  <c r="AO193" i="22"/>
  <c r="AM193" i="22"/>
  <c r="AK193" i="22"/>
  <c r="AD193" i="22"/>
  <c r="AC193" i="22"/>
  <c r="V193" i="22"/>
  <c r="AV193" i="22" s="1"/>
  <c r="U193" i="22"/>
  <c r="T193" i="22"/>
  <c r="AT193" i="22" s="1"/>
  <c r="S193" i="22"/>
  <c r="R193" i="22"/>
  <c r="AR193" i="22" s="1"/>
  <c r="Q193" i="22"/>
  <c r="P193" i="22"/>
  <c r="AP193" i="22" s="1"/>
  <c r="O193" i="22"/>
  <c r="N193" i="22"/>
  <c r="AN193" i="22" s="1"/>
  <c r="M193" i="22"/>
  <c r="L193" i="22"/>
  <c r="AL193" i="22" s="1"/>
  <c r="K193" i="22"/>
  <c r="J193" i="22"/>
  <c r="AJ193" i="22" s="1"/>
  <c r="D193" i="22"/>
  <c r="C193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AR191" i="22"/>
  <c r="AP191" i="22"/>
  <c r="AN191" i="22"/>
  <c r="AL191" i="22"/>
  <c r="AJ191" i="22"/>
  <c r="AD191" i="22"/>
  <c r="V191" i="22"/>
  <c r="AV191" i="22" s="1"/>
  <c r="U191" i="22"/>
  <c r="AU191" i="22" s="1"/>
  <c r="T191" i="22"/>
  <c r="AT191" i="22" s="1"/>
  <c r="S191" i="22"/>
  <c r="AS191" i="22" s="1"/>
  <c r="R191" i="22"/>
  <c r="Q191" i="22"/>
  <c r="AQ191" i="22" s="1"/>
  <c r="P191" i="22"/>
  <c r="O191" i="22"/>
  <c r="AO191" i="22" s="1"/>
  <c r="N191" i="22"/>
  <c r="M191" i="22"/>
  <c r="AM191" i="22" s="1"/>
  <c r="L191" i="22"/>
  <c r="K191" i="22"/>
  <c r="AK191" i="22" s="1"/>
  <c r="J191" i="22"/>
  <c r="D191" i="22"/>
  <c r="C191" i="22"/>
  <c r="AC191" i="22" s="1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AU189" i="22"/>
  <c r="AS189" i="22"/>
  <c r="AQ189" i="22"/>
  <c r="AO189" i="22"/>
  <c r="AM189" i="22"/>
  <c r="AK189" i="22"/>
  <c r="AD189" i="22"/>
  <c r="AC189" i="22"/>
  <c r="V189" i="22"/>
  <c r="AV189" i="22" s="1"/>
  <c r="U189" i="22"/>
  <c r="T189" i="22"/>
  <c r="AT189" i="22" s="1"/>
  <c r="S189" i="22"/>
  <c r="R189" i="22"/>
  <c r="AR189" i="22" s="1"/>
  <c r="Q189" i="22"/>
  <c r="P189" i="22"/>
  <c r="AP189" i="22" s="1"/>
  <c r="O189" i="22"/>
  <c r="N189" i="22"/>
  <c r="AN189" i="22" s="1"/>
  <c r="M189" i="22"/>
  <c r="L189" i="22"/>
  <c r="AL189" i="22" s="1"/>
  <c r="K189" i="22"/>
  <c r="J189" i="22"/>
  <c r="AJ189" i="22" s="1"/>
  <c r="D189" i="22"/>
  <c r="C189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AT187" i="22"/>
  <c r="AR187" i="22"/>
  <c r="AP187" i="22"/>
  <c r="AN187" i="22"/>
  <c r="AL187" i="22"/>
  <c r="AJ187" i="22"/>
  <c r="AD187" i="22"/>
  <c r="V187" i="22"/>
  <c r="AV187" i="22" s="1"/>
  <c r="U187" i="22"/>
  <c r="AU187" i="22" s="1"/>
  <c r="T187" i="22"/>
  <c r="S187" i="22"/>
  <c r="AS187" i="22" s="1"/>
  <c r="R187" i="22"/>
  <c r="Q187" i="22"/>
  <c r="AQ187" i="22" s="1"/>
  <c r="P187" i="22"/>
  <c r="O187" i="22"/>
  <c r="AO187" i="22" s="1"/>
  <c r="N187" i="22"/>
  <c r="M187" i="22"/>
  <c r="AM187" i="22" s="1"/>
  <c r="L187" i="22"/>
  <c r="K187" i="22"/>
  <c r="AK187" i="22" s="1"/>
  <c r="J187" i="22"/>
  <c r="D187" i="22"/>
  <c r="C187" i="22"/>
  <c r="AC187" i="22" s="1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AU185" i="22"/>
  <c r="AS185" i="22"/>
  <c r="AQ185" i="22"/>
  <c r="AO185" i="22"/>
  <c r="AM185" i="22"/>
  <c r="AD185" i="22"/>
  <c r="V185" i="22"/>
  <c r="AV185" i="22" s="1"/>
  <c r="U185" i="22"/>
  <c r="T185" i="22"/>
  <c r="AT185" i="22" s="1"/>
  <c r="S185" i="22"/>
  <c r="R185" i="22"/>
  <c r="AR185" i="22" s="1"/>
  <c r="Q185" i="22"/>
  <c r="P185" i="22"/>
  <c r="AP185" i="22" s="1"/>
  <c r="O185" i="22"/>
  <c r="N185" i="22"/>
  <c r="AN185" i="22" s="1"/>
  <c r="M185" i="22"/>
  <c r="L185" i="22"/>
  <c r="AL185" i="22" s="1"/>
  <c r="K185" i="22"/>
  <c r="AK185" i="22" s="1"/>
  <c r="J185" i="22"/>
  <c r="AJ185" i="22" s="1"/>
  <c r="D185" i="22"/>
  <c r="C185" i="22"/>
  <c r="AC185" i="22" s="1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AD183" i="22"/>
  <c r="V183" i="22"/>
  <c r="AV183" i="22" s="1"/>
  <c r="U183" i="22"/>
  <c r="AU183" i="22" s="1"/>
  <c r="T183" i="22"/>
  <c r="AT183" i="22" s="1"/>
  <c r="S183" i="22"/>
  <c r="AS183" i="22" s="1"/>
  <c r="R183" i="22"/>
  <c r="AR183" i="22" s="1"/>
  <c r="Q183" i="22"/>
  <c r="AQ183" i="22" s="1"/>
  <c r="P183" i="22"/>
  <c r="AP183" i="22" s="1"/>
  <c r="O183" i="22"/>
  <c r="AO183" i="22" s="1"/>
  <c r="N183" i="22"/>
  <c r="AN183" i="22" s="1"/>
  <c r="M183" i="22"/>
  <c r="AM183" i="22" s="1"/>
  <c r="L183" i="22"/>
  <c r="AL183" i="22" s="1"/>
  <c r="K183" i="22"/>
  <c r="AK183" i="22" s="1"/>
  <c r="J183" i="22"/>
  <c r="AJ183" i="22" s="1"/>
  <c r="D183" i="22"/>
  <c r="C183" i="22"/>
  <c r="AC183" i="22" s="1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AD181" i="22"/>
  <c r="V181" i="22"/>
  <c r="AV181" i="22" s="1"/>
  <c r="U181" i="22"/>
  <c r="AU181" i="22" s="1"/>
  <c r="T181" i="22"/>
  <c r="AT181" i="22" s="1"/>
  <c r="S181" i="22"/>
  <c r="AS181" i="22" s="1"/>
  <c r="R181" i="22"/>
  <c r="AR181" i="22" s="1"/>
  <c r="Q181" i="22"/>
  <c r="AQ181" i="22" s="1"/>
  <c r="P181" i="22"/>
  <c r="AP181" i="22" s="1"/>
  <c r="O181" i="22"/>
  <c r="AO181" i="22" s="1"/>
  <c r="N181" i="22"/>
  <c r="AN181" i="22" s="1"/>
  <c r="M181" i="22"/>
  <c r="AM181" i="22" s="1"/>
  <c r="L181" i="22"/>
  <c r="AL181" i="22" s="1"/>
  <c r="K181" i="22"/>
  <c r="AK181" i="22" s="1"/>
  <c r="J181" i="22"/>
  <c r="AJ181" i="22" s="1"/>
  <c r="D181" i="22"/>
  <c r="C181" i="22"/>
  <c r="AC181" i="22" s="1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AD179" i="22"/>
  <c r="V179" i="22"/>
  <c r="AV179" i="22" s="1"/>
  <c r="U179" i="22"/>
  <c r="AU179" i="22" s="1"/>
  <c r="T179" i="22"/>
  <c r="AT179" i="22" s="1"/>
  <c r="S179" i="22"/>
  <c r="AS179" i="22" s="1"/>
  <c r="R179" i="22"/>
  <c r="AR179" i="22" s="1"/>
  <c r="Q179" i="22"/>
  <c r="AQ179" i="22" s="1"/>
  <c r="P179" i="22"/>
  <c r="AP179" i="22" s="1"/>
  <c r="O179" i="22"/>
  <c r="AO179" i="22" s="1"/>
  <c r="N179" i="22"/>
  <c r="AN179" i="22" s="1"/>
  <c r="M179" i="22"/>
  <c r="AM179" i="22" s="1"/>
  <c r="L179" i="22"/>
  <c r="AL179" i="22" s="1"/>
  <c r="K179" i="22"/>
  <c r="AK179" i="22" s="1"/>
  <c r="J179" i="22"/>
  <c r="AJ179" i="22" s="1"/>
  <c r="D179" i="22"/>
  <c r="C179" i="22"/>
  <c r="AC179" i="22" s="1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AD177" i="22"/>
  <c r="V177" i="22"/>
  <c r="AV177" i="22" s="1"/>
  <c r="U177" i="22"/>
  <c r="AU177" i="22" s="1"/>
  <c r="T177" i="22"/>
  <c r="AT177" i="22" s="1"/>
  <c r="S177" i="22"/>
  <c r="AS177" i="22" s="1"/>
  <c r="R177" i="22"/>
  <c r="AR177" i="22" s="1"/>
  <c r="Q177" i="22"/>
  <c r="AQ177" i="22" s="1"/>
  <c r="P177" i="22"/>
  <c r="AP177" i="22" s="1"/>
  <c r="O177" i="22"/>
  <c r="AO177" i="22" s="1"/>
  <c r="N177" i="22"/>
  <c r="AN177" i="22" s="1"/>
  <c r="M177" i="22"/>
  <c r="AM177" i="22" s="1"/>
  <c r="L177" i="22"/>
  <c r="AL177" i="22" s="1"/>
  <c r="K177" i="22"/>
  <c r="AK177" i="22" s="1"/>
  <c r="J177" i="22"/>
  <c r="AJ177" i="22" s="1"/>
  <c r="D177" i="22"/>
  <c r="C177" i="22"/>
  <c r="AC177" i="22" s="1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AD175" i="22"/>
  <c r="V175" i="22"/>
  <c r="AV175" i="22" s="1"/>
  <c r="U175" i="22"/>
  <c r="AU175" i="22" s="1"/>
  <c r="T175" i="22"/>
  <c r="AT175" i="22" s="1"/>
  <c r="S175" i="22"/>
  <c r="AS175" i="22" s="1"/>
  <c r="R175" i="22"/>
  <c r="AR175" i="22" s="1"/>
  <c r="Q175" i="22"/>
  <c r="AQ175" i="22" s="1"/>
  <c r="P175" i="22"/>
  <c r="AP175" i="22" s="1"/>
  <c r="O175" i="22"/>
  <c r="AO175" i="22" s="1"/>
  <c r="N175" i="22"/>
  <c r="AN175" i="22" s="1"/>
  <c r="M175" i="22"/>
  <c r="AM175" i="22" s="1"/>
  <c r="L175" i="22"/>
  <c r="AL175" i="22" s="1"/>
  <c r="K175" i="22"/>
  <c r="AK175" i="22" s="1"/>
  <c r="J175" i="22"/>
  <c r="AJ175" i="22" s="1"/>
  <c r="D175" i="22"/>
  <c r="C175" i="22"/>
  <c r="AC175" i="22" s="1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AD173" i="22"/>
  <c r="V173" i="22"/>
  <c r="AV173" i="22" s="1"/>
  <c r="U173" i="22"/>
  <c r="AU173" i="22" s="1"/>
  <c r="T173" i="22"/>
  <c r="AT173" i="22" s="1"/>
  <c r="S173" i="22"/>
  <c r="AS173" i="22" s="1"/>
  <c r="R173" i="22"/>
  <c r="AR173" i="22" s="1"/>
  <c r="Q173" i="22"/>
  <c r="AQ173" i="22" s="1"/>
  <c r="P173" i="22"/>
  <c r="AP173" i="22" s="1"/>
  <c r="O173" i="22"/>
  <c r="AO173" i="22" s="1"/>
  <c r="N173" i="22"/>
  <c r="AN173" i="22" s="1"/>
  <c r="M173" i="22"/>
  <c r="AM173" i="22" s="1"/>
  <c r="L173" i="22"/>
  <c r="AL173" i="22" s="1"/>
  <c r="K173" i="22"/>
  <c r="AK173" i="22" s="1"/>
  <c r="J173" i="22"/>
  <c r="AJ173" i="22" s="1"/>
  <c r="D173" i="22"/>
  <c r="C173" i="22"/>
  <c r="AC173" i="22" s="1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AD171" i="22"/>
  <c r="V171" i="22"/>
  <c r="AV171" i="22" s="1"/>
  <c r="U171" i="22"/>
  <c r="AU171" i="22" s="1"/>
  <c r="T171" i="22"/>
  <c r="AT171" i="22" s="1"/>
  <c r="S171" i="22"/>
  <c r="AS171" i="22" s="1"/>
  <c r="R171" i="22"/>
  <c r="AR171" i="22" s="1"/>
  <c r="Q171" i="22"/>
  <c r="AQ171" i="22" s="1"/>
  <c r="P171" i="22"/>
  <c r="AP171" i="22" s="1"/>
  <c r="O171" i="22"/>
  <c r="AO171" i="22" s="1"/>
  <c r="N171" i="22"/>
  <c r="AN171" i="22" s="1"/>
  <c r="M171" i="22"/>
  <c r="AM171" i="22" s="1"/>
  <c r="L171" i="22"/>
  <c r="AL171" i="22" s="1"/>
  <c r="K171" i="22"/>
  <c r="AK171" i="22" s="1"/>
  <c r="J171" i="22"/>
  <c r="AJ171" i="22" s="1"/>
  <c r="D171" i="22"/>
  <c r="C171" i="22"/>
  <c r="AC171" i="22" s="1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AD169" i="22"/>
  <c r="V169" i="22"/>
  <c r="AV169" i="22" s="1"/>
  <c r="U169" i="22"/>
  <c r="AU169" i="22" s="1"/>
  <c r="T169" i="22"/>
  <c r="AT169" i="22" s="1"/>
  <c r="S169" i="22"/>
  <c r="AS169" i="22" s="1"/>
  <c r="R169" i="22"/>
  <c r="AR169" i="22" s="1"/>
  <c r="Q169" i="22"/>
  <c r="AQ169" i="22" s="1"/>
  <c r="P169" i="22"/>
  <c r="AP169" i="22" s="1"/>
  <c r="O169" i="22"/>
  <c r="AO169" i="22" s="1"/>
  <c r="N169" i="22"/>
  <c r="AN169" i="22" s="1"/>
  <c r="M169" i="22"/>
  <c r="AM169" i="22" s="1"/>
  <c r="L169" i="22"/>
  <c r="AL169" i="22" s="1"/>
  <c r="K169" i="22"/>
  <c r="AK169" i="22" s="1"/>
  <c r="J169" i="22"/>
  <c r="AJ169" i="22" s="1"/>
  <c r="D169" i="22"/>
  <c r="C169" i="22"/>
  <c r="AC169" i="22" s="1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AD167" i="22"/>
  <c r="V167" i="22"/>
  <c r="AV167" i="22" s="1"/>
  <c r="U167" i="22"/>
  <c r="AU167" i="22" s="1"/>
  <c r="T167" i="22"/>
  <c r="AT167" i="22" s="1"/>
  <c r="S167" i="22"/>
  <c r="AS167" i="22" s="1"/>
  <c r="R167" i="22"/>
  <c r="AR167" i="22" s="1"/>
  <c r="Q167" i="22"/>
  <c r="AQ167" i="22" s="1"/>
  <c r="P167" i="22"/>
  <c r="AP167" i="22" s="1"/>
  <c r="O167" i="22"/>
  <c r="AO167" i="22" s="1"/>
  <c r="N167" i="22"/>
  <c r="AN167" i="22" s="1"/>
  <c r="M167" i="22"/>
  <c r="AM167" i="22" s="1"/>
  <c r="L167" i="22"/>
  <c r="AL167" i="22" s="1"/>
  <c r="K167" i="22"/>
  <c r="AK167" i="22" s="1"/>
  <c r="J167" i="22"/>
  <c r="AJ167" i="22" s="1"/>
  <c r="D167" i="22"/>
  <c r="C167" i="22"/>
  <c r="AC167" i="22" s="1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AD165" i="22"/>
  <c r="V165" i="22"/>
  <c r="AV165" i="22" s="1"/>
  <c r="U165" i="22"/>
  <c r="AU165" i="22" s="1"/>
  <c r="T165" i="22"/>
  <c r="AT165" i="22" s="1"/>
  <c r="S165" i="22"/>
  <c r="AS165" i="22" s="1"/>
  <c r="R165" i="22"/>
  <c r="AR165" i="22" s="1"/>
  <c r="Q165" i="22"/>
  <c r="AQ165" i="22" s="1"/>
  <c r="P165" i="22"/>
  <c r="AP165" i="22" s="1"/>
  <c r="O165" i="22"/>
  <c r="AO165" i="22" s="1"/>
  <c r="N165" i="22"/>
  <c r="AN165" i="22" s="1"/>
  <c r="M165" i="22"/>
  <c r="AM165" i="22" s="1"/>
  <c r="L165" i="22"/>
  <c r="AL165" i="22" s="1"/>
  <c r="K165" i="22"/>
  <c r="AK165" i="22" s="1"/>
  <c r="J165" i="22"/>
  <c r="AJ165" i="22" s="1"/>
  <c r="D165" i="22"/>
  <c r="C165" i="22"/>
  <c r="AC165" i="22" s="1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AD163" i="22"/>
  <c r="V163" i="22"/>
  <c r="AV163" i="22" s="1"/>
  <c r="U163" i="22"/>
  <c r="AU163" i="22" s="1"/>
  <c r="T163" i="22"/>
  <c r="AT163" i="22" s="1"/>
  <c r="S163" i="22"/>
  <c r="AS163" i="22" s="1"/>
  <c r="R163" i="22"/>
  <c r="AR163" i="22" s="1"/>
  <c r="Q163" i="22"/>
  <c r="AQ163" i="22" s="1"/>
  <c r="P163" i="22"/>
  <c r="AP163" i="22" s="1"/>
  <c r="O163" i="22"/>
  <c r="AO163" i="22" s="1"/>
  <c r="N163" i="22"/>
  <c r="AN163" i="22" s="1"/>
  <c r="M163" i="22"/>
  <c r="AM163" i="22" s="1"/>
  <c r="L163" i="22"/>
  <c r="AL163" i="22" s="1"/>
  <c r="K163" i="22"/>
  <c r="AK163" i="22" s="1"/>
  <c r="J163" i="22"/>
  <c r="AJ163" i="22" s="1"/>
  <c r="D163" i="22"/>
  <c r="C163" i="22"/>
  <c r="AC163" i="22" s="1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AD161" i="22"/>
  <c r="V161" i="22"/>
  <c r="AV161" i="22" s="1"/>
  <c r="U161" i="22"/>
  <c r="AU161" i="22" s="1"/>
  <c r="T161" i="22"/>
  <c r="AT161" i="22" s="1"/>
  <c r="S161" i="22"/>
  <c r="AS161" i="22" s="1"/>
  <c r="R161" i="22"/>
  <c r="AR161" i="22" s="1"/>
  <c r="Q161" i="22"/>
  <c r="AQ161" i="22" s="1"/>
  <c r="P161" i="22"/>
  <c r="AP161" i="22" s="1"/>
  <c r="O161" i="22"/>
  <c r="AO161" i="22" s="1"/>
  <c r="N161" i="22"/>
  <c r="AN161" i="22" s="1"/>
  <c r="M161" i="22"/>
  <c r="AM161" i="22" s="1"/>
  <c r="L161" i="22"/>
  <c r="AL161" i="22" s="1"/>
  <c r="K161" i="22"/>
  <c r="AK161" i="22" s="1"/>
  <c r="J161" i="22"/>
  <c r="AJ161" i="22" s="1"/>
  <c r="D161" i="22"/>
  <c r="C161" i="22"/>
  <c r="AC161" i="22" s="1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AD159" i="22"/>
  <c r="V159" i="22"/>
  <c r="AV159" i="22" s="1"/>
  <c r="U159" i="22"/>
  <c r="AU159" i="22" s="1"/>
  <c r="T159" i="22"/>
  <c r="AT159" i="22" s="1"/>
  <c r="S159" i="22"/>
  <c r="AS159" i="22" s="1"/>
  <c r="R159" i="22"/>
  <c r="AR159" i="22" s="1"/>
  <c r="Q159" i="22"/>
  <c r="AQ159" i="22" s="1"/>
  <c r="P159" i="22"/>
  <c r="AP159" i="22" s="1"/>
  <c r="O159" i="22"/>
  <c r="AO159" i="22" s="1"/>
  <c r="N159" i="22"/>
  <c r="AN159" i="22" s="1"/>
  <c r="M159" i="22"/>
  <c r="AM159" i="22" s="1"/>
  <c r="L159" i="22"/>
  <c r="AL159" i="22" s="1"/>
  <c r="K159" i="22"/>
  <c r="AK159" i="22" s="1"/>
  <c r="J159" i="22"/>
  <c r="AJ159" i="22" s="1"/>
  <c r="D159" i="22"/>
  <c r="C159" i="22"/>
  <c r="AC159" i="22" s="1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AD157" i="22"/>
  <c r="V157" i="22"/>
  <c r="AV157" i="22" s="1"/>
  <c r="U157" i="22"/>
  <c r="AU157" i="22" s="1"/>
  <c r="T157" i="22"/>
  <c r="AT157" i="22" s="1"/>
  <c r="S157" i="22"/>
  <c r="AS157" i="22" s="1"/>
  <c r="R157" i="22"/>
  <c r="AR157" i="22" s="1"/>
  <c r="Q157" i="22"/>
  <c r="AQ157" i="22" s="1"/>
  <c r="P157" i="22"/>
  <c r="AP157" i="22" s="1"/>
  <c r="O157" i="22"/>
  <c r="AO157" i="22" s="1"/>
  <c r="N157" i="22"/>
  <c r="AN157" i="22" s="1"/>
  <c r="M157" i="22"/>
  <c r="AM157" i="22" s="1"/>
  <c r="L157" i="22"/>
  <c r="AL157" i="22" s="1"/>
  <c r="K157" i="22"/>
  <c r="AK157" i="22" s="1"/>
  <c r="J157" i="22"/>
  <c r="AJ157" i="22" s="1"/>
  <c r="D157" i="22"/>
  <c r="C157" i="22"/>
  <c r="AC157" i="22" s="1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AD155" i="22"/>
  <c r="V155" i="22"/>
  <c r="AV155" i="22" s="1"/>
  <c r="U155" i="22"/>
  <c r="AU155" i="22" s="1"/>
  <c r="T155" i="22"/>
  <c r="AT155" i="22" s="1"/>
  <c r="S155" i="22"/>
  <c r="AS155" i="22" s="1"/>
  <c r="R155" i="22"/>
  <c r="AR155" i="22" s="1"/>
  <c r="Q155" i="22"/>
  <c r="AQ155" i="22" s="1"/>
  <c r="P155" i="22"/>
  <c r="AP155" i="22" s="1"/>
  <c r="O155" i="22"/>
  <c r="AO155" i="22" s="1"/>
  <c r="N155" i="22"/>
  <c r="AN155" i="22" s="1"/>
  <c r="M155" i="22"/>
  <c r="AM155" i="22" s="1"/>
  <c r="L155" i="22"/>
  <c r="AL155" i="22" s="1"/>
  <c r="K155" i="22"/>
  <c r="AK155" i="22" s="1"/>
  <c r="J155" i="22"/>
  <c r="AJ155" i="22" s="1"/>
  <c r="D155" i="22"/>
  <c r="C155" i="22"/>
  <c r="AC155" i="22" s="1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AD153" i="22"/>
  <c r="V153" i="22"/>
  <c r="AV153" i="22" s="1"/>
  <c r="U153" i="22"/>
  <c r="AU153" i="22" s="1"/>
  <c r="T153" i="22"/>
  <c r="AT153" i="22" s="1"/>
  <c r="S153" i="22"/>
  <c r="AS153" i="22" s="1"/>
  <c r="R153" i="22"/>
  <c r="AR153" i="22" s="1"/>
  <c r="Q153" i="22"/>
  <c r="AQ153" i="22" s="1"/>
  <c r="P153" i="22"/>
  <c r="AP153" i="22" s="1"/>
  <c r="O153" i="22"/>
  <c r="AO153" i="22" s="1"/>
  <c r="N153" i="22"/>
  <c r="AN153" i="22" s="1"/>
  <c r="M153" i="22"/>
  <c r="AM153" i="22" s="1"/>
  <c r="L153" i="22"/>
  <c r="AL153" i="22" s="1"/>
  <c r="K153" i="22"/>
  <c r="AK153" i="22" s="1"/>
  <c r="J153" i="22"/>
  <c r="AJ153" i="22" s="1"/>
  <c r="D153" i="22"/>
  <c r="C153" i="22"/>
  <c r="AC153" i="22" s="1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AD151" i="22"/>
  <c r="V151" i="22"/>
  <c r="AV151" i="22" s="1"/>
  <c r="U151" i="22"/>
  <c r="AU151" i="22" s="1"/>
  <c r="T151" i="22"/>
  <c r="AT151" i="22" s="1"/>
  <c r="S151" i="22"/>
  <c r="AS151" i="22" s="1"/>
  <c r="R151" i="22"/>
  <c r="AR151" i="22" s="1"/>
  <c r="Q151" i="22"/>
  <c r="AQ151" i="22" s="1"/>
  <c r="P151" i="22"/>
  <c r="AP151" i="22" s="1"/>
  <c r="O151" i="22"/>
  <c r="AO151" i="22" s="1"/>
  <c r="N151" i="22"/>
  <c r="AN151" i="22" s="1"/>
  <c r="M151" i="22"/>
  <c r="AM151" i="22" s="1"/>
  <c r="L151" i="22"/>
  <c r="AL151" i="22" s="1"/>
  <c r="K151" i="22"/>
  <c r="AK151" i="22" s="1"/>
  <c r="J151" i="22"/>
  <c r="AJ151" i="22" s="1"/>
  <c r="D151" i="22"/>
  <c r="C151" i="22"/>
  <c r="AC151" i="22" s="1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AD149" i="22"/>
  <c r="V149" i="22"/>
  <c r="AV149" i="22" s="1"/>
  <c r="U149" i="22"/>
  <c r="AU149" i="22" s="1"/>
  <c r="T149" i="22"/>
  <c r="AT149" i="22" s="1"/>
  <c r="S149" i="22"/>
  <c r="AS149" i="22" s="1"/>
  <c r="R149" i="22"/>
  <c r="AR149" i="22" s="1"/>
  <c r="Q149" i="22"/>
  <c r="AQ149" i="22" s="1"/>
  <c r="P149" i="22"/>
  <c r="AP149" i="22" s="1"/>
  <c r="O149" i="22"/>
  <c r="AO149" i="22" s="1"/>
  <c r="N149" i="22"/>
  <c r="AN149" i="22" s="1"/>
  <c r="M149" i="22"/>
  <c r="AM149" i="22" s="1"/>
  <c r="L149" i="22"/>
  <c r="AL149" i="22" s="1"/>
  <c r="K149" i="22"/>
  <c r="AK149" i="22" s="1"/>
  <c r="J149" i="22"/>
  <c r="AJ149" i="22" s="1"/>
  <c r="D149" i="22"/>
  <c r="C149" i="22"/>
  <c r="AC149" i="22" s="1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AD147" i="22"/>
  <c r="V147" i="22"/>
  <c r="AV147" i="22" s="1"/>
  <c r="U147" i="22"/>
  <c r="AU147" i="22" s="1"/>
  <c r="T147" i="22"/>
  <c r="AT147" i="22" s="1"/>
  <c r="S147" i="22"/>
  <c r="AS147" i="22" s="1"/>
  <c r="R147" i="22"/>
  <c r="AR147" i="22" s="1"/>
  <c r="Q147" i="22"/>
  <c r="AQ147" i="22" s="1"/>
  <c r="P147" i="22"/>
  <c r="AP147" i="22" s="1"/>
  <c r="O147" i="22"/>
  <c r="AO147" i="22" s="1"/>
  <c r="N147" i="22"/>
  <c r="AN147" i="22" s="1"/>
  <c r="M147" i="22"/>
  <c r="AM147" i="22" s="1"/>
  <c r="L147" i="22"/>
  <c r="AL147" i="22" s="1"/>
  <c r="K147" i="22"/>
  <c r="AK147" i="22" s="1"/>
  <c r="J147" i="22"/>
  <c r="AJ147" i="22" s="1"/>
  <c r="D147" i="22"/>
  <c r="C147" i="22"/>
  <c r="AC147" i="22" s="1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AD145" i="22"/>
  <c r="V145" i="22"/>
  <c r="AV145" i="22" s="1"/>
  <c r="U145" i="22"/>
  <c r="AU145" i="22" s="1"/>
  <c r="T145" i="22"/>
  <c r="AT145" i="22" s="1"/>
  <c r="S145" i="22"/>
  <c r="AS145" i="22" s="1"/>
  <c r="R145" i="22"/>
  <c r="AR145" i="22" s="1"/>
  <c r="Q145" i="22"/>
  <c r="AQ145" i="22" s="1"/>
  <c r="P145" i="22"/>
  <c r="AP145" i="22" s="1"/>
  <c r="O145" i="22"/>
  <c r="AO145" i="22" s="1"/>
  <c r="N145" i="22"/>
  <c r="AN145" i="22" s="1"/>
  <c r="M145" i="22"/>
  <c r="AM145" i="22" s="1"/>
  <c r="L145" i="22"/>
  <c r="AL145" i="22" s="1"/>
  <c r="K145" i="22"/>
  <c r="AK145" i="22" s="1"/>
  <c r="J145" i="22"/>
  <c r="AJ145" i="22" s="1"/>
  <c r="D145" i="22"/>
  <c r="C145" i="22"/>
  <c r="AC145" i="22" s="1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AD143" i="22"/>
  <c r="V143" i="22"/>
  <c r="AV143" i="22" s="1"/>
  <c r="U143" i="22"/>
  <c r="AU143" i="22" s="1"/>
  <c r="T143" i="22"/>
  <c r="AT143" i="22" s="1"/>
  <c r="S143" i="22"/>
  <c r="AS143" i="22" s="1"/>
  <c r="R143" i="22"/>
  <c r="AR143" i="22" s="1"/>
  <c r="Q143" i="22"/>
  <c r="AQ143" i="22" s="1"/>
  <c r="P143" i="22"/>
  <c r="AP143" i="22" s="1"/>
  <c r="O143" i="22"/>
  <c r="AO143" i="22" s="1"/>
  <c r="N143" i="22"/>
  <c r="AN143" i="22" s="1"/>
  <c r="M143" i="22"/>
  <c r="AM143" i="22" s="1"/>
  <c r="L143" i="22"/>
  <c r="AL143" i="22" s="1"/>
  <c r="K143" i="22"/>
  <c r="AK143" i="22" s="1"/>
  <c r="J143" i="22"/>
  <c r="AJ143" i="22" s="1"/>
  <c r="D143" i="22"/>
  <c r="C143" i="22"/>
  <c r="AC143" i="22" s="1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AD141" i="22"/>
  <c r="V141" i="22"/>
  <c r="AV141" i="22" s="1"/>
  <c r="U141" i="22"/>
  <c r="AU141" i="22" s="1"/>
  <c r="T141" i="22"/>
  <c r="AT141" i="22" s="1"/>
  <c r="S141" i="22"/>
  <c r="AS141" i="22" s="1"/>
  <c r="R141" i="22"/>
  <c r="AR141" i="22" s="1"/>
  <c r="Q141" i="22"/>
  <c r="AQ141" i="22" s="1"/>
  <c r="P141" i="22"/>
  <c r="AP141" i="22" s="1"/>
  <c r="O141" i="22"/>
  <c r="AO141" i="22" s="1"/>
  <c r="N141" i="22"/>
  <c r="AN141" i="22" s="1"/>
  <c r="M141" i="22"/>
  <c r="AM141" i="22" s="1"/>
  <c r="L141" i="22"/>
  <c r="AL141" i="22" s="1"/>
  <c r="K141" i="22"/>
  <c r="AK141" i="22" s="1"/>
  <c r="J141" i="22"/>
  <c r="AJ141" i="22" s="1"/>
  <c r="D141" i="22"/>
  <c r="C141" i="22"/>
  <c r="AC141" i="22" s="1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AD139" i="22"/>
  <c r="V139" i="22"/>
  <c r="AV139" i="22" s="1"/>
  <c r="U139" i="22"/>
  <c r="AU139" i="22" s="1"/>
  <c r="T139" i="22"/>
  <c r="AT139" i="22" s="1"/>
  <c r="S139" i="22"/>
  <c r="AS139" i="22" s="1"/>
  <c r="R139" i="22"/>
  <c r="AR139" i="22" s="1"/>
  <c r="Q139" i="22"/>
  <c r="AQ139" i="22" s="1"/>
  <c r="P139" i="22"/>
  <c r="AP139" i="22" s="1"/>
  <c r="O139" i="22"/>
  <c r="AO139" i="22" s="1"/>
  <c r="N139" i="22"/>
  <c r="AN139" i="22" s="1"/>
  <c r="M139" i="22"/>
  <c r="AM139" i="22" s="1"/>
  <c r="L139" i="22"/>
  <c r="AL139" i="22" s="1"/>
  <c r="K139" i="22"/>
  <c r="AK139" i="22" s="1"/>
  <c r="J139" i="22"/>
  <c r="AJ139" i="22" s="1"/>
  <c r="D139" i="22"/>
  <c r="C139" i="22"/>
  <c r="AC139" i="22" s="1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AD137" i="22"/>
  <c r="V137" i="22"/>
  <c r="AV137" i="22" s="1"/>
  <c r="U137" i="22"/>
  <c r="AU137" i="22" s="1"/>
  <c r="T137" i="22"/>
  <c r="AT137" i="22" s="1"/>
  <c r="S137" i="22"/>
  <c r="AS137" i="22" s="1"/>
  <c r="R137" i="22"/>
  <c r="AR137" i="22" s="1"/>
  <c r="Q137" i="22"/>
  <c r="AQ137" i="22" s="1"/>
  <c r="P137" i="22"/>
  <c r="AP137" i="22" s="1"/>
  <c r="O137" i="22"/>
  <c r="AO137" i="22" s="1"/>
  <c r="N137" i="22"/>
  <c r="AN137" i="22" s="1"/>
  <c r="M137" i="22"/>
  <c r="AM137" i="22" s="1"/>
  <c r="L137" i="22"/>
  <c r="AL137" i="22" s="1"/>
  <c r="K137" i="22"/>
  <c r="AK137" i="22" s="1"/>
  <c r="J137" i="22"/>
  <c r="AJ137" i="22" s="1"/>
  <c r="D137" i="22"/>
  <c r="C137" i="22"/>
  <c r="AC137" i="22" s="1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AD135" i="22"/>
  <c r="V135" i="22"/>
  <c r="AV135" i="22" s="1"/>
  <c r="U135" i="22"/>
  <c r="AU135" i="22" s="1"/>
  <c r="T135" i="22"/>
  <c r="AT135" i="22" s="1"/>
  <c r="S135" i="22"/>
  <c r="AS135" i="22" s="1"/>
  <c r="R135" i="22"/>
  <c r="AR135" i="22" s="1"/>
  <c r="Q135" i="22"/>
  <c r="AQ135" i="22" s="1"/>
  <c r="P135" i="22"/>
  <c r="AP135" i="22" s="1"/>
  <c r="O135" i="22"/>
  <c r="AO135" i="22" s="1"/>
  <c r="N135" i="22"/>
  <c r="AN135" i="22" s="1"/>
  <c r="M135" i="22"/>
  <c r="AM135" i="22" s="1"/>
  <c r="L135" i="22"/>
  <c r="AL135" i="22" s="1"/>
  <c r="K135" i="22"/>
  <c r="AK135" i="22" s="1"/>
  <c r="J135" i="22"/>
  <c r="AJ135" i="22" s="1"/>
  <c r="D135" i="22"/>
  <c r="C135" i="22"/>
  <c r="AC135" i="22" s="1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AD133" i="22"/>
  <c r="V133" i="22"/>
  <c r="AV133" i="22" s="1"/>
  <c r="U133" i="22"/>
  <c r="AU133" i="22" s="1"/>
  <c r="T133" i="22"/>
  <c r="AT133" i="22" s="1"/>
  <c r="S133" i="22"/>
  <c r="AS133" i="22" s="1"/>
  <c r="R133" i="22"/>
  <c r="AR133" i="22" s="1"/>
  <c r="Q133" i="22"/>
  <c r="AQ133" i="22" s="1"/>
  <c r="P133" i="22"/>
  <c r="AP133" i="22" s="1"/>
  <c r="O133" i="22"/>
  <c r="AO133" i="22" s="1"/>
  <c r="N133" i="22"/>
  <c r="AN133" i="22" s="1"/>
  <c r="M133" i="22"/>
  <c r="AM133" i="22" s="1"/>
  <c r="L133" i="22"/>
  <c r="AL133" i="22" s="1"/>
  <c r="K133" i="22"/>
  <c r="AK133" i="22" s="1"/>
  <c r="J133" i="22"/>
  <c r="AJ133" i="22" s="1"/>
  <c r="D133" i="22"/>
  <c r="C133" i="22"/>
  <c r="AC133" i="22" s="1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AU131" i="22"/>
  <c r="AS131" i="22"/>
  <c r="AQ131" i="22"/>
  <c r="AO131" i="22"/>
  <c r="AM131" i="22"/>
  <c r="AK131" i="22"/>
  <c r="AD131" i="22"/>
  <c r="AC131" i="22"/>
  <c r="V131" i="22"/>
  <c r="AV131" i="22" s="1"/>
  <c r="U131" i="22"/>
  <c r="T131" i="22"/>
  <c r="AT131" i="22" s="1"/>
  <c r="S131" i="22"/>
  <c r="R131" i="22"/>
  <c r="AR131" i="22" s="1"/>
  <c r="Q131" i="22"/>
  <c r="P131" i="22"/>
  <c r="AP131" i="22" s="1"/>
  <c r="O131" i="22"/>
  <c r="N131" i="22"/>
  <c r="AN131" i="22" s="1"/>
  <c r="M131" i="22"/>
  <c r="L131" i="22"/>
  <c r="AL131" i="22" s="1"/>
  <c r="K131" i="22"/>
  <c r="J131" i="22"/>
  <c r="AJ131" i="22" s="1"/>
  <c r="D131" i="22"/>
  <c r="C131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AV129" i="22"/>
  <c r="AT129" i="22"/>
  <c r="AR129" i="22"/>
  <c r="AP129" i="22"/>
  <c r="AN129" i="22"/>
  <c r="AL129" i="22"/>
  <c r="AJ129" i="22"/>
  <c r="AD129" i="22"/>
  <c r="V129" i="22"/>
  <c r="U129" i="22"/>
  <c r="AU129" i="22" s="1"/>
  <c r="T129" i="22"/>
  <c r="S129" i="22"/>
  <c r="AS129" i="22" s="1"/>
  <c r="R129" i="22"/>
  <c r="Q129" i="22"/>
  <c r="AQ129" i="22" s="1"/>
  <c r="P129" i="22"/>
  <c r="O129" i="22"/>
  <c r="AO129" i="22" s="1"/>
  <c r="N129" i="22"/>
  <c r="M129" i="22"/>
  <c r="AM129" i="22" s="1"/>
  <c r="L129" i="22"/>
  <c r="K129" i="22"/>
  <c r="AK129" i="22" s="1"/>
  <c r="J129" i="22"/>
  <c r="D129" i="22"/>
  <c r="C129" i="22"/>
  <c r="AC129" i="22" s="1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AS127" i="22"/>
  <c r="AQ127" i="22"/>
  <c r="AO127" i="22"/>
  <c r="AM127" i="22"/>
  <c r="AK127" i="22"/>
  <c r="AD127" i="22"/>
  <c r="AC127" i="22"/>
  <c r="V127" i="22"/>
  <c r="AV127" i="22" s="1"/>
  <c r="U127" i="22"/>
  <c r="AU127" i="22" s="1"/>
  <c r="T127" i="22"/>
  <c r="AT127" i="22" s="1"/>
  <c r="S127" i="22"/>
  <c r="R127" i="22"/>
  <c r="AR127" i="22" s="1"/>
  <c r="Q127" i="22"/>
  <c r="P127" i="22"/>
  <c r="AP127" i="22" s="1"/>
  <c r="O127" i="22"/>
  <c r="N127" i="22"/>
  <c r="AN127" i="22" s="1"/>
  <c r="M127" i="22"/>
  <c r="L127" i="22"/>
  <c r="AL127" i="22" s="1"/>
  <c r="K127" i="22"/>
  <c r="J127" i="22"/>
  <c r="AJ127" i="22" s="1"/>
  <c r="D127" i="22"/>
  <c r="C127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AV125" i="22"/>
  <c r="AT125" i="22"/>
  <c r="AR125" i="22"/>
  <c r="AP125" i="22"/>
  <c r="AN125" i="22"/>
  <c r="AL125" i="22"/>
  <c r="AJ125" i="22"/>
  <c r="AD125" i="22"/>
  <c r="V125" i="22"/>
  <c r="U125" i="22"/>
  <c r="AU125" i="22" s="1"/>
  <c r="T125" i="22"/>
  <c r="S125" i="22"/>
  <c r="AS125" i="22" s="1"/>
  <c r="R125" i="22"/>
  <c r="Q125" i="22"/>
  <c r="AQ125" i="22" s="1"/>
  <c r="P125" i="22"/>
  <c r="O125" i="22"/>
  <c r="AO125" i="22" s="1"/>
  <c r="N125" i="22"/>
  <c r="M125" i="22"/>
  <c r="AM125" i="22" s="1"/>
  <c r="L125" i="22"/>
  <c r="K125" i="22"/>
  <c r="AK125" i="22" s="1"/>
  <c r="J125" i="22"/>
  <c r="D125" i="22"/>
  <c r="C125" i="22"/>
  <c r="AC125" i="22" s="1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AS123" i="22"/>
  <c r="AQ123" i="22"/>
  <c r="AO123" i="22"/>
  <c r="AM123" i="22"/>
  <c r="AK123" i="22"/>
  <c r="AD123" i="22"/>
  <c r="AC123" i="22"/>
  <c r="V123" i="22"/>
  <c r="AV123" i="22" s="1"/>
  <c r="U123" i="22"/>
  <c r="AU123" i="22" s="1"/>
  <c r="T123" i="22"/>
  <c r="AT123" i="22" s="1"/>
  <c r="S123" i="22"/>
  <c r="R123" i="22"/>
  <c r="AR123" i="22" s="1"/>
  <c r="Q123" i="22"/>
  <c r="P123" i="22"/>
  <c r="AP123" i="22" s="1"/>
  <c r="O123" i="22"/>
  <c r="N123" i="22"/>
  <c r="AN123" i="22" s="1"/>
  <c r="M123" i="22"/>
  <c r="L123" i="22"/>
  <c r="AL123" i="22" s="1"/>
  <c r="K123" i="22"/>
  <c r="J123" i="22"/>
  <c r="AJ123" i="22" s="1"/>
  <c r="D123" i="22"/>
  <c r="C123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AT121" i="22"/>
  <c r="AR121" i="22"/>
  <c r="AP121" i="22"/>
  <c r="AN121" i="22"/>
  <c r="AL121" i="22"/>
  <c r="AJ121" i="22"/>
  <c r="AD121" i="22"/>
  <c r="V121" i="22"/>
  <c r="AV121" i="22" s="1"/>
  <c r="U121" i="22"/>
  <c r="AU121" i="22" s="1"/>
  <c r="T121" i="22"/>
  <c r="S121" i="22"/>
  <c r="AS121" i="22" s="1"/>
  <c r="R121" i="22"/>
  <c r="Q121" i="22"/>
  <c r="AQ121" i="22" s="1"/>
  <c r="P121" i="22"/>
  <c r="O121" i="22"/>
  <c r="AO121" i="22" s="1"/>
  <c r="N121" i="22"/>
  <c r="M121" i="22"/>
  <c r="AM121" i="22" s="1"/>
  <c r="L121" i="22"/>
  <c r="K121" i="22"/>
  <c r="AK121" i="22" s="1"/>
  <c r="J121" i="22"/>
  <c r="D121" i="22"/>
  <c r="C121" i="22"/>
  <c r="AC121" i="22" s="1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AS119" i="22"/>
  <c r="AQ119" i="22"/>
  <c r="AO119" i="22"/>
  <c r="AM119" i="22"/>
  <c r="AK119" i="22"/>
  <c r="AD119" i="22"/>
  <c r="AC119" i="22"/>
  <c r="V119" i="22"/>
  <c r="AV119" i="22" s="1"/>
  <c r="U119" i="22"/>
  <c r="AU119" i="22" s="1"/>
  <c r="T119" i="22"/>
  <c r="AT119" i="22" s="1"/>
  <c r="S119" i="22"/>
  <c r="R119" i="22"/>
  <c r="AR119" i="22" s="1"/>
  <c r="Q119" i="22"/>
  <c r="P119" i="22"/>
  <c r="AP119" i="22" s="1"/>
  <c r="O119" i="22"/>
  <c r="N119" i="22"/>
  <c r="AN119" i="22" s="1"/>
  <c r="M119" i="22"/>
  <c r="L119" i="22"/>
  <c r="AL119" i="22" s="1"/>
  <c r="K119" i="22"/>
  <c r="J119" i="22"/>
  <c r="AJ119" i="22" s="1"/>
  <c r="D119" i="22"/>
  <c r="C119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AV117" i="22"/>
  <c r="AT117" i="22"/>
  <c r="AR117" i="22"/>
  <c r="AP117" i="22"/>
  <c r="AN117" i="22"/>
  <c r="AL117" i="22"/>
  <c r="AJ117" i="22"/>
  <c r="AD117" i="22"/>
  <c r="V117" i="22"/>
  <c r="U117" i="22"/>
  <c r="AU117" i="22" s="1"/>
  <c r="T117" i="22"/>
  <c r="S117" i="22"/>
  <c r="AS117" i="22" s="1"/>
  <c r="R117" i="22"/>
  <c r="Q117" i="22"/>
  <c r="AQ117" i="22" s="1"/>
  <c r="P117" i="22"/>
  <c r="O117" i="22"/>
  <c r="AO117" i="22" s="1"/>
  <c r="N117" i="22"/>
  <c r="M117" i="22"/>
  <c r="AM117" i="22" s="1"/>
  <c r="L117" i="22"/>
  <c r="K117" i="22"/>
  <c r="AK117" i="22" s="1"/>
  <c r="J117" i="22"/>
  <c r="D117" i="22"/>
  <c r="C117" i="22"/>
  <c r="AC117" i="22" s="1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AU115" i="22"/>
  <c r="AS115" i="22"/>
  <c r="AQ115" i="22"/>
  <c r="AO115" i="22"/>
  <c r="AM115" i="22"/>
  <c r="AK115" i="22"/>
  <c r="AD115" i="22"/>
  <c r="AC115" i="22"/>
  <c r="V115" i="22"/>
  <c r="AV115" i="22" s="1"/>
  <c r="U115" i="22"/>
  <c r="T115" i="22"/>
  <c r="AT115" i="22" s="1"/>
  <c r="S115" i="22"/>
  <c r="R115" i="22"/>
  <c r="AR115" i="22" s="1"/>
  <c r="Q115" i="22"/>
  <c r="P115" i="22"/>
  <c r="AP115" i="22" s="1"/>
  <c r="O115" i="22"/>
  <c r="N115" i="22"/>
  <c r="AN115" i="22" s="1"/>
  <c r="M115" i="22"/>
  <c r="L115" i="22"/>
  <c r="AL115" i="22" s="1"/>
  <c r="K115" i="22"/>
  <c r="J115" i="22"/>
  <c r="AJ115" i="22" s="1"/>
  <c r="D115" i="22"/>
  <c r="C115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AT113" i="22"/>
  <c r="AR113" i="22"/>
  <c r="AP113" i="22"/>
  <c r="AN113" i="22"/>
  <c r="AL113" i="22"/>
  <c r="AJ113" i="22"/>
  <c r="AD113" i="22"/>
  <c r="V113" i="22"/>
  <c r="AV113" i="22" s="1"/>
  <c r="U113" i="22"/>
  <c r="AU113" i="22" s="1"/>
  <c r="T113" i="22"/>
  <c r="S113" i="22"/>
  <c r="AS113" i="22" s="1"/>
  <c r="R113" i="22"/>
  <c r="Q113" i="22"/>
  <c r="AQ113" i="22" s="1"/>
  <c r="P113" i="22"/>
  <c r="O113" i="22"/>
  <c r="AO113" i="22" s="1"/>
  <c r="N113" i="22"/>
  <c r="M113" i="22"/>
  <c r="AM113" i="22" s="1"/>
  <c r="L113" i="22"/>
  <c r="K113" i="22"/>
  <c r="AK113" i="22" s="1"/>
  <c r="J113" i="22"/>
  <c r="D113" i="22"/>
  <c r="C113" i="22"/>
  <c r="AC113" i="22" s="1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AU111" i="22"/>
  <c r="AS111" i="22"/>
  <c r="AQ111" i="22"/>
  <c r="AO111" i="22"/>
  <c r="AM111" i="22"/>
  <c r="AK111" i="22"/>
  <c r="AD111" i="22"/>
  <c r="AC111" i="22"/>
  <c r="V111" i="22"/>
  <c r="AV111" i="22" s="1"/>
  <c r="U111" i="22"/>
  <c r="T111" i="22"/>
  <c r="AT111" i="22" s="1"/>
  <c r="S111" i="22"/>
  <c r="R111" i="22"/>
  <c r="AR111" i="22" s="1"/>
  <c r="Q111" i="22"/>
  <c r="P111" i="22"/>
  <c r="AP111" i="22" s="1"/>
  <c r="O111" i="22"/>
  <c r="N111" i="22"/>
  <c r="AN111" i="22" s="1"/>
  <c r="M111" i="22"/>
  <c r="L111" i="22"/>
  <c r="AL111" i="22" s="1"/>
  <c r="K111" i="22"/>
  <c r="J111" i="22"/>
  <c r="AJ111" i="22" s="1"/>
  <c r="D111" i="22"/>
  <c r="C111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AV109" i="22"/>
  <c r="AT109" i="22"/>
  <c r="AR109" i="22"/>
  <c r="AP109" i="22"/>
  <c r="AN109" i="22"/>
  <c r="AL109" i="22"/>
  <c r="AJ109" i="22"/>
  <c r="AD109" i="22"/>
  <c r="V109" i="22"/>
  <c r="U109" i="22"/>
  <c r="AU109" i="22" s="1"/>
  <c r="T109" i="22"/>
  <c r="S109" i="22"/>
  <c r="AS109" i="22" s="1"/>
  <c r="R109" i="22"/>
  <c r="Q109" i="22"/>
  <c r="AQ109" i="22" s="1"/>
  <c r="P109" i="22"/>
  <c r="O109" i="22"/>
  <c r="AO109" i="22" s="1"/>
  <c r="N109" i="22"/>
  <c r="M109" i="22"/>
  <c r="AM109" i="22" s="1"/>
  <c r="L109" i="22"/>
  <c r="K109" i="22"/>
  <c r="AK109" i="22" s="1"/>
  <c r="J109" i="22"/>
  <c r="D109" i="22"/>
  <c r="C109" i="22"/>
  <c r="AC109" i="22" s="1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AS107" i="22"/>
  <c r="AQ107" i="22"/>
  <c r="AO107" i="22"/>
  <c r="AM107" i="22"/>
  <c r="AK107" i="22"/>
  <c r="AD107" i="22"/>
  <c r="AC107" i="22"/>
  <c r="V107" i="22"/>
  <c r="AV107" i="22" s="1"/>
  <c r="U107" i="22"/>
  <c r="AU107" i="22" s="1"/>
  <c r="T107" i="22"/>
  <c r="AT107" i="22" s="1"/>
  <c r="S107" i="22"/>
  <c r="R107" i="22"/>
  <c r="AR107" i="22" s="1"/>
  <c r="Q107" i="22"/>
  <c r="P107" i="22"/>
  <c r="AP107" i="22" s="1"/>
  <c r="O107" i="22"/>
  <c r="N107" i="22"/>
  <c r="AN107" i="22" s="1"/>
  <c r="M107" i="22"/>
  <c r="L107" i="22"/>
  <c r="AL107" i="22" s="1"/>
  <c r="K107" i="22"/>
  <c r="J107" i="22"/>
  <c r="AJ107" i="22" s="1"/>
  <c r="D107" i="22"/>
  <c r="C107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AT105" i="22"/>
  <c r="AR105" i="22"/>
  <c r="AP105" i="22"/>
  <c r="AN105" i="22"/>
  <c r="AL105" i="22"/>
  <c r="AJ105" i="22"/>
  <c r="AD105" i="22"/>
  <c r="V105" i="22"/>
  <c r="AV105" i="22" s="1"/>
  <c r="U105" i="22"/>
  <c r="AU105" i="22" s="1"/>
  <c r="T105" i="22"/>
  <c r="S105" i="22"/>
  <c r="AS105" i="22" s="1"/>
  <c r="R105" i="22"/>
  <c r="Q105" i="22"/>
  <c r="AQ105" i="22" s="1"/>
  <c r="P105" i="22"/>
  <c r="O105" i="22"/>
  <c r="AO105" i="22" s="1"/>
  <c r="N105" i="22"/>
  <c r="M105" i="22"/>
  <c r="AM105" i="22" s="1"/>
  <c r="L105" i="22"/>
  <c r="K105" i="22"/>
  <c r="AK105" i="22" s="1"/>
  <c r="J105" i="22"/>
  <c r="D105" i="22"/>
  <c r="C105" i="22"/>
  <c r="AC105" i="22" s="1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AS103" i="22"/>
  <c r="AQ103" i="22"/>
  <c r="AO103" i="22"/>
  <c r="AM103" i="22"/>
  <c r="AK103" i="22"/>
  <c r="AD103" i="22"/>
  <c r="AC103" i="22"/>
  <c r="V103" i="22"/>
  <c r="AV103" i="22" s="1"/>
  <c r="U103" i="22"/>
  <c r="AU103" i="22" s="1"/>
  <c r="T103" i="22"/>
  <c r="AT103" i="22" s="1"/>
  <c r="S103" i="22"/>
  <c r="R103" i="22"/>
  <c r="AR103" i="22" s="1"/>
  <c r="Q103" i="22"/>
  <c r="P103" i="22"/>
  <c r="AP103" i="22" s="1"/>
  <c r="O103" i="22"/>
  <c r="N103" i="22"/>
  <c r="AN103" i="22" s="1"/>
  <c r="M103" i="22"/>
  <c r="L103" i="22"/>
  <c r="AL103" i="22" s="1"/>
  <c r="K103" i="22"/>
  <c r="J103" i="22"/>
  <c r="AJ103" i="22" s="1"/>
  <c r="D103" i="22"/>
  <c r="C103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AV101" i="22"/>
  <c r="AT101" i="22"/>
  <c r="AR101" i="22"/>
  <c r="AP101" i="22"/>
  <c r="AN101" i="22"/>
  <c r="AL101" i="22"/>
  <c r="AJ101" i="22"/>
  <c r="AD101" i="22"/>
  <c r="V101" i="22"/>
  <c r="U101" i="22"/>
  <c r="AU101" i="22" s="1"/>
  <c r="T101" i="22"/>
  <c r="S101" i="22"/>
  <c r="AS101" i="22" s="1"/>
  <c r="R101" i="22"/>
  <c r="Q101" i="22"/>
  <c r="AQ101" i="22" s="1"/>
  <c r="P101" i="22"/>
  <c r="O101" i="22"/>
  <c r="AO101" i="22" s="1"/>
  <c r="N101" i="22"/>
  <c r="M101" i="22"/>
  <c r="AM101" i="22" s="1"/>
  <c r="L101" i="22"/>
  <c r="K101" i="22"/>
  <c r="AK101" i="22" s="1"/>
  <c r="J101" i="22"/>
  <c r="D101" i="22"/>
  <c r="C101" i="22"/>
  <c r="AC101" i="22" s="1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AU99" i="22"/>
  <c r="AS99" i="22"/>
  <c r="AQ99" i="22"/>
  <c r="AO99" i="22"/>
  <c r="AM99" i="22"/>
  <c r="AK99" i="22"/>
  <c r="AD99" i="22"/>
  <c r="AC99" i="22"/>
  <c r="V99" i="22"/>
  <c r="AV99" i="22" s="1"/>
  <c r="U99" i="22"/>
  <c r="T99" i="22"/>
  <c r="AT99" i="22" s="1"/>
  <c r="S99" i="22"/>
  <c r="R99" i="22"/>
  <c r="AR99" i="22" s="1"/>
  <c r="Q99" i="22"/>
  <c r="P99" i="22"/>
  <c r="AP99" i="22" s="1"/>
  <c r="O99" i="22"/>
  <c r="N99" i="22"/>
  <c r="AN99" i="22" s="1"/>
  <c r="M99" i="22"/>
  <c r="L99" i="22"/>
  <c r="AL99" i="22" s="1"/>
  <c r="K99" i="22"/>
  <c r="J99" i="22"/>
  <c r="AJ99" i="22" s="1"/>
  <c r="D99" i="22"/>
  <c r="C99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AV97" i="22"/>
  <c r="AT97" i="22"/>
  <c r="AR97" i="22"/>
  <c r="AP97" i="22"/>
  <c r="AN97" i="22"/>
  <c r="AL97" i="22"/>
  <c r="AJ97" i="22"/>
  <c r="AD97" i="22"/>
  <c r="V97" i="22"/>
  <c r="U97" i="22"/>
  <c r="AU97" i="22" s="1"/>
  <c r="T97" i="22"/>
  <c r="S97" i="22"/>
  <c r="AS97" i="22" s="1"/>
  <c r="R97" i="22"/>
  <c r="Q97" i="22"/>
  <c r="AQ97" i="22" s="1"/>
  <c r="P97" i="22"/>
  <c r="O97" i="22"/>
  <c r="AO97" i="22" s="1"/>
  <c r="N97" i="22"/>
  <c r="M97" i="22"/>
  <c r="AM97" i="22" s="1"/>
  <c r="L97" i="22"/>
  <c r="K97" i="22"/>
  <c r="AK97" i="22" s="1"/>
  <c r="J97" i="22"/>
  <c r="D97" i="22"/>
  <c r="C97" i="22"/>
  <c r="AC97" i="22" s="1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AU95" i="22"/>
  <c r="AS95" i="22"/>
  <c r="AQ95" i="22"/>
  <c r="AO95" i="22"/>
  <c r="AM95" i="22"/>
  <c r="AK95" i="22"/>
  <c r="AD95" i="22"/>
  <c r="AC95" i="22"/>
  <c r="V95" i="22"/>
  <c r="AV95" i="22" s="1"/>
  <c r="U95" i="22"/>
  <c r="T95" i="22"/>
  <c r="AT95" i="22" s="1"/>
  <c r="S95" i="22"/>
  <c r="R95" i="22"/>
  <c r="AR95" i="22" s="1"/>
  <c r="Q95" i="22"/>
  <c r="P95" i="22"/>
  <c r="AP95" i="22" s="1"/>
  <c r="O95" i="22"/>
  <c r="N95" i="22"/>
  <c r="AN95" i="22" s="1"/>
  <c r="M95" i="22"/>
  <c r="L95" i="22"/>
  <c r="AL95" i="22" s="1"/>
  <c r="K95" i="22"/>
  <c r="J95" i="22"/>
  <c r="AJ95" i="22" s="1"/>
  <c r="D95" i="22"/>
  <c r="C95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AT93" i="22"/>
  <c r="AR93" i="22"/>
  <c r="AP93" i="22"/>
  <c r="AN93" i="22"/>
  <c r="AL93" i="22"/>
  <c r="AJ93" i="22"/>
  <c r="AD93" i="22"/>
  <c r="V93" i="22"/>
  <c r="AV93" i="22" s="1"/>
  <c r="U93" i="22"/>
  <c r="AU93" i="22" s="1"/>
  <c r="T93" i="22"/>
  <c r="S93" i="22"/>
  <c r="AS93" i="22" s="1"/>
  <c r="R93" i="22"/>
  <c r="Q93" i="22"/>
  <c r="AQ93" i="22" s="1"/>
  <c r="P93" i="22"/>
  <c r="O93" i="22"/>
  <c r="AO93" i="22" s="1"/>
  <c r="N93" i="22"/>
  <c r="M93" i="22"/>
  <c r="AM93" i="22" s="1"/>
  <c r="L93" i="22"/>
  <c r="K93" i="22"/>
  <c r="AK93" i="22" s="1"/>
  <c r="J93" i="22"/>
  <c r="D93" i="22"/>
  <c r="C93" i="22"/>
  <c r="AC93" i="22" s="1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AS91" i="22"/>
  <c r="AQ91" i="22"/>
  <c r="AO91" i="22"/>
  <c r="AM91" i="22"/>
  <c r="AK91" i="22"/>
  <c r="AD91" i="22"/>
  <c r="AC91" i="22"/>
  <c r="V91" i="22"/>
  <c r="AV91" i="22" s="1"/>
  <c r="U91" i="22"/>
  <c r="AU91" i="22" s="1"/>
  <c r="T91" i="22"/>
  <c r="AT91" i="22" s="1"/>
  <c r="S91" i="22"/>
  <c r="R91" i="22"/>
  <c r="AR91" i="22" s="1"/>
  <c r="Q91" i="22"/>
  <c r="P91" i="22"/>
  <c r="AP91" i="22" s="1"/>
  <c r="O91" i="22"/>
  <c r="N91" i="22"/>
  <c r="AN91" i="22" s="1"/>
  <c r="M91" i="22"/>
  <c r="L91" i="22"/>
  <c r="AL91" i="22" s="1"/>
  <c r="K91" i="22"/>
  <c r="J91" i="22"/>
  <c r="AJ91" i="22" s="1"/>
  <c r="D91" i="22"/>
  <c r="C91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AV89" i="22"/>
  <c r="AT89" i="22"/>
  <c r="AR89" i="22"/>
  <c r="AP89" i="22"/>
  <c r="AN89" i="22"/>
  <c r="AL89" i="22"/>
  <c r="AJ89" i="22"/>
  <c r="AD89" i="22"/>
  <c r="V89" i="22"/>
  <c r="U89" i="22"/>
  <c r="AU89" i="22" s="1"/>
  <c r="T89" i="22"/>
  <c r="S89" i="22"/>
  <c r="AS89" i="22" s="1"/>
  <c r="R89" i="22"/>
  <c r="Q89" i="22"/>
  <c r="AQ89" i="22" s="1"/>
  <c r="P89" i="22"/>
  <c r="O89" i="22"/>
  <c r="AO89" i="22" s="1"/>
  <c r="N89" i="22"/>
  <c r="M89" i="22"/>
  <c r="AM89" i="22" s="1"/>
  <c r="L89" i="22"/>
  <c r="K89" i="22"/>
  <c r="AK89" i="22" s="1"/>
  <c r="J89" i="22"/>
  <c r="D89" i="22"/>
  <c r="C89" i="22"/>
  <c r="AC89" i="22" s="1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AU87" i="22"/>
  <c r="AS87" i="22"/>
  <c r="AQ87" i="22"/>
  <c r="AO87" i="22"/>
  <c r="AM87" i="22"/>
  <c r="AK87" i="22"/>
  <c r="AD87" i="22"/>
  <c r="AC87" i="22"/>
  <c r="V87" i="22"/>
  <c r="AV87" i="22" s="1"/>
  <c r="U87" i="22"/>
  <c r="T87" i="22"/>
  <c r="AT87" i="22" s="1"/>
  <c r="S87" i="22"/>
  <c r="R87" i="22"/>
  <c r="AR87" i="22" s="1"/>
  <c r="Q87" i="22"/>
  <c r="P87" i="22"/>
  <c r="AP87" i="22" s="1"/>
  <c r="O87" i="22"/>
  <c r="N87" i="22"/>
  <c r="AN87" i="22" s="1"/>
  <c r="M87" i="22"/>
  <c r="L87" i="22"/>
  <c r="AL87" i="22" s="1"/>
  <c r="K87" i="22"/>
  <c r="J87" i="22"/>
  <c r="AJ87" i="22" s="1"/>
  <c r="D87" i="22"/>
  <c r="C87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AV85" i="22"/>
  <c r="AT85" i="22"/>
  <c r="AR85" i="22"/>
  <c r="AP85" i="22"/>
  <c r="AN85" i="22"/>
  <c r="AL85" i="22"/>
  <c r="AJ85" i="22"/>
  <c r="AD85" i="22"/>
  <c r="V85" i="22"/>
  <c r="U85" i="22"/>
  <c r="AU85" i="22" s="1"/>
  <c r="T85" i="22"/>
  <c r="S85" i="22"/>
  <c r="AS85" i="22" s="1"/>
  <c r="R85" i="22"/>
  <c r="Q85" i="22"/>
  <c r="AQ85" i="22" s="1"/>
  <c r="P85" i="22"/>
  <c r="O85" i="22"/>
  <c r="AO85" i="22" s="1"/>
  <c r="N85" i="22"/>
  <c r="M85" i="22"/>
  <c r="AM85" i="22" s="1"/>
  <c r="L85" i="22"/>
  <c r="K85" i="22"/>
  <c r="AK85" i="22" s="1"/>
  <c r="J85" i="22"/>
  <c r="D85" i="22"/>
  <c r="C85" i="22"/>
  <c r="AC85" i="22" s="1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AU83" i="22"/>
  <c r="AS83" i="22"/>
  <c r="AQ83" i="22"/>
  <c r="AO83" i="22"/>
  <c r="AM83" i="22"/>
  <c r="AK83" i="22"/>
  <c r="AD83" i="22"/>
  <c r="AC83" i="22"/>
  <c r="V83" i="22"/>
  <c r="AV83" i="22" s="1"/>
  <c r="U83" i="22"/>
  <c r="T83" i="22"/>
  <c r="AT83" i="22" s="1"/>
  <c r="S83" i="22"/>
  <c r="R83" i="22"/>
  <c r="AR83" i="22" s="1"/>
  <c r="Q83" i="22"/>
  <c r="P83" i="22"/>
  <c r="AP83" i="22" s="1"/>
  <c r="O83" i="22"/>
  <c r="N83" i="22"/>
  <c r="AN83" i="22" s="1"/>
  <c r="M83" i="22"/>
  <c r="L83" i="22"/>
  <c r="AL83" i="22" s="1"/>
  <c r="K83" i="22"/>
  <c r="J83" i="22"/>
  <c r="AJ83" i="22" s="1"/>
  <c r="D83" i="22"/>
  <c r="C83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AV81" i="22"/>
  <c r="AT81" i="22"/>
  <c r="AR81" i="22"/>
  <c r="AP81" i="22"/>
  <c r="AN81" i="22"/>
  <c r="AL81" i="22"/>
  <c r="AJ81" i="22"/>
  <c r="AD81" i="22"/>
  <c r="V81" i="22"/>
  <c r="U81" i="22"/>
  <c r="AU81" i="22" s="1"/>
  <c r="T81" i="22"/>
  <c r="S81" i="22"/>
  <c r="AS81" i="22" s="1"/>
  <c r="R81" i="22"/>
  <c r="Q81" i="22"/>
  <c r="AQ81" i="22" s="1"/>
  <c r="P81" i="22"/>
  <c r="O81" i="22"/>
  <c r="AO81" i="22" s="1"/>
  <c r="N81" i="22"/>
  <c r="M81" i="22"/>
  <c r="AM81" i="22" s="1"/>
  <c r="L81" i="22"/>
  <c r="K81" i="22"/>
  <c r="AK81" i="22" s="1"/>
  <c r="J81" i="22"/>
  <c r="D81" i="22"/>
  <c r="C81" i="22"/>
  <c r="AC81" i="22" s="1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AU79" i="22"/>
  <c r="AS79" i="22"/>
  <c r="AQ79" i="22"/>
  <c r="AO79" i="22"/>
  <c r="AM79" i="22"/>
  <c r="AK79" i="22"/>
  <c r="AD79" i="22"/>
  <c r="AC79" i="22"/>
  <c r="V79" i="22"/>
  <c r="AV79" i="22" s="1"/>
  <c r="U79" i="22"/>
  <c r="T79" i="22"/>
  <c r="AT79" i="22" s="1"/>
  <c r="S79" i="22"/>
  <c r="R79" i="22"/>
  <c r="AR79" i="22" s="1"/>
  <c r="Q79" i="22"/>
  <c r="P79" i="22"/>
  <c r="AP79" i="22" s="1"/>
  <c r="O79" i="22"/>
  <c r="N79" i="22"/>
  <c r="AN79" i="22" s="1"/>
  <c r="M79" i="22"/>
  <c r="L79" i="22"/>
  <c r="AL79" i="22" s="1"/>
  <c r="K79" i="22"/>
  <c r="J79" i="22"/>
  <c r="AJ79" i="22" s="1"/>
  <c r="D79" i="22"/>
  <c r="C79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AV77" i="22"/>
  <c r="AT77" i="22"/>
  <c r="AR77" i="22"/>
  <c r="AP77" i="22"/>
  <c r="AN77" i="22"/>
  <c r="AL77" i="22"/>
  <c r="AJ77" i="22"/>
  <c r="AD77" i="22"/>
  <c r="V77" i="22"/>
  <c r="U77" i="22"/>
  <c r="AU77" i="22" s="1"/>
  <c r="T77" i="22"/>
  <c r="S77" i="22"/>
  <c r="AS77" i="22" s="1"/>
  <c r="R77" i="22"/>
  <c r="Q77" i="22"/>
  <c r="AQ77" i="22" s="1"/>
  <c r="P77" i="22"/>
  <c r="O77" i="22"/>
  <c r="AO77" i="22" s="1"/>
  <c r="N77" i="22"/>
  <c r="M77" i="22"/>
  <c r="AM77" i="22" s="1"/>
  <c r="L77" i="22"/>
  <c r="K77" i="22"/>
  <c r="AK77" i="22" s="1"/>
  <c r="J77" i="22"/>
  <c r="D77" i="22"/>
  <c r="C77" i="22"/>
  <c r="AC77" i="22" s="1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AU75" i="22"/>
  <c r="AS75" i="22"/>
  <c r="AQ75" i="22"/>
  <c r="AO75" i="22"/>
  <c r="AM75" i="22"/>
  <c r="AK75" i="22"/>
  <c r="AD75" i="22"/>
  <c r="AC75" i="22"/>
  <c r="V75" i="22"/>
  <c r="AV75" i="22" s="1"/>
  <c r="U75" i="22"/>
  <c r="T75" i="22"/>
  <c r="AT75" i="22" s="1"/>
  <c r="S75" i="22"/>
  <c r="R75" i="22"/>
  <c r="AR75" i="22" s="1"/>
  <c r="Q75" i="22"/>
  <c r="P75" i="22"/>
  <c r="AP75" i="22" s="1"/>
  <c r="O75" i="22"/>
  <c r="N75" i="22"/>
  <c r="AN75" i="22" s="1"/>
  <c r="M75" i="22"/>
  <c r="L75" i="22"/>
  <c r="AL75" i="22" s="1"/>
  <c r="K75" i="22"/>
  <c r="J75" i="22"/>
  <c r="AJ75" i="22" s="1"/>
  <c r="D75" i="22"/>
  <c r="C75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AV73" i="22"/>
  <c r="AT73" i="22"/>
  <c r="AR73" i="22"/>
  <c r="AP73" i="22"/>
  <c r="AN73" i="22"/>
  <c r="AL73" i="22"/>
  <c r="AJ73" i="22"/>
  <c r="AD73" i="22"/>
  <c r="V73" i="22"/>
  <c r="U73" i="22"/>
  <c r="AU73" i="22" s="1"/>
  <c r="T73" i="22"/>
  <c r="S73" i="22"/>
  <c r="AS73" i="22" s="1"/>
  <c r="R73" i="22"/>
  <c r="Q73" i="22"/>
  <c r="AQ73" i="22" s="1"/>
  <c r="P73" i="22"/>
  <c r="O73" i="22"/>
  <c r="AO73" i="22" s="1"/>
  <c r="N73" i="22"/>
  <c r="M73" i="22"/>
  <c r="AM73" i="22" s="1"/>
  <c r="L73" i="22"/>
  <c r="K73" i="22"/>
  <c r="AK73" i="22" s="1"/>
  <c r="J73" i="22"/>
  <c r="D73" i="22"/>
  <c r="C73" i="22"/>
  <c r="AC73" i="22" s="1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AU71" i="22"/>
  <c r="AQ71" i="22"/>
  <c r="AO71" i="22"/>
  <c r="AM71" i="22"/>
  <c r="AK71" i="22"/>
  <c r="AD71" i="22"/>
  <c r="AC71" i="22"/>
  <c r="V71" i="22"/>
  <c r="AV71" i="22" s="1"/>
  <c r="U71" i="22"/>
  <c r="T71" i="22"/>
  <c r="AT71" i="22" s="1"/>
  <c r="S71" i="22"/>
  <c r="AS71" i="22" s="1"/>
  <c r="R71" i="22"/>
  <c r="AR71" i="22" s="1"/>
  <c r="Q71" i="22"/>
  <c r="P71" i="22"/>
  <c r="AP71" i="22" s="1"/>
  <c r="O71" i="22"/>
  <c r="N71" i="22"/>
  <c r="AN71" i="22" s="1"/>
  <c r="M71" i="22"/>
  <c r="L71" i="22"/>
  <c r="AL71" i="22" s="1"/>
  <c r="K71" i="22"/>
  <c r="J71" i="22"/>
  <c r="AJ71" i="22" s="1"/>
  <c r="D71" i="22"/>
  <c r="C71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AT69" i="22"/>
  <c r="AR69" i="22"/>
  <c r="AP69" i="22"/>
  <c r="AN69" i="22"/>
  <c r="AL69" i="22"/>
  <c r="AJ69" i="22"/>
  <c r="AD69" i="22"/>
  <c r="V69" i="22"/>
  <c r="AV69" i="22" s="1"/>
  <c r="U69" i="22"/>
  <c r="AU69" i="22" s="1"/>
  <c r="T69" i="22"/>
  <c r="S69" i="22"/>
  <c r="AS69" i="22" s="1"/>
  <c r="R69" i="22"/>
  <c r="Q69" i="22"/>
  <c r="AQ69" i="22" s="1"/>
  <c r="P69" i="22"/>
  <c r="O69" i="22"/>
  <c r="AO69" i="22" s="1"/>
  <c r="N69" i="22"/>
  <c r="M69" i="22"/>
  <c r="AM69" i="22" s="1"/>
  <c r="L69" i="22"/>
  <c r="K69" i="22"/>
  <c r="AK69" i="22" s="1"/>
  <c r="J69" i="22"/>
  <c r="D69" i="22"/>
  <c r="C69" i="22"/>
  <c r="AC69" i="22" s="1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AU67" i="22"/>
  <c r="AQ67" i="22"/>
  <c r="AO67" i="22"/>
  <c r="AM67" i="22"/>
  <c r="AK67" i="22"/>
  <c r="AD67" i="22"/>
  <c r="AC67" i="22"/>
  <c r="V67" i="22"/>
  <c r="AV67" i="22" s="1"/>
  <c r="U67" i="22"/>
  <c r="T67" i="22"/>
  <c r="AT67" i="22" s="1"/>
  <c r="S67" i="22"/>
  <c r="AS67" i="22" s="1"/>
  <c r="R67" i="22"/>
  <c r="AR67" i="22" s="1"/>
  <c r="Q67" i="22"/>
  <c r="P67" i="22"/>
  <c r="AP67" i="22" s="1"/>
  <c r="O67" i="22"/>
  <c r="N67" i="22"/>
  <c r="AN67" i="22" s="1"/>
  <c r="M67" i="22"/>
  <c r="L67" i="22"/>
  <c r="AL67" i="22" s="1"/>
  <c r="K67" i="22"/>
  <c r="J67" i="22"/>
  <c r="AJ67" i="22" s="1"/>
  <c r="D67" i="22"/>
  <c r="C67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AV65" i="22"/>
  <c r="AT65" i="22"/>
  <c r="AR65" i="22"/>
  <c r="AP65" i="22"/>
  <c r="AN65" i="22"/>
  <c r="AL65" i="22"/>
  <c r="AJ65" i="22"/>
  <c r="AD65" i="22"/>
  <c r="V65" i="22"/>
  <c r="U65" i="22"/>
  <c r="AU65" i="22" s="1"/>
  <c r="T65" i="22"/>
  <c r="S65" i="22"/>
  <c r="AS65" i="22" s="1"/>
  <c r="R65" i="22"/>
  <c r="Q65" i="22"/>
  <c r="AQ65" i="22" s="1"/>
  <c r="P65" i="22"/>
  <c r="O65" i="22"/>
  <c r="AO65" i="22" s="1"/>
  <c r="N65" i="22"/>
  <c r="M65" i="22"/>
  <c r="AM65" i="22" s="1"/>
  <c r="L65" i="22"/>
  <c r="K65" i="22"/>
  <c r="AK65" i="22" s="1"/>
  <c r="J65" i="22"/>
  <c r="D65" i="22"/>
  <c r="C65" i="22"/>
  <c r="AC65" i="22" s="1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AU63" i="22"/>
  <c r="AQ63" i="22"/>
  <c r="AO63" i="22"/>
  <c r="AM63" i="22"/>
  <c r="AK63" i="22"/>
  <c r="AD63" i="22"/>
  <c r="AC63" i="22"/>
  <c r="V63" i="22"/>
  <c r="AV63" i="22" s="1"/>
  <c r="U63" i="22"/>
  <c r="T63" i="22"/>
  <c r="AT63" i="22" s="1"/>
  <c r="S63" i="22"/>
  <c r="AS63" i="22" s="1"/>
  <c r="R63" i="22"/>
  <c r="AR63" i="22" s="1"/>
  <c r="Q63" i="22"/>
  <c r="P63" i="22"/>
  <c r="AP63" i="22" s="1"/>
  <c r="O63" i="22"/>
  <c r="N63" i="22"/>
  <c r="AN63" i="22" s="1"/>
  <c r="M63" i="22"/>
  <c r="L63" i="22"/>
  <c r="AL63" i="22" s="1"/>
  <c r="K63" i="22"/>
  <c r="J63" i="22"/>
  <c r="AJ63" i="22" s="1"/>
  <c r="D63" i="22"/>
  <c r="C63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AV61" i="22"/>
  <c r="AT61" i="22"/>
  <c r="AR61" i="22"/>
  <c r="AP61" i="22"/>
  <c r="AN61" i="22"/>
  <c r="AL61" i="22"/>
  <c r="AJ61" i="22"/>
  <c r="AD61" i="22"/>
  <c r="V61" i="22"/>
  <c r="U61" i="22"/>
  <c r="AU61" i="22" s="1"/>
  <c r="T61" i="22"/>
  <c r="S61" i="22"/>
  <c r="AS61" i="22" s="1"/>
  <c r="R61" i="22"/>
  <c r="Q61" i="22"/>
  <c r="AQ61" i="22" s="1"/>
  <c r="P61" i="22"/>
  <c r="O61" i="22"/>
  <c r="AO61" i="22" s="1"/>
  <c r="N61" i="22"/>
  <c r="M61" i="22"/>
  <c r="AM61" i="22" s="1"/>
  <c r="L61" i="22"/>
  <c r="K61" i="22"/>
  <c r="AK61" i="22" s="1"/>
  <c r="J61" i="22"/>
  <c r="D61" i="22"/>
  <c r="C61" i="22"/>
  <c r="AC61" i="22" s="1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AU59" i="22"/>
  <c r="AQ59" i="22"/>
  <c r="AO59" i="22"/>
  <c r="AM59" i="22"/>
  <c r="AK59" i="22"/>
  <c r="AD59" i="22"/>
  <c r="AC59" i="22"/>
  <c r="V59" i="22"/>
  <c r="AV59" i="22" s="1"/>
  <c r="U59" i="22"/>
  <c r="T59" i="22"/>
  <c r="AT59" i="22" s="1"/>
  <c r="S59" i="22"/>
  <c r="AS59" i="22" s="1"/>
  <c r="R59" i="22"/>
  <c r="AR59" i="22" s="1"/>
  <c r="Q59" i="22"/>
  <c r="P59" i="22"/>
  <c r="AP59" i="22" s="1"/>
  <c r="O59" i="22"/>
  <c r="N59" i="22"/>
  <c r="AN59" i="22" s="1"/>
  <c r="M59" i="22"/>
  <c r="L59" i="22"/>
  <c r="AL59" i="22" s="1"/>
  <c r="K59" i="22"/>
  <c r="J59" i="22"/>
  <c r="AJ59" i="22" s="1"/>
  <c r="D59" i="22"/>
  <c r="C59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AT57" i="22"/>
  <c r="AR57" i="22"/>
  <c r="AP57" i="22"/>
  <c r="AN57" i="22"/>
  <c r="AL57" i="22"/>
  <c r="AJ57" i="22"/>
  <c r="AD57" i="22"/>
  <c r="V57" i="22"/>
  <c r="AV57" i="22" s="1"/>
  <c r="U57" i="22"/>
  <c r="AU57" i="22" s="1"/>
  <c r="T57" i="22"/>
  <c r="S57" i="22"/>
  <c r="AS57" i="22" s="1"/>
  <c r="R57" i="22"/>
  <c r="Q57" i="22"/>
  <c r="AQ57" i="22" s="1"/>
  <c r="P57" i="22"/>
  <c r="O57" i="22"/>
  <c r="AO57" i="22" s="1"/>
  <c r="N57" i="22"/>
  <c r="M57" i="22"/>
  <c r="AM57" i="22" s="1"/>
  <c r="L57" i="22"/>
  <c r="K57" i="22"/>
  <c r="AK57" i="22" s="1"/>
  <c r="J57" i="22"/>
  <c r="D57" i="22"/>
  <c r="C57" i="22"/>
  <c r="AC57" i="22" s="1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AU55" i="22"/>
  <c r="AS55" i="22"/>
  <c r="AQ55" i="22"/>
  <c r="AO55" i="22"/>
  <c r="AM55" i="22"/>
  <c r="AK55" i="22"/>
  <c r="AD55" i="22"/>
  <c r="AC55" i="22"/>
  <c r="V55" i="22"/>
  <c r="AV55" i="22" s="1"/>
  <c r="U55" i="22"/>
  <c r="T55" i="22"/>
  <c r="AT55" i="22" s="1"/>
  <c r="S55" i="22"/>
  <c r="R55" i="22"/>
  <c r="AR55" i="22" s="1"/>
  <c r="Q55" i="22"/>
  <c r="P55" i="22"/>
  <c r="AP55" i="22" s="1"/>
  <c r="O55" i="22"/>
  <c r="N55" i="22"/>
  <c r="AN55" i="22" s="1"/>
  <c r="M55" i="22"/>
  <c r="L55" i="22"/>
  <c r="AL55" i="22" s="1"/>
  <c r="K55" i="22"/>
  <c r="J55" i="22"/>
  <c r="AJ55" i="22" s="1"/>
  <c r="D55" i="22"/>
  <c r="C55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AT53" i="22"/>
  <c r="AR53" i="22"/>
  <c r="AP53" i="22"/>
  <c r="AN53" i="22"/>
  <c r="AL53" i="22"/>
  <c r="AJ53" i="22"/>
  <c r="AD53" i="22"/>
  <c r="V53" i="22"/>
  <c r="AV53" i="22" s="1"/>
  <c r="U53" i="22"/>
  <c r="AU53" i="22" s="1"/>
  <c r="T53" i="22"/>
  <c r="S53" i="22"/>
  <c r="AS53" i="22" s="1"/>
  <c r="R53" i="22"/>
  <c r="Q53" i="22"/>
  <c r="AQ53" i="22" s="1"/>
  <c r="P53" i="22"/>
  <c r="O53" i="22"/>
  <c r="AO53" i="22" s="1"/>
  <c r="N53" i="22"/>
  <c r="M53" i="22"/>
  <c r="AM53" i="22" s="1"/>
  <c r="L53" i="22"/>
  <c r="K53" i="22"/>
  <c r="AK53" i="22" s="1"/>
  <c r="J53" i="22"/>
  <c r="D53" i="22"/>
  <c r="C53" i="22"/>
  <c r="AC53" i="22" s="1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AU51" i="22"/>
  <c r="AS51" i="22"/>
  <c r="AQ51" i="22"/>
  <c r="AO51" i="22"/>
  <c r="AM51" i="22"/>
  <c r="AK51" i="22"/>
  <c r="AD51" i="22"/>
  <c r="V51" i="22"/>
  <c r="AV51" i="22" s="1"/>
  <c r="U51" i="22"/>
  <c r="T51" i="22"/>
  <c r="AT51" i="22" s="1"/>
  <c r="S51" i="22"/>
  <c r="R51" i="22"/>
  <c r="AR51" i="22" s="1"/>
  <c r="Q51" i="22"/>
  <c r="P51" i="22"/>
  <c r="AP51" i="22" s="1"/>
  <c r="O51" i="22"/>
  <c r="N51" i="22"/>
  <c r="AN51" i="22" s="1"/>
  <c r="M51" i="22"/>
  <c r="L51" i="22"/>
  <c r="AL51" i="22" s="1"/>
  <c r="K51" i="22"/>
  <c r="J51" i="22"/>
  <c r="AJ51" i="22" s="1"/>
  <c r="D51" i="22"/>
  <c r="C51" i="22"/>
  <c r="AC51" i="22" s="1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AT49" i="22"/>
  <c r="AR49" i="22"/>
  <c r="AP49" i="22"/>
  <c r="AN49" i="22"/>
  <c r="AD49" i="22"/>
  <c r="V49" i="22"/>
  <c r="AV49" i="22" s="1"/>
  <c r="U49" i="22"/>
  <c r="AU49" i="22" s="1"/>
  <c r="T49" i="22"/>
  <c r="S49" i="22"/>
  <c r="AS49" i="22" s="1"/>
  <c r="R49" i="22"/>
  <c r="Q49" i="22"/>
  <c r="AQ49" i="22" s="1"/>
  <c r="P49" i="22"/>
  <c r="O49" i="22"/>
  <c r="AO49" i="22" s="1"/>
  <c r="N49" i="22"/>
  <c r="M49" i="22"/>
  <c r="AM49" i="22" s="1"/>
  <c r="L49" i="22"/>
  <c r="AL49" i="22" s="1"/>
  <c r="K49" i="22"/>
  <c r="AK49" i="22" s="1"/>
  <c r="J49" i="22"/>
  <c r="AJ49" i="22" s="1"/>
  <c r="D49" i="22"/>
  <c r="C49" i="22"/>
  <c r="AC49" i="22" s="1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AD47" i="22"/>
  <c r="V47" i="22"/>
  <c r="AV47" i="22" s="1"/>
  <c r="U47" i="22"/>
  <c r="AU47" i="22" s="1"/>
  <c r="T47" i="22"/>
  <c r="AT47" i="22" s="1"/>
  <c r="S47" i="22"/>
  <c r="AS47" i="22" s="1"/>
  <c r="R47" i="22"/>
  <c r="AR47" i="22" s="1"/>
  <c r="Q47" i="22"/>
  <c r="AQ47" i="22" s="1"/>
  <c r="P47" i="22"/>
  <c r="AP47" i="22" s="1"/>
  <c r="O47" i="22"/>
  <c r="AO47" i="22" s="1"/>
  <c r="N47" i="22"/>
  <c r="AN47" i="22" s="1"/>
  <c r="M47" i="22"/>
  <c r="AM47" i="22" s="1"/>
  <c r="L47" i="22"/>
  <c r="AL47" i="22" s="1"/>
  <c r="K47" i="22"/>
  <c r="AK47" i="22" s="1"/>
  <c r="J47" i="22"/>
  <c r="AJ47" i="22" s="1"/>
  <c r="D47" i="22"/>
  <c r="C47" i="22"/>
  <c r="AC47" i="22" s="1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AD45" i="22"/>
  <c r="V45" i="22"/>
  <c r="AV45" i="22" s="1"/>
  <c r="U45" i="22"/>
  <c r="AU45" i="22" s="1"/>
  <c r="T45" i="22"/>
  <c r="AT45" i="22" s="1"/>
  <c r="S45" i="22"/>
  <c r="AS45" i="22" s="1"/>
  <c r="R45" i="22"/>
  <c r="AR45" i="22" s="1"/>
  <c r="Q45" i="22"/>
  <c r="AQ45" i="22" s="1"/>
  <c r="P45" i="22"/>
  <c r="AP45" i="22" s="1"/>
  <c r="O45" i="22"/>
  <c r="AO45" i="22" s="1"/>
  <c r="N45" i="22"/>
  <c r="AN45" i="22" s="1"/>
  <c r="M45" i="22"/>
  <c r="AM45" i="22" s="1"/>
  <c r="L45" i="22"/>
  <c r="AL45" i="22" s="1"/>
  <c r="K45" i="22"/>
  <c r="AK45" i="22" s="1"/>
  <c r="J45" i="22"/>
  <c r="AJ45" i="22" s="1"/>
  <c r="D45" i="22"/>
  <c r="C45" i="22"/>
  <c r="AC45" i="22" s="1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AD43" i="22"/>
  <c r="V43" i="22"/>
  <c r="AV43" i="22" s="1"/>
  <c r="U43" i="22"/>
  <c r="AU43" i="22" s="1"/>
  <c r="T43" i="22"/>
  <c r="AT43" i="22" s="1"/>
  <c r="S43" i="22"/>
  <c r="AS43" i="22" s="1"/>
  <c r="R43" i="22"/>
  <c r="AR43" i="22" s="1"/>
  <c r="Q43" i="22"/>
  <c r="AQ43" i="22" s="1"/>
  <c r="P43" i="22"/>
  <c r="AP43" i="22" s="1"/>
  <c r="O43" i="22"/>
  <c r="AO43" i="22" s="1"/>
  <c r="N43" i="22"/>
  <c r="AN43" i="22" s="1"/>
  <c r="M43" i="22"/>
  <c r="AM43" i="22" s="1"/>
  <c r="L43" i="22"/>
  <c r="AL43" i="22" s="1"/>
  <c r="K43" i="22"/>
  <c r="AK43" i="22" s="1"/>
  <c r="J43" i="22"/>
  <c r="AJ43" i="22" s="1"/>
  <c r="D43" i="22"/>
  <c r="C43" i="22"/>
  <c r="AC43" i="22" s="1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AD41" i="22"/>
  <c r="V41" i="22"/>
  <c r="AV41" i="22" s="1"/>
  <c r="U41" i="22"/>
  <c r="AU41" i="22" s="1"/>
  <c r="T41" i="22"/>
  <c r="AT41" i="22" s="1"/>
  <c r="S41" i="22"/>
  <c r="AS41" i="22" s="1"/>
  <c r="R41" i="22"/>
  <c r="AR41" i="22" s="1"/>
  <c r="Q41" i="22"/>
  <c r="AQ41" i="22" s="1"/>
  <c r="P41" i="22"/>
  <c r="AP41" i="22" s="1"/>
  <c r="O41" i="22"/>
  <c r="AO41" i="22" s="1"/>
  <c r="N41" i="22"/>
  <c r="AN41" i="22" s="1"/>
  <c r="M41" i="22"/>
  <c r="AM41" i="22" s="1"/>
  <c r="L41" i="22"/>
  <c r="AL41" i="22" s="1"/>
  <c r="K41" i="22"/>
  <c r="AK41" i="22" s="1"/>
  <c r="J41" i="22"/>
  <c r="AJ41" i="22" s="1"/>
  <c r="D41" i="22"/>
  <c r="C41" i="22"/>
  <c r="AC41" i="22" s="1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AD39" i="22"/>
  <c r="V39" i="22"/>
  <c r="AV39" i="22" s="1"/>
  <c r="U39" i="22"/>
  <c r="AU39" i="22" s="1"/>
  <c r="T39" i="22"/>
  <c r="AT39" i="22" s="1"/>
  <c r="S39" i="22"/>
  <c r="AS39" i="22" s="1"/>
  <c r="R39" i="22"/>
  <c r="AR39" i="22" s="1"/>
  <c r="Q39" i="22"/>
  <c r="AQ39" i="22" s="1"/>
  <c r="P39" i="22"/>
  <c r="AP39" i="22" s="1"/>
  <c r="O39" i="22"/>
  <c r="AO39" i="22" s="1"/>
  <c r="N39" i="22"/>
  <c r="AN39" i="22" s="1"/>
  <c r="M39" i="22"/>
  <c r="AM39" i="22" s="1"/>
  <c r="L39" i="22"/>
  <c r="AL39" i="22" s="1"/>
  <c r="K39" i="22"/>
  <c r="AK39" i="22" s="1"/>
  <c r="J39" i="22"/>
  <c r="AJ39" i="22" s="1"/>
  <c r="D39" i="22"/>
  <c r="C39" i="22"/>
  <c r="AC39" i="22" s="1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AD37" i="22"/>
  <c r="V37" i="22"/>
  <c r="AV37" i="22" s="1"/>
  <c r="U37" i="22"/>
  <c r="AU37" i="22" s="1"/>
  <c r="T37" i="22"/>
  <c r="AT37" i="22" s="1"/>
  <c r="S37" i="22"/>
  <c r="AS37" i="22" s="1"/>
  <c r="R37" i="22"/>
  <c r="AR37" i="22" s="1"/>
  <c r="Q37" i="22"/>
  <c r="AQ37" i="22" s="1"/>
  <c r="P37" i="22"/>
  <c r="AP37" i="22" s="1"/>
  <c r="O37" i="22"/>
  <c r="AO37" i="22" s="1"/>
  <c r="N37" i="22"/>
  <c r="AN37" i="22" s="1"/>
  <c r="M37" i="22"/>
  <c r="AM37" i="22" s="1"/>
  <c r="L37" i="22"/>
  <c r="AL37" i="22" s="1"/>
  <c r="K37" i="22"/>
  <c r="AK37" i="22" s="1"/>
  <c r="J37" i="22"/>
  <c r="AJ37" i="22" s="1"/>
  <c r="D37" i="22"/>
  <c r="C37" i="22"/>
  <c r="AC37" i="22" s="1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AD35" i="22"/>
  <c r="V35" i="22"/>
  <c r="AV35" i="22" s="1"/>
  <c r="U35" i="22"/>
  <c r="AU35" i="22" s="1"/>
  <c r="T35" i="22"/>
  <c r="AT35" i="22" s="1"/>
  <c r="S35" i="22"/>
  <c r="AS35" i="22" s="1"/>
  <c r="R35" i="22"/>
  <c r="AR35" i="22" s="1"/>
  <c r="Q35" i="22"/>
  <c r="AQ35" i="22" s="1"/>
  <c r="P35" i="22"/>
  <c r="AP35" i="22" s="1"/>
  <c r="O35" i="22"/>
  <c r="AO35" i="22" s="1"/>
  <c r="N35" i="22"/>
  <c r="AN35" i="22" s="1"/>
  <c r="M35" i="22"/>
  <c r="AM35" i="22" s="1"/>
  <c r="L35" i="22"/>
  <c r="AL35" i="22" s="1"/>
  <c r="K35" i="22"/>
  <c r="AK35" i="22" s="1"/>
  <c r="J35" i="22"/>
  <c r="AJ35" i="22" s="1"/>
  <c r="D35" i="22"/>
  <c r="C35" i="22"/>
  <c r="AC35" i="22" s="1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AD33" i="22"/>
  <c r="V33" i="22"/>
  <c r="AV33" i="22" s="1"/>
  <c r="U33" i="22"/>
  <c r="AU33" i="22" s="1"/>
  <c r="T33" i="22"/>
  <c r="AT33" i="22" s="1"/>
  <c r="S33" i="22"/>
  <c r="AS33" i="22" s="1"/>
  <c r="R33" i="22"/>
  <c r="AR33" i="22" s="1"/>
  <c r="Q33" i="22"/>
  <c r="AQ33" i="22" s="1"/>
  <c r="P33" i="22"/>
  <c r="AP33" i="22" s="1"/>
  <c r="O33" i="22"/>
  <c r="AO33" i="22" s="1"/>
  <c r="N33" i="22"/>
  <c r="AN33" i="22" s="1"/>
  <c r="M33" i="22"/>
  <c r="AM33" i="22" s="1"/>
  <c r="L33" i="22"/>
  <c r="AL33" i="22" s="1"/>
  <c r="K33" i="22"/>
  <c r="AK33" i="22" s="1"/>
  <c r="J33" i="22"/>
  <c r="AJ33" i="22" s="1"/>
  <c r="D33" i="22"/>
  <c r="C33" i="22"/>
  <c r="AC33" i="22" s="1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AD31" i="22"/>
  <c r="V31" i="22"/>
  <c r="AV31" i="22" s="1"/>
  <c r="U31" i="22"/>
  <c r="AU31" i="22" s="1"/>
  <c r="T31" i="22"/>
  <c r="AT31" i="22" s="1"/>
  <c r="S31" i="22"/>
  <c r="AS31" i="22" s="1"/>
  <c r="R31" i="22"/>
  <c r="AR31" i="22" s="1"/>
  <c r="Q31" i="22"/>
  <c r="AQ31" i="22" s="1"/>
  <c r="P31" i="22"/>
  <c r="AP31" i="22" s="1"/>
  <c r="O31" i="22"/>
  <c r="AO31" i="22" s="1"/>
  <c r="N31" i="22"/>
  <c r="AN31" i="22" s="1"/>
  <c r="M31" i="22"/>
  <c r="AM31" i="22" s="1"/>
  <c r="L31" i="22"/>
  <c r="AL31" i="22" s="1"/>
  <c r="K31" i="22"/>
  <c r="AK31" i="22" s="1"/>
  <c r="J31" i="22"/>
  <c r="AJ31" i="22" s="1"/>
  <c r="D31" i="22"/>
  <c r="C31" i="22"/>
  <c r="AC31" i="22" s="1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AD29" i="22"/>
  <c r="V29" i="22"/>
  <c r="AV29" i="22" s="1"/>
  <c r="U29" i="22"/>
  <c r="AU29" i="22" s="1"/>
  <c r="T29" i="22"/>
  <c r="AT29" i="22" s="1"/>
  <c r="S29" i="22"/>
  <c r="AS29" i="22" s="1"/>
  <c r="R29" i="22"/>
  <c r="AR29" i="22" s="1"/>
  <c r="Q29" i="22"/>
  <c r="AQ29" i="22" s="1"/>
  <c r="P29" i="22"/>
  <c r="AP29" i="22" s="1"/>
  <c r="O29" i="22"/>
  <c r="AO29" i="22" s="1"/>
  <c r="N29" i="22"/>
  <c r="AN29" i="22" s="1"/>
  <c r="M29" i="22"/>
  <c r="AM29" i="22" s="1"/>
  <c r="L29" i="22"/>
  <c r="AL29" i="22" s="1"/>
  <c r="K29" i="22"/>
  <c r="AK29" i="22" s="1"/>
  <c r="J29" i="22"/>
  <c r="AJ29" i="22" s="1"/>
  <c r="D29" i="22"/>
  <c r="C29" i="22"/>
  <c r="AC29" i="22" s="1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AD27" i="22"/>
  <c r="V27" i="22"/>
  <c r="AV27" i="22" s="1"/>
  <c r="U27" i="22"/>
  <c r="AU27" i="22" s="1"/>
  <c r="T27" i="22"/>
  <c r="AT27" i="22" s="1"/>
  <c r="S27" i="22"/>
  <c r="AS27" i="22" s="1"/>
  <c r="R27" i="22"/>
  <c r="AR27" i="22" s="1"/>
  <c r="Q27" i="22"/>
  <c r="AQ27" i="22" s="1"/>
  <c r="P27" i="22"/>
  <c r="AP27" i="22" s="1"/>
  <c r="O27" i="22"/>
  <c r="AO27" i="22" s="1"/>
  <c r="N27" i="22"/>
  <c r="AN27" i="22" s="1"/>
  <c r="M27" i="22"/>
  <c r="AM27" i="22" s="1"/>
  <c r="L27" i="22"/>
  <c r="AL27" i="22" s="1"/>
  <c r="K27" i="22"/>
  <c r="AK27" i="22" s="1"/>
  <c r="J27" i="22"/>
  <c r="AJ27" i="22" s="1"/>
  <c r="D27" i="22"/>
  <c r="C27" i="22"/>
  <c r="AC27" i="22" s="1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AD25" i="22"/>
  <c r="V25" i="22"/>
  <c r="AV25" i="22" s="1"/>
  <c r="U25" i="22"/>
  <c r="AU25" i="22" s="1"/>
  <c r="T25" i="22"/>
  <c r="AT25" i="22" s="1"/>
  <c r="S25" i="22"/>
  <c r="AS25" i="22" s="1"/>
  <c r="R25" i="22"/>
  <c r="AR25" i="22" s="1"/>
  <c r="Q25" i="22"/>
  <c r="AQ25" i="22" s="1"/>
  <c r="P25" i="22"/>
  <c r="AP25" i="22" s="1"/>
  <c r="O25" i="22"/>
  <c r="AO25" i="22" s="1"/>
  <c r="N25" i="22"/>
  <c r="AN25" i="22" s="1"/>
  <c r="M25" i="22"/>
  <c r="AM25" i="22" s="1"/>
  <c r="L25" i="22"/>
  <c r="AL25" i="22" s="1"/>
  <c r="K25" i="22"/>
  <c r="AK25" i="22" s="1"/>
  <c r="J25" i="22"/>
  <c r="AJ25" i="22" s="1"/>
  <c r="D25" i="22"/>
  <c r="C25" i="22"/>
  <c r="AC25" i="22" s="1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AD23" i="22"/>
  <c r="V23" i="22"/>
  <c r="AV23" i="22" s="1"/>
  <c r="U23" i="22"/>
  <c r="AU23" i="22" s="1"/>
  <c r="T23" i="22"/>
  <c r="AT23" i="22" s="1"/>
  <c r="S23" i="22"/>
  <c r="AS23" i="22" s="1"/>
  <c r="R23" i="22"/>
  <c r="AR23" i="22" s="1"/>
  <c r="Q23" i="22"/>
  <c r="AQ23" i="22" s="1"/>
  <c r="P23" i="22"/>
  <c r="AP23" i="22" s="1"/>
  <c r="O23" i="22"/>
  <c r="AO23" i="22" s="1"/>
  <c r="N23" i="22"/>
  <c r="AN23" i="22" s="1"/>
  <c r="M23" i="22"/>
  <c r="AM23" i="22" s="1"/>
  <c r="L23" i="22"/>
  <c r="AL23" i="22" s="1"/>
  <c r="K23" i="22"/>
  <c r="AK23" i="22" s="1"/>
  <c r="J23" i="22"/>
  <c r="AJ23" i="22" s="1"/>
  <c r="D23" i="22"/>
  <c r="C23" i="22"/>
  <c r="AC23" i="22" s="1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AD21" i="22"/>
  <c r="V21" i="22"/>
  <c r="AV21" i="22" s="1"/>
  <c r="U21" i="22"/>
  <c r="AU21" i="22" s="1"/>
  <c r="T21" i="22"/>
  <c r="AT21" i="22" s="1"/>
  <c r="S21" i="22"/>
  <c r="AS21" i="22" s="1"/>
  <c r="R21" i="22"/>
  <c r="AR21" i="22" s="1"/>
  <c r="Q21" i="22"/>
  <c r="AQ21" i="22" s="1"/>
  <c r="P21" i="22"/>
  <c r="AP21" i="22" s="1"/>
  <c r="O21" i="22"/>
  <c r="AO21" i="22" s="1"/>
  <c r="N21" i="22"/>
  <c r="AN21" i="22" s="1"/>
  <c r="M21" i="22"/>
  <c r="AM21" i="22" s="1"/>
  <c r="L21" i="22"/>
  <c r="AL21" i="22" s="1"/>
  <c r="K21" i="22"/>
  <c r="AK21" i="22" s="1"/>
  <c r="J21" i="22"/>
  <c r="AJ21" i="22" s="1"/>
  <c r="D21" i="22"/>
  <c r="C21" i="22"/>
  <c r="AC21" i="22" s="1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AD19" i="22"/>
  <c r="V19" i="22"/>
  <c r="AV19" i="22" s="1"/>
  <c r="U19" i="22"/>
  <c r="AU19" i="22" s="1"/>
  <c r="T19" i="22"/>
  <c r="AT19" i="22" s="1"/>
  <c r="S19" i="22"/>
  <c r="AS19" i="22" s="1"/>
  <c r="R19" i="22"/>
  <c r="AR19" i="22" s="1"/>
  <c r="Q19" i="22"/>
  <c r="AQ19" i="22" s="1"/>
  <c r="P19" i="22"/>
  <c r="AP19" i="22" s="1"/>
  <c r="O19" i="22"/>
  <c r="AO19" i="22" s="1"/>
  <c r="N19" i="22"/>
  <c r="AN19" i="22" s="1"/>
  <c r="M19" i="22"/>
  <c r="AM19" i="22" s="1"/>
  <c r="L19" i="22"/>
  <c r="AL19" i="22" s="1"/>
  <c r="K19" i="22"/>
  <c r="AK19" i="22" s="1"/>
  <c r="J19" i="22"/>
  <c r="AJ19" i="22" s="1"/>
  <c r="D19" i="22"/>
  <c r="C19" i="22"/>
  <c r="AC19" i="22" s="1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AD17" i="22"/>
  <c r="V17" i="22"/>
  <c r="AV17" i="22" s="1"/>
  <c r="U17" i="22"/>
  <c r="AU17" i="22" s="1"/>
  <c r="T17" i="22"/>
  <c r="AT17" i="22" s="1"/>
  <c r="S17" i="22"/>
  <c r="AS17" i="22" s="1"/>
  <c r="R17" i="22"/>
  <c r="AR17" i="22" s="1"/>
  <c r="Q17" i="22"/>
  <c r="AQ17" i="22" s="1"/>
  <c r="P17" i="22"/>
  <c r="AP17" i="22" s="1"/>
  <c r="O17" i="22"/>
  <c r="AO17" i="22" s="1"/>
  <c r="N17" i="22"/>
  <c r="AN17" i="22" s="1"/>
  <c r="M17" i="22"/>
  <c r="AM17" i="22" s="1"/>
  <c r="L17" i="22"/>
  <c r="AL17" i="22" s="1"/>
  <c r="K17" i="22"/>
  <c r="AK17" i="22" s="1"/>
  <c r="J17" i="22"/>
  <c r="AJ17" i="22" s="1"/>
  <c r="D17" i="22"/>
  <c r="C17" i="22"/>
  <c r="AC17" i="22" s="1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AD15" i="22"/>
  <c r="V15" i="22"/>
  <c r="AV15" i="22" s="1"/>
  <c r="U15" i="22"/>
  <c r="AU15" i="22" s="1"/>
  <c r="T15" i="22"/>
  <c r="AT15" i="22" s="1"/>
  <c r="S15" i="22"/>
  <c r="AS15" i="22" s="1"/>
  <c r="R15" i="22"/>
  <c r="AR15" i="22" s="1"/>
  <c r="Q15" i="22"/>
  <c r="AQ15" i="22" s="1"/>
  <c r="P15" i="22"/>
  <c r="AP15" i="22" s="1"/>
  <c r="O15" i="22"/>
  <c r="AO15" i="22" s="1"/>
  <c r="N15" i="22"/>
  <c r="AN15" i="22" s="1"/>
  <c r="M15" i="22"/>
  <c r="AM15" i="22" s="1"/>
  <c r="L15" i="22"/>
  <c r="AL15" i="22" s="1"/>
  <c r="K15" i="22"/>
  <c r="AK15" i="22" s="1"/>
  <c r="J15" i="22"/>
  <c r="AJ15" i="22" s="1"/>
  <c r="D15" i="22"/>
  <c r="C15" i="22"/>
  <c r="AC15" i="22" s="1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AD13" i="22"/>
  <c r="V13" i="22"/>
  <c r="AV13" i="22" s="1"/>
  <c r="U13" i="22"/>
  <c r="AU13" i="22" s="1"/>
  <c r="T13" i="22"/>
  <c r="AT13" i="22" s="1"/>
  <c r="S13" i="22"/>
  <c r="AS13" i="22" s="1"/>
  <c r="R13" i="22"/>
  <c r="AR13" i="22" s="1"/>
  <c r="Q13" i="22"/>
  <c r="AQ13" i="22" s="1"/>
  <c r="P13" i="22"/>
  <c r="AP13" i="22" s="1"/>
  <c r="O13" i="22"/>
  <c r="AO13" i="22" s="1"/>
  <c r="N13" i="22"/>
  <c r="AN13" i="22" s="1"/>
  <c r="M13" i="22"/>
  <c r="AM13" i="22" s="1"/>
  <c r="L13" i="22"/>
  <c r="AL13" i="22" s="1"/>
  <c r="K13" i="22"/>
  <c r="AK13" i="22" s="1"/>
  <c r="J13" i="22"/>
  <c r="AJ13" i="22" s="1"/>
  <c r="D13" i="22"/>
  <c r="C13" i="22"/>
  <c r="AC13" i="22" s="1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AD11" i="22"/>
  <c r="V11" i="22"/>
  <c r="AV11" i="22" s="1"/>
  <c r="U11" i="22"/>
  <c r="AU11" i="22" s="1"/>
  <c r="T11" i="22"/>
  <c r="AT11" i="22" s="1"/>
  <c r="S11" i="22"/>
  <c r="AS11" i="22" s="1"/>
  <c r="R11" i="22"/>
  <c r="AR11" i="22" s="1"/>
  <c r="Q11" i="22"/>
  <c r="AQ11" i="22" s="1"/>
  <c r="P11" i="22"/>
  <c r="AP11" i="22" s="1"/>
  <c r="O11" i="22"/>
  <c r="AO11" i="22" s="1"/>
  <c r="N11" i="22"/>
  <c r="AN11" i="22" s="1"/>
  <c r="M11" i="22"/>
  <c r="AM11" i="22" s="1"/>
  <c r="L11" i="22"/>
  <c r="AL11" i="22" s="1"/>
  <c r="K11" i="22"/>
  <c r="AK11" i="22" s="1"/>
  <c r="J11" i="22"/>
  <c r="AJ11" i="22" s="1"/>
  <c r="D11" i="22"/>
  <c r="C11" i="22"/>
  <c r="AC11" i="22" s="1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AD9" i="22"/>
  <c r="V9" i="22"/>
  <c r="AV9" i="22" s="1"/>
  <c r="U9" i="22"/>
  <c r="AU9" i="22" s="1"/>
  <c r="T9" i="22"/>
  <c r="AT9" i="22" s="1"/>
  <c r="S9" i="22"/>
  <c r="AS9" i="22" s="1"/>
  <c r="R9" i="22"/>
  <c r="AR9" i="22" s="1"/>
  <c r="Q9" i="22"/>
  <c r="AQ9" i="22" s="1"/>
  <c r="P9" i="22"/>
  <c r="AP9" i="22" s="1"/>
  <c r="O9" i="22"/>
  <c r="AO9" i="22" s="1"/>
  <c r="N9" i="22"/>
  <c r="AN9" i="22" s="1"/>
  <c r="M9" i="22"/>
  <c r="AM9" i="22" s="1"/>
  <c r="L9" i="22"/>
  <c r="AL9" i="22" s="1"/>
  <c r="K9" i="22"/>
  <c r="AK9" i="22" s="1"/>
  <c r="J9" i="22"/>
  <c r="AJ9" i="22" s="1"/>
  <c r="D9" i="22"/>
  <c r="C9" i="22"/>
  <c r="AC9" i="22" s="1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AD7" i="22"/>
  <c r="V7" i="22"/>
  <c r="AV7" i="22" s="1"/>
  <c r="U7" i="22"/>
  <c r="AU7" i="22" s="1"/>
  <c r="T7" i="22"/>
  <c r="AT7" i="22" s="1"/>
  <c r="S7" i="22"/>
  <c r="AS7" i="22" s="1"/>
  <c r="R7" i="22"/>
  <c r="AR7" i="22" s="1"/>
  <c r="Q7" i="22"/>
  <c r="AQ7" i="22" s="1"/>
  <c r="P7" i="22"/>
  <c r="AP7" i="22" s="1"/>
  <c r="O7" i="22"/>
  <c r="AO7" i="22" s="1"/>
  <c r="N7" i="22"/>
  <c r="AN7" i="22" s="1"/>
  <c r="M7" i="22"/>
  <c r="AM7" i="22" s="1"/>
  <c r="L7" i="22"/>
  <c r="AL7" i="22" s="1"/>
  <c r="K7" i="22"/>
  <c r="AK7" i="22" s="1"/>
  <c r="J7" i="22"/>
  <c r="AJ7" i="22" s="1"/>
  <c r="D7" i="22"/>
  <c r="C7" i="22"/>
  <c r="AC7" i="22" s="1"/>
  <c r="AC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AC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X31" i="21" s="1"/>
  <c r="AC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AC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X27" i="21" s="1"/>
  <c r="AC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AC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X23" i="21" s="1"/>
  <c r="AC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AC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X19" i="21" s="1"/>
  <c r="AC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AC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AC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AC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AC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AC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R44" i="19"/>
  <c r="N44" i="19"/>
  <c r="L44" i="19"/>
  <c r="H44" i="19"/>
  <c r="F44" i="19"/>
  <c r="B44" i="19"/>
  <c r="R43" i="19"/>
  <c r="N43" i="19"/>
  <c r="L43" i="19"/>
  <c r="H43" i="19"/>
  <c r="F43" i="19"/>
  <c r="B43" i="19"/>
  <c r="R42" i="19"/>
  <c r="N42" i="19"/>
  <c r="L42" i="19"/>
  <c r="H42" i="19"/>
  <c r="F42" i="19"/>
  <c r="B42" i="19"/>
  <c r="R41" i="19"/>
  <c r="N41" i="19"/>
  <c r="L41" i="19"/>
  <c r="H41" i="19"/>
  <c r="F41" i="19"/>
  <c r="B41" i="19"/>
  <c r="R40" i="19"/>
  <c r="N40" i="19"/>
  <c r="L40" i="19"/>
  <c r="H40" i="19"/>
  <c r="F40" i="19"/>
  <c r="B40" i="19"/>
  <c r="R39" i="19"/>
  <c r="N39" i="19"/>
  <c r="L39" i="19"/>
  <c r="H39" i="19"/>
  <c r="F39" i="19"/>
  <c r="B39" i="19"/>
  <c r="R38" i="19"/>
  <c r="N38" i="19"/>
  <c r="L38" i="19"/>
  <c r="H38" i="19"/>
  <c r="F38" i="19"/>
  <c r="B38" i="19"/>
  <c r="AD31" i="19"/>
  <c r="Z31" i="19"/>
  <c r="X31" i="19"/>
  <c r="T31" i="19"/>
  <c r="R31" i="19"/>
  <c r="N31" i="19"/>
  <c r="L31" i="19"/>
  <c r="H31" i="19"/>
  <c r="F31" i="19"/>
  <c r="B31" i="19"/>
  <c r="AD30" i="19"/>
  <c r="Z30" i="19"/>
  <c r="X30" i="19"/>
  <c r="T30" i="19"/>
  <c r="R30" i="19"/>
  <c r="N30" i="19"/>
  <c r="L30" i="19"/>
  <c r="H30" i="19"/>
  <c r="F30" i="19"/>
  <c r="B30" i="19"/>
  <c r="AD29" i="19"/>
  <c r="Z29" i="19"/>
  <c r="X29" i="19"/>
  <c r="T29" i="19"/>
  <c r="R29" i="19"/>
  <c r="N29" i="19"/>
  <c r="L29" i="19"/>
  <c r="H29" i="19"/>
  <c r="F29" i="19"/>
  <c r="B29" i="19"/>
  <c r="AD28" i="19"/>
  <c r="Z28" i="19"/>
  <c r="X28" i="19"/>
  <c r="T28" i="19"/>
  <c r="R28" i="19"/>
  <c r="N28" i="19"/>
  <c r="L28" i="19"/>
  <c r="H28" i="19"/>
  <c r="F28" i="19"/>
  <c r="B28" i="19"/>
  <c r="AD27" i="19"/>
  <c r="Z27" i="19"/>
  <c r="X27" i="19"/>
  <c r="T27" i="19"/>
  <c r="R27" i="19"/>
  <c r="N27" i="19"/>
  <c r="L27" i="19"/>
  <c r="H27" i="19"/>
  <c r="F27" i="19"/>
  <c r="B27" i="19"/>
  <c r="AD26" i="19"/>
  <c r="Z26" i="19"/>
  <c r="X26" i="19"/>
  <c r="T26" i="19"/>
  <c r="R26" i="19"/>
  <c r="N26" i="19"/>
  <c r="L26" i="19"/>
  <c r="H26" i="19"/>
  <c r="F26" i="19"/>
  <c r="B26" i="19"/>
  <c r="AD25" i="19"/>
  <c r="Z25" i="19"/>
  <c r="X25" i="19"/>
  <c r="T25" i="19"/>
  <c r="R25" i="19"/>
  <c r="N25" i="19"/>
  <c r="L25" i="19"/>
  <c r="H25" i="19"/>
  <c r="F25" i="19"/>
  <c r="B25" i="19"/>
  <c r="AD18" i="19"/>
  <c r="Z18" i="19"/>
  <c r="X18" i="19"/>
  <c r="T18" i="19"/>
  <c r="R18" i="19"/>
  <c r="N18" i="19"/>
  <c r="L18" i="19"/>
  <c r="H18" i="19"/>
  <c r="F18" i="19"/>
  <c r="B18" i="19"/>
  <c r="AD17" i="19"/>
  <c r="Z17" i="19"/>
  <c r="X17" i="19"/>
  <c r="T17" i="19"/>
  <c r="R17" i="19"/>
  <c r="N17" i="19"/>
  <c r="L17" i="19"/>
  <c r="H17" i="19"/>
  <c r="F17" i="19"/>
  <c r="B17" i="19"/>
  <c r="AD16" i="19"/>
  <c r="Z16" i="19"/>
  <c r="X16" i="19"/>
  <c r="T16" i="19"/>
  <c r="R16" i="19"/>
  <c r="N16" i="19"/>
  <c r="L16" i="19"/>
  <c r="H16" i="19"/>
  <c r="F16" i="19"/>
  <c r="B16" i="19"/>
  <c r="AD15" i="19"/>
  <c r="Z15" i="19"/>
  <c r="X15" i="19"/>
  <c r="T15" i="19"/>
  <c r="R15" i="19"/>
  <c r="N15" i="19"/>
  <c r="L15" i="19"/>
  <c r="H15" i="19"/>
  <c r="F15" i="19"/>
  <c r="B15" i="19"/>
  <c r="AD14" i="19"/>
  <c r="Z14" i="19"/>
  <c r="X14" i="19"/>
  <c r="T14" i="19"/>
  <c r="R14" i="19"/>
  <c r="N14" i="19"/>
  <c r="L14" i="19"/>
  <c r="H14" i="19"/>
  <c r="F14" i="19"/>
  <c r="B14" i="19"/>
  <c r="AD13" i="19"/>
  <c r="Z13" i="19"/>
  <c r="X13" i="19"/>
  <c r="T13" i="19"/>
  <c r="R13" i="19"/>
  <c r="N13" i="19"/>
  <c r="L13" i="19"/>
  <c r="H13" i="19"/>
  <c r="F13" i="19"/>
  <c r="B13" i="19"/>
  <c r="AD12" i="19"/>
  <c r="Z12" i="19"/>
  <c r="X12" i="19"/>
  <c r="T12" i="19"/>
  <c r="R12" i="19"/>
  <c r="N12" i="19"/>
  <c r="L12" i="19"/>
  <c r="H12" i="19"/>
  <c r="F12" i="19"/>
  <c r="B12" i="19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AA47" i="16"/>
  <c r="W593" i="22" s="1"/>
  <c r="AW593" i="22" s="1"/>
  <c r="K47" i="16"/>
  <c r="I593" i="22" s="1"/>
  <c r="AI593" i="22" s="1"/>
  <c r="J47" i="16"/>
  <c r="H593" i="22" s="1"/>
  <c r="AH593" i="22" s="1"/>
  <c r="H47" i="16"/>
  <c r="F593" i="22" s="1"/>
  <c r="AF593" i="22" s="1"/>
  <c r="G47" i="16"/>
  <c r="E593" i="22" s="1"/>
  <c r="AE593" i="22" s="1"/>
  <c r="AA45" i="16"/>
  <c r="W591" i="22" s="1"/>
  <c r="AW591" i="22" s="1"/>
  <c r="K45" i="16"/>
  <c r="I591" i="22" s="1"/>
  <c r="AI591" i="22" s="1"/>
  <c r="J45" i="16"/>
  <c r="H591" i="22" s="1"/>
  <c r="AH591" i="22" s="1"/>
  <c r="H45" i="16"/>
  <c r="F591" i="22" s="1"/>
  <c r="AF591" i="22" s="1"/>
  <c r="G45" i="16"/>
  <c r="E591" i="22" s="1"/>
  <c r="AE591" i="22" s="1"/>
  <c r="AA43" i="16"/>
  <c r="W589" i="22" s="1"/>
  <c r="AW589" i="22" s="1"/>
  <c r="K43" i="16"/>
  <c r="I589" i="22" s="1"/>
  <c r="AI589" i="22" s="1"/>
  <c r="J43" i="16"/>
  <c r="H589" i="22" s="1"/>
  <c r="AH589" i="22" s="1"/>
  <c r="H43" i="16"/>
  <c r="F589" i="22" s="1"/>
  <c r="AF589" i="22" s="1"/>
  <c r="G43" i="16"/>
  <c r="E589" i="22" s="1"/>
  <c r="AE589" i="22" s="1"/>
  <c r="AA41" i="16"/>
  <c r="W587" i="22" s="1"/>
  <c r="AW587" i="22" s="1"/>
  <c r="K41" i="16"/>
  <c r="I587" i="22" s="1"/>
  <c r="AI587" i="22" s="1"/>
  <c r="J41" i="16"/>
  <c r="H587" i="22" s="1"/>
  <c r="AH587" i="22" s="1"/>
  <c r="H41" i="16"/>
  <c r="F587" i="22" s="1"/>
  <c r="AF587" i="22" s="1"/>
  <c r="G41" i="16"/>
  <c r="E587" i="22" s="1"/>
  <c r="AE587" i="22" s="1"/>
  <c r="AA39" i="16"/>
  <c r="W585" i="22" s="1"/>
  <c r="AW585" i="22" s="1"/>
  <c r="K39" i="16"/>
  <c r="I585" i="22" s="1"/>
  <c r="AI585" i="22" s="1"/>
  <c r="J39" i="16"/>
  <c r="H585" i="22" s="1"/>
  <c r="AH585" i="22" s="1"/>
  <c r="H39" i="16"/>
  <c r="F585" i="22" s="1"/>
  <c r="AF585" i="22" s="1"/>
  <c r="G39" i="16"/>
  <c r="E585" i="22" s="1"/>
  <c r="AE585" i="22" s="1"/>
  <c r="AA37" i="16"/>
  <c r="W583" i="22" s="1"/>
  <c r="AW583" i="22" s="1"/>
  <c r="K37" i="16"/>
  <c r="I583" i="22" s="1"/>
  <c r="AI583" i="22" s="1"/>
  <c r="J37" i="16"/>
  <c r="H583" i="22" s="1"/>
  <c r="AH583" i="22" s="1"/>
  <c r="H37" i="16"/>
  <c r="F583" i="22" s="1"/>
  <c r="AF583" i="22" s="1"/>
  <c r="G37" i="16"/>
  <c r="E583" i="22" s="1"/>
  <c r="AE583" i="22" s="1"/>
  <c r="AA35" i="16"/>
  <c r="W581" i="22" s="1"/>
  <c r="AW581" i="22" s="1"/>
  <c r="K35" i="16"/>
  <c r="I581" i="22" s="1"/>
  <c r="AI581" i="22" s="1"/>
  <c r="J35" i="16"/>
  <c r="H581" i="22" s="1"/>
  <c r="AH581" i="22" s="1"/>
  <c r="H35" i="16"/>
  <c r="F581" i="22" s="1"/>
  <c r="AF581" i="22" s="1"/>
  <c r="G35" i="16"/>
  <c r="E581" i="22" s="1"/>
  <c r="AE581" i="22" s="1"/>
  <c r="AA33" i="16"/>
  <c r="W579" i="22" s="1"/>
  <c r="AW579" i="22" s="1"/>
  <c r="K33" i="16"/>
  <c r="I579" i="22" s="1"/>
  <c r="AI579" i="22" s="1"/>
  <c r="J33" i="16"/>
  <c r="H579" i="22" s="1"/>
  <c r="AH579" i="22" s="1"/>
  <c r="H33" i="16"/>
  <c r="F579" i="22" s="1"/>
  <c r="AF579" i="22" s="1"/>
  <c r="G33" i="16"/>
  <c r="E579" i="22" s="1"/>
  <c r="AE579" i="22" s="1"/>
  <c r="AA31" i="16"/>
  <c r="W577" i="22" s="1"/>
  <c r="AW577" i="22" s="1"/>
  <c r="K31" i="16"/>
  <c r="I577" i="22" s="1"/>
  <c r="AI577" i="22" s="1"/>
  <c r="J31" i="16"/>
  <c r="H577" i="22" s="1"/>
  <c r="AH577" i="22" s="1"/>
  <c r="H31" i="16"/>
  <c r="F577" i="22" s="1"/>
  <c r="AF577" i="22" s="1"/>
  <c r="G31" i="16"/>
  <c r="E577" i="22" s="1"/>
  <c r="AE577" i="22" s="1"/>
  <c r="AA29" i="16"/>
  <c r="W575" i="22" s="1"/>
  <c r="AW575" i="22" s="1"/>
  <c r="K29" i="16"/>
  <c r="I575" i="22" s="1"/>
  <c r="AI575" i="22" s="1"/>
  <c r="J29" i="16"/>
  <c r="H575" i="22" s="1"/>
  <c r="AH575" i="22" s="1"/>
  <c r="H29" i="16"/>
  <c r="F575" i="22" s="1"/>
  <c r="AF575" i="22" s="1"/>
  <c r="G29" i="16"/>
  <c r="E575" i="22" s="1"/>
  <c r="AE575" i="22" s="1"/>
  <c r="AA27" i="16"/>
  <c r="W573" i="22" s="1"/>
  <c r="AW573" i="22" s="1"/>
  <c r="K27" i="16"/>
  <c r="I573" i="22" s="1"/>
  <c r="AI573" i="22" s="1"/>
  <c r="J27" i="16"/>
  <c r="H573" i="22" s="1"/>
  <c r="AH573" i="22" s="1"/>
  <c r="H27" i="16"/>
  <c r="F573" i="22" s="1"/>
  <c r="AF573" i="22" s="1"/>
  <c r="G27" i="16"/>
  <c r="E573" i="22" s="1"/>
  <c r="AE573" i="22" s="1"/>
  <c r="AA25" i="16"/>
  <c r="W571" i="22" s="1"/>
  <c r="AW571" i="22" s="1"/>
  <c r="K25" i="16"/>
  <c r="I571" i="22" s="1"/>
  <c r="AI571" i="22" s="1"/>
  <c r="J25" i="16"/>
  <c r="H571" i="22" s="1"/>
  <c r="AH571" i="22" s="1"/>
  <c r="H25" i="16"/>
  <c r="F571" i="22" s="1"/>
  <c r="AF571" i="22" s="1"/>
  <c r="G25" i="16"/>
  <c r="E571" i="22" s="1"/>
  <c r="AE571" i="22" s="1"/>
  <c r="AA23" i="16"/>
  <c r="W569" i="22" s="1"/>
  <c r="AW569" i="22" s="1"/>
  <c r="K23" i="16"/>
  <c r="I569" i="22" s="1"/>
  <c r="AI569" i="22" s="1"/>
  <c r="J23" i="16"/>
  <c r="H569" i="22" s="1"/>
  <c r="AH569" i="22" s="1"/>
  <c r="H23" i="16"/>
  <c r="F569" i="22" s="1"/>
  <c r="AF569" i="22" s="1"/>
  <c r="G23" i="16"/>
  <c r="E569" i="22" s="1"/>
  <c r="AE569" i="22" s="1"/>
  <c r="AA21" i="16"/>
  <c r="W567" i="22" s="1"/>
  <c r="AW567" i="22" s="1"/>
  <c r="K21" i="16"/>
  <c r="I567" i="22" s="1"/>
  <c r="AI567" i="22" s="1"/>
  <c r="J21" i="16"/>
  <c r="H567" i="22" s="1"/>
  <c r="AH567" i="22" s="1"/>
  <c r="H21" i="16"/>
  <c r="F567" i="22" s="1"/>
  <c r="AF567" i="22" s="1"/>
  <c r="G21" i="16"/>
  <c r="E567" i="22" s="1"/>
  <c r="AE567" i="22" s="1"/>
  <c r="AR19" i="16"/>
  <c r="AQ19" i="16"/>
  <c r="AP19" i="16"/>
  <c r="AO19" i="16"/>
  <c r="AM19" i="16"/>
  <c r="AJ19" i="16" a="1"/>
  <c r="AJ19" i="16" s="1"/>
  <c r="AL19" i="16" s="1"/>
  <c r="AA19" i="16"/>
  <c r="W565" i="22" s="1"/>
  <c r="AW565" i="22" s="1"/>
  <c r="K19" i="16"/>
  <c r="I565" i="22" s="1"/>
  <c r="AI565" i="22" s="1"/>
  <c r="J19" i="16"/>
  <c r="H565" i="22" s="1"/>
  <c r="AH565" i="22" s="1"/>
  <c r="H19" i="16"/>
  <c r="F565" i="22" s="1"/>
  <c r="AF565" i="22" s="1"/>
  <c r="G19" i="16"/>
  <c r="E565" i="22" s="1"/>
  <c r="AE565" i="22" s="1"/>
  <c r="AR18" i="16"/>
  <c r="AQ18" i="16"/>
  <c r="AP18" i="16"/>
  <c r="AO18" i="16"/>
  <c r="AM18" i="16"/>
  <c r="AJ18" i="16" a="1"/>
  <c r="AJ18" i="16" s="1"/>
  <c r="AL18" i="16" s="1"/>
  <c r="AR17" i="16"/>
  <c r="AQ17" i="16"/>
  <c r="AP17" i="16"/>
  <c r="AO17" i="16"/>
  <c r="AS17" i="16" s="1"/>
  <c r="AM17" i="16"/>
  <c r="AJ17" i="16" a="1"/>
  <c r="AJ17" i="16" s="1"/>
  <c r="AL17" i="16" s="1"/>
  <c r="AA17" i="16"/>
  <c r="W563" i="22" s="1"/>
  <c r="AW563" i="22" s="1"/>
  <c r="K17" i="16"/>
  <c r="I563" i="22" s="1"/>
  <c r="AI563" i="22" s="1"/>
  <c r="J17" i="16"/>
  <c r="H563" i="22" s="1"/>
  <c r="AH563" i="22" s="1"/>
  <c r="H17" i="16"/>
  <c r="F563" i="22" s="1"/>
  <c r="AF563" i="22" s="1"/>
  <c r="G17" i="16"/>
  <c r="E563" i="22" s="1"/>
  <c r="AE563" i="22" s="1"/>
  <c r="AR16" i="16"/>
  <c r="AQ16" i="16"/>
  <c r="AP16" i="16"/>
  <c r="AO16" i="16"/>
  <c r="AS16" i="16" s="1"/>
  <c r="AM16" i="16"/>
  <c r="AJ16" i="16" a="1"/>
  <c r="AJ16" i="16" s="1"/>
  <c r="AL16" i="16" s="1"/>
  <c r="AR15" i="16"/>
  <c r="AQ15" i="16"/>
  <c r="AP15" i="16"/>
  <c r="AO15" i="16"/>
  <c r="AS15" i="16" s="1"/>
  <c r="AM15" i="16"/>
  <c r="AJ15" i="16" a="1"/>
  <c r="AJ15" i="16" s="1"/>
  <c r="AL15" i="16" s="1"/>
  <c r="AA15" i="16"/>
  <c r="W561" i="22" s="1"/>
  <c r="AW561" i="22" s="1"/>
  <c r="K15" i="16"/>
  <c r="I561" i="22" s="1"/>
  <c r="AI561" i="22" s="1"/>
  <c r="J15" i="16"/>
  <c r="H561" i="22" s="1"/>
  <c r="AH561" i="22" s="1"/>
  <c r="H15" i="16"/>
  <c r="F561" i="22" s="1"/>
  <c r="AF561" i="22" s="1"/>
  <c r="G15" i="16"/>
  <c r="E561" i="22" s="1"/>
  <c r="AE561" i="22" s="1"/>
  <c r="AR14" i="16"/>
  <c r="AQ14" i="16"/>
  <c r="AP14" i="16"/>
  <c r="AO14" i="16"/>
  <c r="AS14" i="16" s="1"/>
  <c r="AM14" i="16"/>
  <c r="AJ14" i="16" a="1"/>
  <c r="AJ14" i="16" s="1"/>
  <c r="AL14" i="16" s="1"/>
  <c r="AR13" i="16"/>
  <c r="AQ13" i="16"/>
  <c r="AP13" i="16"/>
  <c r="AO13" i="16"/>
  <c r="AS13" i="16" s="1"/>
  <c r="AM13" i="16"/>
  <c r="AJ13" i="16" a="1"/>
  <c r="AJ13" i="16" s="1"/>
  <c r="AL13" i="16" s="1"/>
  <c r="AA13" i="16"/>
  <c r="W559" i="22" s="1"/>
  <c r="AW559" i="22" s="1"/>
  <c r="K13" i="16"/>
  <c r="I559" i="22" s="1"/>
  <c r="AI559" i="22" s="1"/>
  <c r="J13" i="16"/>
  <c r="H559" i="22" s="1"/>
  <c r="AH559" i="22" s="1"/>
  <c r="H13" i="16"/>
  <c r="F559" i="22" s="1"/>
  <c r="AF559" i="22" s="1"/>
  <c r="G13" i="16"/>
  <c r="E559" i="22" s="1"/>
  <c r="AE559" i="22" s="1"/>
  <c r="AR12" i="16"/>
  <c r="AQ12" i="16"/>
  <c r="AP12" i="16"/>
  <c r="AO12" i="16"/>
  <c r="AS12" i="16" s="1"/>
  <c r="AM12" i="16"/>
  <c r="AJ12" i="16" a="1"/>
  <c r="AJ12" i="16" s="1"/>
  <c r="AL12" i="16" s="1"/>
  <c r="AR11" i="16"/>
  <c r="AQ11" i="16"/>
  <c r="AP11" i="16"/>
  <c r="AO11" i="16"/>
  <c r="AS11" i="16" s="1"/>
  <c r="AM11" i="16"/>
  <c r="AJ11" i="16" a="1"/>
  <c r="AJ11" i="16" s="1"/>
  <c r="AL11" i="16" s="1"/>
  <c r="AA11" i="16"/>
  <c r="W557" i="22" s="1"/>
  <c r="AW557" i="22" s="1"/>
  <c r="K11" i="16"/>
  <c r="I557" i="22" s="1"/>
  <c r="AI557" i="22" s="1"/>
  <c r="J11" i="16"/>
  <c r="H557" i="22" s="1"/>
  <c r="AH557" i="22" s="1"/>
  <c r="H11" i="16"/>
  <c r="F557" i="22" s="1"/>
  <c r="AF557" i="22" s="1"/>
  <c r="G11" i="16"/>
  <c r="E557" i="22" s="1"/>
  <c r="AE557" i="22" s="1"/>
  <c r="AR10" i="16"/>
  <c r="AQ10" i="16"/>
  <c r="AP10" i="16"/>
  <c r="AO10" i="16"/>
  <c r="AS10" i="16" s="1"/>
  <c r="AM10" i="16"/>
  <c r="AJ10" i="16" a="1"/>
  <c r="AJ10" i="16" s="1"/>
  <c r="AL10" i="16" s="1"/>
  <c r="AR9" i="16"/>
  <c r="AQ9" i="16"/>
  <c r="AP9" i="16"/>
  <c r="AO9" i="16"/>
  <c r="AS9" i="16" s="1"/>
  <c r="AM9" i="16"/>
  <c r="AJ9" i="16" a="1"/>
  <c r="AJ9" i="16" s="1"/>
  <c r="AL9" i="16" s="1"/>
  <c r="AA9" i="16"/>
  <c r="W555" i="22" s="1"/>
  <c r="AW555" i="22" s="1"/>
  <c r="K9" i="16"/>
  <c r="I555" i="22" s="1"/>
  <c r="AI555" i="22" s="1"/>
  <c r="J9" i="16"/>
  <c r="H555" i="22" s="1"/>
  <c r="AH555" i="22" s="1"/>
  <c r="H9" i="16"/>
  <c r="F555" i="22" s="1"/>
  <c r="AF555" i="22" s="1"/>
  <c r="G9" i="16"/>
  <c r="E555" i="22" s="1"/>
  <c r="AE555" i="22" s="1"/>
  <c r="AR8" i="16"/>
  <c r="AQ8" i="16"/>
  <c r="AP8" i="16"/>
  <c r="AO8" i="16"/>
  <c r="AM8" i="16"/>
  <c r="AJ8" i="16" a="1"/>
  <c r="AJ8" i="16" s="1"/>
  <c r="AL8" i="16" s="1"/>
  <c r="AR7" i="16"/>
  <c r="AQ7" i="16"/>
  <c r="AP7" i="16"/>
  <c r="AO7" i="16"/>
  <c r="AM7" i="16"/>
  <c r="AJ7" i="16" a="1"/>
  <c r="AJ7" i="16" s="1"/>
  <c r="AL7" i="16" s="1"/>
  <c r="AA7" i="16"/>
  <c r="K7" i="16"/>
  <c r="I553" i="22" s="1"/>
  <c r="AI553" i="22" s="1"/>
  <c r="J7" i="16"/>
  <c r="H553" i="22" s="1"/>
  <c r="AH553" i="22" s="1"/>
  <c r="H7" i="16"/>
  <c r="F553" i="22" s="1"/>
  <c r="AF553" i="22" s="1"/>
  <c r="G7" i="16"/>
  <c r="E553" i="22" s="1"/>
  <c r="AE553" i="22" s="1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AA47" i="15"/>
  <c r="W551" i="22" s="1"/>
  <c r="AW551" i="22" s="1"/>
  <c r="K47" i="15"/>
  <c r="I551" i="22" s="1"/>
  <c r="AI551" i="22" s="1"/>
  <c r="J47" i="15"/>
  <c r="H551" i="22" s="1"/>
  <c r="AH551" i="22" s="1"/>
  <c r="H47" i="15"/>
  <c r="F551" i="22" s="1"/>
  <c r="AF551" i="22" s="1"/>
  <c r="G47" i="15"/>
  <c r="E551" i="22" s="1"/>
  <c r="AE551" i="22" s="1"/>
  <c r="AA45" i="15"/>
  <c r="W549" i="22" s="1"/>
  <c r="AW549" i="22" s="1"/>
  <c r="K45" i="15"/>
  <c r="I549" i="22" s="1"/>
  <c r="AI549" i="22" s="1"/>
  <c r="J45" i="15"/>
  <c r="H549" i="22" s="1"/>
  <c r="AH549" i="22" s="1"/>
  <c r="H45" i="15"/>
  <c r="F549" i="22" s="1"/>
  <c r="AF549" i="22" s="1"/>
  <c r="G45" i="15"/>
  <c r="E549" i="22" s="1"/>
  <c r="AE549" i="22" s="1"/>
  <c r="AA43" i="15"/>
  <c r="W547" i="22" s="1"/>
  <c r="AW547" i="22" s="1"/>
  <c r="K43" i="15"/>
  <c r="I547" i="22" s="1"/>
  <c r="AI547" i="22" s="1"/>
  <c r="J43" i="15"/>
  <c r="H547" i="22" s="1"/>
  <c r="AH547" i="22" s="1"/>
  <c r="H43" i="15"/>
  <c r="F547" i="22" s="1"/>
  <c r="AF547" i="22" s="1"/>
  <c r="G43" i="15"/>
  <c r="E547" i="22" s="1"/>
  <c r="AE547" i="22" s="1"/>
  <c r="AA41" i="15"/>
  <c r="W545" i="22" s="1"/>
  <c r="AW545" i="22" s="1"/>
  <c r="K41" i="15"/>
  <c r="I545" i="22" s="1"/>
  <c r="AI545" i="22" s="1"/>
  <c r="J41" i="15"/>
  <c r="H545" i="22" s="1"/>
  <c r="AH545" i="22" s="1"/>
  <c r="H41" i="15"/>
  <c r="F545" i="22" s="1"/>
  <c r="AF545" i="22" s="1"/>
  <c r="G41" i="15"/>
  <c r="E545" i="22" s="1"/>
  <c r="AE545" i="22" s="1"/>
  <c r="AA39" i="15"/>
  <c r="W543" i="22" s="1"/>
  <c r="AW543" i="22" s="1"/>
  <c r="K39" i="15"/>
  <c r="I543" i="22" s="1"/>
  <c r="AI543" i="22" s="1"/>
  <c r="J39" i="15"/>
  <c r="H543" i="22" s="1"/>
  <c r="AH543" i="22" s="1"/>
  <c r="H39" i="15"/>
  <c r="F543" i="22" s="1"/>
  <c r="AF543" i="22" s="1"/>
  <c r="G39" i="15"/>
  <c r="E543" i="22" s="1"/>
  <c r="AE543" i="22" s="1"/>
  <c r="AA37" i="15"/>
  <c r="W541" i="22" s="1"/>
  <c r="AW541" i="22" s="1"/>
  <c r="K37" i="15"/>
  <c r="I541" i="22" s="1"/>
  <c r="AI541" i="22" s="1"/>
  <c r="J37" i="15"/>
  <c r="H541" i="22" s="1"/>
  <c r="AH541" i="22" s="1"/>
  <c r="H37" i="15"/>
  <c r="F541" i="22" s="1"/>
  <c r="AF541" i="22" s="1"/>
  <c r="G37" i="15"/>
  <c r="E541" i="22" s="1"/>
  <c r="AE541" i="22" s="1"/>
  <c r="AA35" i="15"/>
  <c r="W539" i="22" s="1"/>
  <c r="AW539" i="22" s="1"/>
  <c r="K35" i="15"/>
  <c r="I539" i="22" s="1"/>
  <c r="AI539" i="22" s="1"/>
  <c r="J35" i="15"/>
  <c r="H539" i="22" s="1"/>
  <c r="AH539" i="22" s="1"/>
  <c r="H35" i="15"/>
  <c r="F539" i="22" s="1"/>
  <c r="AF539" i="22" s="1"/>
  <c r="G35" i="15"/>
  <c r="E539" i="22" s="1"/>
  <c r="AE539" i="22" s="1"/>
  <c r="AA33" i="15"/>
  <c r="W537" i="22" s="1"/>
  <c r="AW537" i="22" s="1"/>
  <c r="K33" i="15"/>
  <c r="I537" i="22" s="1"/>
  <c r="AI537" i="22" s="1"/>
  <c r="J33" i="15"/>
  <c r="H537" i="22" s="1"/>
  <c r="AH537" i="22" s="1"/>
  <c r="H33" i="15"/>
  <c r="F537" i="22" s="1"/>
  <c r="AF537" i="22" s="1"/>
  <c r="G33" i="15"/>
  <c r="E537" i="22" s="1"/>
  <c r="AE537" i="22" s="1"/>
  <c r="AA31" i="15"/>
  <c r="W535" i="22" s="1"/>
  <c r="AW535" i="22" s="1"/>
  <c r="K31" i="15"/>
  <c r="I535" i="22" s="1"/>
  <c r="AI535" i="22" s="1"/>
  <c r="J31" i="15"/>
  <c r="H535" i="22" s="1"/>
  <c r="AH535" i="22" s="1"/>
  <c r="H31" i="15"/>
  <c r="F535" i="22" s="1"/>
  <c r="AF535" i="22" s="1"/>
  <c r="G31" i="15"/>
  <c r="E535" i="22" s="1"/>
  <c r="AE535" i="22" s="1"/>
  <c r="AA29" i="15"/>
  <c r="W533" i="22" s="1"/>
  <c r="AW533" i="22" s="1"/>
  <c r="K29" i="15"/>
  <c r="I533" i="22" s="1"/>
  <c r="AI533" i="22" s="1"/>
  <c r="J29" i="15"/>
  <c r="H533" i="22" s="1"/>
  <c r="AH533" i="22" s="1"/>
  <c r="H29" i="15"/>
  <c r="F533" i="22" s="1"/>
  <c r="AF533" i="22" s="1"/>
  <c r="G29" i="15"/>
  <c r="E533" i="22" s="1"/>
  <c r="AE533" i="22" s="1"/>
  <c r="AA27" i="15"/>
  <c r="W531" i="22" s="1"/>
  <c r="AW531" i="22" s="1"/>
  <c r="K27" i="15"/>
  <c r="I531" i="22" s="1"/>
  <c r="AI531" i="22" s="1"/>
  <c r="J27" i="15"/>
  <c r="H531" i="22" s="1"/>
  <c r="AH531" i="22" s="1"/>
  <c r="H27" i="15"/>
  <c r="F531" i="22" s="1"/>
  <c r="AF531" i="22" s="1"/>
  <c r="G27" i="15"/>
  <c r="E531" i="22" s="1"/>
  <c r="AE531" i="22" s="1"/>
  <c r="AA25" i="15"/>
  <c r="W529" i="22" s="1"/>
  <c r="AW529" i="22" s="1"/>
  <c r="K25" i="15"/>
  <c r="I529" i="22" s="1"/>
  <c r="AI529" i="22" s="1"/>
  <c r="J25" i="15"/>
  <c r="H529" i="22" s="1"/>
  <c r="AH529" i="22" s="1"/>
  <c r="H25" i="15"/>
  <c r="F529" i="22" s="1"/>
  <c r="AF529" i="22" s="1"/>
  <c r="G25" i="15"/>
  <c r="E529" i="22" s="1"/>
  <c r="AE529" i="22" s="1"/>
  <c r="AA23" i="15"/>
  <c r="W527" i="22" s="1"/>
  <c r="AW527" i="22" s="1"/>
  <c r="K23" i="15"/>
  <c r="I527" i="22" s="1"/>
  <c r="AI527" i="22" s="1"/>
  <c r="J23" i="15"/>
  <c r="H527" i="22" s="1"/>
  <c r="AH527" i="22" s="1"/>
  <c r="H23" i="15"/>
  <c r="F527" i="22" s="1"/>
  <c r="AF527" i="22" s="1"/>
  <c r="G23" i="15"/>
  <c r="E527" i="22" s="1"/>
  <c r="AE527" i="22" s="1"/>
  <c r="AA21" i="15"/>
  <c r="W525" i="22" s="1"/>
  <c r="AW525" i="22" s="1"/>
  <c r="K21" i="15"/>
  <c r="I525" i="22" s="1"/>
  <c r="AI525" i="22" s="1"/>
  <c r="J21" i="15"/>
  <c r="H525" i="22" s="1"/>
  <c r="AH525" i="22" s="1"/>
  <c r="H21" i="15"/>
  <c r="F525" i="22" s="1"/>
  <c r="AF525" i="22" s="1"/>
  <c r="G21" i="15"/>
  <c r="E525" i="22" s="1"/>
  <c r="AE525" i="22" s="1"/>
  <c r="AR19" i="15"/>
  <c r="AQ19" i="15"/>
  <c r="AP19" i="15"/>
  <c r="AO19" i="15"/>
  <c r="AM19" i="15"/>
  <c r="AJ19" i="15" a="1"/>
  <c r="AJ19" i="15"/>
  <c r="AL19" i="15" s="1"/>
  <c r="AA19" i="15"/>
  <c r="W523" i="22" s="1"/>
  <c r="AW523" i="22" s="1"/>
  <c r="K19" i="15"/>
  <c r="I523" i="22" s="1"/>
  <c r="AI523" i="22" s="1"/>
  <c r="J19" i="15"/>
  <c r="H523" i="22" s="1"/>
  <c r="AH523" i="22" s="1"/>
  <c r="H19" i="15"/>
  <c r="F523" i="22" s="1"/>
  <c r="AF523" i="22" s="1"/>
  <c r="G19" i="15"/>
  <c r="E523" i="22" s="1"/>
  <c r="AE523" i="22" s="1"/>
  <c r="AR18" i="15"/>
  <c r="AQ18" i="15"/>
  <c r="AP18" i="15"/>
  <c r="AO18" i="15"/>
  <c r="AS18" i="15" s="1"/>
  <c r="AM18" i="15"/>
  <c r="AJ18" i="15" a="1"/>
  <c r="AJ18" i="15"/>
  <c r="AL18" i="15" s="1"/>
  <c r="AR17" i="15"/>
  <c r="AQ17" i="15"/>
  <c r="AP17" i="15"/>
  <c r="AO17" i="15"/>
  <c r="AS17" i="15" s="1"/>
  <c r="AM17" i="15"/>
  <c r="AJ17" i="15" a="1"/>
  <c r="AJ17" i="15"/>
  <c r="AL17" i="15" s="1"/>
  <c r="AA17" i="15"/>
  <c r="W521" i="22" s="1"/>
  <c r="AW521" i="22" s="1"/>
  <c r="K17" i="15"/>
  <c r="I521" i="22" s="1"/>
  <c r="AI521" i="22" s="1"/>
  <c r="J17" i="15"/>
  <c r="H521" i="22" s="1"/>
  <c r="AH521" i="22" s="1"/>
  <c r="H17" i="15"/>
  <c r="F521" i="22" s="1"/>
  <c r="AF521" i="22" s="1"/>
  <c r="G17" i="15"/>
  <c r="E521" i="22" s="1"/>
  <c r="AE521" i="22" s="1"/>
  <c r="AR16" i="15"/>
  <c r="AQ16" i="15"/>
  <c r="AP16" i="15"/>
  <c r="AO16" i="15"/>
  <c r="AS16" i="15" s="1"/>
  <c r="AM16" i="15"/>
  <c r="AJ16" i="15" a="1"/>
  <c r="AJ16" i="15"/>
  <c r="AL16" i="15" s="1"/>
  <c r="AR15" i="15"/>
  <c r="AQ15" i="15"/>
  <c r="AP15" i="15"/>
  <c r="AO15" i="15"/>
  <c r="AS15" i="15" s="1"/>
  <c r="AM15" i="15"/>
  <c r="AJ15" i="15" a="1"/>
  <c r="AJ15" i="15"/>
  <c r="AL15" i="15" s="1"/>
  <c r="AA15" i="15"/>
  <c r="W519" i="22" s="1"/>
  <c r="AW519" i="22" s="1"/>
  <c r="K15" i="15"/>
  <c r="I519" i="22" s="1"/>
  <c r="AI519" i="22" s="1"/>
  <c r="J15" i="15"/>
  <c r="H519" i="22" s="1"/>
  <c r="AH519" i="22" s="1"/>
  <c r="H15" i="15"/>
  <c r="F519" i="22" s="1"/>
  <c r="AF519" i="22" s="1"/>
  <c r="G15" i="15"/>
  <c r="E519" i="22" s="1"/>
  <c r="AE519" i="22" s="1"/>
  <c r="AR14" i="15"/>
  <c r="AQ14" i="15"/>
  <c r="AP14" i="15"/>
  <c r="AO14" i="15"/>
  <c r="AS14" i="15" s="1"/>
  <c r="AM14" i="15"/>
  <c r="AJ14" i="15" a="1"/>
  <c r="AJ14" i="15"/>
  <c r="AL14" i="15" s="1"/>
  <c r="AR13" i="15"/>
  <c r="AQ13" i="15"/>
  <c r="AP13" i="15"/>
  <c r="AO13" i="15"/>
  <c r="AS13" i="15" s="1"/>
  <c r="AM13" i="15"/>
  <c r="AJ13" i="15" a="1"/>
  <c r="AJ13" i="15"/>
  <c r="AL13" i="15" s="1"/>
  <c r="AA13" i="15"/>
  <c r="W517" i="22" s="1"/>
  <c r="AW517" i="22" s="1"/>
  <c r="K13" i="15"/>
  <c r="I517" i="22" s="1"/>
  <c r="AI517" i="22" s="1"/>
  <c r="J13" i="15"/>
  <c r="H517" i="22" s="1"/>
  <c r="AH517" i="22" s="1"/>
  <c r="H13" i="15"/>
  <c r="F517" i="22" s="1"/>
  <c r="AF517" i="22" s="1"/>
  <c r="G13" i="15"/>
  <c r="E517" i="22" s="1"/>
  <c r="AE517" i="22" s="1"/>
  <c r="AR12" i="15"/>
  <c r="AQ12" i="15"/>
  <c r="AP12" i="15"/>
  <c r="AO12" i="15"/>
  <c r="AS12" i="15" s="1"/>
  <c r="AM12" i="15"/>
  <c r="AJ12" i="15" a="1"/>
  <c r="AJ12" i="15"/>
  <c r="AL12" i="15" s="1"/>
  <c r="AR11" i="15"/>
  <c r="AQ11" i="15"/>
  <c r="AP11" i="15"/>
  <c r="AO11" i="15"/>
  <c r="AS11" i="15" s="1"/>
  <c r="AM11" i="15"/>
  <c r="AJ11" i="15" a="1"/>
  <c r="AJ11" i="15"/>
  <c r="AL11" i="15" s="1"/>
  <c r="AA11" i="15"/>
  <c r="W515" i="22" s="1"/>
  <c r="AW515" i="22" s="1"/>
  <c r="K11" i="15"/>
  <c r="I515" i="22" s="1"/>
  <c r="AI515" i="22" s="1"/>
  <c r="J11" i="15"/>
  <c r="H515" i="22" s="1"/>
  <c r="AH515" i="22" s="1"/>
  <c r="H11" i="15"/>
  <c r="F515" i="22" s="1"/>
  <c r="AF515" i="22" s="1"/>
  <c r="G11" i="15"/>
  <c r="E515" i="22" s="1"/>
  <c r="AE515" i="22" s="1"/>
  <c r="AR10" i="15"/>
  <c r="AQ10" i="15"/>
  <c r="AP10" i="15"/>
  <c r="AO10" i="15"/>
  <c r="AS10" i="15" s="1"/>
  <c r="AM10" i="15"/>
  <c r="AJ10" i="15" a="1"/>
  <c r="AJ10" i="15"/>
  <c r="AL10" i="15" s="1"/>
  <c r="AR9" i="15"/>
  <c r="AQ9" i="15"/>
  <c r="AP9" i="15"/>
  <c r="AO9" i="15"/>
  <c r="AS9" i="15" s="1"/>
  <c r="AM9" i="15"/>
  <c r="AJ9" i="15" a="1"/>
  <c r="AJ9" i="15"/>
  <c r="AL9" i="15" s="1"/>
  <c r="AA9" i="15"/>
  <c r="W513" i="22" s="1"/>
  <c r="AW513" i="22" s="1"/>
  <c r="K9" i="15"/>
  <c r="I513" i="22" s="1"/>
  <c r="AI513" i="22" s="1"/>
  <c r="J9" i="15"/>
  <c r="H513" i="22" s="1"/>
  <c r="AH513" i="22" s="1"/>
  <c r="H9" i="15"/>
  <c r="F513" i="22" s="1"/>
  <c r="AF513" i="22" s="1"/>
  <c r="G9" i="15"/>
  <c r="E513" i="22" s="1"/>
  <c r="AE513" i="22" s="1"/>
  <c r="AR8" i="15"/>
  <c r="AQ8" i="15"/>
  <c r="AP8" i="15"/>
  <c r="AO8" i="15"/>
  <c r="AS8" i="15" s="1"/>
  <c r="AM8" i="15"/>
  <c r="AJ8" i="15" a="1"/>
  <c r="AJ8" i="15"/>
  <c r="AL8" i="15" s="1"/>
  <c r="AR7" i="15"/>
  <c r="AQ7" i="15"/>
  <c r="AP7" i="15"/>
  <c r="AO7" i="15"/>
  <c r="AO21" i="15" s="1"/>
  <c r="AM7" i="15"/>
  <c r="AJ7" i="15" a="1"/>
  <c r="AJ7" i="15"/>
  <c r="AL7" i="15" s="1"/>
  <c r="AA7" i="15"/>
  <c r="K7" i="15"/>
  <c r="I511" i="22" s="1"/>
  <c r="AI511" i="22" s="1"/>
  <c r="J7" i="15"/>
  <c r="H511" i="22" s="1"/>
  <c r="AH511" i="22" s="1"/>
  <c r="H7" i="15"/>
  <c r="F511" i="22" s="1"/>
  <c r="AF511" i="22" s="1"/>
  <c r="G7" i="15"/>
  <c r="E511" i="22" s="1"/>
  <c r="AE511" i="22" s="1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AA47" i="14"/>
  <c r="W509" i="22" s="1"/>
  <c r="AW509" i="22" s="1"/>
  <c r="K47" i="14"/>
  <c r="I509" i="22" s="1"/>
  <c r="AI509" i="22" s="1"/>
  <c r="J47" i="14"/>
  <c r="H509" i="22" s="1"/>
  <c r="AH509" i="22" s="1"/>
  <c r="H47" i="14"/>
  <c r="F509" i="22" s="1"/>
  <c r="AF509" i="22" s="1"/>
  <c r="G47" i="14"/>
  <c r="E509" i="22" s="1"/>
  <c r="AE509" i="22" s="1"/>
  <c r="AA45" i="14"/>
  <c r="W507" i="22" s="1"/>
  <c r="AW507" i="22" s="1"/>
  <c r="K45" i="14"/>
  <c r="I507" i="22" s="1"/>
  <c r="AI507" i="22" s="1"/>
  <c r="J45" i="14"/>
  <c r="H507" i="22" s="1"/>
  <c r="AH507" i="22" s="1"/>
  <c r="H45" i="14"/>
  <c r="F507" i="22" s="1"/>
  <c r="AF507" i="22" s="1"/>
  <c r="G45" i="14"/>
  <c r="E507" i="22" s="1"/>
  <c r="AE507" i="22" s="1"/>
  <c r="AA43" i="14"/>
  <c r="W505" i="22" s="1"/>
  <c r="AW505" i="22" s="1"/>
  <c r="K43" i="14"/>
  <c r="I505" i="22" s="1"/>
  <c r="AI505" i="22" s="1"/>
  <c r="J43" i="14"/>
  <c r="H505" i="22" s="1"/>
  <c r="AH505" i="22" s="1"/>
  <c r="H43" i="14"/>
  <c r="F505" i="22" s="1"/>
  <c r="AF505" i="22" s="1"/>
  <c r="G43" i="14"/>
  <c r="E505" i="22" s="1"/>
  <c r="AE505" i="22" s="1"/>
  <c r="AA41" i="14"/>
  <c r="W503" i="22" s="1"/>
  <c r="AW503" i="22" s="1"/>
  <c r="K41" i="14"/>
  <c r="I503" i="22" s="1"/>
  <c r="AI503" i="22" s="1"/>
  <c r="J41" i="14"/>
  <c r="H503" i="22" s="1"/>
  <c r="AH503" i="22" s="1"/>
  <c r="H41" i="14"/>
  <c r="F503" i="22" s="1"/>
  <c r="AF503" i="22" s="1"/>
  <c r="G41" i="14"/>
  <c r="E503" i="22" s="1"/>
  <c r="AE503" i="22" s="1"/>
  <c r="AA39" i="14"/>
  <c r="W501" i="22" s="1"/>
  <c r="AW501" i="22" s="1"/>
  <c r="K39" i="14"/>
  <c r="I501" i="22" s="1"/>
  <c r="AI501" i="22" s="1"/>
  <c r="J39" i="14"/>
  <c r="H501" i="22" s="1"/>
  <c r="AH501" i="22" s="1"/>
  <c r="H39" i="14"/>
  <c r="F501" i="22" s="1"/>
  <c r="AF501" i="22" s="1"/>
  <c r="G39" i="14"/>
  <c r="E501" i="22" s="1"/>
  <c r="AE501" i="22" s="1"/>
  <c r="AA37" i="14"/>
  <c r="W499" i="22" s="1"/>
  <c r="AW499" i="22" s="1"/>
  <c r="K37" i="14"/>
  <c r="I499" i="22" s="1"/>
  <c r="AI499" i="22" s="1"/>
  <c r="J37" i="14"/>
  <c r="H499" i="22" s="1"/>
  <c r="AH499" i="22" s="1"/>
  <c r="H37" i="14"/>
  <c r="F499" i="22" s="1"/>
  <c r="AF499" i="22" s="1"/>
  <c r="G37" i="14"/>
  <c r="E499" i="22" s="1"/>
  <c r="AE499" i="22" s="1"/>
  <c r="AA35" i="14"/>
  <c r="W497" i="22" s="1"/>
  <c r="AW497" i="22" s="1"/>
  <c r="K35" i="14"/>
  <c r="I497" i="22" s="1"/>
  <c r="AI497" i="22" s="1"/>
  <c r="J35" i="14"/>
  <c r="H497" i="22" s="1"/>
  <c r="AH497" i="22" s="1"/>
  <c r="H35" i="14"/>
  <c r="F497" i="22" s="1"/>
  <c r="AF497" i="22" s="1"/>
  <c r="G35" i="14"/>
  <c r="E497" i="22" s="1"/>
  <c r="AE497" i="22" s="1"/>
  <c r="AA33" i="14"/>
  <c r="W495" i="22" s="1"/>
  <c r="AW495" i="22" s="1"/>
  <c r="K33" i="14"/>
  <c r="I495" i="22" s="1"/>
  <c r="AI495" i="22" s="1"/>
  <c r="J33" i="14"/>
  <c r="H495" i="22" s="1"/>
  <c r="AH495" i="22" s="1"/>
  <c r="H33" i="14"/>
  <c r="F495" i="22" s="1"/>
  <c r="AF495" i="22" s="1"/>
  <c r="G33" i="14"/>
  <c r="E495" i="22" s="1"/>
  <c r="AE495" i="22" s="1"/>
  <c r="AA31" i="14"/>
  <c r="W493" i="22" s="1"/>
  <c r="AW493" i="22" s="1"/>
  <c r="K31" i="14"/>
  <c r="I493" i="22" s="1"/>
  <c r="AI493" i="22" s="1"/>
  <c r="J31" i="14"/>
  <c r="H493" i="22" s="1"/>
  <c r="AH493" i="22" s="1"/>
  <c r="H31" i="14"/>
  <c r="F493" i="22" s="1"/>
  <c r="AF493" i="22" s="1"/>
  <c r="G31" i="14"/>
  <c r="E493" i="22" s="1"/>
  <c r="AE493" i="22" s="1"/>
  <c r="AA29" i="14"/>
  <c r="W491" i="22" s="1"/>
  <c r="AW491" i="22" s="1"/>
  <c r="K29" i="14"/>
  <c r="I491" i="22" s="1"/>
  <c r="AI491" i="22" s="1"/>
  <c r="J29" i="14"/>
  <c r="H491" i="22" s="1"/>
  <c r="AH491" i="22" s="1"/>
  <c r="H29" i="14"/>
  <c r="F491" i="22" s="1"/>
  <c r="AF491" i="22" s="1"/>
  <c r="G29" i="14"/>
  <c r="E491" i="22" s="1"/>
  <c r="AE491" i="22" s="1"/>
  <c r="AA27" i="14"/>
  <c r="W489" i="22" s="1"/>
  <c r="AW489" i="22" s="1"/>
  <c r="K27" i="14"/>
  <c r="I489" i="22" s="1"/>
  <c r="AI489" i="22" s="1"/>
  <c r="J27" i="14"/>
  <c r="H489" i="22" s="1"/>
  <c r="AH489" i="22" s="1"/>
  <c r="H27" i="14"/>
  <c r="F489" i="22" s="1"/>
  <c r="AF489" i="22" s="1"/>
  <c r="G27" i="14"/>
  <c r="E489" i="22" s="1"/>
  <c r="AE489" i="22" s="1"/>
  <c r="AA25" i="14"/>
  <c r="W487" i="22" s="1"/>
  <c r="AW487" i="22" s="1"/>
  <c r="K25" i="14"/>
  <c r="I487" i="22" s="1"/>
  <c r="AI487" i="22" s="1"/>
  <c r="J25" i="14"/>
  <c r="H487" i="22" s="1"/>
  <c r="AH487" i="22" s="1"/>
  <c r="H25" i="14"/>
  <c r="F487" i="22" s="1"/>
  <c r="AF487" i="22" s="1"/>
  <c r="G25" i="14"/>
  <c r="E487" i="22" s="1"/>
  <c r="AE487" i="22" s="1"/>
  <c r="AA23" i="14"/>
  <c r="W485" i="22" s="1"/>
  <c r="AW485" i="22" s="1"/>
  <c r="K23" i="14"/>
  <c r="I485" i="22" s="1"/>
  <c r="AI485" i="22" s="1"/>
  <c r="J23" i="14"/>
  <c r="H485" i="22" s="1"/>
  <c r="AH485" i="22" s="1"/>
  <c r="H23" i="14"/>
  <c r="F485" i="22" s="1"/>
  <c r="AF485" i="22" s="1"/>
  <c r="G23" i="14"/>
  <c r="E485" i="22" s="1"/>
  <c r="AE485" i="22" s="1"/>
  <c r="AA21" i="14"/>
  <c r="W483" i="22" s="1"/>
  <c r="AW483" i="22" s="1"/>
  <c r="K21" i="14"/>
  <c r="I483" i="22" s="1"/>
  <c r="AI483" i="22" s="1"/>
  <c r="J21" i="14"/>
  <c r="H483" i="22" s="1"/>
  <c r="AH483" i="22" s="1"/>
  <c r="H21" i="14"/>
  <c r="F483" i="22" s="1"/>
  <c r="AF483" i="22" s="1"/>
  <c r="G21" i="14"/>
  <c r="E483" i="22" s="1"/>
  <c r="AE483" i="22" s="1"/>
  <c r="AR19" i="14"/>
  <c r="AQ19" i="14"/>
  <c r="AP19" i="14"/>
  <c r="AO19" i="14"/>
  <c r="AM19" i="14"/>
  <c r="AJ19" i="14" a="1"/>
  <c r="AJ19" i="14" s="1"/>
  <c r="AL19" i="14" s="1"/>
  <c r="AA19" i="14"/>
  <c r="W481" i="22" s="1"/>
  <c r="AW481" i="22" s="1"/>
  <c r="K19" i="14"/>
  <c r="I481" i="22" s="1"/>
  <c r="AI481" i="22" s="1"/>
  <c r="J19" i="14"/>
  <c r="H481" i="22" s="1"/>
  <c r="AH481" i="22" s="1"/>
  <c r="H19" i="14"/>
  <c r="F481" i="22" s="1"/>
  <c r="AF481" i="22" s="1"/>
  <c r="G19" i="14"/>
  <c r="E481" i="22" s="1"/>
  <c r="AE481" i="22" s="1"/>
  <c r="AR18" i="14"/>
  <c r="AQ18" i="14"/>
  <c r="AP18" i="14"/>
  <c r="AO18" i="14"/>
  <c r="AS18" i="14" s="1"/>
  <c r="AM18" i="14"/>
  <c r="AJ18" i="14" a="1"/>
  <c r="AJ18" i="14" s="1"/>
  <c r="AL18" i="14" s="1"/>
  <c r="AR17" i="14"/>
  <c r="AQ17" i="14"/>
  <c r="AP17" i="14"/>
  <c r="AO17" i="14"/>
  <c r="AS17" i="14" s="1"/>
  <c r="AM17" i="14"/>
  <c r="AJ17" i="14" a="1"/>
  <c r="AJ17" i="14" s="1"/>
  <c r="AL17" i="14" s="1"/>
  <c r="AA17" i="14"/>
  <c r="W479" i="22" s="1"/>
  <c r="AW479" i="22" s="1"/>
  <c r="K17" i="14"/>
  <c r="I479" i="22" s="1"/>
  <c r="AI479" i="22" s="1"/>
  <c r="J17" i="14"/>
  <c r="H479" i="22" s="1"/>
  <c r="AH479" i="22" s="1"/>
  <c r="H17" i="14"/>
  <c r="F479" i="22" s="1"/>
  <c r="AF479" i="22" s="1"/>
  <c r="G17" i="14"/>
  <c r="E479" i="22" s="1"/>
  <c r="AE479" i="22" s="1"/>
  <c r="AR16" i="14"/>
  <c r="AQ16" i="14"/>
  <c r="AP16" i="14"/>
  <c r="AO16" i="14"/>
  <c r="AS16" i="14" s="1"/>
  <c r="AM16" i="14"/>
  <c r="AJ16" i="14" a="1"/>
  <c r="AJ16" i="14" s="1"/>
  <c r="AL16" i="14" s="1"/>
  <c r="AR15" i="14"/>
  <c r="AQ15" i="14"/>
  <c r="AP15" i="14"/>
  <c r="AO15" i="14"/>
  <c r="AS15" i="14" s="1"/>
  <c r="AM15" i="14"/>
  <c r="AJ15" i="14" a="1"/>
  <c r="AJ15" i="14" s="1"/>
  <c r="AL15" i="14" s="1"/>
  <c r="AA15" i="14"/>
  <c r="W477" i="22" s="1"/>
  <c r="AW477" i="22" s="1"/>
  <c r="K15" i="14"/>
  <c r="I477" i="22" s="1"/>
  <c r="AI477" i="22" s="1"/>
  <c r="J15" i="14"/>
  <c r="H477" i="22" s="1"/>
  <c r="AH477" i="22" s="1"/>
  <c r="H15" i="14"/>
  <c r="F477" i="22" s="1"/>
  <c r="AF477" i="22" s="1"/>
  <c r="G15" i="14"/>
  <c r="E477" i="22" s="1"/>
  <c r="AE477" i="22" s="1"/>
  <c r="AR14" i="14"/>
  <c r="AQ14" i="14"/>
  <c r="AP14" i="14"/>
  <c r="AO14" i="14"/>
  <c r="AS14" i="14" s="1"/>
  <c r="AM14" i="14"/>
  <c r="AJ14" i="14" a="1"/>
  <c r="AJ14" i="14" s="1"/>
  <c r="AL14" i="14" s="1"/>
  <c r="AR13" i="14"/>
  <c r="AQ13" i="14"/>
  <c r="AP13" i="14"/>
  <c r="AO13" i="14"/>
  <c r="AS13" i="14" s="1"/>
  <c r="AM13" i="14"/>
  <c r="AJ13" i="14" a="1"/>
  <c r="AJ13" i="14" s="1"/>
  <c r="AL13" i="14" s="1"/>
  <c r="AA13" i="14"/>
  <c r="W475" i="22" s="1"/>
  <c r="AW475" i="22" s="1"/>
  <c r="K13" i="14"/>
  <c r="I475" i="22" s="1"/>
  <c r="AI475" i="22" s="1"/>
  <c r="J13" i="14"/>
  <c r="H475" i="22" s="1"/>
  <c r="AH475" i="22" s="1"/>
  <c r="H13" i="14"/>
  <c r="F475" i="22" s="1"/>
  <c r="AF475" i="22" s="1"/>
  <c r="G13" i="14"/>
  <c r="E475" i="22" s="1"/>
  <c r="AE475" i="22" s="1"/>
  <c r="AR12" i="14"/>
  <c r="AQ12" i="14"/>
  <c r="AP12" i="14"/>
  <c r="AO12" i="14"/>
  <c r="AM12" i="14"/>
  <c r="AJ12" i="14" a="1"/>
  <c r="AJ12" i="14" s="1"/>
  <c r="AL12" i="14" s="1"/>
  <c r="AR11" i="14"/>
  <c r="AQ11" i="14"/>
  <c r="AP11" i="14"/>
  <c r="AO11" i="14"/>
  <c r="AS11" i="14" s="1"/>
  <c r="AM11" i="14"/>
  <c r="AJ11" i="14" a="1"/>
  <c r="AJ11" i="14" s="1"/>
  <c r="AL11" i="14" s="1"/>
  <c r="AA11" i="14"/>
  <c r="W473" i="22" s="1"/>
  <c r="AW473" i="22" s="1"/>
  <c r="K11" i="14"/>
  <c r="I473" i="22" s="1"/>
  <c r="AI473" i="22" s="1"/>
  <c r="J11" i="14"/>
  <c r="H473" i="22" s="1"/>
  <c r="AH473" i="22" s="1"/>
  <c r="H11" i="14"/>
  <c r="F473" i="22" s="1"/>
  <c r="AF473" i="22" s="1"/>
  <c r="G11" i="14"/>
  <c r="E473" i="22" s="1"/>
  <c r="AE473" i="22" s="1"/>
  <c r="AR10" i="14"/>
  <c r="AQ10" i="14"/>
  <c r="AP10" i="14"/>
  <c r="AO10" i="14"/>
  <c r="AS10" i="14" s="1"/>
  <c r="AM10" i="14"/>
  <c r="AJ10" i="14" a="1"/>
  <c r="AJ10" i="14" s="1"/>
  <c r="AL10" i="14" s="1"/>
  <c r="AR9" i="14"/>
  <c r="AQ9" i="14"/>
  <c r="AP9" i="14"/>
  <c r="AO9" i="14"/>
  <c r="AS9" i="14" s="1"/>
  <c r="AM9" i="14"/>
  <c r="AJ9" i="14" a="1"/>
  <c r="AJ9" i="14" s="1"/>
  <c r="AL9" i="14" s="1"/>
  <c r="AA9" i="14"/>
  <c r="W471" i="22" s="1"/>
  <c r="AW471" i="22" s="1"/>
  <c r="K9" i="14"/>
  <c r="I471" i="22" s="1"/>
  <c r="AI471" i="22" s="1"/>
  <c r="J9" i="14"/>
  <c r="H471" i="22" s="1"/>
  <c r="AH471" i="22" s="1"/>
  <c r="H9" i="14"/>
  <c r="F471" i="22" s="1"/>
  <c r="AF471" i="22" s="1"/>
  <c r="G9" i="14"/>
  <c r="E471" i="22" s="1"/>
  <c r="AE471" i="22" s="1"/>
  <c r="AR8" i="14"/>
  <c r="AQ8" i="14"/>
  <c r="AP8" i="14"/>
  <c r="AO8" i="14"/>
  <c r="AS8" i="14" s="1"/>
  <c r="AM8" i="14"/>
  <c r="AJ8" i="14" a="1"/>
  <c r="AJ8" i="14" s="1"/>
  <c r="AL8" i="14" s="1"/>
  <c r="AR7" i="14"/>
  <c r="AQ7" i="14"/>
  <c r="AP7" i="14"/>
  <c r="AO7" i="14"/>
  <c r="AO21" i="14" s="1"/>
  <c r="AM7" i="14"/>
  <c r="AJ7" i="14" a="1"/>
  <c r="AJ7" i="14" s="1"/>
  <c r="AL7" i="14" s="1"/>
  <c r="AA7" i="14"/>
  <c r="K7" i="14"/>
  <c r="I469" i="22" s="1"/>
  <c r="AI469" i="22" s="1"/>
  <c r="J7" i="14"/>
  <c r="H469" i="22" s="1"/>
  <c r="AH469" i="22" s="1"/>
  <c r="H7" i="14"/>
  <c r="F469" i="22" s="1"/>
  <c r="AF469" i="22" s="1"/>
  <c r="G7" i="14"/>
  <c r="E469" i="22" s="1"/>
  <c r="AE469" i="22" s="1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AA47" i="13"/>
  <c r="W467" i="22" s="1"/>
  <c r="AW467" i="22" s="1"/>
  <c r="K47" i="13"/>
  <c r="I467" i="22" s="1"/>
  <c r="AI467" i="22" s="1"/>
  <c r="J47" i="13"/>
  <c r="H467" i="22" s="1"/>
  <c r="AH467" i="22" s="1"/>
  <c r="H47" i="13"/>
  <c r="F467" i="22" s="1"/>
  <c r="AF467" i="22" s="1"/>
  <c r="G47" i="13"/>
  <c r="E467" i="22" s="1"/>
  <c r="AE467" i="22" s="1"/>
  <c r="AA45" i="13"/>
  <c r="W465" i="22" s="1"/>
  <c r="AW465" i="22" s="1"/>
  <c r="K45" i="13"/>
  <c r="I465" i="22" s="1"/>
  <c r="AI465" i="22" s="1"/>
  <c r="J45" i="13"/>
  <c r="H465" i="22" s="1"/>
  <c r="AH465" i="22" s="1"/>
  <c r="H45" i="13"/>
  <c r="F465" i="22" s="1"/>
  <c r="AF465" i="22" s="1"/>
  <c r="G45" i="13"/>
  <c r="E465" i="22" s="1"/>
  <c r="AE465" i="22" s="1"/>
  <c r="AA43" i="13"/>
  <c r="W463" i="22" s="1"/>
  <c r="AW463" i="22" s="1"/>
  <c r="K43" i="13"/>
  <c r="I463" i="22" s="1"/>
  <c r="AI463" i="22" s="1"/>
  <c r="J43" i="13"/>
  <c r="H463" i="22" s="1"/>
  <c r="AH463" i="22" s="1"/>
  <c r="H43" i="13"/>
  <c r="F463" i="22" s="1"/>
  <c r="AF463" i="22" s="1"/>
  <c r="G43" i="13"/>
  <c r="E463" i="22" s="1"/>
  <c r="AE463" i="22" s="1"/>
  <c r="AA41" i="13"/>
  <c r="W461" i="22" s="1"/>
  <c r="AW461" i="22" s="1"/>
  <c r="K41" i="13"/>
  <c r="I461" i="22" s="1"/>
  <c r="AI461" i="22" s="1"/>
  <c r="J41" i="13"/>
  <c r="H461" i="22" s="1"/>
  <c r="AH461" i="22" s="1"/>
  <c r="H41" i="13"/>
  <c r="F461" i="22" s="1"/>
  <c r="AF461" i="22" s="1"/>
  <c r="G41" i="13"/>
  <c r="E461" i="22" s="1"/>
  <c r="AE461" i="22" s="1"/>
  <c r="AA39" i="13"/>
  <c r="W459" i="22" s="1"/>
  <c r="AW459" i="22" s="1"/>
  <c r="K39" i="13"/>
  <c r="I459" i="22" s="1"/>
  <c r="AI459" i="22" s="1"/>
  <c r="J39" i="13"/>
  <c r="H459" i="22" s="1"/>
  <c r="AH459" i="22" s="1"/>
  <c r="H39" i="13"/>
  <c r="F459" i="22" s="1"/>
  <c r="AF459" i="22" s="1"/>
  <c r="G39" i="13"/>
  <c r="E459" i="22" s="1"/>
  <c r="AE459" i="22" s="1"/>
  <c r="AA37" i="13"/>
  <c r="W457" i="22" s="1"/>
  <c r="AW457" i="22" s="1"/>
  <c r="K37" i="13"/>
  <c r="I457" i="22" s="1"/>
  <c r="AI457" i="22" s="1"/>
  <c r="J37" i="13"/>
  <c r="H457" i="22" s="1"/>
  <c r="AH457" i="22" s="1"/>
  <c r="H37" i="13"/>
  <c r="F457" i="22" s="1"/>
  <c r="AF457" i="22" s="1"/>
  <c r="G37" i="13"/>
  <c r="E457" i="22" s="1"/>
  <c r="AE457" i="22" s="1"/>
  <c r="AA35" i="13"/>
  <c r="W455" i="22" s="1"/>
  <c r="AW455" i="22" s="1"/>
  <c r="K35" i="13"/>
  <c r="I455" i="22" s="1"/>
  <c r="AI455" i="22" s="1"/>
  <c r="J35" i="13"/>
  <c r="H455" i="22" s="1"/>
  <c r="AH455" i="22" s="1"/>
  <c r="H35" i="13"/>
  <c r="F455" i="22" s="1"/>
  <c r="AF455" i="22" s="1"/>
  <c r="G35" i="13"/>
  <c r="E455" i="22" s="1"/>
  <c r="AE455" i="22" s="1"/>
  <c r="AA33" i="13"/>
  <c r="W453" i="22" s="1"/>
  <c r="AW453" i="22" s="1"/>
  <c r="K33" i="13"/>
  <c r="I453" i="22" s="1"/>
  <c r="AI453" i="22" s="1"/>
  <c r="J33" i="13"/>
  <c r="H453" i="22" s="1"/>
  <c r="AH453" i="22" s="1"/>
  <c r="H33" i="13"/>
  <c r="F453" i="22" s="1"/>
  <c r="AF453" i="22" s="1"/>
  <c r="G33" i="13"/>
  <c r="E453" i="22" s="1"/>
  <c r="AE453" i="22" s="1"/>
  <c r="AA31" i="13"/>
  <c r="W451" i="22" s="1"/>
  <c r="AW451" i="22" s="1"/>
  <c r="K31" i="13"/>
  <c r="I451" i="22" s="1"/>
  <c r="AI451" i="22" s="1"/>
  <c r="J31" i="13"/>
  <c r="H451" i="22" s="1"/>
  <c r="AH451" i="22" s="1"/>
  <c r="H31" i="13"/>
  <c r="F451" i="22" s="1"/>
  <c r="AF451" i="22" s="1"/>
  <c r="G31" i="13"/>
  <c r="E451" i="22" s="1"/>
  <c r="AE451" i="22" s="1"/>
  <c r="AA29" i="13"/>
  <c r="W449" i="22" s="1"/>
  <c r="AW449" i="22" s="1"/>
  <c r="K29" i="13"/>
  <c r="I449" i="22" s="1"/>
  <c r="AI449" i="22" s="1"/>
  <c r="J29" i="13"/>
  <c r="H449" i="22" s="1"/>
  <c r="AH449" i="22" s="1"/>
  <c r="H29" i="13"/>
  <c r="F449" i="22" s="1"/>
  <c r="AF449" i="22" s="1"/>
  <c r="G29" i="13"/>
  <c r="E449" i="22" s="1"/>
  <c r="AE449" i="22" s="1"/>
  <c r="AA27" i="13"/>
  <c r="W447" i="22" s="1"/>
  <c r="AW447" i="22" s="1"/>
  <c r="K27" i="13"/>
  <c r="I447" i="22" s="1"/>
  <c r="AI447" i="22" s="1"/>
  <c r="J27" i="13"/>
  <c r="H447" i="22" s="1"/>
  <c r="AH447" i="22" s="1"/>
  <c r="H27" i="13"/>
  <c r="F447" i="22" s="1"/>
  <c r="AF447" i="22" s="1"/>
  <c r="G27" i="13"/>
  <c r="E447" i="22" s="1"/>
  <c r="AE447" i="22" s="1"/>
  <c r="AA25" i="13"/>
  <c r="W445" i="22" s="1"/>
  <c r="AW445" i="22" s="1"/>
  <c r="K25" i="13"/>
  <c r="I445" i="22" s="1"/>
  <c r="AI445" i="22" s="1"/>
  <c r="J25" i="13"/>
  <c r="H445" i="22" s="1"/>
  <c r="AH445" i="22" s="1"/>
  <c r="H25" i="13"/>
  <c r="F445" i="22" s="1"/>
  <c r="AF445" i="22" s="1"/>
  <c r="G25" i="13"/>
  <c r="E445" i="22" s="1"/>
  <c r="AE445" i="22" s="1"/>
  <c r="AA23" i="13"/>
  <c r="W443" i="22" s="1"/>
  <c r="AW443" i="22" s="1"/>
  <c r="K23" i="13"/>
  <c r="I443" i="22" s="1"/>
  <c r="AI443" i="22" s="1"/>
  <c r="J23" i="13"/>
  <c r="H443" i="22" s="1"/>
  <c r="AH443" i="22" s="1"/>
  <c r="H23" i="13"/>
  <c r="F443" i="22" s="1"/>
  <c r="AF443" i="22" s="1"/>
  <c r="G23" i="13"/>
  <c r="E443" i="22" s="1"/>
  <c r="AE443" i="22" s="1"/>
  <c r="AA21" i="13"/>
  <c r="W441" i="22" s="1"/>
  <c r="AW441" i="22" s="1"/>
  <c r="K21" i="13"/>
  <c r="I441" i="22" s="1"/>
  <c r="AI441" i="22" s="1"/>
  <c r="J21" i="13"/>
  <c r="H441" i="22" s="1"/>
  <c r="AH441" i="22" s="1"/>
  <c r="H21" i="13"/>
  <c r="F441" i="22" s="1"/>
  <c r="AF441" i="22" s="1"/>
  <c r="G21" i="13"/>
  <c r="E441" i="22" s="1"/>
  <c r="AE441" i="22" s="1"/>
  <c r="AR19" i="13"/>
  <c r="AQ19" i="13"/>
  <c r="AP19" i="13"/>
  <c r="AO19" i="13"/>
  <c r="AM19" i="13"/>
  <c r="AJ19" i="13" a="1"/>
  <c r="AJ19" i="13"/>
  <c r="AL19" i="13" s="1"/>
  <c r="AA19" i="13"/>
  <c r="W439" i="22" s="1"/>
  <c r="AW439" i="22" s="1"/>
  <c r="K19" i="13"/>
  <c r="I439" i="22" s="1"/>
  <c r="AI439" i="22" s="1"/>
  <c r="J19" i="13"/>
  <c r="H439" i="22" s="1"/>
  <c r="AH439" i="22" s="1"/>
  <c r="H19" i="13"/>
  <c r="F439" i="22" s="1"/>
  <c r="AF439" i="22" s="1"/>
  <c r="G19" i="13"/>
  <c r="E439" i="22" s="1"/>
  <c r="AE439" i="22" s="1"/>
  <c r="AR18" i="13"/>
  <c r="AQ18" i="13"/>
  <c r="AP18" i="13"/>
  <c r="AO18" i="13"/>
  <c r="AS18" i="13" s="1"/>
  <c r="AM18" i="13"/>
  <c r="AJ18" i="13" a="1"/>
  <c r="AJ18" i="13"/>
  <c r="AL18" i="13" s="1"/>
  <c r="AR17" i="13"/>
  <c r="AQ17" i="13"/>
  <c r="AP17" i="13"/>
  <c r="AO17" i="13"/>
  <c r="AS17" i="13" s="1"/>
  <c r="AM17" i="13"/>
  <c r="AJ17" i="13" a="1"/>
  <c r="AJ17" i="13"/>
  <c r="AL17" i="13" s="1"/>
  <c r="AA17" i="13"/>
  <c r="W437" i="22" s="1"/>
  <c r="AW437" i="22" s="1"/>
  <c r="K17" i="13"/>
  <c r="I437" i="22" s="1"/>
  <c r="AI437" i="22" s="1"/>
  <c r="J17" i="13"/>
  <c r="H437" i="22" s="1"/>
  <c r="AH437" i="22" s="1"/>
  <c r="H17" i="13"/>
  <c r="F437" i="22" s="1"/>
  <c r="AF437" i="22" s="1"/>
  <c r="G17" i="13"/>
  <c r="E437" i="22" s="1"/>
  <c r="AE437" i="22" s="1"/>
  <c r="AR16" i="13"/>
  <c r="AQ16" i="13"/>
  <c r="AP16" i="13"/>
  <c r="AO16" i="13"/>
  <c r="AS16" i="13" s="1"/>
  <c r="AM16" i="13"/>
  <c r="AJ16" i="13" a="1"/>
  <c r="AJ16" i="13"/>
  <c r="AL16" i="13" s="1"/>
  <c r="AR15" i="13"/>
  <c r="AQ15" i="13"/>
  <c r="AP15" i="13"/>
  <c r="AO15" i="13"/>
  <c r="AS15" i="13" s="1"/>
  <c r="AM15" i="13"/>
  <c r="AJ15" i="13" a="1"/>
  <c r="AJ15" i="13"/>
  <c r="AL15" i="13" s="1"/>
  <c r="AA15" i="13"/>
  <c r="W435" i="22" s="1"/>
  <c r="AW435" i="22" s="1"/>
  <c r="K15" i="13"/>
  <c r="I435" i="22" s="1"/>
  <c r="AI435" i="22" s="1"/>
  <c r="J15" i="13"/>
  <c r="H435" i="22" s="1"/>
  <c r="AH435" i="22" s="1"/>
  <c r="H15" i="13"/>
  <c r="F435" i="22" s="1"/>
  <c r="AF435" i="22" s="1"/>
  <c r="G15" i="13"/>
  <c r="E435" i="22" s="1"/>
  <c r="AE435" i="22" s="1"/>
  <c r="AR14" i="13"/>
  <c r="AQ14" i="13"/>
  <c r="AP14" i="13"/>
  <c r="AO14" i="13"/>
  <c r="AS14" i="13" s="1"/>
  <c r="AM14" i="13"/>
  <c r="AJ14" i="13" a="1"/>
  <c r="AJ14" i="13"/>
  <c r="AL14" i="13" s="1"/>
  <c r="AR13" i="13"/>
  <c r="AQ13" i="13"/>
  <c r="AP13" i="13"/>
  <c r="AO13" i="13"/>
  <c r="AS13" i="13" s="1"/>
  <c r="AM13" i="13"/>
  <c r="AJ13" i="13" a="1"/>
  <c r="AJ13" i="13"/>
  <c r="AL13" i="13" s="1"/>
  <c r="AA13" i="13"/>
  <c r="W433" i="22" s="1"/>
  <c r="AW433" i="22" s="1"/>
  <c r="K13" i="13"/>
  <c r="I433" i="22" s="1"/>
  <c r="AI433" i="22" s="1"/>
  <c r="J13" i="13"/>
  <c r="H433" i="22" s="1"/>
  <c r="AH433" i="22" s="1"/>
  <c r="H13" i="13"/>
  <c r="F433" i="22" s="1"/>
  <c r="AF433" i="22" s="1"/>
  <c r="G13" i="13"/>
  <c r="E433" i="22" s="1"/>
  <c r="AE433" i="22" s="1"/>
  <c r="AR12" i="13"/>
  <c r="AQ12" i="13"/>
  <c r="AP12" i="13"/>
  <c r="AO12" i="13"/>
  <c r="AS12" i="13" s="1"/>
  <c r="AM12" i="13"/>
  <c r="AJ12" i="13" a="1"/>
  <c r="AJ12" i="13"/>
  <c r="AL12" i="13" s="1"/>
  <c r="AR11" i="13"/>
  <c r="AQ11" i="13"/>
  <c r="AP11" i="13"/>
  <c r="AO11" i="13"/>
  <c r="AS11" i="13" s="1"/>
  <c r="AM11" i="13"/>
  <c r="AJ11" i="13" a="1"/>
  <c r="AJ11" i="13"/>
  <c r="AL11" i="13" s="1"/>
  <c r="AA11" i="13"/>
  <c r="W431" i="22" s="1"/>
  <c r="AW431" i="22" s="1"/>
  <c r="K11" i="13"/>
  <c r="I431" i="22" s="1"/>
  <c r="AI431" i="22" s="1"/>
  <c r="J11" i="13"/>
  <c r="H431" i="22" s="1"/>
  <c r="AH431" i="22" s="1"/>
  <c r="H11" i="13"/>
  <c r="F431" i="22" s="1"/>
  <c r="AF431" i="22" s="1"/>
  <c r="G11" i="13"/>
  <c r="E431" i="22" s="1"/>
  <c r="AE431" i="22" s="1"/>
  <c r="AR10" i="13"/>
  <c r="AQ10" i="13"/>
  <c r="AP10" i="13"/>
  <c r="AO10" i="13"/>
  <c r="AS10" i="13" s="1"/>
  <c r="AM10" i="13"/>
  <c r="AJ10" i="13" a="1"/>
  <c r="AJ10" i="13"/>
  <c r="AL10" i="13" s="1"/>
  <c r="AR9" i="13"/>
  <c r="AQ9" i="13"/>
  <c r="AP9" i="13"/>
  <c r="AO9" i="13"/>
  <c r="AS9" i="13" s="1"/>
  <c r="AM9" i="13"/>
  <c r="AJ9" i="13" a="1"/>
  <c r="AJ9" i="13"/>
  <c r="AL9" i="13" s="1"/>
  <c r="AA9" i="13"/>
  <c r="W429" i="22" s="1"/>
  <c r="AW429" i="22" s="1"/>
  <c r="K9" i="13"/>
  <c r="I429" i="22" s="1"/>
  <c r="AI429" i="22" s="1"/>
  <c r="J9" i="13"/>
  <c r="H429" i="22" s="1"/>
  <c r="AH429" i="22" s="1"/>
  <c r="H9" i="13"/>
  <c r="F429" i="22" s="1"/>
  <c r="AF429" i="22" s="1"/>
  <c r="G9" i="13"/>
  <c r="E429" i="22" s="1"/>
  <c r="AE429" i="22" s="1"/>
  <c r="AR8" i="13"/>
  <c r="AQ8" i="13"/>
  <c r="AP8" i="13"/>
  <c r="AO8" i="13"/>
  <c r="AS8" i="13" s="1"/>
  <c r="AM8" i="13"/>
  <c r="AJ8" i="13" a="1"/>
  <c r="AJ8" i="13"/>
  <c r="AL8" i="13" s="1"/>
  <c r="AR7" i="13"/>
  <c r="AQ7" i="13"/>
  <c r="AP7" i="13"/>
  <c r="AO7" i="13"/>
  <c r="AM7" i="13"/>
  <c r="AJ7" i="13" a="1"/>
  <c r="AJ7" i="13"/>
  <c r="AL7" i="13" s="1"/>
  <c r="AA7" i="13"/>
  <c r="K7" i="13"/>
  <c r="I427" i="22" s="1"/>
  <c r="AI427" i="22" s="1"/>
  <c r="J7" i="13"/>
  <c r="H427" i="22" s="1"/>
  <c r="AH427" i="22" s="1"/>
  <c r="H7" i="13"/>
  <c r="F427" i="22" s="1"/>
  <c r="AF427" i="22" s="1"/>
  <c r="G7" i="13"/>
  <c r="E427" i="22" s="1"/>
  <c r="AE427" i="22" s="1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AA47" i="12"/>
  <c r="W425" i="22" s="1"/>
  <c r="AW425" i="22" s="1"/>
  <c r="K47" i="12"/>
  <c r="I425" i="22" s="1"/>
  <c r="AI425" i="22" s="1"/>
  <c r="J47" i="12"/>
  <c r="H425" i="22" s="1"/>
  <c r="AH425" i="22" s="1"/>
  <c r="H47" i="12"/>
  <c r="F425" i="22" s="1"/>
  <c r="AF425" i="22" s="1"/>
  <c r="G47" i="12"/>
  <c r="E425" i="22" s="1"/>
  <c r="AE425" i="22" s="1"/>
  <c r="AA45" i="12"/>
  <c r="W423" i="22" s="1"/>
  <c r="AW423" i="22" s="1"/>
  <c r="K45" i="12"/>
  <c r="I423" i="22" s="1"/>
  <c r="AI423" i="22" s="1"/>
  <c r="J45" i="12"/>
  <c r="H423" i="22" s="1"/>
  <c r="AH423" i="22" s="1"/>
  <c r="H45" i="12"/>
  <c r="F423" i="22" s="1"/>
  <c r="AF423" i="22" s="1"/>
  <c r="G45" i="12"/>
  <c r="E423" i="22" s="1"/>
  <c r="AE423" i="22" s="1"/>
  <c r="AA43" i="12"/>
  <c r="W421" i="22" s="1"/>
  <c r="AW421" i="22" s="1"/>
  <c r="K43" i="12"/>
  <c r="I421" i="22" s="1"/>
  <c r="AI421" i="22" s="1"/>
  <c r="J43" i="12"/>
  <c r="H421" i="22" s="1"/>
  <c r="AH421" i="22" s="1"/>
  <c r="H43" i="12"/>
  <c r="F421" i="22" s="1"/>
  <c r="AF421" i="22" s="1"/>
  <c r="G43" i="12"/>
  <c r="E421" i="22" s="1"/>
  <c r="AE421" i="22" s="1"/>
  <c r="AA41" i="12"/>
  <c r="W419" i="22" s="1"/>
  <c r="AW419" i="22" s="1"/>
  <c r="K41" i="12"/>
  <c r="I419" i="22" s="1"/>
  <c r="AI419" i="22" s="1"/>
  <c r="J41" i="12"/>
  <c r="H419" i="22" s="1"/>
  <c r="AH419" i="22" s="1"/>
  <c r="H41" i="12"/>
  <c r="F419" i="22" s="1"/>
  <c r="AF419" i="22" s="1"/>
  <c r="G41" i="12"/>
  <c r="E419" i="22" s="1"/>
  <c r="AE419" i="22" s="1"/>
  <c r="AA39" i="12"/>
  <c r="W417" i="22" s="1"/>
  <c r="AW417" i="22" s="1"/>
  <c r="K39" i="12"/>
  <c r="I417" i="22" s="1"/>
  <c r="AI417" i="22" s="1"/>
  <c r="J39" i="12"/>
  <c r="H417" i="22" s="1"/>
  <c r="AH417" i="22" s="1"/>
  <c r="H39" i="12"/>
  <c r="F417" i="22" s="1"/>
  <c r="AF417" i="22" s="1"/>
  <c r="G39" i="12"/>
  <c r="E417" i="22" s="1"/>
  <c r="AE417" i="22" s="1"/>
  <c r="AA37" i="12"/>
  <c r="W415" i="22" s="1"/>
  <c r="AW415" i="22" s="1"/>
  <c r="K37" i="12"/>
  <c r="I415" i="22" s="1"/>
  <c r="AI415" i="22" s="1"/>
  <c r="J37" i="12"/>
  <c r="H415" i="22" s="1"/>
  <c r="AH415" i="22" s="1"/>
  <c r="H37" i="12"/>
  <c r="F415" i="22" s="1"/>
  <c r="AF415" i="22" s="1"/>
  <c r="G37" i="12"/>
  <c r="E415" i="22" s="1"/>
  <c r="AE415" i="22" s="1"/>
  <c r="AA35" i="12"/>
  <c r="W413" i="22" s="1"/>
  <c r="AW413" i="22" s="1"/>
  <c r="K35" i="12"/>
  <c r="I413" i="22" s="1"/>
  <c r="AI413" i="22" s="1"/>
  <c r="J35" i="12"/>
  <c r="H413" i="22" s="1"/>
  <c r="AH413" i="22" s="1"/>
  <c r="H35" i="12"/>
  <c r="F413" i="22" s="1"/>
  <c r="AF413" i="22" s="1"/>
  <c r="G35" i="12"/>
  <c r="E413" i="22" s="1"/>
  <c r="AE413" i="22" s="1"/>
  <c r="AA33" i="12"/>
  <c r="W411" i="22" s="1"/>
  <c r="AW411" i="22" s="1"/>
  <c r="K33" i="12"/>
  <c r="I411" i="22" s="1"/>
  <c r="AI411" i="22" s="1"/>
  <c r="J33" i="12"/>
  <c r="H411" i="22" s="1"/>
  <c r="AH411" i="22" s="1"/>
  <c r="H33" i="12"/>
  <c r="F411" i="22" s="1"/>
  <c r="AF411" i="22" s="1"/>
  <c r="G33" i="12"/>
  <c r="E411" i="22" s="1"/>
  <c r="AE411" i="22" s="1"/>
  <c r="AA31" i="12"/>
  <c r="W409" i="22" s="1"/>
  <c r="AW409" i="22" s="1"/>
  <c r="K31" i="12"/>
  <c r="I409" i="22" s="1"/>
  <c r="AI409" i="22" s="1"/>
  <c r="J31" i="12"/>
  <c r="H409" i="22" s="1"/>
  <c r="AH409" i="22" s="1"/>
  <c r="H31" i="12"/>
  <c r="F409" i="22" s="1"/>
  <c r="AF409" i="22" s="1"/>
  <c r="G31" i="12"/>
  <c r="E409" i="22" s="1"/>
  <c r="AE409" i="22" s="1"/>
  <c r="AA29" i="12"/>
  <c r="W407" i="22" s="1"/>
  <c r="AW407" i="22" s="1"/>
  <c r="K29" i="12"/>
  <c r="I407" i="22" s="1"/>
  <c r="AI407" i="22" s="1"/>
  <c r="J29" i="12"/>
  <c r="H407" i="22" s="1"/>
  <c r="AH407" i="22" s="1"/>
  <c r="H29" i="12"/>
  <c r="F407" i="22" s="1"/>
  <c r="AF407" i="22" s="1"/>
  <c r="G29" i="12"/>
  <c r="E407" i="22" s="1"/>
  <c r="AE407" i="22" s="1"/>
  <c r="AA27" i="12"/>
  <c r="W405" i="22" s="1"/>
  <c r="AW405" i="22" s="1"/>
  <c r="K27" i="12"/>
  <c r="I405" i="22" s="1"/>
  <c r="AI405" i="22" s="1"/>
  <c r="J27" i="12"/>
  <c r="H405" i="22" s="1"/>
  <c r="AH405" i="22" s="1"/>
  <c r="H27" i="12"/>
  <c r="F405" i="22" s="1"/>
  <c r="AF405" i="22" s="1"/>
  <c r="G27" i="12"/>
  <c r="E405" i="22" s="1"/>
  <c r="AE405" i="22" s="1"/>
  <c r="AA25" i="12"/>
  <c r="W403" i="22" s="1"/>
  <c r="AW403" i="22" s="1"/>
  <c r="K25" i="12"/>
  <c r="I403" i="22" s="1"/>
  <c r="AI403" i="22" s="1"/>
  <c r="J25" i="12"/>
  <c r="H403" i="22" s="1"/>
  <c r="AH403" i="22" s="1"/>
  <c r="H25" i="12"/>
  <c r="F403" i="22" s="1"/>
  <c r="AF403" i="22" s="1"/>
  <c r="G25" i="12"/>
  <c r="E403" i="22" s="1"/>
  <c r="AE403" i="22" s="1"/>
  <c r="AA23" i="12"/>
  <c r="W401" i="22" s="1"/>
  <c r="AW401" i="22" s="1"/>
  <c r="K23" i="12"/>
  <c r="I401" i="22" s="1"/>
  <c r="AI401" i="22" s="1"/>
  <c r="J23" i="12"/>
  <c r="H401" i="22" s="1"/>
  <c r="AH401" i="22" s="1"/>
  <c r="H23" i="12"/>
  <c r="F401" i="22" s="1"/>
  <c r="AF401" i="22" s="1"/>
  <c r="G23" i="12"/>
  <c r="E401" i="22" s="1"/>
  <c r="AE401" i="22" s="1"/>
  <c r="AA21" i="12"/>
  <c r="W399" i="22" s="1"/>
  <c r="AW399" i="22" s="1"/>
  <c r="K21" i="12"/>
  <c r="I399" i="22" s="1"/>
  <c r="AI399" i="22" s="1"/>
  <c r="J21" i="12"/>
  <c r="H399" i="22" s="1"/>
  <c r="AH399" i="22" s="1"/>
  <c r="H21" i="12"/>
  <c r="F399" i="22" s="1"/>
  <c r="AF399" i="22" s="1"/>
  <c r="G21" i="12"/>
  <c r="E399" i="22" s="1"/>
  <c r="AE399" i="22" s="1"/>
  <c r="AR19" i="12"/>
  <c r="AQ19" i="12"/>
  <c r="AP19" i="12"/>
  <c r="AO19" i="12"/>
  <c r="AM19" i="12"/>
  <c r="AJ19" i="12" a="1"/>
  <c r="AJ19" i="12" s="1"/>
  <c r="AL19" i="12" s="1"/>
  <c r="AA19" i="12"/>
  <c r="W397" i="22" s="1"/>
  <c r="AW397" i="22" s="1"/>
  <c r="K19" i="12"/>
  <c r="I397" i="22" s="1"/>
  <c r="AI397" i="22" s="1"/>
  <c r="J19" i="12"/>
  <c r="H397" i="22" s="1"/>
  <c r="AH397" i="22" s="1"/>
  <c r="H19" i="12"/>
  <c r="F397" i="22" s="1"/>
  <c r="AF397" i="22" s="1"/>
  <c r="G19" i="12"/>
  <c r="E397" i="22" s="1"/>
  <c r="AE397" i="22" s="1"/>
  <c r="AR18" i="12"/>
  <c r="AQ18" i="12"/>
  <c r="AP18" i="12"/>
  <c r="AO18" i="12"/>
  <c r="AS18" i="12" s="1"/>
  <c r="AM18" i="12"/>
  <c r="AJ18" i="12" a="1"/>
  <c r="AJ18" i="12" s="1"/>
  <c r="AL18" i="12" s="1"/>
  <c r="AR17" i="12"/>
  <c r="AQ17" i="12"/>
  <c r="AP17" i="12"/>
  <c r="AO17" i="12"/>
  <c r="AS17" i="12" s="1"/>
  <c r="AM17" i="12"/>
  <c r="AJ17" i="12" a="1"/>
  <c r="AJ17" i="12" s="1"/>
  <c r="AL17" i="12" s="1"/>
  <c r="AA17" i="12"/>
  <c r="W395" i="22" s="1"/>
  <c r="AW395" i="22" s="1"/>
  <c r="K17" i="12"/>
  <c r="I395" i="22" s="1"/>
  <c r="AI395" i="22" s="1"/>
  <c r="J17" i="12"/>
  <c r="H395" i="22" s="1"/>
  <c r="AH395" i="22" s="1"/>
  <c r="H17" i="12"/>
  <c r="F395" i="22" s="1"/>
  <c r="AF395" i="22" s="1"/>
  <c r="G17" i="12"/>
  <c r="E395" i="22" s="1"/>
  <c r="AE395" i="22" s="1"/>
  <c r="AR16" i="12"/>
  <c r="AQ16" i="12"/>
  <c r="AP16" i="12"/>
  <c r="AO16" i="12"/>
  <c r="AM16" i="12"/>
  <c r="AJ16" i="12" a="1"/>
  <c r="AJ16" i="12" s="1"/>
  <c r="AL16" i="12" s="1"/>
  <c r="AR15" i="12"/>
  <c r="AQ15" i="12"/>
  <c r="AP15" i="12"/>
  <c r="AO15" i="12"/>
  <c r="AS15" i="12" s="1"/>
  <c r="AM15" i="12"/>
  <c r="AJ15" i="12" a="1"/>
  <c r="AJ15" i="12" s="1"/>
  <c r="AL15" i="12" s="1"/>
  <c r="AA15" i="12"/>
  <c r="W393" i="22" s="1"/>
  <c r="AW393" i="22" s="1"/>
  <c r="K15" i="12"/>
  <c r="I393" i="22" s="1"/>
  <c r="AI393" i="22" s="1"/>
  <c r="J15" i="12"/>
  <c r="H393" i="22" s="1"/>
  <c r="AH393" i="22" s="1"/>
  <c r="H15" i="12"/>
  <c r="F393" i="22" s="1"/>
  <c r="AF393" i="22" s="1"/>
  <c r="G15" i="12"/>
  <c r="E393" i="22" s="1"/>
  <c r="AE393" i="22" s="1"/>
  <c r="AR14" i="12"/>
  <c r="AQ14" i="12"/>
  <c r="AP14" i="12"/>
  <c r="AO14" i="12"/>
  <c r="AS14" i="12" s="1"/>
  <c r="AM14" i="12"/>
  <c r="AJ14" i="12" a="1"/>
  <c r="AJ14" i="12" s="1"/>
  <c r="AL14" i="12" s="1"/>
  <c r="AR13" i="12"/>
  <c r="AQ13" i="12"/>
  <c r="AP13" i="12"/>
  <c r="AO13" i="12"/>
  <c r="AS13" i="12" s="1"/>
  <c r="AM13" i="12"/>
  <c r="AJ13" i="12" a="1"/>
  <c r="AJ13" i="12" s="1"/>
  <c r="AL13" i="12" s="1"/>
  <c r="AA13" i="12"/>
  <c r="W391" i="22" s="1"/>
  <c r="AW391" i="22" s="1"/>
  <c r="K13" i="12"/>
  <c r="I391" i="22" s="1"/>
  <c r="AI391" i="22" s="1"/>
  <c r="J13" i="12"/>
  <c r="H391" i="22" s="1"/>
  <c r="AH391" i="22" s="1"/>
  <c r="H13" i="12"/>
  <c r="F391" i="22" s="1"/>
  <c r="AF391" i="22" s="1"/>
  <c r="G13" i="12"/>
  <c r="E391" i="22" s="1"/>
  <c r="AE391" i="22" s="1"/>
  <c r="AR12" i="12"/>
  <c r="AQ12" i="12"/>
  <c r="AP12" i="12"/>
  <c r="AO12" i="12"/>
  <c r="AS12" i="12" s="1"/>
  <c r="AM12" i="12"/>
  <c r="AJ12" i="12" a="1"/>
  <c r="AJ12" i="12" s="1"/>
  <c r="AL12" i="12" s="1"/>
  <c r="AR11" i="12"/>
  <c r="AQ11" i="12"/>
  <c r="AP11" i="12"/>
  <c r="AO11" i="12"/>
  <c r="AS11" i="12" s="1"/>
  <c r="AM11" i="12"/>
  <c r="AJ11" i="12" a="1"/>
  <c r="AJ11" i="12" s="1"/>
  <c r="AL11" i="12" s="1"/>
  <c r="AA11" i="12"/>
  <c r="W389" i="22" s="1"/>
  <c r="AW389" i="22" s="1"/>
  <c r="K11" i="12"/>
  <c r="I389" i="22" s="1"/>
  <c r="AI389" i="22" s="1"/>
  <c r="J11" i="12"/>
  <c r="H389" i="22" s="1"/>
  <c r="AH389" i="22" s="1"/>
  <c r="H11" i="12"/>
  <c r="F389" i="22" s="1"/>
  <c r="AF389" i="22" s="1"/>
  <c r="G11" i="12"/>
  <c r="E389" i="22" s="1"/>
  <c r="AE389" i="22" s="1"/>
  <c r="AR10" i="12"/>
  <c r="AQ10" i="12"/>
  <c r="AP10" i="12"/>
  <c r="AO10" i="12"/>
  <c r="AS10" i="12" s="1"/>
  <c r="AM10" i="12"/>
  <c r="AJ10" i="12" a="1"/>
  <c r="AJ10" i="12" s="1"/>
  <c r="AL10" i="12" s="1"/>
  <c r="AR9" i="12"/>
  <c r="AQ9" i="12"/>
  <c r="AP9" i="12"/>
  <c r="AO9" i="12"/>
  <c r="AS9" i="12" s="1"/>
  <c r="AM9" i="12"/>
  <c r="AJ9" i="12" a="1"/>
  <c r="AJ9" i="12" s="1"/>
  <c r="AL9" i="12" s="1"/>
  <c r="AA9" i="12"/>
  <c r="W387" i="22" s="1"/>
  <c r="AW387" i="22" s="1"/>
  <c r="K9" i="12"/>
  <c r="I387" i="22" s="1"/>
  <c r="AI387" i="22" s="1"/>
  <c r="J9" i="12"/>
  <c r="H387" i="22" s="1"/>
  <c r="AH387" i="22" s="1"/>
  <c r="H9" i="12"/>
  <c r="F387" i="22" s="1"/>
  <c r="AF387" i="22" s="1"/>
  <c r="G9" i="12"/>
  <c r="E387" i="22" s="1"/>
  <c r="AE387" i="22" s="1"/>
  <c r="AR8" i="12"/>
  <c r="AQ8" i="12"/>
  <c r="AP8" i="12"/>
  <c r="AO8" i="12"/>
  <c r="AS8" i="12" s="1"/>
  <c r="AM8" i="12"/>
  <c r="AJ8" i="12" a="1"/>
  <c r="AJ8" i="12" s="1"/>
  <c r="AL8" i="12" s="1"/>
  <c r="AR7" i="12"/>
  <c r="AQ7" i="12"/>
  <c r="AP7" i="12"/>
  <c r="AO7" i="12"/>
  <c r="AM7" i="12"/>
  <c r="AJ7" i="12" a="1"/>
  <c r="AJ7" i="12" s="1"/>
  <c r="AL7" i="12" s="1"/>
  <c r="AA7" i="12"/>
  <c r="K7" i="12"/>
  <c r="I385" i="22" s="1"/>
  <c r="AI385" i="22" s="1"/>
  <c r="J7" i="12"/>
  <c r="H385" i="22" s="1"/>
  <c r="AH385" i="22" s="1"/>
  <c r="H7" i="12"/>
  <c r="F385" i="22" s="1"/>
  <c r="AF385" i="22" s="1"/>
  <c r="G7" i="12"/>
  <c r="E385" i="22" s="1"/>
  <c r="AE385" i="22" s="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AA47" i="11"/>
  <c r="W383" i="22" s="1"/>
  <c r="AW383" i="22" s="1"/>
  <c r="K47" i="11"/>
  <c r="I383" i="22" s="1"/>
  <c r="AI383" i="22" s="1"/>
  <c r="J47" i="11"/>
  <c r="H383" i="22" s="1"/>
  <c r="AH383" i="22" s="1"/>
  <c r="H47" i="11"/>
  <c r="F383" i="22" s="1"/>
  <c r="AF383" i="22" s="1"/>
  <c r="G47" i="11"/>
  <c r="E383" i="22" s="1"/>
  <c r="AE383" i="22" s="1"/>
  <c r="AA45" i="11"/>
  <c r="W381" i="22" s="1"/>
  <c r="AW381" i="22" s="1"/>
  <c r="K45" i="11"/>
  <c r="I381" i="22" s="1"/>
  <c r="AI381" i="22" s="1"/>
  <c r="J45" i="11"/>
  <c r="H381" i="22" s="1"/>
  <c r="AH381" i="22" s="1"/>
  <c r="H45" i="11"/>
  <c r="F381" i="22" s="1"/>
  <c r="AF381" i="22" s="1"/>
  <c r="G45" i="11"/>
  <c r="E381" i="22" s="1"/>
  <c r="AE381" i="22" s="1"/>
  <c r="AA43" i="11"/>
  <c r="W379" i="22" s="1"/>
  <c r="AW379" i="22" s="1"/>
  <c r="K43" i="11"/>
  <c r="I379" i="22" s="1"/>
  <c r="AI379" i="22" s="1"/>
  <c r="J43" i="11"/>
  <c r="H379" i="22" s="1"/>
  <c r="AH379" i="22" s="1"/>
  <c r="H43" i="11"/>
  <c r="F379" i="22" s="1"/>
  <c r="AF379" i="22" s="1"/>
  <c r="G43" i="11"/>
  <c r="E379" i="22" s="1"/>
  <c r="AE379" i="22" s="1"/>
  <c r="AA41" i="11"/>
  <c r="W377" i="22" s="1"/>
  <c r="AW377" i="22" s="1"/>
  <c r="K41" i="11"/>
  <c r="I377" i="22" s="1"/>
  <c r="AI377" i="22" s="1"/>
  <c r="J41" i="11"/>
  <c r="H377" i="22" s="1"/>
  <c r="AH377" i="22" s="1"/>
  <c r="H41" i="11"/>
  <c r="F377" i="22" s="1"/>
  <c r="AF377" i="22" s="1"/>
  <c r="G41" i="11"/>
  <c r="E377" i="22" s="1"/>
  <c r="AE377" i="22" s="1"/>
  <c r="AA39" i="11"/>
  <c r="W375" i="22" s="1"/>
  <c r="AW375" i="22" s="1"/>
  <c r="K39" i="11"/>
  <c r="I375" i="22" s="1"/>
  <c r="AI375" i="22" s="1"/>
  <c r="J39" i="11"/>
  <c r="H375" i="22" s="1"/>
  <c r="AH375" i="22" s="1"/>
  <c r="H39" i="11"/>
  <c r="F375" i="22" s="1"/>
  <c r="AF375" i="22" s="1"/>
  <c r="G39" i="11"/>
  <c r="E375" i="22" s="1"/>
  <c r="AE375" i="22" s="1"/>
  <c r="AA37" i="11"/>
  <c r="W373" i="22" s="1"/>
  <c r="AW373" i="22" s="1"/>
  <c r="K37" i="11"/>
  <c r="I373" i="22" s="1"/>
  <c r="AI373" i="22" s="1"/>
  <c r="J37" i="11"/>
  <c r="H373" i="22" s="1"/>
  <c r="AH373" i="22" s="1"/>
  <c r="H37" i="11"/>
  <c r="F373" i="22" s="1"/>
  <c r="AF373" i="22" s="1"/>
  <c r="G37" i="11"/>
  <c r="E373" i="22" s="1"/>
  <c r="AE373" i="22" s="1"/>
  <c r="AA35" i="11"/>
  <c r="W371" i="22" s="1"/>
  <c r="AW371" i="22" s="1"/>
  <c r="K35" i="11"/>
  <c r="I371" i="22" s="1"/>
  <c r="AI371" i="22" s="1"/>
  <c r="J35" i="11"/>
  <c r="H371" i="22" s="1"/>
  <c r="AH371" i="22" s="1"/>
  <c r="H35" i="11"/>
  <c r="F371" i="22" s="1"/>
  <c r="AF371" i="22" s="1"/>
  <c r="G35" i="11"/>
  <c r="E371" i="22" s="1"/>
  <c r="AE371" i="22" s="1"/>
  <c r="AA33" i="11"/>
  <c r="W369" i="22" s="1"/>
  <c r="AW369" i="22" s="1"/>
  <c r="K33" i="11"/>
  <c r="I369" i="22" s="1"/>
  <c r="AI369" i="22" s="1"/>
  <c r="J33" i="11"/>
  <c r="H369" i="22" s="1"/>
  <c r="AH369" i="22" s="1"/>
  <c r="H33" i="11"/>
  <c r="F369" i="22" s="1"/>
  <c r="AF369" i="22" s="1"/>
  <c r="G33" i="11"/>
  <c r="E369" i="22" s="1"/>
  <c r="AE369" i="22" s="1"/>
  <c r="AA31" i="11"/>
  <c r="W367" i="22" s="1"/>
  <c r="AW367" i="22" s="1"/>
  <c r="K31" i="11"/>
  <c r="I367" i="22" s="1"/>
  <c r="AI367" i="22" s="1"/>
  <c r="J31" i="11"/>
  <c r="H367" i="22" s="1"/>
  <c r="AH367" i="22" s="1"/>
  <c r="H31" i="11"/>
  <c r="F367" i="22" s="1"/>
  <c r="AF367" i="22" s="1"/>
  <c r="G31" i="11"/>
  <c r="E367" i="22" s="1"/>
  <c r="AE367" i="22" s="1"/>
  <c r="AA29" i="11"/>
  <c r="W365" i="22" s="1"/>
  <c r="AW365" i="22" s="1"/>
  <c r="K29" i="11"/>
  <c r="I365" i="22" s="1"/>
  <c r="AI365" i="22" s="1"/>
  <c r="J29" i="11"/>
  <c r="H365" i="22" s="1"/>
  <c r="AH365" i="22" s="1"/>
  <c r="H29" i="11"/>
  <c r="F365" i="22" s="1"/>
  <c r="AF365" i="22" s="1"/>
  <c r="G29" i="11"/>
  <c r="E365" i="22" s="1"/>
  <c r="AE365" i="22" s="1"/>
  <c r="AA27" i="11"/>
  <c r="W363" i="22" s="1"/>
  <c r="AW363" i="22" s="1"/>
  <c r="K27" i="11"/>
  <c r="I363" i="22" s="1"/>
  <c r="AI363" i="22" s="1"/>
  <c r="J27" i="11"/>
  <c r="H363" i="22" s="1"/>
  <c r="AH363" i="22" s="1"/>
  <c r="H27" i="11"/>
  <c r="F363" i="22" s="1"/>
  <c r="AF363" i="22" s="1"/>
  <c r="G27" i="11"/>
  <c r="E363" i="22" s="1"/>
  <c r="AE363" i="22" s="1"/>
  <c r="AA25" i="11"/>
  <c r="W361" i="22" s="1"/>
  <c r="AW361" i="22" s="1"/>
  <c r="K25" i="11"/>
  <c r="I361" i="22" s="1"/>
  <c r="AI361" i="22" s="1"/>
  <c r="J25" i="11"/>
  <c r="H361" i="22" s="1"/>
  <c r="AH361" i="22" s="1"/>
  <c r="H25" i="11"/>
  <c r="F361" i="22" s="1"/>
  <c r="AF361" i="22" s="1"/>
  <c r="G25" i="11"/>
  <c r="E361" i="22" s="1"/>
  <c r="AE361" i="22" s="1"/>
  <c r="AA23" i="11"/>
  <c r="W359" i="22" s="1"/>
  <c r="AW359" i="22" s="1"/>
  <c r="K23" i="11"/>
  <c r="I359" i="22" s="1"/>
  <c r="AI359" i="22" s="1"/>
  <c r="J23" i="11"/>
  <c r="H359" i="22" s="1"/>
  <c r="AH359" i="22" s="1"/>
  <c r="H23" i="11"/>
  <c r="F359" i="22" s="1"/>
  <c r="AF359" i="22" s="1"/>
  <c r="G23" i="11"/>
  <c r="E359" i="22" s="1"/>
  <c r="AE359" i="22" s="1"/>
  <c r="AA21" i="11"/>
  <c r="W357" i="22" s="1"/>
  <c r="AW357" i="22" s="1"/>
  <c r="K21" i="11"/>
  <c r="I357" i="22" s="1"/>
  <c r="AI357" i="22" s="1"/>
  <c r="J21" i="11"/>
  <c r="H357" i="22" s="1"/>
  <c r="AH357" i="22" s="1"/>
  <c r="H21" i="11"/>
  <c r="F357" i="22" s="1"/>
  <c r="AF357" i="22" s="1"/>
  <c r="G21" i="11"/>
  <c r="E357" i="22" s="1"/>
  <c r="AE357" i="22" s="1"/>
  <c r="AR19" i="11"/>
  <c r="AQ19" i="11"/>
  <c r="AP19" i="11"/>
  <c r="AO19" i="11"/>
  <c r="AM19" i="11"/>
  <c r="AJ19" i="11" a="1"/>
  <c r="AJ19" i="11"/>
  <c r="AL19" i="11" s="1"/>
  <c r="AA19" i="11"/>
  <c r="W355" i="22" s="1"/>
  <c r="AW355" i="22" s="1"/>
  <c r="K19" i="11"/>
  <c r="I355" i="22" s="1"/>
  <c r="AI355" i="22" s="1"/>
  <c r="J19" i="11"/>
  <c r="H355" i="22" s="1"/>
  <c r="AH355" i="22" s="1"/>
  <c r="H19" i="11"/>
  <c r="F355" i="22" s="1"/>
  <c r="AF355" i="22" s="1"/>
  <c r="G19" i="11"/>
  <c r="E355" i="22" s="1"/>
  <c r="AE355" i="22" s="1"/>
  <c r="AR18" i="11"/>
  <c r="AQ18" i="11"/>
  <c r="AP18" i="11"/>
  <c r="AO18" i="11"/>
  <c r="AS18" i="11" s="1"/>
  <c r="AM18" i="11"/>
  <c r="AJ18" i="11" a="1"/>
  <c r="AJ18" i="11"/>
  <c r="AL18" i="11" s="1"/>
  <c r="AR17" i="11"/>
  <c r="AQ17" i="11"/>
  <c r="AP17" i="11"/>
  <c r="AO17" i="11"/>
  <c r="AS17" i="11" s="1"/>
  <c r="AM17" i="11"/>
  <c r="AJ17" i="11" a="1"/>
  <c r="AJ17" i="11"/>
  <c r="AL17" i="11" s="1"/>
  <c r="AA17" i="11"/>
  <c r="W353" i="22" s="1"/>
  <c r="AW353" i="22" s="1"/>
  <c r="K17" i="11"/>
  <c r="I353" i="22" s="1"/>
  <c r="AI353" i="22" s="1"/>
  <c r="J17" i="11"/>
  <c r="H353" i="22" s="1"/>
  <c r="AH353" i="22" s="1"/>
  <c r="H17" i="11"/>
  <c r="F353" i="22" s="1"/>
  <c r="AF353" i="22" s="1"/>
  <c r="G17" i="11"/>
  <c r="E353" i="22" s="1"/>
  <c r="AE353" i="22" s="1"/>
  <c r="AR16" i="11"/>
  <c r="AQ16" i="11"/>
  <c r="AP16" i="11"/>
  <c r="AO16" i="11"/>
  <c r="AS16" i="11" s="1"/>
  <c r="AM16" i="11"/>
  <c r="AJ16" i="11" a="1"/>
  <c r="AJ16" i="11"/>
  <c r="AL16" i="11" s="1"/>
  <c r="AR15" i="11"/>
  <c r="AQ15" i="11"/>
  <c r="AP15" i="11"/>
  <c r="AO15" i="11"/>
  <c r="AS15" i="11" s="1"/>
  <c r="AM15" i="11"/>
  <c r="AJ15" i="11" a="1"/>
  <c r="AJ15" i="11"/>
  <c r="AL15" i="11" s="1"/>
  <c r="AA15" i="11"/>
  <c r="W351" i="22" s="1"/>
  <c r="AW351" i="22" s="1"/>
  <c r="K15" i="11"/>
  <c r="I351" i="22" s="1"/>
  <c r="AI351" i="22" s="1"/>
  <c r="J15" i="11"/>
  <c r="H351" i="22" s="1"/>
  <c r="AH351" i="22" s="1"/>
  <c r="H15" i="11"/>
  <c r="F351" i="22" s="1"/>
  <c r="AF351" i="22" s="1"/>
  <c r="G15" i="11"/>
  <c r="E351" i="22" s="1"/>
  <c r="AE351" i="22" s="1"/>
  <c r="AR14" i="11"/>
  <c r="AQ14" i="11"/>
  <c r="AP14" i="11"/>
  <c r="AO14" i="11"/>
  <c r="AS14" i="11" s="1"/>
  <c r="AM14" i="11"/>
  <c r="AJ14" i="11" a="1"/>
  <c r="AJ14" i="11"/>
  <c r="AL14" i="11" s="1"/>
  <c r="AR13" i="11"/>
  <c r="AQ13" i="11"/>
  <c r="AP13" i="11"/>
  <c r="AO13" i="11"/>
  <c r="AS13" i="11" s="1"/>
  <c r="AM13" i="11"/>
  <c r="AJ13" i="11" a="1"/>
  <c r="AJ13" i="11"/>
  <c r="AL13" i="11" s="1"/>
  <c r="AA13" i="11"/>
  <c r="W349" i="22" s="1"/>
  <c r="AW349" i="22" s="1"/>
  <c r="K13" i="11"/>
  <c r="I349" i="22" s="1"/>
  <c r="AI349" i="22" s="1"/>
  <c r="J13" i="11"/>
  <c r="H349" i="22" s="1"/>
  <c r="AH349" i="22" s="1"/>
  <c r="H13" i="11"/>
  <c r="F349" i="22" s="1"/>
  <c r="AF349" i="22" s="1"/>
  <c r="G13" i="11"/>
  <c r="E349" i="22" s="1"/>
  <c r="AE349" i="22" s="1"/>
  <c r="AR12" i="11"/>
  <c r="AQ12" i="11"/>
  <c r="AP12" i="11"/>
  <c r="AO12" i="11"/>
  <c r="AS12" i="11" s="1"/>
  <c r="AM12" i="11"/>
  <c r="AJ12" i="11" a="1"/>
  <c r="AJ12" i="11"/>
  <c r="AL12" i="11" s="1"/>
  <c r="AR11" i="11"/>
  <c r="AQ11" i="11"/>
  <c r="AP11" i="11"/>
  <c r="AO11" i="11"/>
  <c r="AS11" i="11" s="1"/>
  <c r="AM11" i="11"/>
  <c r="AJ11" i="11" a="1"/>
  <c r="AJ11" i="11"/>
  <c r="AL11" i="11" s="1"/>
  <c r="AA11" i="11"/>
  <c r="W347" i="22" s="1"/>
  <c r="AW347" i="22" s="1"/>
  <c r="K11" i="11"/>
  <c r="I347" i="22" s="1"/>
  <c r="AI347" i="22" s="1"/>
  <c r="J11" i="11"/>
  <c r="H347" i="22" s="1"/>
  <c r="AH347" i="22" s="1"/>
  <c r="H11" i="11"/>
  <c r="F347" i="22" s="1"/>
  <c r="AF347" i="22" s="1"/>
  <c r="G11" i="11"/>
  <c r="E347" i="22" s="1"/>
  <c r="AE347" i="22" s="1"/>
  <c r="AR10" i="11"/>
  <c r="AQ10" i="11"/>
  <c r="AP10" i="11"/>
  <c r="AO10" i="11"/>
  <c r="AS10" i="11" s="1"/>
  <c r="AM10" i="11"/>
  <c r="AJ10" i="11" a="1"/>
  <c r="AJ10" i="11"/>
  <c r="AL10" i="11" s="1"/>
  <c r="AR9" i="11"/>
  <c r="AQ9" i="11"/>
  <c r="AP9" i="11"/>
  <c r="AO9" i="11"/>
  <c r="AS9" i="11" s="1"/>
  <c r="AM9" i="11"/>
  <c r="AJ9" i="11" a="1"/>
  <c r="AJ9" i="11"/>
  <c r="AL9" i="11" s="1"/>
  <c r="AA9" i="11"/>
  <c r="W345" i="22" s="1"/>
  <c r="AW345" i="22" s="1"/>
  <c r="K9" i="11"/>
  <c r="I345" i="22" s="1"/>
  <c r="AI345" i="22" s="1"/>
  <c r="J9" i="11"/>
  <c r="H345" i="22" s="1"/>
  <c r="AH345" i="22" s="1"/>
  <c r="H9" i="11"/>
  <c r="F345" i="22" s="1"/>
  <c r="AF345" i="22" s="1"/>
  <c r="G9" i="11"/>
  <c r="E345" i="22" s="1"/>
  <c r="AE345" i="22" s="1"/>
  <c r="AR8" i="11"/>
  <c r="AQ8" i="11"/>
  <c r="AP8" i="11"/>
  <c r="AO8" i="11"/>
  <c r="AS8" i="11" s="1"/>
  <c r="AM8" i="11"/>
  <c r="AJ8" i="11" a="1"/>
  <c r="AJ8" i="11"/>
  <c r="AL8" i="11" s="1"/>
  <c r="AR7" i="11"/>
  <c r="AQ7" i="11"/>
  <c r="AP7" i="11"/>
  <c r="AO7" i="11"/>
  <c r="AM7" i="11"/>
  <c r="AJ7" i="11" a="1"/>
  <c r="AJ7" i="11"/>
  <c r="AL7" i="11" s="1"/>
  <c r="AA7" i="11"/>
  <c r="K7" i="11"/>
  <c r="I343" i="22" s="1"/>
  <c r="AI343" i="22" s="1"/>
  <c r="J7" i="11"/>
  <c r="H343" i="22" s="1"/>
  <c r="AH343" i="22" s="1"/>
  <c r="H7" i="11"/>
  <c r="F343" i="22" s="1"/>
  <c r="AF343" i="22" s="1"/>
  <c r="G7" i="11"/>
  <c r="E343" i="22" s="1"/>
  <c r="AE343" i="22" s="1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AA47" i="10"/>
  <c r="W341" i="22" s="1"/>
  <c r="AW341" i="22" s="1"/>
  <c r="K47" i="10"/>
  <c r="I341" i="22" s="1"/>
  <c r="AI341" i="22" s="1"/>
  <c r="J47" i="10"/>
  <c r="H341" i="22" s="1"/>
  <c r="AH341" i="22" s="1"/>
  <c r="H47" i="10"/>
  <c r="F341" i="22" s="1"/>
  <c r="AF341" i="22" s="1"/>
  <c r="G47" i="10"/>
  <c r="E341" i="22" s="1"/>
  <c r="AE341" i="22" s="1"/>
  <c r="AA45" i="10"/>
  <c r="W339" i="22" s="1"/>
  <c r="AW339" i="22" s="1"/>
  <c r="K45" i="10"/>
  <c r="I339" i="22" s="1"/>
  <c r="AI339" i="22" s="1"/>
  <c r="J45" i="10"/>
  <c r="H339" i="22" s="1"/>
  <c r="AH339" i="22" s="1"/>
  <c r="H45" i="10"/>
  <c r="F339" i="22" s="1"/>
  <c r="AF339" i="22" s="1"/>
  <c r="G45" i="10"/>
  <c r="E339" i="22" s="1"/>
  <c r="AE339" i="22" s="1"/>
  <c r="AA43" i="10"/>
  <c r="W337" i="22" s="1"/>
  <c r="AW337" i="22" s="1"/>
  <c r="K43" i="10"/>
  <c r="I337" i="22" s="1"/>
  <c r="AI337" i="22" s="1"/>
  <c r="J43" i="10"/>
  <c r="H337" i="22" s="1"/>
  <c r="AH337" i="22" s="1"/>
  <c r="H43" i="10"/>
  <c r="F337" i="22" s="1"/>
  <c r="AF337" i="22" s="1"/>
  <c r="G43" i="10"/>
  <c r="E337" i="22" s="1"/>
  <c r="AE337" i="22" s="1"/>
  <c r="AA41" i="10"/>
  <c r="W335" i="22" s="1"/>
  <c r="AW335" i="22" s="1"/>
  <c r="K41" i="10"/>
  <c r="I335" i="22" s="1"/>
  <c r="AI335" i="22" s="1"/>
  <c r="J41" i="10"/>
  <c r="H335" i="22" s="1"/>
  <c r="AH335" i="22" s="1"/>
  <c r="H41" i="10"/>
  <c r="F335" i="22" s="1"/>
  <c r="AF335" i="22" s="1"/>
  <c r="G41" i="10"/>
  <c r="E335" i="22" s="1"/>
  <c r="AE335" i="22" s="1"/>
  <c r="AA39" i="10"/>
  <c r="W333" i="22" s="1"/>
  <c r="AW333" i="22" s="1"/>
  <c r="K39" i="10"/>
  <c r="I333" i="22" s="1"/>
  <c r="AI333" i="22" s="1"/>
  <c r="J39" i="10"/>
  <c r="H333" i="22" s="1"/>
  <c r="AH333" i="22" s="1"/>
  <c r="H39" i="10"/>
  <c r="F333" i="22" s="1"/>
  <c r="AF333" i="22" s="1"/>
  <c r="G39" i="10"/>
  <c r="E333" i="22" s="1"/>
  <c r="AE333" i="22" s="1"/>
  <c r="AA37" i="10"/>
  <c r="W331" i="22" s="1"/>
  <c r="AW331" i="22" s="1"/>
  <c r="K37" i="10"/>
  <c r="I331" i="22" s="1"/>
  <c r="AI331" i="22" s="1"/>
  <c r="J37" i="10"/>
  <c r="H331" i="22" s="1"/>
  <c r="AH331" i="22" s="1"/>
  <c r="H37" i="10"/>
  <c r="F331" i="22" s="1"/>
  <c r="AF331" i="22" s="1"/>
  <c r="G37" i="10"/>
  <c r="E331" i="22" s="1"/>
  <c r="AE331" i="22" s="1"/>
  <c r="AA35" i="10"/>
  <c r="W329" i="22" s="1"/>
  <c r="AW329" i="22" s="1"/>
  <c r="K35" i="10"/>
  <c r="I329" i="22" s="1"/>
  <c r="AI329" i="22" s="1"/>
  <c r="J35" i="10"/>
  <c r="H329" i="22" s="1"/>
  <c r="AH329" i="22" s="1"/>
  <c r="H35" i="10"/>
  <c r="F329" i="22" s="1"/>
  <c r="AF329" i="22" s="1"/>
  <c r="G35" i="10"/>
  <c r="E329" i="22" s="1"/>
  <c r="AE329" i="22" s="1"/>
  <c r="AA33" i="10"/>
  <c r="W327" i="22" s="1"/>
  <c r="AW327" i="22" s="1"/>
  <c r="K33" i="10"/>
  <c r="I327" i="22" s="1"/>
  <c r="AI327" i="22" s="1"/>
  <c r="J33" i="10"/>
  <c r="H327" i="22" s="1"/>
  <c r="AH327" i="22" s="1"/>
  <c r="H33" i="10"/>
  <c r="F327" i="22" s="1"/>
  <c r="AF327" i="22" s="1"/>
  <c r="G33" i="10"/>
  <c r="E327" i="22" s="1"/>
  <c r="AE327" i="22" s="1"/>
  <c r="AA31" i="10"/>
  <c r="W325" i="22" s="1"/>
  <c r="AW325" i="22" s="1"/>
  <c r="K31" i="10"/>
  <c r="I325" i="22" s="1"/>
  <c r="AI325" i="22" s="1"/>
  <c r="J31" i="10"/>
  <c r="H325" i="22" s="1"/>
  <c r="AH325" i="22" s="1"/>
  <c r="H31" i="10"/>
  <c r="F325" i="22" s="1"/>
  <c r="AF325" i="22" s="1"/>
  <c r="G31" i="10"/>
  <c r="E325" i="22" s="1"/>
  <c r="AE325" i="22" s="1"/>
  <c r="AA29" i="10"/>
  <c r="W323" i="22" s="1"/>
  <c r="AW323" i="22" s="1"/>
  <c r="K29" i="10"/>
  <c r="I323" i="22" s="1"/>
  <c r="AI323" i="22" s="1"/>
  <c r="J29" i="10"/>
  <c r="H323" i="22" s="1"/>
  <c r="AH323" i="22" s="1"/>
  <c r="H29" i="10"/>
  <c r="F323" i="22" s="1"/>
  <c r="AF323" i="22" s="1"/>
  <c r="G29" i="10"/>
  <c r="E323" i="22" s="1"/>
  <c r="AE323" i="22" s="1"/>
  <c r="AA27" i="10"/>
  <c r="W321" i="22" s="1"/>
  <c r="AW321" i="22" s="1"/>
  <c r="K27" i="10"/>
  <c r="I321" i="22" s="1"/>
  <c r="AI321" i="22" s="1"/>
  <c r="J27" i="10"/>
  <c r="H321" i="22" s="1"/>
  <c r="AH321" i="22" s="1"/>
  <c r="H27" i="10"/>
  <c r="F321" i="22" s="1"/>
  <c r="AF321" i="22" s="1"/>
  <c r="G27" i="10"/>
  <c r="E321" i="22" s="1"/>
  <c r="AE321" i="22" s="1"/>
  <c r="AA25" i="10"/>
  <c r="W319" i="22" s="1"/>
  <c r="AW319" i="22" s="1"/>
  <c r="K25" i="10"/>
  <c r="I319" i="22" s="1"/>
  <c r="AI319" i="22" s="1"/>
  <c r="J25" i="10"/>
  <c r="H319" i="22" s="1"/>
  <c r="AH319" i="22" s="1"/>
  <c r="H25" i="10"/>
  <c r="F319" i="22" s="1"/>
  <c r="AF319" i="22" s="1"/>
  <c r="G25" i="10"/>
  <c r="E319" i="22" s="1"/>
  <c r="AE319" i="22" s="1"/>
  <c r="AA23" i="10"/>
  <c r="W317" i="22" s="1"/>
  <c r="AW317" i="22" s="1"/>
  <c r="K23" i="10"/>
  <c r="I317" i="22" s="1"/>
  <c r="AI317" i="22" s="1"/>
  <c r="J23" i="10"/>
  <c r="H317" i="22" s="1"/>
  <c r="AH317" i="22" s="1"/>
  <c r="H23" i="10"/>
  <c r="F317" i="22" s="1"/>
  <c r="AF317" i="22" s="1"/>
  <c r="G23" i="10"/>
  <c r="E317" i="22" s="1"/>
  <c r="AE317" i="22" s="1"/>
  <c r="AA21" i="10"/>
  <c r="W315" i="22" s="1"/>
  <c r="AW315" i="22" s="1"/>
  <c r="K21" i="10"/>
  <c r="I315" i="22" s="1"/>
  <c r="AI315" i="22" s="1"/>
  <c r="J21" i="10"/>
  <c r="H315" i="22" s="1"/>
  <c r="AH315" i="22" s="1"/>
  <c r="H21" i="10"/>
  <c r="F315" i="22" s="1"/>
  <c r="AF315" i="22" s="1"/>
  <c r="G21" i="10"/>
  <c r="E315" i="22" s="1"/>
  <c r="AE315" i="22" s="1"/>
  <c r="AR19" i="10"/>
  <c r="AQ19" i="10"/>
  <c r="AP19" i="10"/>
  <c r="AO19" i="10"/>
  <c r="AM19" i="10"/>
  <c r="AJ19" i="10" a="1"/>
  <c r="AJ19" i="10" s="1"/>
  <c r="AL19" i="10" s="1"/>
  <c r="AA19" i="10"/>
  <c r="W313" i="22" s="1"/>
  <c r="AW313" i="22" s="1"/>
  <c r="K19" i="10"/>
  <c r="I313" i="22" s="1"/>
  <c r="AI313" i="22" s="1"/>
  <c r="J19" i="10"/>
  <c r="H313" i="22" s="1"/>
  <c r="AH313" i="22" s="1"/>
  <c r="H19" i="10"/>
  <c r="F313" i="22" s="1"/>
  <c r="AF313" i="22" s="1"/>
  <c r="G19" i="10"/>
  <c r="E313" i="22" s="1"/>
  <c r="AE313" i="22" s="1"/>
  <c r="AR18" i="10"/>
  <c r="AQ18" i="10"/>
  <c r="AP18" i="10"/>
  <c r="AO18" i="10"/>
  <c r="AM18" i="10"/>
  <c r="AJ18" i="10" a="1"/>
  <c r="AJ18" i="10" s="1"/>
  <c r="AL18" i="10" s="1"/>
  <c r="AR17" i="10"/>
  <c r="AQ17" i="10"/>
  <c r="AP17" i="10"/>
  <c r="AO17" i="10"/>
  <c r="AS17" i="10" s="1"/>
  <c r="AM17" i="10"/>
  <c r="AJ17" i="10" a="1"/>
  <c r="AJ17" i="10" s="1"/>
  <c r="AL17" i="10" s="1"/>
  <c r="AA17" i="10"/>
  <c r="W311" i="22" s="1"/>
  <c r="AW311" i="22" s="1"/>
  <c r="K17" i="10"/>
  <c r="I311" i="22" s="1"/>
  <c r="AI311" i="22" s="1"/>
  <c r="J17" i="10"/>
  <c r="H311" i="22" s="1"/>
  <c r="AH311" i="22" s="1"/>
  <c r="H17" i="10"/>
  <c r="F311" i="22" s="1"/>
  <c r="AF311" i="22" s="1"/>
  <c r="G17" i="10"/>
  <c r="E311" i="22" s="1"/>
  <c r="AE311" i="22" s="1"/>
  <c r="AR16" i="10"/>
  <c r="AQ16" i="10"/>
  <c r="AP16" i="10"/>
  <c r="AO16" i="10"/>
  <c r="AS16" i="10" s="1"/>
  <c r="AM16" i="10"/>
  <c r="AJ16" i="10" a="1"/>
  <c r="AJ16" i="10" s="1"/>
  <c r="AL16" i="10" s="1"/>
  <c r="AR15" i="10"/>
  <c r="AQ15" i="10"/>
  <c r="AP15" i="10"/>
  <c r="AO15" i="10"/>
  <c r="AS15" i="10" s="1"/>
  <c r="AM15" i="10"/>
  <c r="AJ15" i="10" a="1"/>
  <c r="AJ15" i="10" s="1"/>
  <c r="AL15" i="10" s="1"/>
  <c r="AA15" i="10"/>
  <c r="W309" i="22" s="1"/>
  <c r="AW309" i="22" s="1"/>
  <c r="K15" i="10"/>
  <c r="I309" i="22" s="1"/>
  <c r="AI309" i="22" s="1"/>
  <c r="J15" i="10"/>
  <c r="H309" i="22" s="1"/>
  <c r="AH309" i="22" s="1"/>
  <c r="H15" i="10"/>
  <c r="F309" i="22" s="1"/>
  <c r="AF309" i="22" s="1"/>
  <c r="G15" i="10"/>
  <c r="E309" i="22" s="1"/>
  <c r="AE309" i="22" s="1"/>
  <c r="AR14" i="10"/>
  <c r="AQ14" i="10"/>
  <c r="AP14" i="10"/>
  <c r="AO14" i="10"/>
  <c r="AS14" i="10" s="1"/>
  <c r="AM14" i="10"/>
  <c r="AJ14" i="10" a="1"/>
  <c r="AJ14" i="10" s="1"/>
  <c r="AL14" i="10" s="1"/>
  <c r="AR13" i="10"/>
  <c r="AQ13" i="10"/>
  <c r="AP13" i="10"/>
  <c r="AO13" i="10"/>
  <c r="AS13" i="10" s="1"/>
  <c r="AM13" i="10"/>
  <c r="AJ13" i="10" a="1"/>
  <c r="AJ13" i="10" s="1"/>
  <c r="AL13" i="10" s="1"/>
  <c r="AA13" i="10"/>
  <c r="W307" i="22" s="1"/>
  <c r="AW307" i="22" s="1"/>
  <c r="K13" i="10"/>
  <c r="I307" i="22" s="1"/>
  <c r="AI307" i="22" s="1"/>
  <c r="J13" i="10"/>
  <c r="H307" i="22" s="1"/>
  <c r="AH307" i="22" s="1"/>
  <c r="H13" i="10"/>
  <c r="F307" i="22" s="1"/>
  <c r="AF307" i="22" s="1"/>
  <c r="G13" i="10"/>
  <c r="E307" i="22" s="1"/>
  <c r="AE307" i="22" s="1"/>
  <c r="AR12" i="10"/>
  <c r="AQ12" i="10"/>
  <c r="AP12" i="10"/>
  <c r="AO12" i="10"/>
  <c r="AS12" i="10" s="1"/>
  <c r="AM12" i="10"/>
  <c r="AJ12" i="10" a="1"/>
  <c r="AJ12" i="10" s="1"/>
  <c r="AL12" i="10" s="1"/>
  <c r="AR11" i="10"/>
  <c r="AQ11" i="10"/>
  <c r="AP11" i="10"/>
  <c r="AO11" i="10"/>
  <c r="AS11" i="10" s="1"/>
  <c r="AM11" i="10"/>
  <c r="AJ11" i="10" a="1"/>
  <c r="AJ11" i="10" s="1"/>
  <c r="AL11" i="10" s="1"/>
  <c r="AA11" i="10"/>
  <c r="W305" i="22" s="1"/>
  <c r="AW305" i="22" s="1"/>
  <c r="K11" i="10"/>
  <c r="I305" i="22" s="1"/>
  <c r="AI305" i="22" s="1"/>
  <c r="J11" i="10"/>
  <c r="H305" i="22" s="1"/>
  <c r="AH305" i="22" s="1"/>
  <c r="H11" i="10"/>
  <c r="F305" i="22" s="1"/>
  <c r="AF305" i="22" s="1"/>
  <c r="G11" i="10"/>
  <c r="E305" i="22" s="1"/>
  <c r="AE305" i="22" s="1"/>
  <c r="AR10" i="10"/>
  <c r="AQ10" i="10"/>
  <c r="AP10" i="10"/>
  <c r="AO10" i="10"/>
  <c r="AS10" i="10" s="1"/>
  <c r="AM10" i="10"/>
  <c r="AJ10" i="10" a="1"/>
  <c r="AJ10" i="10" s="1"/>
  <c r="AL10" i="10" s="1"/>
  <c r="AR9" i="10"/>
  <c r="AQ9" i="10"/>
  <c r="AP9" i="10"/>
  <c r="AO9" i="10"/>
  <c r="AS9" i="10" s="1"/>
  <c r="AM9" i="10"/>
  <c r="AJ9" i="10" a="1"/>
  <c r="AJ9" i="10" s="1"/>
  <c r="AL9" i="10" s="1"/>
  <c r="AA9" i="10"/>
  <c r="W303" i="22" s="1"/>
  <c r="AW303" i="22" s="1"/>
  <c r="K9" i="10"/>
  <c r="I303" i="22" s="1"/>
  <c r="AI303" i="22" s="1"/>
  <c r="J9" i="10"/>
  <c r="H303" i="22" s="1"/>
  <c r="AH303" i="22" s="1"/>
  <c r="H9" i="10"/>
  <c r="F303" i="22" s="1"/>
  <c r="AF303" i="22" s="1"/>
  <c r="G9" i="10"/>
  <c r="E303" i="22" s="1"/>
  <c r="AE303" i="22" s="1"/>
  <c r="AR8" i="10"/>
  <c r="AQ8" i="10"/>
  <c r="AP8" i="10"/>
  <c r="AO8" i="10"/>
  <c r="AS8" i="10" s="1"/>
  <c r="AM8" i="10"/>
  <c r="AJ8" i="10" a="1"/>
  <c r="AJ8" i="10" s="1"/>
  <c r="AL8" i="10" s="1"/>
  <c r="AR7" i="10"/>
  <c r="AQ7" i="10"/>
  <c r="AP7" i="10"/>
  <c r="AO7" i="10"/>
  <c r="AM7" i="10"/>
  <c r="AJ7" i="10" a="1"/>
  <c r="AJ7" i="10" s="1"/>
  <c r="AL7" i="10" s="1"/>
  <c r="AA7" i="10"/>
  <c r="K7" i="10"/>
  <c r="I301" i="22" s="1"/>
  <c r="AI301" i="22" s="1"/>
  <c r="J7" i="10"/>
  <c r="H301" i="22" s="1"/>
  <c r="AH301" i="22" s="1"/>
  <c r="H7" i="10"/>
  <c r="F301" i="22" s="1"/>
  <c r="AF301" i="22" s="1"/>
  <c r="G7" i="10"/>
  <c r="E301" i="22" s="1"/>
  <c r="AE301" i="22" s="1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AA47" i="9"/>
  <c r="W299" i="22" s="1"/>
  <c r="AW299" i="22" s="1"/>
  <c r="K47" i="9"/>
  <c r="I299" i="22" s="1"/>
  <c r="AI299" i="22" s="1"/>
  <c r="J47" i="9"/>
  <c r="H299" i="22" s="1"/>
  <c r="AH299" i="22" s="1"/>
  <c r="H47" i="9"/>
  <c r="F299" i="22" s="1"/>
  <c r="AF299" i="22" s="1"/>
  <c r="G47" i="9"/>
  <c r="E299" i="22" s="1"/>
  <c r="AE299" i="22" s="1"/>
  <c r="AA45" i="9"/>
  <c r="W297" i="22" s="1"/>
  <c r="AW297" i="22" s="1"/>
  <c r="K45" i="9"/>
  <c r="I297" i="22" s="1"/>
  <c r="AI297" i="22" s="1"/>
  <c r="J45" i="9"/>
  <c r="H297" i="22" s="1"/>
  <c r="AH297" i="22" s="1"/>
  <c r="H45" i="9"/>
  <c r="F297" i="22" s="1"/>
  <c r="AF297" i="22" s="1"/>
  <c r="G45" i="9"/>
  <c r="E297" i="22" s="1"/>
  <c r="AE297" i="22" s="1"/>
  <c r="AA43" i="9"/>
  <c r="W295" i="22" s="1"/>
  <c r="AW295" i="22" s="1"/>
  <c r="K43" i="9"/>
  <c r="I295" i="22" s="1"/>
  <c r="AI295" i="22" s="1"/>
  <c r="J43" i="9"/>
  <c r="H295" i="22" s="1"/>
  <c r="AH295" i="22" s="1"/>
  <c r="H43" i="9"/>
  <c r="F295" i="22" s="1"/>
  <c r="AF295" i="22" s="1"/>
  <c r="G43" i="9"/>
  <c r="E295" i="22" s="1"/>
  <c r="AE295" i="22" s="1"/>
  <c r="AA41" i="9"/>
  <c r="W293" i="22" s="1"/>
  <c r="AW293" i="22" s="1"/>
  <c r="K41" i="9"/>
  <c r="I293" i="22" s="1"/>
  <c r="AI293" i="22" s="1"/>
  <c r="J41" i="9"/>
  <c r="H293" i="22" s="1"/>
  <c r="AH293" i="22" s="1"/>
  <c r="H41" i="9"/>
  <c r="F293" i="22" s="1"/>
  <c r="AF293" i="22" s="1"/>
  <c r="G41" i="9"/>
  <c r="E293" i="22" s="1"/>
  <c r="AE293" i="22" s="1"/>
  <c r="AA39" i="9"/>
  <c r="W291" i="22" s="1"/>
  <c r="AW291" i="22" s="1"/>
  <c r="K39" i="9"/>
  <c r="I291" i="22" s="1"/>
  <c r="AI291" i="22" s="1"/>
  <c r="J39" i="9"/>
  <c r="H291" i="22" s="1"/>
  <c r="AH291" i="22" s="1"/>
  <c r="H39" i="9"/>
  <c r="F291" i="22" s="1"/>
  <c r="AF291" i="22" s="1"/>
  <c r="G39" i="9"/>
  <c r="E291" i="22" s="1"/>
  <c r="AE291" i="22" s="1"/>
  <c r="AA37" i="9"/>
  <c r="W289" i="22" s="1"/>
  <c r="AW289" i="22" s="1"/>
  <c r="K37" i="9"/>
  <c r="I289" i="22" s="1"/>
  <c r="AI289" i="22" s="1"/>
  <c r="J37" i="9"/>
  <c r="H289" i="22" s="1"/>
  <c r="AH289" i="22" s="1"/>
  <c r="H37" i="9"/>
  <c r="F289" i="22" s="1"/>
  <c r="AF289" i="22" s="1"/>
  <c r="G37" i="9"/>
  <c r="E289" i="22" s="1"/>
  <c r="AE289" i="22" s="1"/>
  <c r="AA35" i="9"/>
  <c r="W287" i="22" s="1"/>
  <c r="AW287" i="22" s="1"/>
  <c r="K35" i="9"/>
  <c r="I287" i="22" s="1"/>
  <c r="AI287" i="22" s="1"/>
  <c r="J35" i="9"/>
  <c r="H287" i="22" s="1"/>
  <c r="AH287" i="22" s="1"/>
  <c r="H35" i="9"/>
  <c r="F287" i="22" s="1"/>
  <c r="AF287" i="22" s="1"/>
  <c r="G35" i="9"/>
  <c r="E287" i="22" s="1"/>
  <c r="AE287" i="22" s="1"/>
  <c r="AA33" i="9"/>
  <c r="W285" i="22" s="1"/>
  <c r="AW285" i="22" s="1"/>
  <c r="K33" i="9"/>
  <c r="I285" i="22" s="1"/>
  <c r="AI285" i="22" s="1"/>
  <c r="J33" i="9"/>
  <c r="H285" i="22" s="1"/>
  <c r="AH285" i="22" s="1"/>
  <c r="H33" i="9"/>
  <c r="F285" i="22" s="1"/>
  <c r="AF285" i="22" s="1"/>
  <c r="G33" i="9"/>
  <c r="E285" i="22" s="1"/>
  <c r="AE285" i="22" s="1"/>
  <c r="AA31" i="9"/>
  <c r="W283" i="22" s="1"/>
  <c r="AW283" i="22" s="1"/>
  <c r="K31" i="9"/>
  <c r="I283" i="22" s="1"/>
  <c r="AI283" i="22" s="1"/>
  <c r="J31" i="9"/>
  <c r="H283" i="22" s="1"/>
  <c r="AH283" i="22" s="1"/>
  <c r="H31" i="9"/>
  <c r="F283" i="22" s="1"/>
  <c r="AF283" i="22" s="1"/>
  <c r="G31" i="9"/>
  <c r="E283" i="22" s="1"/>
  <c r="AE283" i="22" s="1"/>
  <c r="AA29" i="9"/>
  <c r="W281" i="22" s="1"/>
  <c r="AW281" i="22" s="1"/>
  <c r="K29" i="9"/>
  <c r="I281" i="22" s="1"/>
  <c r="AI281" i="22" s="1"/>
  <c r="J29" i="9"/>
  <c r="H281" i="22" s="1"/>
  <c r="AH281" i="22" s="1"/>
  <c r="H29" i="9"/>
  <c r="F281" i="22" s="1"/>
  <c r="AF281" i="22" s="1"/>
  <c r="G29" i="9"/>
  <c r="E281" i="22" s="1"/>
  <c r="AE281" i="22" s="1"/>
  <c r="AA27" i="9"/>
  <c r="W279" i="22" s="1"/>
  <c r="AW279" i="22" s="1"/>
  <c r="K27" i="9"/>
  <c r="I279" i="22" s="1"/>
  <c r="AI279" i="22" s="1"/>
  <c r="J27" i="9"/>
  <c r="H279" i="22" s="1"/>
  <c r="AH279" i="22" s="1"/>
  <c r="H27" i="9"/>
  <c r="F279" i="22" s="1"/>
  <c r="AF279" i="22" s="1"/>
  <c r="G27" i="9"/>
  <c r="E279" i="22" s="1"/>
  <c r="AE279" i="22" s="1"/>
  <c r="AA25" i="9"/>
  <c r="W277" i="22" s="1"/>
  <c r="AW277" i="22" s="1"/>
  <c r="K25" i="9"/>
  <c r="I277" i="22" s="1"/>
  <c r="AI277" i="22" s="1"/>
  <c r="J25" i="9"/>
  <c r="H277" i="22" s="1"/>
  <c r="AH277" i="22" s="1"/>
  <c r="H25" i="9"/>
  <c r="F277" i="22" s="1"/>
  <c r="AF277" i="22" s="1"/>
  <c r="G25" i="9"/>
  <c r="E277" i="22" s="1"/>
  <c r="AE277" i="22" s="1"/>
  <c r="AA23" i="9"/>
  <c r="W275" i="22" s="1"/>
  <c r="AW275" i="22" s="1"/>
  <c r="K23" i="9"/>
  <c r="I275" i="22" s="1"/>
  <c r="AI275" i="22" s="1"/>
  <c r="J23" i="9"/>
  <c r="H275" i="22" s="1"/>
  <c r="AH275" i="22" s="1"/>
  <c r="H23" i="9"/>
  <c r="F275" i="22" s="1"/>
  <c r="AF275" i="22" s="1"/>
  <c r="G23" i="9"/>
  <c r="E275" i="22" s="1"/>
  <c r="AE275" i="22" s="1"/>
  <c r="AA21" i="9"/>
  <c r="W273" i="22" s="1"/>
  <c r="AW273" i="22" s="1"/>
  <c r="K21" i="9"/>
  <c r="I273" i="22" s="1"/>
  <c r="AI273" i="22" s="1"/>
  <c r="J21" i="9"/>
  <c r="H273" i="22" s="1"/>
  <c r="AH273" i="22" s="1"/>
  <c r="H21" i="9"/>
  <c r="F273" i="22" s="1"/>
  <c r="AF273" i="22" s="1"/>
  <c r="G21" i="9"/>
  <c r="E273" i="22" s="1"/>
  <c r="AE273" i="22" s="1"/>
  <c r="AR19" i="9"/>
  <c r="AQ19" i="9"/>
  <c r="AP19" i="9"/>
  <c r="AO19" i="9"/>
  <c r="AM19" i="9"/>
  <c r="AJ19" i="9" a="1"/>
  <c r="AJ19" i="9"/>
  <c r="AL19" i="9" s="1"/>
  <c r="AA19" i="9"/>
  <c r="W271" i="22" s="1"/>
  <c r="AW271" i="22" s="1"/>
  <c r="K19" i="9"/>
  <c r="I271" i="22" s="1"/>
  <c r="AI271" i="22" s="1"/>
  <c r="J19" i="9"/>
  <c r="H271" i="22" s="1"/>
  <c r="AH271" i="22" s="1"/>
  <c r="H19" i="9"/>
  <c r="F271" i="22" s="1"/>
  <c r="AF271" i="22" s="1"/>
  <c r="G19" i="9"/>
  <c r="E271" i="22" s="1"/>
  <c r="AE271" i="22" s="1"/>
  <c r="AR18" i="9"/>
  <c r="AQ18" i="9"/>
  <c r="AP18" i="9"/>
  <c r="AO18" i="9"/>
  <c r="AS18" i="9" s="1"/>
  <c r="AM18" i="9"/>
  <c r="AJ18" i="9" a="1"/>
  <c r="AJ18" i="9"/>
  <c r="AL18" i="9" s="1"/>
  <c r="AR17" i="9"/>
  <c r="AQ17" i="9"/>
  <c r="AP17" i="9"/>
  <c r="AO17" i="9"/>
  <c r="AS17" i="9" s="1"/>
  <c r="AM17" i="9"/>
  <c r="AJ17" i="9" a="1"/>
  <c r="AJ17" i="9"/>
  <c r="AL17" i="9" s="1"/>
  <c r="AA17" i="9"/>
  <c r="W269" i="22" s="1"/>
  <c r="AW269" i="22" s="1"/>
  <c r="K17" i="9"/>
  <c r="I269" i="22" s="1"/>
  <c r="AI269" i="22" s="1"/>
  <c r="J17" i="9"/>
  <c r="H269" i="22" s="1"/>
  <c r="AH269" i="22" s="1"/>
  <c r="H17" i="9"/>
  <c r="F269" i="22" s="1"/>
  <c r="AF269" i="22" s="1"/>
  <c r="G17" i="9"/>
  <c r="E269" i="22" s="1"/>
  <c r="AE269" i="22" s="1"/>
  <c r="AR16" i="9"/>
  <c r="AQ16" i="9"/>
  <c r="AP16" i="9"/>
  <c r="AO16" i="9"/>
  <c r="AS16" i="9" s="1"/>
  <c r="AM16" i="9"/>
  <c r="AJ16" i="9" a="1"/>
  <c r="AJ16" i="9"/>
  <c r="AL16" i="9" s="1"/>
  <c r="AR15" i="9"/>
  <c r="AQ15" i="9"/>
  <c r="AP15" i="9"/>
  <c r="AO15" i="9"/>
  <c r="AS15" i="9" s="1"/>
  <c r="AM15" i="9"/>
  <c r="AJ15" i="9" a="1"/>
  <c r="AJ15" i="9"/>
  <c r="AL15" i="9" s="1"/>
  <c r="AA15" i="9"/>
  <c r="W267" i="22" s="1"/>
  <c r="AW267" i="22" s="1"/>
  <c r="K15" i="9"/>
  <c r="I267" i="22" s="1"/>
  <c r="AI267" i="22" s="1"/>
  <c r="J15" i="9"/>
  <c r="H267" i="22" s="1"/>
  <c r="AH267" i="22" s="1"/>
  <c r="H15" i="9"/>
  <c r="F267" i="22" s="1"/>
  <c r="AF267" i="22" s="1"/>
  <c r="G15" i="9"/>
  <c r="E267" i="22" s="1"/>
  <c r="AE267" i="22" s="1"/>
  <c r="AR14" i="9"/>
  <c r="AQ14" i="9"/>
  <c r="AP14" i="9"/>
  <c r="AO14" i="9"/>
  <c r="AS14" i="9" s="1"/>
  <c r="AM14" i="9"/>
  <c r="AJ14" i="9" a="1"/>
  <c r="AJ14" i="9"/>
  <c r="AL14" i="9" s="1"/>
  <c r="AR13" i="9"/>
  <c r="AQ13" i="9"/>
  <c r="AP13" i="9"/>
  <c r="AO13" i="9"/>
  <c r="AS13" i="9" s="1"/>
  <c r="AM13" i="9"/>
  <c r="AJ13" i="9" a="1"/>
  <c r="AJ13" i="9"/>
  <c r="AL13" i="9" s="1"/>
  <c r="AA13" i="9"/>
  <c r="W265" i="22" s="1"/>
  <c r="AW265" i="22" s="1"/>
  <c r="K13" i="9"/>
  <c r="I265" i="22" s="1"/>
  <c r="AI265" i="22" s="1"/>
  <c r="J13" i="9"/>
  <c r="H265" i="22" s="1"/>
  <c r="AH265" i="22" s="1"/>
  <c r="H13" i="9"/>
  <c r="F265" i="22" s="1"/>
  <c r="AF265" i="22" s="1"/>
  <c r="G13" i="9"/>
  <c r="E265" i="22" s="1"/>
  <c r="AE265" i="22" s="1"/>
  <c r="AR12" i="9"/>
  <c r="AQ12" i="9"/>
  <c r="AP12" i="9"/>
  <c r="AO12" i="9"/>
  <c r="AS12" i="9" s="1"/>
  <c r="AM12" i="9"/>
  <c r="AJ12" i="9" a="1"/>
  <c r="AJ12" i="9"/>
  <c r="AL12" i="9" s="1"/>
  <c r="AR11" i="9"/>
  <c r="AQ11" i="9"/>
  <c r="AP11" i="9"/>
  <c r="AO11" i="9"/>
  <c r="AS11" i="9" s="1"/>
  <c r="AM11" i="9"/>
  <c r="AJ11" i="9" a="1"/>
  <c r="AJ11" i="9"/>
  <c r="AL11" i="9" s="1"/>
  <c r="AA11" i="9"/>
  <c r="W263" i="22" s="1"/>
  <c r="AW263" i="22" s="1"/>
  <c r="K11" i="9"/>
  <c r="I263" i="22" s="1"/>
  <c r="AI263" i="22" s="1"/>
  <c r="J11" i="9"/>
  <c r="H263" i="22" s="1"/>
  <c r="AH263" i="22" s="1"/>
  <c r="H11" i="9"/>
  <c r="F263" i="22" s="1"/>
  <c r="AF263" i="22" s="1"/>
  <c r="G11" i="9"/>
  <c r="E263" i="22" s="1"/>
  <c r="AE263" i="22" s="1"/>
  <c r="AR10" i="9"/>
  <c r="AQ10" i="9"/>
  <c r="AP10" i="9"/>
  <c r="AO10" i="9"/>
  <c r="AS10" i="9" s="1"/>
  <c r="AM10" i="9"/>
  <c r="AJ10" i="9" a="1"/>
  <c r="AJ10" i="9"/>
  <c r="AL10" i="9" s="1"/>
  <c r="AR9" i="9"/>
  <c r="AQ9" i="9"/>
  <c r="AP9" i="9"/>
  <c r="AO9" i="9"/>
  <c r="AS9" i="9" s="1"/>
  <c r="AM9" i="9"/>
  <c r="AJ9" i="9" a="1"/>
  <c r="AJ9" i="9"/>
  <c r="AL9" i="9" s="1"/>
  <c r="AA9" i="9"/>
  <c r="W261" i="22" s="1"/>
  <c r="AW261" i="22" s="1"/>
  <c r="K9" i="9"/>
  <c r="I261" i="22" s="1"/>
  <c r="AI261" i="22" s="1"/>
  <c r="J9" i="9"/>
  <c r="H261" i="22" s="1"/>
  <c r="AH261" i="22" s="1"/>
  <c r="H9" i="9"/>
  <c r="F261" i="22" s="1"/>
  <c r="AF261" i="22" s="1"/>
  <c r="G9" i="9"/>
  <c r="E261" i="22" s="1"/>
  <c r="AE261" i="22" s="1"/>
  <c r="AR8" i="9"/>
  <c r="AQ8" i="9"/>
  <c r="AP8" i="9"/>
  <c r="AO8" i="9"/>
  <c r="AS8" i="9" s="1"/>
  <c r="AM8" i="9"/>
  <c r="AJ8" i="9" a="1"/>
  <c r="AJ8" i="9"/>
  <c r="AL8" i="9" s="1"/>
  <c r="AR7" i="9"/>
  <c r="AQ7" i="9"/>
  <c r="AP7" i="9"/>
  <c r="AP21" i="9" s="1"/>
  <c r="E19" i="21" s="1"/>
  <c r="AO7" i="9"/>
  <c r="AM7" i="9"/>
  <c r="AJ7" i="9" a="1"/>
  <c r="AJ7" i="9"/>
  <c r="AL7" i="9" s="1"/>
  <c r="AA7" i="9"/>
  <c r="K7" i="9"/>
  <c r="I259" i="22" s="1"/>
  <c r="AI259" i="22" s="1"/>
  <c r="J7" i="9"/>
  <c r="H259" i="22" s="1"/>
  <c r="AH259" i="22" s="1"/>
  <c r="H7" i="9"/>
  <c r="F259" i="22" s="1"/>
  <c r="AF259" i="22" s="1"/>
  <c r="G7" i="9"/>
  <c r="E259" i="22" s="1"/>
  <c r="AE259" i="22" s="1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AA47" i="8"/>
  <c r="W257" i="22" s="1"/>
  <c r="AW257" i="22" s="1"/>
  <c r="K47" i="8"/>
  <c r="I257" i="22" s="1"/>
  <c r="AI257" i="22" s="1"/>
  <c r="J47" i="8"/>
  <c r="H257" i="22" s="1"/>
  <c r="AH257" i="22" s="1"/>
  <c r="H47" i="8"/>
  <c r="F257" i="22" s="1"/>
  <c r="AF257" i="22" s="1"/>
  <c r="G47" i="8"/>
  <c r="E257" i="22" s="1"/>
  <c r="AE257" i="22" s="1"/>
  <c r="AA45" i="8"/>
  <c r="W255" i="22" s="1"/>
  <c r="AW255" i="22" s="1"/>
  <c r="K45" i="8"/>
  <c r="I255" i="22" s="1"/>
  <c r="AI255" i="22" s="1"/>
  <c r="J45" i="8"/>
  <c r="H255" i="22" s="1"/>
  <c r="AH255" i="22" s="1"/>
  <c r="H45" i="8"/>
  <c r="F255" i="22" s="1"/>
  <c r="AF255" i="22" s="1"/>
  <c r="G45" i="8"/>
  <c r="E255" i="22" s="1"/>
  <c r="AE255" i="22" s="1"/>
  <c r="AA43" i="8"/>
  <c r="W253" i="22" s="1"/>
  <c r="AW253" i="22" s="1"/>
  <c r="K43" i="8"/>
  <c r="I253" i="22" s="1"/>
  <c r="AI253" i="22" s="1"/>
  <c r="J43" i="8"/>
  <c r="H253" i="22" s="1"/>
  <c r="AH253" i="22" s="1"/>
  <c r="H43" i="8"/>
  <c r="F253" i="22" s="1"/>
  <c r="AF253" i="22" s="1"/>
  <c r="G43" i="8"/>
  <c r="E253" i="22" s="1"/>
  <c r="AE253" i="22" s="1"/>
  <c r="AA41" i="8"/>
  <c r="W251" i="22" s="1"/>
  <c r="AW251" i="22" s="1"/>
  <c r="K41" i="8"/>
  <c r="I251" i="22" s="1"/>
  <c r="AI251" i="22" s="1"/>
  <c r="J41" i="8"/>
  <c r="H251" i="22" s="1"/>
  <c r="AH251" i="22" s="1"/>
  <c r="H41" i="8"/>
  <c r="F251" i="22" s="1"/>
  <c r="AF251" i="22" s="1"/>
  <c r="G41" i="8"/>
  <c r="E251" i="22" s="1"/>
  <c r="AE251" i="22" s="1"/>
  <c r="AA39" i="8"/>
  <c r="W249" i="22" s="1"/>
  <c r="AW249" i="22" s="1"/>
  <c r="K39" i="8"/>
  <c r="I249" i="22" s="1"/>
  <c r="AI249" i="22" s="1"/>
  <c r="J39" i="8"/>
  <c r="H249" i="22" s="1"/>
  <c r="AH249" i="22" s="1"/>
  <c r="H39" i="8"/>
  <c r="F249" i="22" s="1"/>
  <c r="AF249" i="22" s="1"/>
  <c r="G39" i="8"/>
  <c r="E249" i="22" s="1"/>
  <c r="AE249" i="22" s="1"/>
  <c r="AA37" i="8"/>
  <c r="W247" i="22" s="1"/>
  <c r="AW247" i="22" s="1"/>
  <c r="K37" i="8"/>
  <c r="I247" i="22" s="1"/>
  <c r="AI247" i="22" s="1"/>
  <c r="J37" i="8"/>
  <c r="H247" i="22" s="1"/>
  <c r="AH247" i="22" s="1"/>
  <c r="H37" i="8"/>
  <c r="F247" i="22" s="1"/>
  <c r="AF247" i="22" s="1"/>
  <c r="G37" i="8"/>
  <c r="E247" i="22" s="1"/>
  <c r="AE247" i="22" s="1"/>
  <c r="AA35" i="8"/>
  <c r="W245" i="22" s="1"/>
  <c r="AW245" i="22" s="1"/>
  <c r="K35" i="8"/>
  <c r="I245" i="22" s="1"/>
  <c r="AI245" i="22" s="1"/>
  <c r="J35" i="8"/>
  <c r="H245" i="22" s="1"/>
  <c r="AH245" i="22" s="1"/>
  <c r="H35" i="8"/>
  <c r="F245" i="22" s="1"/>
  <c r="AF245" i="22" s="1"/>
  <c r="G35" i="8"/>
  <c r="E245" i="22" s="1"/>
  <c r="AE245" i="22" s="1"/>
  <c r="AA33" i="8"/>
  <c r="W243" i="22" s="1"/>
  <c r="AW243" i="22" s="1"/>
  <c r="K33" i="8"/>
  <c r="I243" i="22" s="1"/>
  <c r="AI243" i="22" s="1"/>
  <c r="J33" i="8"/>
  <c r="H243" i="22" s="1"/>
  <c r="AH243" i="22" s="1"/>
  <c r="H33" i="8"/>
  <c r="F243" i="22" s="1"/>
  <c r="AF243" i="22" s="1"/>
  <c r="G33" i="8"/>
  <c r="E243" i="22" s="1"/>
  <c r="AE243" i="22" s="1"/>
  <c r="AA31" i="8"/>
  <c r="W241" i="22" s="1"/>
  <c r="AW241" i="22" s="1"/>
  <c r="K31" i="8"/>
  <c r="I241" i="22" s="1"/>
  <c r="AI241" i="22" s="1"/>
  <c r="J31" i="8"/>
  <c r="H241" i="22" s="1"/>
  <c r="AH241" i="22" s="1"/>
  <c r="H31" i="8"/>
  <c r="F241" i="22" s="1"/>
  <c r="AF241" i="22" s="1"/>
  <c r="G31" i="8"/>
  <c r="E241" i="22" s="1"/>
  <c r="AE241" i="22" s="1"/>
  <c r="AA29" i="8"/>
  <c r="W239" i="22" s="1"/>
  <c r="AW239" i="22" s="1"/>
  <c r="K29" i="8"/>
  <c r="I239" i="22" s="1"/>
  <c r="AI239" i="22" s="1"/>
  <c r="J29" i="8"/>
  <c r="H239" i="22" s="1"/>
  <c r="AH239" i="22" s="1"/>
  <c r="H29" i="8"/>
  <c r="F239" i="22" s="1"/>
  <c r="AF239" i="22" s="1"/>
  <c r="G29" i="8"/>
  <c r="E239" i="22" s="1"/>
  <c r="AE239" i="22" s="1"/>
  <c r="AA27" i="8"/>
  <c r="W237" i="22" s="1"/>
  <c r="AW237" i="22" s="1"/>
  <c r="K27" i="8"/>
  <c r="I237" i="22" s="1"/>
  <c r="AI237" i="22" s="1"/>
  <c r="J27" i="8"/>
  <c r="H237" i="22" s="1"/>
  <c r="AH237" i="22" s="1"/>
  <c r="H27" i="8"/>
  <c r="F237" i="22" s="1"/>
  <c r="AF237" i="22" s="1"/>
  <c r="G27" i="8"/>
  <c r="E237" i="22" s="1"/>
  <c r="AE237" i="22" s="1"/>
  <c r="AA25" i="8"/>
  <c r="W235" i="22" s="1"/>
  <c r="AW235" i="22" s="1"/>
  <c r="K25" i="8"/>
  <c r="I235" i="22" s="1"/>
  <c r="AI235" i="22" s="1"/>
  <c r="J25" i="8"/>
  <c r="H235" i="22" s="1"/>
  <c r="AH235" i="22" s="1"/>
  <c r="H25" i="8"/>
  <c r="F235" i="22" s="1"/>
  <c r="AF235" i="22" s="1"/>
  <c r="G25" i="8"/>
  <c r="E235" i="22" s="1"/>
  <c r="AE235" i="22" s="1"/>
  <c r="AA23" i="8"/>
  <c r="W233" i="22" s="1"/>
  <c r="AW233" i="22" s="1"/>
  <c r="K23" i="8"/>
  <c r="I233" i="22" s="1"/>
  <c r="AI233" i="22" s="1"/>
  <c r="J23" i="8"/>
  <c r="H233" i="22" s="1"/>
  <c r="AH233" i="22" s="1"/>
  <c r="H23" i="8"/>
  <c r="F233" i="22" s="1"/>
  <c r="AF233" i="22" s="1"/>
  <c r="G23" i="8"/>
  <c r="E233" i="22" s="1"/>
  <c r="AE233" i="22" s="1"/>
  <c r="AA21" i="8"/>
  <c r="W231" i="22" s="1"/>
  <c r="AW231" i="22" s="1"/>
  <c r="K21" i="8"/>
  <c r="I231" i="22" s="1"/>
  <c r="AI231" i="22" s="1"/>
  <c r="J21" i="8"/>
  <c r="H231" i="22" s="1"/>
  <c r="AH231" i="22" s="1"/>
  <c r="H21" i="8"/>
  <c r="F231" i="22" s="1"/>
  <c r="AF231" i="22" s="1"/>
  <c r="G21" i="8"/>
  <c r="E231" i="22" s="1"/>
  <c r="AE231" i="22" s="1"/>
  <c r="AR19" i="8"/>
  <c r="AQ19" i="8"/>
  <c r="AP19" i="8"/>
  <c r="AO19" i="8"/>
  <c r="AM19" i="8"/>
  <c r="AJ19" i="8" a="1"/>
  <c r="AJ19" i="8" s="1"/>
  <c r="AL19" i="8" s="1"/>
  <c r="AA19" i="8"/>
  <c r="W229" i="22" s="1"/>
  <c r="AW229" i="22" s="1"/>
  <c r="K19" i="8"/>
  <c r="I229" i="22" s="1"/>
  <c r="AI229" i="22" s="1"/>
  <c r="J19" i="8"/>
  <c r="H229" i="22" s="1"/>
  <c r="AH229" i="22" s="1"/>
  <c r="H19" i="8"/>
  <c r="F229" i="22" s="1"/>
  <c r="AF229" i="22" s="1"/>
  <c r="G19" i="8"/>
  <c r="E229" i="22" s="1"/>
  <c r="AE229" i="22" s="1"/>
  <c r="AR18" i="8"/>
  <c r="AQ18" i="8"/>
  <c r="AP18" i="8"/>
  <c r="AO18" i="8"/>
  <c r="AS18" i="8" s="1"/>
  <c r="AM18" i="8"/>
  <c r="AJ18" i="8" a="1"/>
  <c r="AJ18" i="8" s="1"/>
  <c r="AL18" i="8" s="1"/>
  <c r="AR17" i="8"/>
  <c r="AQ17" i="8"/>
  <c r="AP17" i="8"/>
  <c r="AO17" i="8"/>
  <c r="AM17" i="8"/>
  <c r="AJ17" i="8" a="1"/>
  <c r="AJ17" i="8" s="1"/>
  <c r="AL17" i="8" s="1"/>
  <c r="AA17" i="8"/>
  <c r="W227" i="22" s="1"/>
  <c r="AW227" i="22" s="1"/>
  <c r="K17" i="8"/>
  <c r="I227" i="22" s="1"/>
  <c r="AI227" i="22" s="1"/>
  <c r="J17" i="8"/>
  <c r="H227" i="22" s="1"/>
  <c r="AH227" i="22" s="1"/>
  <c r="H17" i="8"/>
  <c r="F227" i="22" s="1"/>
  <c r="AF227" i="22" s="1"/>
  <c r="G17" i="8"/>
  <c r="E227" i="22" s="1"/>
  <c r="AE227" i="22" s="1"/>
  <c r="AR16" i="8"/>
  <c r="AQ16" i="8"/>
  <c r="AP16" i="8"/>
  <c r="AO16" i="8"/>
  <c r="AS16" i="8" s="1"/>
  <c r="AM16" i="8"/>
  <c r="AJ16" i="8" a="1"/>
  <c r="AJ16" i="8" s="1"/>
  <c r="AL16" i="8" s="1"/>
  <c r="AR15" i="8"/>
  <c r="AQ15" i="8"/>
  <c r="AP15" i="8"/>
  <c r="AO15" i="8"/>
  <c r="AS15" i="8" s="1"/>
  <c r="AM15" i="8"/>
  <c r="AJ15" i="8" a="1"/>
  <c r="AJ15" i="8" s="1"/>
  <c r="AL15" i="8" s="1"/>
  <c r="AA15" i="8"/>
  <c r="W225" i="22" s="1"/>
  <c r="AW225" i="22" s="1"/>
  <c r="K15" i="8"/>
  <c r="I225" i="22" s="1"/>
  <c r="AI225" i="22" s="1"/>
  <c r="J15" i="8"/>
  <c r="H225" i="22" s="1"/>
  <c r="AH225" i="22" s="1"/>
  <c r="H15" i="8"/>
  <c r="F225" i="22" s="1"/>
  <c r="AF225" i="22" s="1"/>
  <c r="G15" i="8"/>
  <c r="E225" i="22" s="1"/>
  <c r="AE225" i="22" s="1"/>
  <c r="AR14" i="8"/>
  <c r="AQ14" i="8"/>
  <c r="AP14" i="8"/>
  <c r="AO14" i="8"/>
  <c r="AS14" i="8" s="1"/>
  <c r="AM14" i="8"/>
  <c r="AJ14" i="8" a="1"/>
  <c r="AJ14" i="8" s="1"/>
  <c r="AL14" i="8" s="1"/>
  <c r="AR13" i="8"/>
  <c r="AQ13" i="8"/>
  <c r="AP13" i="8"/>
  <c r="AO13" i="8"/>
  <c r="AS13" i="8" s="1"/>
  <c r="AM13" i="8"/>
  <c r="AJ13" i="8" a="1"/>
  <c r="AJ13" i="8" s="1"/>
  <c r="AL13" i="8" s="1"/>
  <c r="AA13" i="8"/>
  <c r="W223" i="22" s="1"/>
  <c r="AW223" i="22" s="1"/>
  <c r="K13" i="8"/>
  <c r="I223" i="22" s="1"/>
  <c r="AI223" i="22" s="1"/>
  <c r="J13" i="8"/>
  <c r="H223" i="22" s="1"/>
  <c r="AH223" i="22" s="1"/>
  <c r="H13" i="8"/>
  <c r="F223" i="22" s="1"/>
  <c r="AF223" i="22" s="1"/>
  <c r="G13" i="8"/>
  <c r="E223" i="22" s="1"/>
  <c r="AE223" i="22" s="1"/>
  <c r="AR12" i="8"/>
  <c r="AQ12" i="8"/>
  <c r="AP12" i="8"/>
  <c r="AO12" i="8"/>
  <c r="AS12" i="8" s="1"/>
  <c r="AM12" i="8"/>
  <c r="AJ12" i="8" a="1"/>
  <c r="AJ12" i="8" s="1"/>
  <c r="AL12" i="8" s="1"/>
  <c r="AR11" i="8"/>
  <c r="AQ11" i="8"/>
  <c r="AP11" i="8"/>
  <c r="AO11" i="8"/>
  <c r="AS11" i="8" s="1"/>
  <c r="AM11" i="8"/>
  <c r="AJ11" i="8" a="1"/>
  <c r="AJ11" i="8" s="1"/>
  <c r="AL11" i="8" s="1"/>
  <c r="AA11" i="8"/>
  <c r="W221" i="22" s="1"/>
  <c r="AW221" i="22" s="1"/>
  <c r="K11" i="8"/>
  <c r="I221" i="22" s="1"/>
  <c r="AI221" i="22" s="1"/>
  <c r="J11" i="8"/>
  <c r="H221" i="22" s="1"/>
  <c r="AH221" i="22" s="1"/>
  <c r="H11" i="8"/>
  <c r="F221" i="22" s="1"/>
  <c r="AF221" i="22" s="1"/>
  <c r="G11" i="8"/>
  <c r="E221" i="22" s="1"/>
  <c r="AE221" i="22" s="1"/>
  <c r="AR10" i="8"/>
  <c r="AQ10" i="8"/>
  <c r="AP10" i="8"/>
  <c r="AO10" i="8"/>
  <c r="AS10" i="8" s="1"/>
  <c r="AM10" i="8"/>
  <c r="AJ10" i="8" a="1"/>
  <c r="AJ10" i="8" s="1"/>
  <c r="AL10" i="8" s="1"/>
  <c r="AR9" i="8"/>
  <c r="AQ9" i="8"/>
  <c r="AP9" i="8"/>
  <c r="AO9" i="8"/>
  <c r="AS9" i="8" s="1"/>
  <c r="AM9" i="8"/>
  <c r="AJ9" i="8" a="1"/>
  <c r="AJ9" i="8" s="1"/>
  <c r="AL9" i="8" s="1"/>
  <c r="AA9" i="8"/>
  <c r="W219" i="22" s="1"/>
  <c r="AW219" i="22" s="1"/>
  <c r="K9" i="8"/>
  <c r="I219" i="22" s="1"/>
  <c r="AI219" i="22" s="1"/>
  <c r="J9" i="8"/>
  <c r="H219" i="22" s="1"/>
  <c r="AH219" i="22" s="1"/>
  <c r="H9" i="8"/>
  <c r="F219" i="22" s="1"/>
  <c r="AF219" i="22" s="1"/>
  <c r="G9" i="8"/>
  <c r="E219" i="22" s="1"/>
  <c r="AE219" i="22" s="1"/>
  <c r="AR8" i="8"/>
  <c r="AQ8" i="8"/>
  <c r="AP8" i="8"/>
  <c r="AO8" i="8"/>
  <c r="AS8" i="8" s="1"/>
  <c r="AM8" i="8"/>
  <c r="AJ8" i="8" a="1"/>
  <c r="AJ8" i="8" s="1"/>
  <c r="AL8" i="8" s="1"/>
  <c r="AR7" i="8"/>
  <c r="AQ7" i="8"/>
  <c r="AP7" i="8"/>
  <c r="AO7" i="8"/>
  <c r="AM7" i="8"/>
  <c r="AJ7" i="8" a="1"/>
  <c r="AJ7" i="8" s="1"/>
  <c r="AL7" i="8" s="1"/>
  <c r="AA7" i="8"/>
  <c r="K7" i="8"/>
  <c r="I217" i="22" s="1"/>
  <c r="AI217" i="22" s="1"/>
  <c r="J7" i="8"/>
  <c r="H217" i="22" s="1"/>
  <c r="AH217" i="22" s="1"/>
  <c r="H7" i="8"/>
  <c r="F217" i="22" s="1"/>
  <c r="AF217" i="22" s="1"/>
  <c r="G7" i="8"/>
  <c r="E217" i="22" s="1"/>
  <c r="AE217" i="22" s="1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AA47" i="7"/>
  <c r="W215" i="22" s="1"/>
  <c r="AW215" i="22" s="1"/>
  <c r="K47" i="7"/>
  <c r="I215" i="22" s="1"/>
  <c r="AI215" i="22" s="1"/>
  <c r="J47" i="7"/>
  <c r="H215" i="22" s="1"/>
  <c r="AH215" i="22" s="1"/>
  <c r="H47" i="7"/>
  <c r="F215" i="22" s="1"/>
  <c r="AF215" i="22" s="1"/>
  <c r="G47" i="7"/>
  <c r="E215" i="22" s="1"/>
  <c r="AE215" i="22" s="1"/>
  <c r="AA45" i="7"/>
  <c r="W213" i="22" s="1"/>
  <c r="AW213" i="22" s="1"/>
  <c r="K45" i="7"/>
  <c r="I213" i="22" s="1"/>
  <c r="AI213" i="22" s="1"/>
  <c r="J45" i="7"/>
  <c r="H213" i="22" s="1"/>
  <c r="AH213" i="22" s="1"/>
  <c r="H45" i="7"/>
  <c r="F213" i="22" s="1"/>
  <c r="AF213" i="22" s="1"/>
  <c r="G45" i="7"/>
  <c r="E213" i="22" s="1"/>
  <c r="AE213" i="22" s="1"/>
  <c r="AA43" i="7"/>
  <c r="W211" i="22" s="1"/>
  <c r="AW211" i="22" s="1"/>
  <c r="K43" i="7"/>
  <c r="I211" i="22" s="1"/>
  <c r="AI211" i="22" s="1"/>
  <c r="J43" i="7"/>
  <c r="H211" i="22" s="1"/>
  <c r="AH211" i="22" s="1"/>
  <c r="H43" i="7"/>
  <c r="F211" i="22" s="1"/>
  <c r="AF211" i="22" s="1"/>
  <c r="G43" i="7"/>
  <c r="E211" i="22" s="1"/>
  <c r="AE211" i="22" s="1"/>
  <c r="AA41" i="7"/>
  <c r="W209" i="22" s="1"/>
  <c r="AW209" i="22" s="1"/>
  <c r="K41" i="7"/>
  <c r="I209" i="22" s="1"/>
  <c r="AI209" i="22" s="1"/>
  <c r="J41" i="7"/>
  <c r="H209" i="22" s="1"/>
  <c r="AH209" i="22" s="1"/>
  <c r="H41" i="7"/>
  <c r="F209" i="22" s="1"/>
  <c r="AF209" i="22" s="1"/>
  <c r="G41" i="7"/>
  <c r="E209" i="22" s="1"/>
  <c r="AE209" i="22" s="1"/>
  <c r="AA39" i="7"/>
  <c r="W207" i="22" s="1"/>
  <c r="AW207" i="22" s="1"/>
  <c r="K39" i="7"/>
  <c r="I207" i="22" s="1"/>
  <c r="AI207" i="22" s="1"/>
  <c r="J39" i="7"/>
  <c r="H207" i="22" s="1"/>
  <c r="AH207" i="22" s="1"/>
  <c r="H39" i="7"/>
  <c r="F207" i="22" s="1"/>
  <c r="AF207" i="22" s="1"/>
  <c r="G39" i="7"/>
  <c r="E207" i="22" s="1"/>
  <c r="AE207" i="22" s="1"/>
  <c r="AA37" i="7"/>
  <c r="W205" i="22" s="1"/>
  <c r="AW205" i="22" s="1"/>
  <c r="K37" i="7"/>
  <c r="I205" i="22" s="1"/>
  <c r="AI205" i="22" s="1"/>
  <c r="J37" i="7"/>
  <c r="H205" i="22" s="1"/>
  <c r="AH205" i="22" s="1"/>
  <c r="H37" i="7"/>
  <c r="F205" i="22" s="1"/>
  <c r="AF205" i="22" s="1"/>
  <c r="G37" i="7"/>
  <c r="E205" i="22" s="1"/>
  <c r="AE205" i="22" s="1"/>
  <c r="AA35" i="7"/>
  <c r="W203" i="22" s="1"/>
  <c r="AW203" i="22" s="1"/>
  <c r="K35" i="7"/>
  <c r="I203" i="22" s="1"/>
  <c r="AI203" i="22" s="1"/>
  <c r="J35" i="7"/>
  <c r="H203" i="22" s="1"/>
  <c r="AH203" i="22" s="1"/>
  <c r="H35" i="7"/>
  <c r="F203" i="22" s="1"/>
  <c r="AF203" i="22" s="1"/>
  <c r="G35" i="7"/>
  <c r="E203" i="22" s="1"/>
  <c r="AE203" i="22" s="1"/>
  <c r="AA33" i="7"/>
  <c r="W201" i="22" s="1"/>
  <c r="AW201" i="22" s="1"/>
  <c r="K33" i="7"/>
  <c r="I201" i="22" s="1"/>
  <c r="AI201" i="22" s="1"/>
  <c r="J33" i="7"/>
  <c r="H201" i="22" s="1"/>
  <c r="AH201" i="22" s="1"/>
  <c r="H33" i="7"/>
  <c r="F201" i="22" s="1"/>
  <c r="AF201" i="22" s="1"/>
  <c r="G33" i="7"/>
  <c r="E201" i="22" s="1"/>
  <c r="AE201" i="22" s="1"/>
  <c r="AA31" i="7"/>
  <c r="W199" i="22" s="1"/>
  <c r="AW199" i="22" s="1"/>
  <c r="K31" i="7"/>
  <c r="I199" i="22" s="1"/>
  <c r="AI199" i="22" s="1"/>
  <c r="J31" i="7"/>
  <c r="H199" i="22" s="1"/>
  <c r="AH199" i="22" s="1"/>
  <c r="H31" i="7"/>
  <c r="F199" i="22" s="1"/>
  <c r="AF199" i="22" s="1"/>
  <c r="G31" i="7"/>
  <c r="E199" i="22" s="1"/>
  <c r="AE199" i="22" s="1"/>
  <c r="AA29" i="7"/>
  <c r="W197" i="22" s="1"/>
  <c r="AW197" i="22" s="1"/>
  <c r="K29" i="7"/>
  <c r="I197" i="22" s="1"/>
  <c r="AI197" i="22" s="1"/>
  <c r="J29" i="7"/>
  <c r="H197" i="22" s="1"/>
  <c r="AH197" i="22" s="1"/>
  <c r="H29" i="7"/>
  <c r="F197" i="22" s="1"/>
  <c r="AF197" i="22" s="1"/>
  <c r="G29" i="7"/>
  <c r="E197" i="22" s="1"/>
  <c r="AE197" i="22" s="1"/>
  <c r="AA27" i="7"/>
  <c r="W195" i="22" s="1"/>
  <c r="AW195" i="22" s="1"/>
  <c r="K27" i="7"/>
  <c r="I195" i="22" s="1"/>
  <c r="AI195" i="22" s="1"/>
  <c r="J27" i="7"/>
  <c r="H195" i="22" s="1"/>
  <c r="AH195" i="22" s="1"/>
  <c r="H27" i="7"/>
  <c r="F195" i="22" s="1"/>
  <c r="AF195" i="22" s="1"/>
  <c r="G27" i="7"/>
  <c r="E195" i="22" s="1"/>
  <c r="AE195" i="22" s="1"/>
  <c r="AA25" i="7"/>
  <c r="W193" i="22" s="1"/>
  <c r="AW193" i="22" s="1"/>
  <c r="K25" i="7"/>
  <c r="I193" i="22" s="1"/>
  <c r="AI193" i="22" s="1"/>
  <c r="J25" i="7"/>
  <c r="H193" i="22" s="1"/>
  <c r="AH193" i="22" s="1"/>
  <c r="H25" i="7"/>
  <c r="F193" i="22" s="1"/>
  <c r="AF193" i="22" s="1"/>
  <c r="G25" i="7"/>
  <c r="E193" i="22" s="1"/>
  <c r="AE193" i="22" s="1"/>
  <c r="AA23" i="7"/>
  <c r="W191" i="22" s="1"/>
  <c r="AW191" i="22" s="1"/>
  <c r="K23" i="7"/>
  <c r="I191" i="22" s="1"/>
  <c r="AI191" i="22" s="1"/>
  <c r="J23" i="7"/>
  <c r="H191" i="22" s="1"/>
  <c r="AH191" i="22" s="1"/>
  <c r="H23" i="7"/>
  <c r="F191" i="22" s="1"/>
  <c r="AF191" i="22" s="1"/>
  <c r="G23" i="7"/>
  <c r="E191" i="22" s="1"/>
  <c r="AE191" i="22" s="1"/>
  <c r="AA21" i="7"/>
  <c r="W189" i="22" s="1"/>
  <c r="AW189" i="22" s="1"/>
  <c r="K21" i="7"/>
  <c r="I189" i="22" s="1"/>
  <c r="AI189" i="22" s="1"/>
  <c r="J21" i="7"/>
  <c r="H189" i="22" s="1"/>
  <c r="AH189" i="22" s="1"/>
  <c r="H21" i="7"/>
  <c r="F189" i="22" s="1"/>
  <c r="AF189" i="22" s="1"/>
  <c r="G21" i="7"/>
  <c r="E189" i="22" s="1"/>
  <c r="AE189" i="22" s="1"/>
  <c r="AR19" i="7"/>
  <c r="AQ19" i="7"/>
  <c r="AP19" i="7"/>
  <c r="AO19" i="7"/>
  <c r="AM19" i="7"/>
  <c r="AJ19" i="7" a="1"/>
  <c r="AJ19" i="7"/>
  <c r="AL19" i="7" s="1"/>
  <c r="AA19" i="7"/>
  <c r="W187" i="22" s="1"/>
  <c r="AW187" i="22" s="1"/>
  <c r="K19" i="7"/>
  <c r="I187" i="22" s="1"/>
  <c r="AI187" i="22" s="1"/>
  <c r="J19" i="7"/>
  <c r="H187" i="22" s="1"/>
  <c r="AH187" i="22" s="1"/>
  <c r="H19" i="7"/>
  <c r="F187" i="22" s="1"/>
  <c r="AF187" i="22" s="1"/>
  <c r="G19" i="7"/>
  <c r="E187" i="22" s="1"/>
  <c r="AE187" i="22" s="1"/>
  <c r="AR18" i="7"/>
  <c r="AQ18" i="7"/>
  <c r="AP18" i="7"/>
  <c r="AO18" i="7"/>
  <c r="AS18" i="7" s="1"/>
  <c r="AM18" i="7"/>
  <c r="AJ18" i="7" a="1"/>
  <c r="AJ18" i="7"/>
  <c r="AL18" i="7" s="1"/>
  <c r="AR17" i="7"/>
  <c r="AQ17" i="7"/>
  <c r="AP17" i="7"/>
  <c r="AO17" i="7"/>
  <c r="AM17" i="7"/>
  <c r="AJ17" i="7" a="1"/>
  <c r="AJ17" i="7"/>
  <c r="AL17" i="7" s="1"/>
  <c r="AA17" i="7"/>
  <c r="W185" i="22" s="1"/>
  <c r="AW185" i="22" s="1"/>
  <c r="K17" i="7"/>
  <c r="I185" i="22" s="1"/>
  <c r="AI185" i="22" s="1"/>
  <c r="J17" i="7"/>
  <c r="H185" i="22" s="1"/>
  <c r="AH185" i="22" s="1"/>
  <c r="H17" i="7"/>
  <c r="F185" i="22" s="1"/>
  <c r="AF185" i="22" s="1"/>
  <c r="G17" i="7"/>
  <c r="E185" i="22" s="1"/>
  <c r="AE185" i="22" s="1"/>
  <c r="AR16" i="7"/>
  <c r="AQ16" i="7"/>
  <c r="AP16" i="7"/>
  <c r="AO16" i="7"/>
  <c r="AS16" i="7" s="1"/>
  <c r="AM16" i="7"/>
  <c r="AJ16" i="7" a="1"/>
  <c r="AJ16" i="7"/>
  <c r="AL16" i="7" s="1"/>
  <c r="AR15" i="7"/>
  <c r="AQ15" i="7"/>
  <c r="AP15" i="7"/>
  <c r="AO15" i="7"/>
  <c r="AS15" i="7" s="1"/>
  <c r="AM15" i="7"/>
  <c r="AJ15" i="7" a="1"/>
  <c r="AJ15" i="7"/>
  <c r="AL15" i="7" s="1"/>
  <c r="AA15" i="7"/>
  <c r="W183" i="22" s="1"/>
  <c r="AW183" i="22" s="1"/>
  <c r="K15" i="7"/>
  <c r="I183" i="22" s="1"/>
  <c r="AI183" i="22" s="1"/>
  <c r="J15" i="7"/>
  <c r="H183" i="22" s="1"/>
  <c r="AH183" i="22" s="1"/>
  <c r="H15" i="7"/>
  <c r="F183" i="22" s="1"/>
  <c r="AF183" i="22" s="1"/>
  <c r="G15" i="7"/>
  <c r="E183" i="22" s="1"/>
  <c r="AE183" i="22" s="1"/>
  <c r="AR14" i="7"/>
  <c r="AQ14" i="7"/>
  <c r="AP14" i="7"/>
  <c r="AO14" i="7"/>
  <c r="AS14" i="7" s="1"/>
  <c r="AM14" i="7"/>
  <c r="AJ14" i="7" a="1"/>
  <c r="AJ14" i="7"/>
  <c r="AL14" i="7" s="1"/>
  <c r="AR13" i="7"/>
  <c r="AQ13" i="7"/>
  <c r="AP13" i="7"/>
  <c r="AO13" i="7"/>
  <c r="AS13" i="7" s="1"/>
  <c r="AM13" i="7"/>
  <c r="AJ13" i="7" a="1"/>
  <c r="AJ13" i="7"/>
  <c r="AL13" i="7" s="1"/>
  <c r="AA13" i="7"/>
  <c r="W181" i="22" s="1"/>
  <c r="AW181" i="22" s="1"/>
  <c r="K13" i="7"/>
  <c r="I181" i="22" s="1"/>
  <c r="AI181" i="22" s="1"/>
  <c r="J13" i="7"/>
  <c r="H181" i="22" s="1"/>
  <c r="AH181" i="22" s="1"/>
  <c r="H13" i="7"/>
  <c r="F181" i="22" s="1"/>
  <c r="AF181" i="22" s="1"/>
  <c r="G13" i="7"/>
  <c r="E181" i="22" s="1"/>
  <c r="AE181" i="22" s="1"/>
  <c r="AR12" i="7"/>
  <c r="AQ12" i="7"/>
  <c r="AP12" i="7"/>
  <c r="AO12" i="7"/>
  <c r="AS12" i="7" s="1"/>
  <c r="AM12" i="7"/>
  <c r="AJ12" i="7" a="1"/>
  <c r="AJ12" i="7"/>
  <c r="AL12" i="7" s="1"/>
  <c r="AR11" i="7"/>
  <c r="AQ11" i="7"/>
  <c r="AP11" i="7"/>
  <c r="AO11" i="7"/>
  <c r="AS11" i="7" s="1"/>
  <c r="AM11" i="7"/>
  <c r="AJ11" i="7" a="1"/>
  <c r="AJ11" i="7"/>
  <c r="AL11" i="7" s="1"/>
  <c r="AA11" i="7"/>
  <c r="W179" i="22" s="1"/>
  <c r="AW179" i="22" s="1"/>
  <c r="K11" i="7"/>
  <c r="I179" i="22" s="1"/>
  <c r="AI179" i="22" s="1"/>
  <c r="J11" i="7"/>
  <c r="H179" i="22" s="1"/>
  <c r="AH179" i="22" s="1"/>
  <c r="H11" i="7"/>
  <c r="F179" i="22" s="1"/>
  <c r="AF179" i="22" s="1"/>
  <c r="G11" i="7"/>
  <c r="E179" i="22" s="1"/>
  <c r="AE179" i="22" s="1"/>
  <c r="AR10" i="7"/>
  <c r="AQ10" i="7"/>
  <c r="AP10" i="7"/>
  <c r="AO10" i="7"/>
  <c r="AS10" i="7" s="1"/>
  <c r="AM10" i="7"/>
  <c r="AJ10" i="7" a="1"/>
  <c r="AJ10" i="7"/>
  <c r="AL10" i="7" s="1"/>
  <c r="AR9" i="7"/>
  <c r="AQ9" i="7"/>
  <c r="AP9" i="7"/>
  <c r="AO9" i="7"/>
  <c r="AS9" i="7" s="1"/>
  <c r="AM9" i="7"/>
  <c r="AJ9" i="7" a="1"/>
  <c r="AJ9" i="7"/>
  <c r="AL9" i="7" s="1"/>
  <c r="AA9" i="7"/>
  <c r="W177" i="22" s="1"/>
  <c r="AW177" i="22" s="1"/>
  <c r="K9" i="7"/>
  <c r="I177" i="22" s="1"/>
  <c r="AI177" i="22" s="1"/>
  <c r="J9" i="7"/>
  <c r="H177" i="22" s="1"/>
  <c r="AH177" i="22" s="1"/>
  <c r="H9" i="7"/>
  <c r="F177" i="22" s="1"/>
  <c r="AF177" i="22" s="1"/>
  <c r="G9" i="7"/>
  <c r="E177" i="22" s="1"/>
  <c r="AE177" i="22" s="1"/>
  <c r="AR8" i="7"/>
  <c r="AQ8" i="7"/>
  <c r="AP8" i="7"/>
  <c r="AO8" i="7"/>
  <c r="AS8" i="7" s="1"/>
  <c r="AM8" i="7"/>
  <c r="AJ8" i="7" a="1"/>
  <c r="AJ8" i="7"/>
  <c r="AL8" i="7" s="1"/>
  <c r="AR7" i="7"/>
  <c r="AQ7" i="7"/>
  <c r="AP7" i="7"/>
  <c r="AO7" i="7"/>
  <c r="AM7" i="7"/>
  <c r="AJ7" i="7" a="1"/>
  <c r="AJ7" i="7"/>
  <c r="AL7" i="7" s="1"/>
  <c r="AA7" i="7"/>
  <c r="K7" i="7"/>
  <c r="I175" i="22" s="1"/>
  <c r="AI175" i="22" s="1"/>
  <c r="J7" i="7"/>
  <c r="H175" i="22" s="1"/>
  <c r="AH175" i="22" s="1"/>
  <c r="H7" i="7"/>
  <c r="F175" i="22" s="1"/>
  <c r="AF175" i="22" s="1"/>
  <c r="G7" i="7"/>
  <c r="E175" i="22" s="1"/>
  <c r="AE175" i="22" s="1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AA47" i="6"/>
  <c r="W173" i="22" s="1"/>
  <c r="AW173" i="22" s="1"/>
  <c r="K47" i="6"/>
  <c r="I173" i="22" s="1"/>
  <c r="AI173" i="22" s="1"/>
  <c r="J47" i="6"/>
  <c r="H173" i="22" s="1"/>
  <c r="AH173" i="22" s="1"/>
  <c r="H47" i="6"/>
  <c r="F173" i="22" s="1"/>
  <c r="AF173" i="22" s="1"/>
  <c r="G47" i="6"/>
  <c r="E173" i="22" s="1"/>
  <c r="AE173" i="22" s="1"/>
  <c r="AA45" i="6"/>
  <c r="W171" i="22" s="1"/>
  <c r="AW171" i="22" s="1"/>
  <c r="K45" i="6"/>
  <c r="I171" i="22" s="1"/>
  <c r="AI171" i="22" s="1"/>
  <c r="J45" i="6"/>
  <c r="H171" i="22" s="1"/>
  <c r="AH171" i="22" s="1"/>
  <c r="H45" i="6"/>
  <c r="F171" i="22" s="1"/>
  <c r="AF171" i="22" s="1"/>
  <c r="G45" i="6"/>
  <c r="E171" i="22" s="1"/>
  <c r="AE171" i="22" s="1"/>
  <c r="AA43" i="6"/>
  <c r="W169" i="22" s="1"/>
  <c r="AW169" i="22" s="1"/>
  <c r="K43" i="6"/>
  <c r="I169" i="22" s="1"/>
  <c r="AI169" i="22" s="1"/>
  <c r="J43" i="6"/>
  <c r="H169" i="22" s="1"/>
  <c r="AH169" i="22" s="1"/>
  <c r="H43" i="6"/>
  <c r="F169" i="22" s="1"/>
  <c r="AF169" i="22" s="1"/>
  <c r="G43" i="6"/>
  <c r="E169" i="22" s="1"/>
  <c r="AE169" i="22" s="1"/>
  <c r="AA41" i="6"/>
  <c r="W167" i="22" s="1"/>
  <c r="AW167" i="22" s="1"/>
  <c r="K41" i="6"/>
  <c r="I167" i="22" s="1"/>
  <c r="AI167" i="22" s="1"/>
  <c r="J41" i="6"/>
  <c r="H167" i="22" s="1"/>
  <c r="AH167" i="22" s="1"/>
  <c r="H41" i="6"/>
  <c r="F167" i="22" s="1"/>
  <c r="AF167" i="22" s="1"/>
  <c r="G41" i="6"/>
  <c r="E167" i="22" s="1"/>
  <c r="AE167" i="22" s="1"/>
  <c r="AA39" i="6"/>
  <c r="W165" i="22" s="1"/>
  <c r="AW165" i="22" s="1"/>
  <c r="K39" i="6"/>
  <c r="I165" i="22" s="1"/>
  <c r="AI165" i="22" s="1"/>
  <c r="J39" i="6"/>
  <c r="H165" i="22" s="1"/>
  <c r="AH165" i="22" s="1"/>
  <c r="H39" i="6"/>
  <c r="F165" i="22" s="1"/>
  <c r="AF165" i="22" s="1"/>
  <c r="G39" i="6"/>
  <c r="E165" i="22" s="1"/>
  <c r="AE165" i="22" s="1"/>
  <c r="AA37" i="6"/>
  <c r="W163" i="22" s="1"/>
  <c r="AW163" i="22" s="1"/>
  <c r="K37" i="6"/>
  <c r="I163" i="22" s="1"/>
  <c r="AI163" i="22" s="1"/>
  <c r="J37" i="6"/>
  <c r="H163" i="22" s="1"/>
  <c r="AH163" i="22" s="1"/>
  <c r="H37" i="6"/>
  <c r="F163" i="22" s="1"/>
  <c r="AF163" i="22" s="1"/>
  <c r="G37" i="6"/>
  <c r="E163" i="22" s="1"/>
  <c r="AE163" i="22" s="1"/>
  <c r="AA35" i="6"/>
  <c r="W161" i="22" s="1"/>
  <c r="AW161" i="22" s="1"/>
  <c r="K35" i="6"/>
  <c r="I161" i="22" s="1"/>
  <c r="AI161" i="22" s="1"/>
  <c r="J35" i="6"/>
  <c r="H161" i="22" s="1"/>
  <c r="AH161" i="22" s="1"/>
  <c r="H35" i="6"/>
  <c r="F161" i="22" s="1"/>
  <c r="AF161" i="22" s="1"/>
  <c r="G35" i="6"/>
  <c r="E161" i="22" s="1"/>
  <c r="AE161" i="22" s="1"/>
  <c r="AA33" i="6"/>
  <c r="W159" i="22" s="1"/>
  <c r="AW159" i="22" s="1"/>
  <c r="K33" i="6"/>
  <c r="I159" i="22" s="1"/>
  <c r="AI159" i="22" s="1"/>
  <c r="J33" i="6"/>
  <c r="H159" i="22" s="1"/>
  <c r="AH159" i="22" s="1"/>
  <c r="H33" i="6"/>
  <c r="F159" i="22" s="1"/>
  <c r="AF159" i="22" s="1"/>
  <c r="G33" i="6"/>
  <c r="E159" i="22" s="1"/>
  <c r="AE159" i="22" s="1"/>
  <c r="AA31" i="6"/>
  <c r="W157" i="22" s="1"/>
  <c r="AW157" i="22" s="1"/>
  <c r="K31" i="6"/>
  <c r="I157" i="22" s="1"/>
  <c r="AI157" i="22" s="1"/>
  <c r="J31" i="6"/>
  <c r="H157" i="22" s="1"/>
  <c r="AH157" i="22" s="1"/>
  <c r="H31" i="6"/>
  <c r="F157" i="22" s="1"/>
  <c r="AF157" i="22" s="1"/>
  <c r="G31" i="6"/>
  <c r="E157" i="22" s="1"/>
  <c r="AE157" i="22" s="1"/>
  <c r="AA29" i="6"/>
  <c r="W155" i="22" s="1"/>
  <c r="AW155" i="22" s="1"/>
  <c r="K29" i="6"/>
  <c r="I155" i="22" s="1"/>
  <c r="AI155" i="22" s="1"/>
  <c r="J29" i="6"/>
  <c r="H155" i="22" s="1"/>
  <c r="AH155" i="22" s="1"/>
  <c r="H29" i="6"/>
  <c r="F155" i="22" s="1"/>
  <c r="AF155" i="22" s="1"/>
  <c r="G29" i="6"/>
  <c r="E155" i="22" s="1"/>
  <c r="AE155" i="22" s="1"/>
  <c r="AA27" i="6"/>
  <c r="W153" i="22" s="1"/>
  <c r="AW153" i="22" s="1"/>
  <c r="K27" i="6"/>
  <c r="I153" i="22" s="1"/>
  <c r="AI153" i="22" s="1"/>
  <c r="J27" i="6"/>
  <c r="H153" i="22" s="1"/>
  <c r="AH153" i="22" s="1"/>
  <c r="H27" i="6"/>
  <c r="F153" i="22" s="1"/>
  <c r="AF153" i="22" s="1"/>
  <c r="G27" i="6"/>
  <c r="E153" i="22" s="1"/>
  <c r="AE153" i="22" s="1"/>
  <c r="AA25" i="6"/>
  <c r="W151" i="22" s="1"/>
  <c r="AW151" i="22" s="1"/>
  <c r="K25" i="6"/>
  <c r="I151" i="22" s="1"/>
  <c r="AI151" i="22" s="1"/>
  <c r="J25" i="6"/>
  <c r="H151" i="22" s="1"/>
  <c r="AH151" i="22" s="1"/>
  <c r="H25" i="6"/>
  <c r="F151" i="22" s="1"/>
  <c r="AF151" i="22" s="1"/>
  <c r="G25" i="6"/>
  <c r="E151" i="22" s="1"/>
  <c r="AE151" i="22" s="1"/>
  <c r="AA23" i="6"/>
  <c r="W149" i="22" s="1"/>
  <c r="AW149" i="22" s="1"/>
  <c r="K23" i="6"/>
  <c r="I149" i="22" s="1"/>
  <c r="AI149" i="22" s="1"/>
  <c r="J23" i="6"/>
  <c r="H149" i="22" s="1"/>
  <c r="AH149" i="22" s="1"/>
  <c r="H23" i="6"/>
  <c r="F149" i="22" s="1"/>
  <c r="AF149" i="22" s="1"/>
  <c r="G23" i="6"/>
  <c r="E149" i="22" s="1"/>
  <c r="AE149" i="22" s="1"/>
  <c r="AA21" i="6"/>
  <c r="W147" i="22" s="1"/>
  <c r="AW147" i="22" s="1"/>
  <c r="K21" i="6"/>
  <c r="I147" i="22" s="1"/>
  <c r="AI147" i="22" s="1"/>
  <c r="J21" i="6"/>
  <c r="H147" i="22" s="1"/>
  <c r="AH147" i="22" s="1"/>
  <c r="H21" i="6"/>
  <c r="F147" i="22" s="1"/>
  <c r="AF147" i="22" s="1"/>
  <c r="G21" i="6"/>
  <c r="E147" i="22" s="1"/>
  <c r="AE147" i="22" s="1"/>
  <c r="AR19" i="6"/>
  <c r="AQ19" i="6"/>
  <c r="AP19" i="6"/>
  <c r="AO19" i="6"/>
  <c r="AM19" i="6"/>
  <c r="AJ19" i="6" a="1"/>
  <c r="AJ19" i="6" s="1"/>
  <c r="AL19" i="6" s="1"/>
  <c r="AA19" i="6"/>
  <c r="W145" i="22" s="1"/>
  <c r="AW145" i="22" s="1"/>
  <c r="K19" i="6"/>
  <c r="I145" i="22" s="1"/>
  <c r="AI145" i="22" s="1"/>
  <c r="J19" i="6"/>
  <c r="H145" i="22" s="1"/>
  <c r="AH145" i="22" s="1"/>
  <c r="H19" i="6"/>
  <c r="F145" i="22" s="1"/>
  <c r="AF145" i="22" s="1"/>
  <c r="G19" i="6"/>
  <c r="E145" i="22" s="1"/>
  <c r="AE145" i="22" s="1"/>
  <c r="AR18" i="6"/>
  <c r="AQ18" i="6"/>
  <c r="AP18" i="6"/>
  <c r="AO18" i="6"/>
  <c r="AS18" i="6" s="1"/>
  <c r="AM18" i="6"/>
  <c r="AJ18" i="6" a="1"/>
  <c r="AJ18" i="6" s="1"/>
  <c r="AL18" i="6" s="1"/>
  <c r="AR17" i="6"/>
  <c r="AQ17" i="6"/>
  <c r="AP17" i="6"/>
  <c r="AO17" i="6"/>
  <c r="AS17" i="6" s="1"/>
  <c r="AM17" i="6"/>
  <c r="AJ17" i="6" a="1"/>
  <c r="AJ17" i="6" s="1"/>
  <c r="AL17" i="6" s="1"/>
  <c r="AA17" i="6"/>
  <c r="W143" i="22" s="1"/>
  <c r="AW143" i="22" s="1"/>
  <c r="K17" i="6"/>
  <c r="I143" i="22" s="1"/>
  <c r="AI143" i="22" s="1"/>
  <c r="J17" i="6"/>
  <c r="H143" i="22" s="1"/>
  <c r="AH143" i="22" s="1"/>
  <c r="H17" i="6"/>
  <c r="F143" i="22" s="1"/>
  <c r="AF143" i="22" s="1"/>
  <c r="G17" i="6"/>
  <c r="E143" i="22" s="1"/>
  <c r="AE143" i="22" s="1"/>
  <c r="AR16" i="6"/>
  <c r="AQ16" i="6"/>
  <c r="AP16" i="6"/>
  <c r="AO16" i="6"/>
  <c r="AS16" i="6" s="1"/>
  <c r="AM16" i="6"/>
  <c r="AJ16" i="6" a="1"/>
  <c r="AJ16" i="6" s="1"/>
  <c r="AL16" i="6" s="1"/>
  <c r="AR15" i="6"/>
  <c r="AQ15" i="6"/>
  <c r="AP15" i="6"/>
  <c r="AO15" i="6"/>
  <c r="AS15" i="6" s="1"/>
  <c r="AM15" i="6"/>
  <c r="AJ15" i="6" a="1"/>
  <c r="AJ15" i="6" s="1"/>
  <c r="AL15" i="6" s="1"/>
  <c r="AA15" i="6"/>
  <c r="W141" i="22" s="1"/>
  <c r="AW141" i="22" s="1"/>
  <c r="K15" i="6"/>
  <c r="I141" i="22" s="1"/>
  <c r="AI141" i="22" s="1"/>
  <c r="J15" i="6"/>
  <c r="H141" i="22" s="1"/>
  <c r="AH141" i="22" s="1"/>
  <c r="H15" i="6"/>
  <c r="F141" i="22" s="1"/>
  <c r="AF141" i="22" s="1"/>
  <c r="G15" i="6"/>
  <c r="E141" i="22" s="1"/>
  <c r="AE141" i="22" s="1"/>
  <c r="AR14" i="6"/>
  <c r="AQ14" i="6"/>
  <c r="AP14" i="6"/>
  <c r="AO14" i="6"/>
  <c r="AS14" i="6" s="1"/>
  <c r="AM14" i="6"/>
  <c r="AJ14" i="6" a="1"/>
  <c r="AJ14" i="6" s="1"/>
  <c r="AL14" i="6" s="1"/>
  <c r="AR13" i="6"/>
  <c r="AQ13" i="6"/>
  <c r="AP13" i="6"/>
  <c r="AO13" i="6"/>
  <c r="AS13" i="6" s="1"/>
  <c r="AM13" i="6"/>
  <c r="AJ13" i="6" a="1"/>
  <c r="AJ13" i="6" s="1"/>
  <c r="AL13" i="6" s="1"/>
  <c r="AA13" i="6"/>
  <c r="W139" i="22" s="1"/>
  <c r="AW139" i="22" s="1"/>
  <c r="K13" i="6"/>
  <c r="I139" i="22" s="1"/>
  <c r="AI139" i="22" s="1"/>
  <c r="J13" i="6"/>
  <c r="H139" i="22" s="1"/>
  <c r="AH139" i="22" s="1"/>
  <c r="H13" i="6"/>
  <c r="F139" i="22" s="1"/>
  <c r="AF139" i="22" s="1"/>
  <c r="G13" i="6"/>
  <c r="E139" i="22" s="1"/>
  <c r="AE139" i="22" s="1"/>
  <c r="AR12" i="6"/>
  <c r="AQ12" i="6"/>
  <c r="AP12" i="6"/>
  <c r="AO12" i="6"/>
  <c r="AM12" i="6"/>
  <c r="AJ12" i="6" a="1"/>
  <c r="AJ12" i="6" s="1"/>
  <c r="AL12" i="6" s="1"/>
  <c r="AR11" i="6"/>
  <c r="AQ11" i="6"/>
  <c r="AP11" i="6"/>
  <c r="AO11" i="6"/>
  <c r="AS11" i="6" s="1"/>
  <c r="AM11" i="6"/>
  <c r="AJ11" i="6" a="1"/>
  <c r="AJ11" i="6" s="1"/>
  <c r="AL11" i="6" s="1"/>
  <c r="AA11" i="6"/>
  <c r="W137" i="22" s="1"/>
  <c r="AW137" i="22" s="1"/>
  <c r="K11" i="6"/>
  <c r="I137" i="22" s="1"/>
  <c r="AI137" i="22" s="1"/>
  <c r="J11" i="6"/>
  <c r="H137" i="22" s="1"/>
  <c r="AH137" i="22" s="1"/>
  <c r="H11" i="6"/>
  <c r="F137" i="22" s="1"/>
  <c r="AF137" i="22" s="1"/>
  <c r="G11" i="6"/>
  <c r="E137" i="22" s="1"/>
  <c r="AE137" i="22" s="1"/>
  <c r="AR10" i="6"/>
  <c r="AQ10" i="6"/>
  <c r="AP10" i="6"/>
  <c r="AO10" i="6"/>
  <c r="AS10" i="6" s="1"/>
  <c r="AM10" i="6"/>
  <c r="AJ10" i="6" a="1"/>
  <c r="AJ10" i="6" s="1"/>
  <c r="AL10" i="6" s="1"/>
  <c r="AR9" i="6"/>
  <c r="AQ9" i="6"/>
  <c r="AP9" i="6"/>
  <c r="AO9" i="6"/>
  <c r="AS9" i="6" s="1"/>
  <c r="AM9" i="6"/>
  <c r="AJ9" i="6" a="1"/>
  <c r="AJ9" i="6" s="1"/>
  <c r="AL9" i="6" s="1"/>
  <c r="AA9" i="6"/>
  <c r="W135" i="22" s="1"/>
  <c r="AW135" i="22" s="1"/>
  <c r="K9" i="6"/>
  <c r="I135" i="22" s="1"/>
  <c r="AI135" i="22" s="1"/>
  <c r="J9" i="6"/>
  <c r="H135" i="22" s="1"/>
  <c r="AH135" i="22" s="1"/>
  <c r="H9" i="6"/>
  <c r="F135" i="22" s="1"/>
  <c r="AF135" i="22" s="1"/>
  <c r="G9" i="6"/>
  <c r="E135" i="22" s="1"/>
  <c r="AE135" i="22" s="1"/>
  <c r="AR8" i="6"/>
  <c r="AQ8" i="6"/>
  <c r="AP8" i="6"/>
  <c r="AO8" i="6"/>
  <c r="AM8" i="6"/>
  <c r="AJ8" i="6" a="1"/>
  <c r="AJ8" i="6" s="1"/>
  <c r="AL8" i="6" s="1"/>
  <c r="AR7" i="6"/>
  <c r="AQ7" i="6"/>
  <c r="AP7" i="6"/>
  <c r="AO7" i="6"/>
  <c r="AM7" i="6"/>
  <c r="AJ7" i="6" a="1"/>
  <c r="AJ7" i="6" s="1"/>
  <c r="AL7" i="6" s="1"/>
  <c r="AA7" i="6"/>
  <c r="K7" i="6"/>
  <c r="I133" i="22" s="1"/>
  <c r="AI133" i="22" s="1"/>
  <c r="J7" i="6"/>
  <c r="H133" i="22" s="1"/>
  <c r="AH133" i="22" s="1"/>
  <c r="H7" i="6"/>
  <c r="F133" i="22" s="1"/>
  <c r="AF133" i="22" s="1"/>
  <c r="G7" i="6"/>
  <c r="E133" i="22" s="1"/>
  <c r="AE133" i="22" s="1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AA47" i="5"/>
  <c r="W131" i="22" s="1"/>
  <c r="AW131" i="22" s="1"/>
  <c r="K47" i="5"/>
  <c r="I131" i="22" s="1"/>
  <c r="AI131" i="22" s="1"/>
  <c r="J47" i="5"/>
  <c r="H131" i="22" s="1"/>
  <c r="AH131" i="22" s="1"/>
  <c r="H47" i="5"/>
  <c r="F131" i="22" s="1"/>
  <c r="AF131" i="22" s="1"/>
  <c r="G47" i="5"/>
  <c r="E131" i="22" s="1"/>
  <c r="AE131" i="22" s="1"/>
  <c r="AA45" i="5"/>
  <c r="W129" i="22" s="1"/>
  <c r="AW129" i="22" s="1"/>
  <c r="K45" i="5"/>
  <c r="I129" i="22" s="1"/>
  <c r="AI129" i="22" s="1"/>
  <c r="J45" i="5"/>
  <c r="H129" i="22" s="1"/>
  <c r="AH129" i="22" s="1"/>
  <c r="H45" i="5"/>
  <c r="F129" i="22" s="1"/>
  <c r="AF129" i="22" s="1"/>
  <c r="G45" i="5"/>
  <c r="E129" i="22" s="1"/>
  <c r="AE129" i="22" s="1"/>
  <c r="AA43" i="5"/>
  <c r="W127" i="22" s="1"/>
  <c r="AW127" i="22" s="1"/>
  <c r="K43" i="5"/>
  <c r="I127" i="22" s="1"/>
  <c r="AI127" i="22" s="1"/>
  <c r="J43" i="5"/>
  <c r="H127" i="22" s="1"/>
  <c r="AH127" i="22" s="1"/>
  <c r="H43" i="5"/>
  <c r="F127" i="22" s="1"/>
  <c r="AF127" i="22" s="1"/>
  <c r="G43" i="5"/>
  <c r="E127" i="22" s="1"/>
  <c r="AE127" i="22" s="1"/>
  <c r="AA41" i="5"/>
  <c r="W125" i="22" s="1"/>
  <c r="AW125" i="22" s="1"/>
  <c r="K41" i="5"/>
  <c r="I125" i="22" s="1"/>
  <c r="AI125" i="22" s="1"/>
  <c r="J41" i="5"/>
  <c r="H125" i="22" s="1"/>
  <c r="AH125" i="22" s="1"/>
  <c r="H41" i="5"/>
  <c r="F125" i="22" s="1"/>
  <c r="AF125" i="22" s="1"/>
  <c r="G41" i="5"/>
  <c r="E125" i="22" s="1"/>
  <c r="AE125" i="22" s="1"/>
  <c r="AA39" i="5"/>
  <c r="W123" i="22" s="1"/>
  <c r="AW123" i="22" s="1"/>
  <c r="K39" i="5"/>
  <c r="I123" i="22" s="1"/>
  <c r="AI123" i="22" s="1"/>
  <c r="J39" i="5"/>
  <c r="H123" i="22" s="1"/>
  <c r="AH123" i="22" s="1"/>
  <c r="H39" i="5"/>
  <c r="F123" i="22" s="1"/>
  <c r="AF123" i="22" s="1"/>
  <c r="G39" i="5"/>
  <c r="E123" i="22" s="1"/>
  <c r="AE123" i="22" s="1"/>
  <c r="AA37" i="5"/>
  <c r="W121" i="22" s="1"/>
  <c r="AW121" i="22" s="1"/>
  <c r="K37" i="5"/>
  <c r="I121" i="22" s="1"/>
  <c r="AI121" i="22" s="1"/>
  <c r="J37" i="5"/>
  <c r="H121" i="22" s="1"/>
  <c r="AH121" i="22" s="1"/>
  <c r="H37" i="5"/>
  <c r="F121" i="22" s="1"/>
  <c r="AF121" i="22" s="1"/>
  <c r="G37" i="5"/>
  <c r="E121" i="22" s="1"/>
  <c r="AE121" i="22" s="1"/>
  <c r="AA35" i="5"/>
  <c r="W119" i="22" s="1"/>
  <c r="AW119" i="22" s="1"/>
  <c r="K35" i="5"/>
  <c r="I119" i="22" s="1"/>
  <c r="AI119" i="22" s="1"/>
  <c r="J35" i="5"/>
  <c r="H119" i="22" s="1"/>
  <c r="AH119" i="22" s="1"/>
  <c r="H35" i="5"/>
  <c r="F119" i="22" s="1"/>
  <c r="AF119" i="22" s="1"/>
  <c r="G35" i="5"/>
  <c r="E119" i="22" s="1"/>
  <c r="AE119" i="22" s="1"/>
  <c r="AA33" i="5"/>
  <c r="W117" i="22" s="1"/>
  <c r="AW117" i="22" s="1"/>
  <c r="K33" i="5"/>
  <c r="I117" i="22" s="1"/>
  <c r="AI117" i="22" s="1"/>
  <c r="J33" i="5"/>
  <c r="H117" i="22" s="1"/>
  <c r="AH117" i="22" s="1"/>
  <c r="H33" i="5"/>
  <c r="F117" i="22" s="1"/>
  <c r="AF117" i="22" s="1"/>
  <c r="G33" i="5"/>
  <c r="E117" i="22" s="1"/>
  <c r="AE117" i="22" s="1"/>
  <c r="AA31" i="5"/>
  <c r="W115" i="22" s="1"/>
  <c r="AW115" i="22" s="1"/>
  <c r="K31" i="5"/>
  <c r="I115" i="22" s="1"/>
  <c r="AI115" i="22" s="1"/>
  <c r="J31" i="5"/>
  <c r="H115" i="22" s="1"/>
  <c r="AH115" i="22" s="1"/>
  <c r="H31" i="5"/>
  <c r="F115" i="22" s="1"/>
  <c r="AF115" i="22" s="1"/>
  <c r="G31" i="5"/>
  <c r="E115" i="22" s="1"/>
  <c r="AE115" i="22" s="1"/>
  <c r="AA29" i="5"/>
  <c r="W113" i="22" s="1"/>
  <c r="AW113" i="22" s="1"/>
  <c r="K29" i="5"/>
  <c r="I113" i="22" s="1"/>
  <c r="AI113" i="22" s="1"/>
  <c r="J29" i="5"/>
  <c r="H113" i="22" s="1"/>
  <c r="AH113" i="22" s="1"/>
  <c r="H29" i="5"/>
  <c r="F113" i="22" s="1"/>
  <c r="AF113" i="22" s="1"/>
  <c r="G29" i="5"/>
  <c r="E113" i="22" s="1"/>
  <c r="AE113" i="22" s="1"/>
  <c r="AA27" i="5"/>
  <c r="W111" i="22" s="1"/>
  <c r="AW111" i="22" s="1"/>
  <c r="K27" i="5"/>
  <c r="I111" i="22" s="1"/>
  <c r="AI111" i="22" s="1"/>
  <c r="J27" i="5"/>
  <c r="H111" i="22" s="1"/>
  <c r="AH111" i="22" s="1"/>
  <c r="H27" i="5"/>
  <c r="F111" i="22" s="1"/>
  <c r="AF111" i="22" s="1"/>
  <c r="G27" i="5"/>
  <c r="E111" i="22" s="1"/>
  <c r="AE111" i="22" s="1"/>
  <c r="AA25" i="5"/>
  <c r="W109" i="22" s="1"/>
  <c r="AW109" i="22" s="1"/>
  <c r="K25" i="5"/>
  <c r="I109" i="22" s="1"/>
  <c r="AI109" i="22" s="1"/>
  <c r="J25" i="5"/>
  <c r="H109" i="22" s="1"/>
  <c r="AH109" i="22" s="1"/>
  <c r="H25" i="5"/>
  <c r="F109" i="22" s="1"/>
  <c r="AF109" i="22" s="1"/>
  <c r="G25" i="5"/>
  <c r="E109" i="22" s="1"/>
  <c r="AE109" i="22" s="1"/>
  <c r="AA23" i="5"/>
  <c r="W107" i="22" s="1"/>
  <c r="AW107" i="22" s="1"/>
  <c r="K23" i="5"/>
  <c r="I107" i="22" s="1"/>
  <c r="AI107" i="22" s="1"/>
  <c r="J23" i="5"/>
  <c r="H107" i="22" s="1"/>
  <c r="AH107" i="22" s="1"/>
  <c r="H23" i="5"/>
  <c r="F107" i="22" s="1"/>
  <c r="AF107" i="22" s="1"/>
  <c r="G23" i="5"/>
  <c r="E107" i="22" s="1"/>
  <c r="AE107" i="22" s="1"/>
  <c r="AA21" i="5"/>
  <c r="W105" i="22" s="1"/>
  <c r="AW105" i="22" s="1"/>
  <c r="K21" i="5"/>
  <c r="I105" i="22" s="1"/>
  <c r="AI105" i="22" s="1"/>
  <c r="J21" i="5"/>
  <c r="H105" i="22" s="1"/>
  <c r="AH105" i="22" s="1"/>
  <c r="H21" i="5"/>
  <c r="F105" i="22" s="1"/>
  <c r="AF105" i="22" s="1"/>
  <c r="G21" i="5"/>
  <c r="E105" i="22" s="1"/>
  <c r="AE105" i="22" s="1"/>
  <c r="AR19" i="5"/>
  <c r="AQ19" i="5"/>
  <c r="AP19" i="5"/>
  <c r="AO19" i="5"/>
  <c r="AM19" i="5"/>
  <c r="AJ19" i="5" a="1"/>
  <c r="AJ19" i="5"/>
  <c r="AL19" i="5" s="1"/>
  <c r="AA19" i="5"/>
  <c r="W103" i="22" s="1"/>
  <c r="AW103" i="22" s="1"/>
  <c r="K19" i="5"/>
  <c r="I103" i="22" s="1"/>
  <c r="AI103" i="22" s="1"/>
  <c r="J19" i="5"/>
  <c r="H103" i="22" s="1"/>
  <c r="AH103" i="22" s="1"/>
  <c r="H19" i="5"/>
  <c r="F103" i="22" s="1"/>
  <c r="AF103" i="22" s="1"/>
  <c r="G19" i="5"/>
  <c r="E103" i="22" s="1"/>
  <c r="AE103" i="22" s="1"/>
  <c r="AR18" i="5"/>
  <c r="AQ18" i="5"/>
  <c r="AP18" i="5"/>
  <c r="AO18" i="5"/>
  <c r="AM18" i="5"/>
  <c r="AJ18" i="5" a="1"/>
  <c r="AJ18" i="5"/>
  <c r="AL18" i="5" s="1"/>
  <c r="AR17" i="5"/>
  <c r="AQ17" i="5"/>
  <c r="AP17" i="5"/>
  <c r="AO17" i="5"/>
  <c r="AS17" i="5" s="1"/>
  <c r="AM17" i="5"/>
  <c r="AJ17" i="5" a="1"/>
  <c r="AJ17" i="5"/>
  <c r="AL17" i="5" s="1"/>
  <c r="AA17" i="5"/>
  <c r="W101" i="22" s="1"/>
  <c r="AW101" i="22" s="1"/>
  <c r="K17" i="5"/>
  <c r="I101" i="22" s="1"/>
  <c r="AI101" i="22" s="1"/>
  <c r="J17" i="5"/>
  <c r="H101" i="22" s="1"/>
  <c r="AH101" i="22" s="1"/>
  <c r="H17" i="5"/>
  <c r="F101" i="22" s="1"/>
  <c r="AF101" i="22" s="1"/>
  <c r="G17" i="5"/>
  <c r="E101" i="22" s="1"/>
  <c r="AE101" i="22" s="1"/>
  <c r="AR16" i="5"/>
  <c r="AQ16" i="5"/>
  <c r="AP16" i="5"/>
  <c r="AO16" i="5"/>
  <c r="AS16" i="5" s="1"/>
  <c r="AM16" i="5"/>
  <c r="AJ16" i="5" a="1"/>
  <c r="AJ16" i="5"/>
  <c r="AL16" i="5" s="1"/>
  <c r="AR15" i="5"/>
  <c r="AQ15" i="5"/>
  <c r="AP15" i="5"/>
  <c r="AO15" i="5"/>
  <c r="AS15" i="5" s="1"/>
  <c r="AM15" i="5"/>
  <c r="AJ15" i="5" a="1"/>
  <c r="AJ15" i="5"/>
  <c r="AL15" i="5" s="1"/>
  <c r="AA15" i="5"/>
  <c r="W99" i="22" s="1"/>
  <c r="AW99" i="22" s="1"/>
  <c r="K15" i="5"/>
  <c r="I99" i="22" s="1"/>
  <c r="AI99" i="22" s="1"/>
  <c r="J15" i="5"/>
  <c r="H99" i="22" s="1"/>
  <c r="AH99" i="22" s="1"/>
  <c r="H15" i="5"/>
  <c r="F99" i="22" s="1"/>
  <c r="AF99" i="22" s="1"/>
  <c r="G15" i="5"/>
  <c r="E99" i="22" s="1"/>
  <c r="AE99" i="22" s="1"/>
  <c r="AR14" i="5"/>
  <c r="AQ14" i="5"/>
  <c r="AP14" i="5"/>
  <c r="AO14" i="5"/>
  <c r="AS14" i="5" s="1"/>
  <c r="AM14" i="5"/>
  <c r="AJ14" i="5" a="1"/>
  <c r="AJ14" i="5"/>
  <c r="AL14" i="5" s="1"/>
  <c r="AR13" i="5"/>
  <c r="AQ13" i="5"/>
  <c r="AP13" i="5"/>
  <c r="AO13" i="5"/>
  <c r="AS13" i="5" s="1"/>
  <c r="AM13" i="5"/>
  <c r="AJ13" i="5" a="1"/>
  <c r="AJ13" i="5"/>
  <c r="AL13" i="5" s="1"/>
  <c r="AA13" i="5"/>
  <c r="W97" i="22" s="1"/>
  <c r="AW97" i="22" s="1"/>
  <c r="K13" i="5"/>
  <c r="I97" i="22" s="1"/>
  <c r="AI97" i="22" s="1"/>
  <c r="J13" i="5"/>
  <c r="H97" i="22" s="1"/>
  <c r="AH97" i="22" s="1"/>
  <c r="H13" i="5"/>
  <c r="F97" i="22" s="1"/>
  <c r="AF97" i="22" s="1"/>
  <c r="G13" i="5"/>
  <c r="E97" i="22" s="1"/>
  <c r="AE97" i="22" s="1"/>
  <c r="AR12" i="5"/>
  <c r="AQ12" i="5"/>
  <c r="AP12" i="5"/>
  <c r="AO12" i="5"/>
  <c r="AS12" i="5" s="1"/>
  <c r="AM12" i="5"/>
  <c r="AJ12" i="5" a="1"/>
  <c r="AJ12" i="5"/>
  <c r="AL12" i="5" s="1"/>
  <c r="AR11" i="5"/>
  <c r="AQ11" i="5"/>
  <c r="AP11" i="5"/>
  <c r="AO11" i="5"/>
  <c r="AS11" i="5" s="1"/>
  <c r="AM11" i="5"/>
  <c r="AJ11" i="5" a="1"/>
  <c r="AJ11" i="5"/>
  <c r="AL11" i="5" s="1"/>
  <c r="AA11" i="5"/>
  <c r="W95" i="22" s="1"/>
  <c r="AW95" i="22" s="1"/>
  <c r="K11" i="5"/>
  <c r="I95" i="22" s="1"/>
  <c r="AI95" i="22" s="1"/>
  <c r="J11" i="5"/>
  <c r="H95" i="22" s="1"/>
  <c r="AH95" i="22" s="1"/>
  <c r="H11" i="5"/>
  <c r="F95" i="22" s="1"/>
  <c r="AF95" i="22" s="1"/>
  <c r="G11" i="5"/>
  <c r="E95" i="22" s="1"/>
  <c r="AE95" i="22" s="1"/>
  <c r="AR10" i="5"/>
  <c r="AQ10" i="5"/>
  <c r="AP10" i="5"/>
  <c r="AO10" i="5"/>
  <c r="AS10" i="5" s="1"/>
  <c r="AM10" i="5"/>
  <c r="AJ10" i="5" a="1"/>
  <c r="AJ10" i="5"/>
  <c r="AL10" i="5" s="1"/>
  <c r="AR9" i="5"/>
  <c r="AQ9" i="5"/>
  <c r="AP9" i="5"/>
  <c r="AO9" i="5"/>
  <c r="AS9" i="5" s="1"/>
  <c r="AM9" i="5"/>
  <c r="AJ9" i="5" a="1"/>
  <c r="AJ9" i="5"/>
  <c r="AL9" i="5" s="1"/>
  <c r="AA9" i="5"/>
  <c r="W93" i="22" s="1"/>
  <c r="AW93" i="22" s="1"/>
  <c r="K9" i="5"/>
  <c r="I93" i="22" s="1"/>
  <c r="AI93" i="22" s="1"/>
  <c r="J9" i="5"/>
  <c r="H93" i="22" s="1"/>
  <c r="AH93" i="22" s="1"/>
  <c r="H9" i="5"/>
  <c r="F93" i="22" s="1"/>
  <c r="AF93" i="22" s="1"/>
  <c r="G9" i="5"/>
  <c r="E93" i="22" s="1"/>
  <c r="AE93" i="22" s="1"/>
  <c r="AR8" i="5"/>
  <c r="AQ8" i="5"/>
  <c r="AP8" i="5"/>
  <c r="AO8" i="5"/>
  <c r="AS8" i="5" s="1"/>
  <c r="AM8" i="5"/>
  <c r="AJ8" i="5" a="1"/>
  <c r="AJ8" i="5"/>
  <c r="AL8" i="5" s="1"/>
  <c r="AR7" i="5"/>
  <c r="AQ7" i="5"/>
  <c r="AP7" i="5"/>
  <c r="AO7" i="5"/>
  <c r="AM7" i="5"/>
  <c r="AJ7" i="5" a="1"/>
  <c r="AJ7" i="5"/>
  <c r="AL7" i="5" s="1"/>
  <c r="AA7" i="5"/>
  <c r="K7" i="5"/>
  <c r="I91" i="22" s="1"/>
  <c r="AI91" i="22" s="1"/>
  <c r="J7" i="5"/>
  <c r="H91" i="22" s="1"/>
  <c r="AH91" i="22" s="1"/>
  <c r="H7" i="5"/>
  <c r="F91" i="22" s="1"/>
  <c r="AF91" i="22" s="1"/>
  <c r="G7" i="5"/>
  <c r="E91" i="22" s="1"/>
  <c r="AE91" i="22" s="1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AA47" i="4"/>
  <c r="W89" i="22" s="1"/>
  <c r="AW89" i="22" s="1"/>
  <c r="K47" i="4"/>
  <c r="I89" i="22" s="1"/>
  <c r="AI89" i="22" s="1"/>
  <c r="J47" i="4"/>
  <c r="H89" i="22" s="1"/>
  <c r="AH89" i="22" s="1"/>
  <c r="H47" i="4"/>
  <c r="F89" i="22" s="1"/>
  <c r="AF89" i="22" s="1"/>
  <c r="G47" i="4"/>
  <c r="E89" i="22" s="1"/>
  <c r="AE89" i="22" s="1"/>
  <c r="AA45" i="4"/>
  <c r="W87" i="22" s="1"/>
  <c r="AW87" i="22" s="1"/>
  <c r="K45" i="4"/>
  <c r="I87" i="22" s="1"/>
  <c r="AI87" i="22" s="1"/>
  <c r="J45" i="4"/>
  <c r="H87" i="22" s="1"/>
  <c r="AH87" i="22" s="1"/>
  <c r="H45" i="4"/>
  <c r="F87" i="22" s="1"/>
  <c r="AF87" i="22" s="1"/>
  <c r="G45" i="4"/>
  <c r="E87" i="22" s="1"/>
  <c r="AE87" i="22" s="1"/>
  <c r="AA43" i="4"/>
  <c r="W85" i="22" s="1"/>
  <c r="AW85" i="22" s="1"/>
  <c r="K43" i="4"/>
  <c r="I85" i="22" s="1"/>
  <c r="AI85" i="22" s="1"/>
  <c r="J43" i="4"/>
  <c r="H85" i="22" s="1"/>
  <c r="AH85" i="22" s="1"/>
  <c r="H43" i="4"/>
  <c r="F85" i="22" s="1"/>
  <c r="AF85" i="22" s="1"/>
  <c r="G43" i="4"/>
  <c r="E85" i="22" s="1"/>
  <c r="AE85" i="22" s="1"/>
  <c r="AA41" i="4"/>
  <c r="W83" i="22" s="1"/>
  <c r="AW83" i="22" s="1"/>
  <c r="K41" i="4"/>
  <c r="I83" i="22" s="1"/>
  <c r="AI83" i="22" s="1"/>
  <c r="J41" i="4"/>
  <c r="H83" i="22" s="1"/>
  <c r="AH83" i="22" s="1"/>
  <c r="H41" i="4"/>
  <c r="F83" i="22" s="1"/>
  <c r="AF83" i="22" s="1"/>
  <c r="G41" i="4"/>
  <c r="E83" i="22" s="1"/>
  <c r="AE83" i="22" s="1"/>
  <c r="AA39" i="4"/>
  <c r="W81" i="22" s="1"/>
  <c r="AW81" i="22" s="1"/>
  <c r="K39" i="4"/>
  <c r="I81" i="22" s="1"/>
  <c r="AI81" i="22" s="1"/>
  <c r="J39" i="4"/>
  <c r="H81" i="22" s="1"/>
  <c r="AH81" i="22" s="1"/>
  <c r="H39" i="4"/>
  <c r="F81" i="22" s="1"/>
  <c r="AF81" i="22" s="1"/>
  <c r="G39" i="4"/>
  <c r="E81" i="22" s="1"/>
  <c r="AE81" i="22" s="1"/>
  <c r="AA37" i="4"/>
  <c r="W79" i="22" s="1"/>
  <c r="AW79" i="22" s="1"/>
  <c r="K37" i="4"/>
  <c r="I79" i="22" s="1"/>
  <c r="AI79" i="22" s="1"/>
  <c r="J37" i="4"/>
  <c r="H79" i="22" s="1"/>
  <c r="AH79" i="22" s="1"/>
  <c r="H37" i="4"/>
  <c r="F79" i="22" s="1"/>
  <c r="AF79" i="22" s="1"/>
  <c r="G37" i="4"/>
  <c r="E79" i="22" s="1"/>
  <c r="AE79" i="22" s="1"/>
  <c r="AA35" i="4"/>
  <c r="W77" i="22" s="1"/>
  <c r="AW77" i="22" s="1"/>
  <c r="K35" i="4"/>
  <c r="I77" i="22" s="1"/>
  <c r="AI77" i="22" s="1"/>
  <c r="J35" i="4"/>
  <c r="H77" i="22" s="1"/>
  <c r="AH77" i="22" s="1"/>
  <c r="H35" i="4"/>
  <c r="F77" i="22" s="1"/>
  <c r="AF77" i="22" s="1"/>
  <c r="G35" i="4"/>
  <c r="E77" i="22" s="1"/>
  <c r="AE77" i="22" s="1"/>
  <c r="AA33" i="4"/>
  <c r="W75" i="22" s="1"/>
  <c r="AW75" i="22" s="1"/>
  <c r="K33" i="4"/>
  <c r="I75" i="22" s="1"/>
  <c r="AI75" i="22" s="1"/>
  <c r="J33" i="4"/>
  <c r="H75" i="22" s="1"/>
  <c r="AH75" i="22" s="1"/>
  <c r="H33" i="4"/>
  <c r="F75" i="22" s="1"/>
  <c r="AF75" i="22" s="1"/>
  <c r="G33" i="4"/>
  <c r="E75" i="22" s="1"/>
  <c r="AE75" i="22" s="1"/>
  <c r="AA31" i="4"/>
  <c r="W73" i="22" s="1"/>
  <c r="AW73" i="22" s="1"/>
  <c r="K31" i="4"/>
  <c r="I73" i="22" s="1"/>
  <c r="AI73" i="22" s="1"/>
  <c r="J31" i="4"/>
  <c r="H73" i="22" s="1"/>
  <c r="AH73" i="22" s="1"/>
  <c r="H31" i="4"/>
  <c r="F73" i="22" s="1"/>
  <c r="AF73" i="22" s="1"/>
  <c r="G31" i="4"/>
  <c r="E73" i="22" s="1"/>
  <c r="AE73" i="22" s="1"/>
  <c r="AA29" i="4"/>
  <c r="W71" i="22" s="1"/>
  <c r="AW71" i="22" s="1"/>
  <c r="K29" i="4"/>
  <c r="I71" i="22" s="1"/>
  <c r="AI71" i="22" s="1"/>
  <c r="J29" i="4"/>
  <c r="H71" i="22" s="1"/>
  <c r="AH71" i="22" s="1"/>
  <c r="H29" i="4"/>
  <c r="F71" i="22" s="1"/>
  <c r="AF71" i="22" s="1"/>
  <c r="G29" i="4"/>
  <c r="E71" i="22" s="1"/>
  <c r="AE71" i="22" s="1"/>
  <c r="AA27" i="4"/>
  <c r="W69" i="22" s="1"/>
  <c r="AW69" i="22" s="1"/>
  <c r="K27" i="4"/>
  <c r="I69" i="22" s="1"/>
  <c r="AI69" i="22" s="1"/>
  <c r="J27" i="4"/>
  <c r="H69" i="22" s="1"/>
  <c r="AH69" i="22" s="1"/>
  <c r="H27" i="4"/>
  <c r="F69" i="22" s="1"/>
  <c r="AF69" i="22" s="1"/>
  <c r="G27" i="4"/>
  <c r="E69" i="22" s="1"/>
  <c r="AE69" i="22" s="1"/>
  <c r="AA25" i="4"/>
  <c r="W67" i="22" s="1"/>
  <c r="AW67" i="22" s="1"/>
  <c r="K25" i="4"/>
  <c r="I67" i="22" s="1"/>
  <c r="AI67" i="22" s="1"/>
  <c r="J25" i="4"/>
  <c r="H67" i="22" s="1"/>
  <c r="AH67" i="22" s="1"/>
  <c r="H25" i="4"/>
  <c r="F67" i="22" s="1"/>
  <c r="AF67" i="22" s="1"/>
  <c r="G25" i="4"/>
  <c r="E67" i="22" s="1"/>
  <c r="AE67" i="22" s="1"/>
  <c r="AA23" i="4"/>
  <c r="W65" i="22" s="1"/>
  <c r="AW65" i="22" s="1"/>
  <c r="K23" i="4"/>
  <c r="I65" i="22" s="1"/>
  <c r="AI65" i="22" s="1"/>
  <c r="J23" i="4"/>
  <c r="H65" i="22" s="1"/>
  <c r="AH65" i="22" s="1"/>
  <c r="H23" i="4"/>
  <c r="F65" i="22" s="1"/>
  <c r="AF65" i="22" s="1"/>
  <c r="G23" i="4"/>
  <c r="E65" i="22" s="1"/>
  <c r="AE65" i="22" s="1"/>
  <c r="AA21" i="4"/>
  <c r="W63" i="22" s="1"/>
  <c r="AW63" i="22" s="1"/>
  <c r="K21" i="4"/>
  <c r="I63" i="22" s="1"/>
  <c r="AI63" i="22" s="1"/>
  <c r="J21" i="4"/>
  <c r="H63" i="22" s="1"/>
  <c r="AH63" i="22" s="1"/>
  <c r="H21" i="4"/>
  <c r="F63" i="22" s="1"/>
  <c r="AF63" i="22" s="1"/>
  <c r="G21" i="4"/>
  <c r="E63" i="22" s="1"/>
  <c r="AE63" i="22" s="1"/>
  <c r="AR19" i="4"/>
  <c r="AQ19" i="4"/>
  <c r="AP19" i="4"/>
  <c r="AO19" i="4"/>
  <c r="AM19" i="4"/>
  <c r="AJ19" i="4" a="1"/>
  <c r="AJ19" i="4" s="1"/>
  <c r="AL19" i="4" s="1"/>
  <c r="AA19" i="4"/>
  <c r="W61" i="22" s="1"/>
  <c r="AW61" i="22" s="1"/>
  <c r="K19" i="4"/>
  <c r="I61" i="22" s="1"/>
  <c r="AI61" i="22" s="1"/>
  <c r="J19" i="4"/>
  <c r="H61" i="22" s="1"/>
  <c r="AH61" i="22" s="1"/>
  <c r="H19" i="4"/>
  <c r="F61" i="22" s="1"/>
  <c r="AF61" i="22" s="1"/>
  <c r="G19" i="4"/>
  <c r="E61" i="22" s="1"/>
  <c r="AE61" i="22" s="1"/>
  <c r="AR18" i="4"/>
  <c r="AQ18" i="4"/>
  <c r="AP18" i="4"/>
  <c r="AO18" i="4"/>
  <c r="AS18" i="4" s="1"/>
  <c r="AM18" i="4"/>
  <c r="AJ18" i="4" a="1"/>
  <c r="AJ18" i="4" s="1"/>
  <c r="AL18" i="4" s="1"/>
  <c r="AR17" i="4"/>
  <c r="AQ17" i="4"/>
  <c r="AP17" i="4"/>
  <c r="AO17" i="4"/>
  <c r="AS17" i="4" s="1"/>
  <c r="AM17" i="4"/>
  <c r="AJ17" i="4" a="1"/>
  <c r="AJ17" i="4" s="1"/>
  <c r="AL17" i="4" s="1"/>
  <c r="AA17" i="4"/>
  <c r="W59" i="22" s="1"/>
  <c r="AW59" i="22" s="1"/>
  <c r="K17" i="4"/>
  <c r="I59" i="22" s="1"/>
  <c r="AI59" i="22" s="1"/>
  <c r="J17" i="4"/>
  <c r="H59" i="22" s="1"/>
  <c r="AH59" i="22" s="1"/>
  <c r="H17" i="4"/>
  <c r="F59" i="22" s="1"/>
  <c r="AF59" i="22" s="1"/>
  <c r="G17" i="4"/>
  <c r="E59" i="22" s="1"/>
  <c r="AE59" i="22" s="1"/>
  <c r="AR16" i="4"/>
  <c r="AQ16" i="4"/>
  <c r="AP16" i="4"/>
  <c r="AO16" i="4"/>
  <c r="AM16" i="4"/>
  <c r="AJ16" i="4" a="1"/>
  <c r="AJ16" i="4" s="1"/>
  <c r="AL16" i="4" s="1"/>
  <c r="AR15" i="4"/>
  <c r="AQ15" i="4"/>
  <c r="AP15" i="4"/>
  <c r="AO15" i="4"/>
  <c r="AS15" i="4" s="1"/>
  <c r="AM15" i="4"/>
  <c r="AJ15" i="4" a="1"/>
  <c r="AJ15" i="4" s="1"/>
  <c r="AL15" i="4" s="1"/>
  <c r="AA15" i="4"/>
  <c r="W57" i="22" s="1"/>
  <c r="AW57" i="22" s="1"/>
  <c r="K15" i="4"/>
  <c r="I57" i="22" s="1"/>
  <c r="AI57" i="22" s="1"/>
  <c r="J15" i="4"/>
  <c r="H57" i="22" s="1"/>
  <c r="AH57" i="22" s="1"/>
  <c r="H15" i="4"/>
  <c r="F57" i="22" s="1"/>
  <c r="AF57" i="22" s="1"/>
  <c r="G15" i="4"/>
  <c r="E57" i="22" s="1"/>
  <c r="AE57" i="22" s="1"/>
  <c r="AR14" i="4"/>
  <c r="AQ14" i="4"/>
  <c r="AP14" i="4"/>
  <c r="AO14" i="4"/>
  <c r="AS14" i="4" s="1"/>
  <c r="AM14" i="4"/>
  <c r="AJ14" i="4" a="1"/>
  <c r="AJ14" i="4" s="1"/>
  <c r="AL14" i="4" s="1"/>
  <c r="AR13" i="4"/>
  <c r="AQ13" i="4"/>
  <c r="AP13" i="4"/>
  <c r="AO13" i="4"/>
  <c r="AS13" i="4" s="1"/>
  <c r="AM13" i="4"/>
  <c r="AJ13" i="4" a="1"/>
  <c r="AJ13" i="4" s="1"/>
  <c r="AL13" i="4" s="1"/>
  <c r="AA13" i="4"/>
  <c r="W55" i="22" s="1"/>
  <c r="AW55" i="22" s="1"/>
  <c r="K13" i="4"/>
  <c r="I55" i="22" s="1"/>
  <c r="AI55" i="22" s="1"/>
  <c r="J13" i="4"/>
  <c r="H55" i="22" s="1"/>
  <c r="AH55" i="22" s="1"/>
  <c r="H13" i="4"/>
  <c r="F55" i="22" s="1"/>
  <c r="AF55" i="22" s="1"/>
  <c r="G13" i="4"/>
  <c r="E55" i="22" s="1"/>
  <c r="AE55" i="22" s="1"/>
  <c r="AR12" i="4"/>
  <c r="AQ12" i="4"/>
  <c r="AP12" i="4"/>
  <c r="AO12" i="4"/>
  <c r="AS12" i="4" s="1"/>
  <c r="AM12" i="4"/>
  <c r="AJ12" i="4" a="1"/>
  <c r="AJ12" i="4" s="1"/>
  <c r="AL12" i="4" s="1"/>
  <c r="AR11" i="4"/>
  <c r="AQ11" i="4"/>
  <c r="AP11" i="4"/>
  <c r="AO11" i="4"/>
  <c r="AS11" i="4" s="1"/>
  <c r="AM11" i="4"/>
  <c r="AJ11" i="4" a="1"/>
  <c r="AJ11" i="4" s="1"/>
  <c r="AL11" i="4" s="1"/>
  <c r="AA11" i="4"/>
  <c r="W53" i="22" s="1"/>
  <c r="AW53" i="22" s="1"/>
  <c r="K11" i="4"/>
  <c r="I53" i="22" s="1"/>
  <c r="AI53" i="22" s="1"/>
  <c r="J11" i="4"/>
  <c r="H53" i="22" s="1"/>
  <c r="AH53" i="22" s="1"/>
  <c r="H11" i="4"/>
  <c r="F53" i="22" s="1"/>
  <c r="AF53" i="22" s="1"/>
  <c r="G11" i="4"/>
  <c r="E53" i="22" s="1"/>
  <c r="AE53" i="22" s="1"/>
  <c r="AR10" i="4"/>
  <c r="AQ10" i="4"/>
  <c r="AP10" i="4"/>
  <c r="AO10" i="4"/>
  <c r="AS10" i="4" s="1"/>
  <c r="AM10" i="4"/>
  <c r="AJ10" i="4" a="1"/>
  <c r="AJ10" i="4" s="1"/>
  <c r="AL10" i="4" s="1"/>
  <c r="AR9" i="4"/>
  <c r="AQ9" i="4"/>
  <c r="AP9" i="4"/>
  <c r="AO9" i="4"/>
  <c r="AS9" i="4" s="1"/>
  <c r="AM9" i="4"/>
  <c r="AJ9" i="4" a="1"/>
  <c r="AJ9" i="4" s="1"/>
  <c r="AL9" i="4" s="1"/>
  <c r="AA9" i="4"/>
  <c r="W51" i="22" s="1"/>
  <c r="AW51" i="22" s="1"/>
  <c r="K9" i="4"/>
  <c r="I51" i="22" s="1"/>
  <c r="AI51" i="22" s="1"/>
  <c r="J9" i="4"/>
  <c r="H51" i="22" s="1"/>
  <c r="AH51" i="22" s="1"/>
  <c r="H9" i="4"/>
  <c r="F51" i="22" s="1"/>
  <c r="AF51" i="22" s="1"/>
  <c r="G9" i="4"/>
  <c r="E51" i="22" s="1"/>
  <c r="AE51" i="22" s="1"/>
  <c r="AR8" i="4"/>
  <c r="AQ8" i="4"/>
  <c r="AP8" i="4"/>
  <c r="AO8" i="4"/>
  <c r="AS8" i="4" s="1"/>
  <c r="AM8" i="4"/>
  <c r="AJ8" i="4" a="1"/>
  <c r="AJ8" i="4" s="1"/>
  <c r="AL8" i="4" s="1"/>
  <c r="AR7" i="4"/>
  <c r="AQ7" i="4"/>
  <c r="AP7" i="4"/>
  <c r="AO7" i="4"/>
  <c r="AM7" i="4"/>
  <c r="AJ7" i="4" a="1"/>
  <c r="AJ7" i="4" s="1"/>
  <c r="AL7" i="4" s="1"/>
  <c r="AA7" i="4"/>
  <c r="K7" i="4"/>
  <c r="I49" i="22" s="1"/>
  <c r="AI49" i="22" s="1"/>
  <c r="J7" i="4"/>
  <c r="H49" i="22" s="1"/>
  <c r="AH49" i="22" s="1"/>
  <c r="H7" i="4"/>
  <c r="F49" i="22" s="1"/>
  <c r="AF49" i="22" s="1"/>
  <c r="G7" i="4"/>
  <c r="E49" i="22" s="1"/>
  <c r="AE49" i="22" s="1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AA47" i="3"/>
  <c r="W47" i="22" s="1"/>
  <c r="AW47" i="22" s="1"/>
  <c r="K47" i="3"/>
  <c r="I47" i="22" s="1"/>
  <c r="AI47" i="22" s="1"/>
  <c r="J47" i="3"/>
  <c r="H47" i="22" s="1"/>
  <c r="AH47" i="22" s="1"/>
  <c r="H47" i="3"/>
  <c r="F47" i="22" s="1"/>
  <c r="AF47" i="22" s="1"/>
  <c r="G47" i="3"/>
  <c r="E47" i="22" s="1"/>
  <c r="AE47" i="22" s="1"/>
  <c r="AA45" i="3"/>
  <c r="W45" i="22" s="1"/>
  <c r="AW45" i="22" s="1"/>
  <c r="K45" i="3"/>
  <c r="I45" i="22" s="1"/>
  <c r="AI45" i="22" s="1"/>
  <c r="J45" i="3"/>
  <c r="H45" i="22" s="1"/>
  <c r="AH45" i="22" s="1"/>
  <c r="H45" i="3"/>
  <c r="F45" i="22" s="1"/>
  <c r="AF45" i="22" s="1"/>
  <c r="G45" i="3"/>
  <c r="E45" i="22" s="1"/>
  <c r="AE45" i="22" s="1"/>
  <c r="AA43" i="3"/>
  <c r="W43" i="22" s="1"/>
  <c r="AW43" i="22" s="1"/>
  <c r="K43" i="3"/>
  <c r="I43" i="22" s="1"/>
  <c r="AI43" i="22" s="1"/>
  <c r="J43" i="3"/>
  <c r="H43" i="22" s="1"/>
  <c r="AH43" i="22" s="1"/>
  <c r="H43" i="3"/>
  <c r="F43" i="22" s="1"/>
  <c r="AF43" i="22" s="1"/>
  <c r="G43" i="3"/>
  <c r="E43" i="22" s="1"/>
  <c r="AE43" i="22" s="1"/>
  <c r="AA41" i="3"/>
  <c r="W41" i="22" s="1"/>
  <c r="AW41" i="22" s="1"/>
  <c r="K41" i="3"/>
  <c r="I41" i="22" s="1"/>
  <c r="AI41" i="22" s="1"/>
  <c r="J41" i="3"/>
  <c r="H41" i="22" s="1"/>
  <c r="AH41" i="22" s="1"/>
  <c r="H41" i="3"/>
  <c r="F41" i="22" s="1"/>
  <c r="AF41" i="22" s="1"/>
  <c r="G41" i="3"/>
  <c r="E41" i="22" s="1"/>
  <c r="AE41" i="22" s="1"/>
  <c r="AA39" i="3"/>
  <c r="W39" i="22" s="1"/>
  <c r="AW39" i="22" s="1"/>
  <c r="K39" i="3"/>
  <c r="I39" i="22" s="1"/>
  <c r="AI39" i="22" s="1"/>
  <c r="J39" i="3"/>
  <c r="H39" i="22" s="1"/>
  <c r="AH39" i="22" s="1"/>
  <c r="H39" i="3"/>
  <c r="F39" i="22" s="1"/>
  <c r="AF39" i="22" s="1"/>
  <c r="G39" i="3"/>
  <c r="E39" i="22" s="1"/>
  <c r="AE39" i="22" s="1"/>
  <c r="AA37" i="3"/>
  <c r="W37" i="22" s="1"/>
  <c r="AW37" i="22" s="1"/>
  <c r="K37" i="3"/>
  <c r="I37" i="22" s="1"/>
  <c r="AI37" i="22" s="1"/>
  <c r="J37" i="3"/>
  <c r="H37" i="22" s="1"/>
  <c r="AH37" i="22" s="1"/>
  <c r="H37" i="3"/>
  <c r="F37" i="22" s="1"/>
  <c r="AF37" i="22" s="1"/>
  <c r="G37" i="3"/>
  <c r="E37" i="22" s="1"/>
  <c r="AE37" i="22" s="1"/>
  <c r="AA35" i="3"/>
  <c r="W35" i="22" s="1"/>
  <c r="AW35" i="22" s="1"/>
  <c r="K35" i="3"/>
  <c r="I35" i="22" s="1"/>
  <c r="AI35" i="22" s="1"/>
  <c r="J35" i="3"/>
  <c r="H35" i="22" s="1"/>
  <c r="AH35" i="22" s="1"/>
  <c r="H35" i="3"/>
  <c r="F35" i="22" s="1"/>
  <c r="AF35" i="22" s="1"/>
  <c r="G35" i="3"/>
  <c r="E35" i="22" s="1"/>
  <c r="AE35" i="22" s="1"/>
  <c r="AA33" i="3"/>
  <c r="W33" i="22" s="1"/>
  <c r="AW33" i="22" s="1"/>
  <c r="K33" i="3"/>
  <c r="I33" i="22" s="1"/>
  <c r="AI33" i="22" s="1"/>
  <c r="J33" i="3"/>
  <c r="H33" i="22" s="1"/>
  <c r="AH33" i="22" s="1"/>
  <c r="H33" i="3"/>
  <c r="F33" i="22" s="1"/>
  <c r="AF33" i="22" s="1"/>
  <c r="G33" i="3"/>
  <c r="E33" i="22" s="1"/>
  <c r="AE33" i="22" s="1"/>
  <c r="AA31" i="3"/>
  <c r="W31" i="22" s="1"/>
  <c r="AW31" i="22" s="1"/>
  <c r="K31" i="3"/>
  <c r="I31" i="22" s="1"/>
  <c r="AI31" i="22" s="1"/>
  <c r="J31" i="3"/>
  <c r="H31" i="22" s="1"/>
  <c r="AH31" i="22" s="1"/>
  <c r="H31" i="3"/>
  <c r="F31" i="22" s="1"/>
  <c r="AF31" i="22" s="1"/>
  <c r="G31" i="3"/>
  <c r="E31" i="22" s="1"/>
  <c r="AE31" i="22" s="1"/>
  <c r="AA29" i="3"/>
  <c r="W29" i="22" s="1"/>
  <c r="AW29" i="22" s="1"/>
  <c r="K29" i="3"/>
  <c r="I29" i="22" s="1"/>
  <c r="AI29" i="22" s="1"/>
  <c r="J29" i="3"/>
  <c r="H29" i="22" s="1"/>
  <c r="AH29" i="22" s="1"/>
  <c r="H29" i="3"/>
  <c r="F29" i="22" s="1"/>
  <c r="AF29" i="22" s="1"/>
  <c r="G29" i="3"/>
  <c r="E29" i="22" s="1"/>
  <c r="AE29" i="22" s="1"/>
  <c r="AA27" i="3"/>
  <c r="W27" i="22" s="1"/>
  <c r="AW27" i="22" s="1"/>
  <c r="K27" i="3"/>
  <c r="I27" i="22" s="1"/>
  <c r="AI27" i="22" s="1"/>
  <c r="J27" i="3"/>
  <c r="H27" i="22" s="1"/>
  <c r="AH27" i="22" s="1"/>
  <c r="H27" i="3"/>
  <c r="F27" i="22" s="1"/>
  <c r="AF27" i="22" s="1"/>
  <c r="G27" i="3"/>
  <c r="E27" i="22" s="1"/>
  <c r="AE27" i="22" s="1"/>
  <c r="AA25" i="3"/>
  <c r="W25" i="22" s="1"/>
  <c r="AW25" i="22" s="1"/>
  <c r="K25" i="3"/>
  <c r="I25" i="22" s="1"/>
  <c r="AI25" i="22" s="1"/>
  <c r="J25" i="3"/>
  <c r="H25" i="22" s="1"/>
  <c r="AH25" i="22" s="1"/>
  <c r="H25" i="3"/>
  <c r="F25" i="22" s="1"/>
  <c r="AF25" i="22" s="1"/>
  <c r="G25" i="3"/>
  <c r="E25" i="22" s="1"/>
  <c r="AE25" i="22" s="1"/>
  <c r="AA23" i="3"/>
  <c r="W23" i="22" s="1"/>
  <c r="AW23" i="22" s="1"/>
  <c r="K23" i="3"/>
  <c r="I23" i="22" s="1"/>
  <c r="AI23" i="22" s="1"/>
  <c r="J23" i="3"/>
  <c r="H23" i="22" s="1"/>
  <c r="AH23" i="22" s="1"/>
  <c r="H23" i="3"/>
  <c r="F23" i="22" s="1"/>
  <c r="AF23" i="22" s="1"/>
  <c r="G23" i="3"/>
  <c r="E23" i="22" s="1"/>
  <c r="AE23" i="22" s="1"/>
  <c r="AA21" i="3"/>
  <c r="W21" i="22" s="1"/>
  <c r="AW21" i="22" s="1"/>
  <c r="K21" i="3"/>
  <c r="I21" i="22" s="1"/>
  <c r="AI21" i="22" s="1"/>
  <c r="J21" i="3"/>
  <c r="H21" i="22" s="1"/>
  <c r="AH21" i="22" s="1"/>
  <c r="H21" i="3"/>
  <c r="F21" i="22" s="1"/>
  <c r="AF21" i="22" s="1"/>
  <c r="G21" i="3"/>
  <c r="E21" i="22" s="1"/>
  <c r="AE21" i="22" s="1"/>
  <c r="AR19" i="3"/>
  <c r="AQ19" i="3"/>
  <c r="AP19" i="3"/>
  <c r="AO19" i="3"/>
  <c r="AM19" i="3"/>
  <c r="AJ19" i="3" a="1"/>
  <c r="AJ19" i="3"/>
  <c r="AL19" i="3" s="1"/>
  <c r="AA19" i="3"/>
  <c r="W19" i="22" s="1"/>
  <c r="AW19" i="22" s="1"/>
  <c r="K19" i="3"/>
  <c r="I19" i="22" s="1"/>
  <c r="AI19" i="22" s="1"/>
  <c r="J19" i="3"/>
  <c r="H19" i="22" s="1"/>
  <c r="AH19" i="22" s="1"/>
  <c r="H19" i="3"/>
  <c r="F19" i="22" s="1"/>
  <c r="AF19" i="22" s="1"/>
  <c r="G19" i="3"/>
  <c r="E19" i="22" s="1"/>
  <c r="AE19" i="22" s="1"/>
  <c r="AR18" i="3"/>
  <c r="AQ18" i="3"/>
  <c r="AP18" i="3"/>
  <c r="AO18" i="3"/>
  <c r="AM18" i="3"/>
  <c r="AJ18" i="3" a="1"/>
  <c r="AJ18" i="3"/>
  <c r="AL18" i="3" s="1"/>
  <c r="AR17" i="3"/>
  <c r="AQ17" i="3"/>
  <c r="AP17" i="3"/>
  <c r="AO17" i="3"/>
  <c r="AS17" i="3" s="1"/>
  <c r="AM17" i="3"/>
  <c r="AJ17" i="3" a="1"/>
  <c r="AJ17" i="3"/>
  <c r="AL17" i="3" s="1"/>
  <c r="AA17" i="3"/>
  <c r="W17" i="22" s="1"/>
  <c r="AW17" i="22" s="1"/>
  <c r="K17" i="3"/>
  <c r="I17" i="22" s="1"/>
  <c r="AI17" i="22" s="1"/>
  <c r="J17" i="3"/>
  <c r="H17" i="22" s="1"/>
  <c r="AH17" i="22" s="1"/>
  <c r="H17" i="3"/>
  <c r="F17" i="22" s="1"/>
  <c r="AF17" i="22" s="1"/>
  <c r="G17" i="3"/>
  <c r="E17" i="22" s="1"/>
  <c r="AE17" i="22" s="1"/>
  <c r="AR16" i="3"/>
  <c r="AQ16" i="3"/>
  <c r="AP16" i="3"/>
  <c r="AO16" i="3"/>
  <c r="AS16" i="3" s="1"/>
  <c r="AM16" i="3"/>
  <c r="AJ16" i="3" a="1"/>
  <c r="AJ16" i="3"/>
  <c r="AL16" i="3" s="1"/>
  <c r="AR15" i="3"/>
  <c r="AQ15" i="3"/>
  <c r="AP15" i="3"/>
  <c r="AO15" i="3"/>
  <c r="AS15" i="3" s="1"/>
  <c r="AM15" i="3"/>
  <c r="AJ15" i="3" a="1"/>
  <c r="AJ15" i="3"/>
  <c r="AL15" i="3" s="1"/>
  <c r="AA15" i="3"/>
  <c r="W15" i="22" s="1"/>
  <c r="AW15" i="22" s="1"/>
  <c r="K15" i="3"/>
  <c r="I15" i="22" s="1"/>
  <c r="AI15" i="22" s="1"/>
  <c r="J15" i="3"/>
  <c r="H15" i="22" s="1"/>
  <c r="AH15" i="22" s="1"/>
  <c r="H15" i="3"/>
  <c r="F15" i="22" s="1"/>
  <c r="AF15" i="22" s="1"/>
  <c r="G15" i="3"/>
  <c r="E15" i="22" s="1"/>
  <c r="AE15" i="22" s="1"/>
  <c r="AR14" i="3"/>
  <c r="AQ14" i="3"/>
  <c r="AP14" i="3"/>
  <c r="AO14" i="3"/>
  <c r="AS14" i="3" s="1"/>
  <c r="AM14" i="3"/>
  <c r="AJ14" i="3" a="1"/>
  <c r="AJ14" i="3"/>
  <c r="AL14" i="3" s="1"/>
  <c r="AR13" i="3"/>
  <c r="AQ13" i="3"/>
  <c r="AP13" i="3"/>
  <c r="AO13" i="3"/>
  <c r="AS13" i="3" s="1"/>
  <c r="AM13" i="3"/>
  <c r="AJ13" i="3" a="1"/>
  <c r="AJ13" i="3"/>
  <c r="AL13" i="3" s="1"/>
  <c r="AA13" i="3"/>
  <c r="W13" i="22" s="1"/>
  <c r="AW13" i="22" s="1"/>
  <c r="K13" i="3"/>
  <c r="I13" i="22" s="1"/>
  <c r="AI13" i="22" s="1"/>
  <c r="J13" i="3"/>
  <c r="H13" i="22" s="1"/>
  <c r="AH13" i="22" s="1"/>
  <c r="H13" i="3"/>
  <c r="F13" i="22" s="1"/>
  <c r="AF13" i="22" s="1"/>
  <c r="G13" i="3"/>
  <c r="E13" i="22" s="1"/>
  <c r="AE13" i="22" s="1"/>
  <c r="AR12" i="3"/>
  <c r="AQ12" i="3"/>
  <c r="AP12" i="3"/>
  <c r="AO12" i="3"/>
  <c r="AS12" i="3" s="1"/>
  <c r="AM12" i="3"/>
  <c r="AJ12" i="3" a="1"/>
  <c r="AJ12" i="3"/>
  <c r="AL12" i="3" s="1"/>
  <c r="AR11" i="3"/>
  <c r="AQ11" i="3"/>
  <c r="AP11" i="3"/>
  <c r="AO11" i="3"/>
  <c r="AS11" i="3" s="1"/>
  <c r="AM11" i="3"/>
  <c r="AJ11" i="3" a="1"/>
  <c r="AJ11" i="3"/>
  <c r="AL11" i="3" s="1"/>
  <c r="AA11" i="3"/>
  <c r="W11" i="22" s="1"/>
  <c r="AW11" i="22" s="1"/>
  <c r="K11" i="3"/>
  <c r="I11" i="22" s="1"/>
  <c r="AI11" i="22" s="1"/>
  <c r="J11" i="3"/>
  <c r="H11" i="22" s="1"/>
  <c r="AH11" i="22" s="1"/>
  <c r="H11" i="3"/>
  <c r="F11" i="22" s="1"/>
  <c r="AF11" i="22" s="1"/>
  <c r="G11" i="3"/>
  <c r="E11" i="22" s="1"/>
  <c r="AE11" i="22" s="1"/>
  <c r="AR10" i="3"/>
  <c r="AQ10" i="3"/>
  <c r="AP10" i="3"/>
  <c r="AO10" i="3"/>
  <c r="AS10" i="3" s="1"/>
  <c r="AM10" i="3"/>
  <c r="AJ10" i="3" a="1"/>
  <c r="AJ10" i="3"/>
  <c r="AL10" i="3" s="1"/>
  <c r="AR9" i="3"/>
  <c r="AQ9" i="3"/>
  <c r="AP9" i="3"/>
  <c r="AO9" i="3"/>
  <c r="AS9" i="3" s="1"/>
  <c r="AM9" i="3"/>
  <c r="AJ9" i="3" a="1"/>
  <c r="AJ9" i="3"/>
  <c r="AL9" i="3" s="1"/>
  <c r="AA9" i="3"/>
  <c r="W9" i="22" s="1"/>
  <c r="AW9" i="22" s="1"/>
  <c r="K9" i="3"/>
  <c r="I9" i="22" s="1"/>
  <c r="AI9" i="22" s="1"/>
  <c r="J9" i="3"/>
  <c r="H9" i="22" s="1"/>
  <c r="AH9" i="22" s="1"/>
  <c r="H9" i="3"/>
  <c r="F9" i="22" s="1"/>
  <c r="AF9" i="22" s="1"/>
  <c r="G9" i="3"/>
  <c r="E9" i="22" s="1"/>
  <c r="AE9" i="22" s="1"/>
  <c r="AR8" i="3"/>
  <c r="AQ8" i="3"/>
  <c r="AP8" i="3"/>
  <c r="AO8" i="3"/>
  <c r="AS8" i="3" s="1"/>
  <c r="AM8" i="3"/>
  <c r="AJ8" i="3" a="1"/>
  <c r="AJ8" i="3"/>
  <c r="AL8" i="3" s="1"/>
  <c r="AR7" i="3"/>
  <c r="AQ7" i="3"/>
  <c r="AP7" i="3"/>
  <c r="AO7" i="3"/>
  <c r="AM7" i="3"/>
  <c r="AJ7" i="3" a="1"/>
  <c r="AJ7" i="3"/>
  <c r="AL7" i="3" s="1"/>
  <c r="AA7" i="3"/>
  <c r="K7" i="3"/>
  <c r="I7" i="22" s="1"/>
  <c r="AI7" i="22" s="1"/>
  <c r="J7" i="3"/>
  <c r="H7" i="22" s="1"/>
  <c r="AH7" i="22" s="1"/>
  <c r="H7" i="3"/>
  <c r="F7" i="22" s="1"/>
  <c r="AF7" i="22" s="1"/>
  <c r="G7" i="3"/>
  <c r="E7" i="22" s="1"/>
  <c r="AE7" i="22" s="1"/>
  <c r="I42" i="1"/>
  <c r="H42" i="1"/>
  <c r="G42" i="1"/>
  <c r="F42" i="1"/>
  <c r="E42" i="1"/>
  <c r="I41" i="1"/>
  <c r="H41" i="1"/>
  <c r="G41" i="1"/>
  <c r="F41" i="1"/>
  <c r="E41" i="1"/>
  <c r="AS18" i="10" l="1"/>
  <c r="AS18" i="16"/>
  <c r="X29" i="21"/>
  <c r="AS12" i="14"/>
  <c r="AP21" i="14"/>
  <c r="E29" i="21" s="1"/>
  <c r="AS12" i="6"/>
  <c r="AS19" i="3"/>
  <c r="W8" i="21" s="1"/>
  <c r="AO21" i="3"/>
  <c r="AS19" i="7"/>
  <c r="AO21" i="9"/>
  <c r="AQ21" i="9"/>
  <c r="F19" i="21" s="1"/>
  <c r="AF19" i="21" s="1"/>
  <c r="AS19" i="9"/>
  <c r="X21" i="21"/>
  <c r="AQ21" i="10"/>
  <c r="F21" i="21" s="1"/>
  <c r="AF21" i="21" s="1"/>
  <c r="AS19" i="10"/>
  <c r="AO21" i="10"/>
  <c r="D21" i="21" s="1"/>
  <c r="AE21" i="21" s="1"/>
  <c r="AP21" i="10"/>
  <c r="E21" i="21" s="1"/>
  <c r="AS19" i="8"/>
  <c r="AQ21" i="14"/>
  <c r="F29" i="21" s="1"/>
  <c r="AF29" i="21" s="1"/>
  <c r="AS19" i="14"/>
  <c r="AS19" i="5"/>
  <c r="AO21" i="5"/>
  <c r="AS19" i="12"/>
  <c r="AP21" i="13"/>
  <c r="E27" i="21" s="1"/>
  <c r="AO21" i="13"/>
  <c r="C27" i="21" s="1"/>
  <c r="AD27" i="21" s="1"/>
  <c r="AQ21" i="13"/>
  <c r="F27" i="21" s="1"/>
  <c r="AF27" i="21" s="1"/>
  <c r="AS19" i="13"/>
  <c r="W28" i="21" s="1"/>
  <c r="AP21" i="16"/>
  <c r="E33" i="21" s="1"/>
  <c r="AS19" i="16"/>
  <c r="AQ21" i="11"/>
  <c r="F23" i="21" s="1"/>
  <c r="AF23" i="21" s="1"/>
  <c r="AO21" i="11"/>
  <c r="AP21" i="11"/>
  <c r="E23" i="21" s="1"/>
  <c r="AS19" i="11"/>
  <c r="W24" i="21" s="1"/>
  <c r="AS19" i="6"/>
  <c r="AP21" i="15"/>
  <c r="E31" i="21" s="1"/>
  <c r="AQ21" i="15"/>
  <c r="F31" i="21" s="1"/>
  <c r="AF31" i="21" s="1"/>
  <c r="AS19" i="15"/>
  <c r="AS19" i="4"/>
  <c r="W10" i="21" s="1"/>
  <c r="AQ21" i="16"/>
  <c r="F33" i="21" s="1"/>
  <c r="AF33" i="21" s="1"/>
  <c r="AS8" i="16"/>
  <c r="X33" i="21"/>
  <c r="AO21" i="16"/>
  <c r="D33" i="21" s="1"/>
  <c r="AE33" i="21" s="1"/>
  <c r="AQ21" i="6"/>
  <c r="F13" i="21" s="1"/>
  <c r="AF13" i="21" s="1"/>
  <c r="AS8" i="6"/>
  <c r="X13" i="21"/>
  <c r="AR21" i="6"/>
  <c r="G13" i="21" s="1"/>
  <c r="AA13" i="21" s="1"/>
  <c r="AO21" i="6"/>
  <c r="D13" i="21" s="1"/>
  <c r="AE13" i="21" s="1"/>
  <c r="AP21" i="6"/>
  <c r="E13" i="21" s="1"/>
  <c r="AO21" i="8"/>
  <c r="D17" i="21" s="1"/>
  <c r="AE17" i="21" s="1"/>
  <c r="X17" i="21"/>
  <c r="AQ21" i="8"/>
  <c r="F17" i="21" s="1"/>
  <c r="AF17" i="21" s="1"/>
  <c r="AP21" i="8"/>
  <c r="E17" i="21" s="1"/>
  <c r="AS17" i="8"/>
  <c r="U18" i="21" s="1"/>
  <c r="AS17" i="7"/>
  <c r="X15" i="21"/>
  <c r="AQ21" i="7"/>
  <c r="F15" i="21" s="1"/>
  <c r="AF15" i="21" s="1"/>
  <c r="AO21" i="7"/>
  <c r="D15" i="21" s="1"/>
  <c r="AE15" i="21" s="1"/>
  <c r="AP21" i="7"/>
  <c r="E15" i="21" s="1"/>
  <c r="AP21" i="4"/>
  <c r="E9" i="21" s="1"/>
  <c r="AQ21" i="4"/>
  <c r="F9" i="21" s="1"/>
  <c r="AF9" i="21" s="1"/>
  <c r="AS16" i="4"/>
  <c r="X9" i="21"/>
  <c r="AO21" i="4"/>
  <c r="D9" i="21" s="1"/>
  <c r="AE9" i="21" s="1"/>
  <c r="X25" i="21"/>
  <c r="AQ21" i="12"/>
  <c r="F25" i="21" s="1"/>
  <c r="AF25" i="21" s="1"/>
  <c r="AP21" i="12"/>
  <c r="E25" i="21" s="1"/>
  <c r="AS16" i="12"/>
  <c r="T26" i="21" s="1"/>
  <c r="AO21" i="12"/>
  <c r="D25" i="21" s="1"/>
  <c r="AE25" i="21" s="1"/>
  <c r="AP21" i="5"/>
  <c r="E11" i="21" s="1"/>
  <c r="AQ21" i="3"/>
  <c r="F7" i="21" s="1"/>
  <c r="AF7" i="21" s="1"/>
  <c r="X7" i="21"/>
  <c r="AP21" i="3"/>
  <c r="E7" i="21" s="1"/>
  <c r="AS18" i="3"/>
  <c r="AQ21" i="5"/>
  <c r="F11" i="21" s="1"/>
  <c r="AF11" i="21" s="1"/>
  <c r="X11" i="21"/>
  <c r="AS18" i="5"/>
  <c r="D11" i="21"/>
  <c r="AE11" i="21" s="1"/>
  <c r="C11" i="21"/>
  <c r="AD11" i="21" s="1"/>
  <c r="D27" i="21"/>
  <c r="AE27" i="21" s="1"/>
  <c r="D19" i="21"/>
  <c r="AE19" i="21" s="1"/>
  <c r="D29" i="21"/>
  <c r="AE29" i="21" s="1"/>
  <c r="D7" i="21"/>
  <c r="AE7" i="21" s="1"/>
  <c r="D23" i="21"/>
  <c r="AE23" i="21" s="1"/>
  <c r="D31" i="21"/>
  <c r="AE31" i="21" s="1"/>
  <c r="AC13" i="6"/>
  <c r="Y139" i="22" s="1"/>
  <c r="Q14" i="21"/>
  <c r="K29" i="19"/>
  <c r="AU13" i="6"/>
  <c r="R14" i="21"/>
  <c r="O27" i="19"/>
  <c r="AU14" i="6"/>
  <c r="AC15" i="6"/>
  <c r="Y141" i="22" s="1"/>
  <c r="S14" i="21"/>
  <c r="W30" i="19"/>
  <c r="AU15" i="6"/>
  <c r="T14" i="21"/>
  <c r="AA26" i="19"/>
  <c r="AU16" i="6"/>
  <c r="AC17" i="6"/>
  <c r="Y143" i="22" s="1"/>
  <c r="U14" i="21"/>
  <c r="E44" i="19"/>
  <c r="AU17" i="6"/>
  <c r="V14" i="21"/>
  <c r="K38" i="19"/>
  <c r="AU18" i="6"/>
  <c r="AC19" i="6"/>
  <c r="Y145" i="22" s="1"/>
  <c r="W14" i="21"/>
  <c r="O44" i="19"/>
  <c r="AU19" i="6"/>
  <c r="AC21" i="6"/>
  <c r="Y147" i="22" s="1"/>
  <c r="AC23" i="6"/>
  <c r="Y149" i="22" s="1"/>
  <c r="AC25" i="6"/>
  <c r="Y151" i="22" s="1"/>
  <c r="AC27" i="6"/>
  <c r="Y153" i="22" s="1"/>
  <c r="AC29" i="6"/>
  <c r="Y155" i="22" s="1"/>
  <c r="AC31" i="6"/>
  <c r="Y157" i="22" s="1"/>
  <c r="AC33" i="6"/>
  <c r="Y159" i="22" s="1"/>
  <c r="AC35" i="6"/>
  <c r="Y161" i="22" s="1"/>
  <c r="AC37" i="6"/>
  <c r="Y163" i="22" s="1"/>
  <c r="AC39" i="6"/>
  <c r="Y165" i="22" s="1"/>
  <c r="AC41" i="6"/>
  <c r="Y167" i="22" s="1"/>
  <c r="AC43" i="6"/>
  <c r="Y169" i="22" s="1"/>
  <c r="AC45" i="6"/>
  <c r="Y171" i="22" s="1"/>
  <c r="AC47" i="6"/>
  <c r="Y173" i="22" s="1"/>
  <c r="I7" i="7"/>
  <c r="G175" i="22" s="1"/>
  <c r="AG175" i="22" s="1"/>
  <c r="AB7" i="7"/>
  <c r="X175" i="22" s="1"/>
  <c r="AS7" i="7"/>
  <c r="AS21" i="7" s="1"/>
  <c r="H15" i="21" s="1"/>
  <c r="AB15" i="21" s="1"/>
  <c r="I9" i="7"/>
  <c r="G177" i="22" s="1"/>
  <c r="AG177" i="22" s="1"/>
  <c r="AB9" i="7"/>
  <c r="X177" i="22" s="1"/>
  <c r="I11" i="7"/>
  <c r="G179" i="22" s="1"/>
  <c r="AG179" i="22" s="1"/>
  <c r="AB11" i="7"/>
  <c r="X179" i="22" s="1"/>
  <c r="I13" i="7"/>
  <c r="G181" i="22" s="1"/>
  <c r="AG181" i="22" s="1"/>
  <c r="AB13" i="7"/>
  <c r="X181" i="22" s="1"/>
  <c r="I15" i="7"/>
  <c r="G183" i="22" s="1"/>
  <c r="AG183" i="22" s="1"/>
  <c r="AB15" i="7"/>
  <c r="X183" i="22" s="1"/>
  <c r="I17" i="7"/>
  <c r="G185" i="22" s="1"/>
  <c r="AG185" i="22" s="1"/>
  <c r="AB17" i="7"/>
  <c r="X185" i="22" s="1"/>
  <c r="I19" i="7"/>
  <c r="G187" i="22" s="1"/>
  <c r="AG187" i="22" s="1"/>
  <c r="AB19" i="7"/>
  <c r="X187" i="22" s="1"/>
  <c r="I21" i="7"/>
  <c r="G189" i="22" s="1"/>
  <c r="AG189" i="22" s="1"/>
  <c r="AB21" i="7"/>
  <c r="X189" i="22" s="1"/>
  <c r="I23" i="7"/>
  <c r="G191" i="22" s="1"/>
  <c r="AG191" i="22" s="1"/>
  <c r="AB23" i="7"/>
  <c r="X191" i="22" s="1"/>
  <c r="I25" i="7"/>
  <c r="G193" i="22" s="1"/>
  <c r="AG193" i="22" s="1"/>
  <c r="AB25" i="7"/>
  <c r="X193" i="22" s="1"/>
  <c r="I27" i="7"/>
  <c r="G195" i="22" s="1"/>
  <c r="AG195" i="22" s="1"/>
  <c r="AB27" i="7"/>
  <c r="X195" i="22" s="1"/>
  <c r="I29" i="7"/>
  <c r="G197" i="22" s="1"/>
  <c r="AG197" i="22" s="1"/>
  <c r="AB29" i="7"/>
  <c r="X197" i="22" s="1"/>
  <c r="I31" i="7"/>
  <c r="G199" i="22" s="1"/>
  <c r="AG199" i="22" s="1"/>
  <c r="AB31" i="7"/>
  <c r="X199" i="22" s="1"/>
  <c r="I33" i="7"/>
  <c r="G201" i="22" s="1"/>
  <c r="AG201" i="22" s="1"/>
  <c r="AB33" i="7"/>
  <c r="X201" i="22" s="1"/>
  <c r="I35" i="7"/>
  <c r="G203" i="22" s="1"/>
  <c r="AG203" i="22" s="1"/>
  <c r="AB35" i="7"/>
  <c r="X203" i="22" s="1"/>
  <c r="I37" i="7"/>
  <c r="G205" i="22" s="1"/>
  <c r="AG205" i="22" s="1"/>
  <c r="AB37" i="7"/>
  <c r="X205" i="22" s="1"/>
  <c r="I39" i="7"/>
  <c r="G207" i="22" s="1"/>
  <c r="AG207" i="22" s="1"/>
  <c r="AB39" i="7"/>
  <c r="X207" i="22" s="1"/>
  <c r="I41" i="7"/>
  <c r="G209" i="22" s="1"/>
  <c r="AG209" i="22" s="1"/>
  <c r="AB41" i="7"/>
  <c r="X209" i="22" s="1"/>
  <c r="I43" i="7"/>
  <c r="G211" i="22" s="1"/>
  <c r="AG211" i="22" s="1"/>
  <c r="AB43" i="7"/>
  <c r="X211" i="22" s="1"/>
  <c r="I45" i="7"/>
  <c r="G213" i="22" s="1"/>
  <c r="AG213" i="22" s="1"/>
  <c r="AB45" i="7"/>
  <c r="X213" i="22" s="1"/>
  <c r="I47" i="7"/>
  <c r="G215" i="22" s="1"/>
  <c r="AG215" i="22" s="1"/>
  <c r="AB47" i="7"/>
  <c r="X215" i="22" s="1"/>
  <c r="W217" i="22"/>
  <c r="AW217" i="22" s="1"/>
  <c r="I17" i="21"/>
  <c r="AG17" i="21" s="1"/>
  <c r="AC7" i="8"/>
  <c r="Y217" i="22" s="1"/>
  <c r="E12" i="19"/>
  <c r="AU7" i="8"/>
  <c r="L18" i="21"/>
  <c r="I12" i="19"/>
  <c r="AU8" i="8"/>
  <c r="AC9" i="8"/>
  <c r="Y219" i="22" s="1"/>
  <c r="M18" i="21"/>
  <c r="Q12" i="19"/>
  <c r="AU9" i="8"/>
  <c r="N18" i="21"/>
  <c r="AU10" i="8"/>
  <c r="AC11" i="8"/>
  <c r="Y221" i="22" s="1"/>
  <c r="O18" i="21"/>
  <c r="AC12" i="19"/>
  <c r="AU11" i="8"/>
  <c r="P18" i="21"/>
  <c r="AU12" i="8"/>
  <c r="AC13" i="8"/>
  <c r="Y223" i="22" s="1"/>
  <c r="Q18" i="21"/>
  <c r="K25" i="19"/>
  <c r="AU13" i="8"/>
  <c r="R18" i="21"/>
  <c r="O25" i="19"/>
  <c r="AU14" i="8"/>
  <c r="AC15" i="8"/>
  <c r="Y225" i="22" s="1"/>
  <c r="S18" i="21"/>
  <c r="W25" i="19"/>
  <c r="AU15" i="8"/>
  <c r="T18" i="21"/>
  <c r="AA25" i="19"/>
  <c r="AU16" i="8"/>
  <c r="AC17" i="8"/>
  <c r="Y227" i="22" s="1"/>
  <c r="E38" i="19"/>
  <c r="AU17" i="8"/>
  <c r="V18" i="21"/>
  <c r="I38" i="19"/>
  <c r="AU18" i="8"/>
  <c r="AC19" i="8"/>
  <c r="Y229" i="22" s="1"/>
  <c r="W18" i="21"/>
  <c r="Q38" i="19"/>
  <c r="AU19" i="8"/>
  <c r="AC21" i="8"/>
  <c r="Y231" i="22" s="1"/>
  <c r="AR21" i="8"/>
  <c r="G17" i="21" s="1"/>
  <c r="AA17" i="21" s="1"/>
  <c r="AC23" i="8"/>
  <c r="Y233" i="22" s="1"/>
  <c r="AC25" i="8"/>
  <c r="Y235" i="22" s="1"/>
  <c r="AC27" i="8"/>
  <c r="Y237" i="22" s="1"/>
  <c r="AC29" i="8"/>
  <c r="Y239" i="22" s="1"/>
  <c r="AC31" i="8"/>
  <c r="Y241" i="22" s="1"/>
  <c r="AC33" i="8"/>
  <c r="Y243" i="22" s="1"/>
  <c r="AC35" i="8"/>
  <c r="Y245" i="22" s="1"/>
  <c r="AC37" i="8"/>
  <c r="Y247" i="22" s="1"/>
  <c r="AC39" i="8"/>
  <c r="Y249" i="22" s="1"/>
  <c r="AC41" i="8"/>
  <c r="Y251" i="22" s="1"/>
  <c r="AC43" i="8"/>
  <c r="Y253" i="22" s="1"/>
  <c r="AC45" i="8"/>
  <c r="Y255" i="22" s="1"/>
  <c r="AC47" i="8"/>
  <c r="Y257" i="22" s="1"/>
  <c r="I7" i="9"/>
  <c r="G259" i="22" s="1"/>
  <c r="AG259" i="22" s="1"/>
  <c r="AB7" i="9"/>
  <c r="X259" i="22" s="1"/>
  <c r="AS7" i="9"/>
  <c r="AS21" i="9" s="1"/>
  <c r="H19" i="21" s="1"/>
  <c r="AB19" i="21" s="1"/>
  <c r="I9" i="9"/>
  <c r="G261" i="22" s="1"/>
  <c r="AG261" i="22" s="1"/>
  <c r="AB9" i="9"/>
  <c r="X261" i="22" s="1"/>
  <c r="I11" i="9"/>
  <c r="G263" i="22" s="1"/>
  <c r="AG263" i="22" s="1"/>
  <c r="AB11" i="9"/>
  <c r="X263" i="22" s="1"/>
  <c r="I13" i="9"/>
  <c r="G265" i="22" s="1"/>
  <c r="AG265" i="22" s="1"/>
  <c r="AB13" i="9"/>
  <c r="X265" i="22" s="1"/>
  <c r="I15" i="9"/>
  <c r="G267" i="22" s="1"/>
  <c r="AG267" i="22" s="1"/>
  <c r="AB15" i="9"/>
  <c r="X267" i="22" s="1"/>
  <c r="I17" i="9"/>
  <c r="G269" i="22" s="1"/>
  <c r="AG269" i="22" s="1"/>
  <c r="AB17" i="9"/>
  <c r="X269" i="22" s="1"/>
  <c r="I19" i="9"/>
  <c r="G271" i="22" s="1"/>
  <c r="AG271" i="22" s="1"/>
  <c r="AB19" i="9"/>
  <c r="X271" i="22" s="1"/>
  <c r="I21" i="9"/>
  <c r="G273" i="22" s="1"/>
  <c r="AG273" i="22" s="1"/>
  <c r="AB21" i="9"/>
  <c r="X273" i="22" s="1"/>
  <c r="I23" i="9"/>
  <c r="G275" i="22" s="1"/>
  <c r="AG275" i="22" s="1"/>
  <c r="AB23" i="9"/>
  <c r="X275" i="22" s="1"/>
  <c r="I25" i="9"/>
  <c r="G277" i="22" s="1"/>
  <c r="AG277" i="22" s="1"/>
  <c r="AB25" i="9"/>
  <c r="X277" i="22" s="1"/>
  <c r="I27" i="9"/>
  <c r="G279" i="22" s="1"/>
  <c r="AG279" i="22" s="1"/>
  <c r="AB27" i="9"/>
  <c r="X279" i="22" s="1"/>
  <c r="I29" i="9"/>
  <c r="G281" i="22" s="1"/>
  <c r="AG281" i="22" s="1"/>
  <c r="AB29" i="9"/>
  <c r="X281" i="22" s="1"/>
  <c r="I31" i="9"/>
  <c r="G283" i="22" s="1"/>
  <c r="AG283" i="22" s="1"/>
  <c r="AB31" i="9"/>
  <c r="X283" i="22" s="1"/>
  <c r="I33" i="9"/>
  <c r="G285" i="22" s="1"/>
  <c r="AG285" i="22" s="1"/>
  <c r="AB33" i="9"/>
  <c r="X285" i="22" s="1"/>
  <c r="I35" i="9"/>
  <c r="G287" i="22" s="1"/>
  <c r="AG287" i="22" s="1"/>
  <c r="AB35" i="9"/>
  <c r="X287" i="22" s="1"/>
  <c r="I37" i="9"/>
  <c r="G289" i="22" s="1"/>
  <c r="AG289" i="22" s="1"/>
  <c r="AB37" i="9"/>
  <c r="X289" i="22" s="1"/>
  <c r="I39" i="9"/>
  <c r="G291" i="22" s="1"/>
  <c r="AG291" i="22" s="1"/>
  <c r="AB39" i="9"/>
  <c r="X291" i="22" s="1"/>
  <c r="I41" i="9"/>
  <c r="G293" i="22" s="1"/>
  <c r="AG293" i="22" s="1"/>
  <c r="AB41" i="9"/>
  <c r="X293" i="22" s="1"/>
  <c r="I43" i="9"/>
  <c r="G295" i="22" s="1"/>
  <c r="AG295" i="22" s="1"/>
  <c r="AB43" i="9"/>
  <c r="X295" i="22" s="1"/>
  <c r="I45" i="9"/>
  <c r="G297" i="22" s="1"/>
  <c r="AG297" i="22" s="1"/>
  <c r="AB45" i="9"/>
  <c r="X297" i="22" s="1"/>
  <c r="I47" i="9"/>
  <c r="G299" i="22" s="1"/>
  <c r="AG299" i="22" s="1"/>
  <c r="AB47" i="9"/>
  <c r="X299" i="22" s="1"/>
  <c r="W301" i="22"/>
  <c r="AW301" i="22" s="1"/>
  <c r="I21" i="21"/>
  <c r="AG21" i="21" s="1"/>
  <c r="AC7" i="10"/>
  <c r="Y301" i="22" s="1"/>
  <c r="E16" i="19"/>
  <c r="AU7" i="10"/>
  <c r="L22" i="21"/>
  <c r="I14" i="19"/>
  <c r="AU8" i="10"/>
  <c r="AC9" i="10"/>
  <c r="Y303" i="22" s="1"/>
  <c r="M22" i="21"/>
  <c r="Q17" i="19"/>
  <c r="AU9" i="10"/>
  <c r="N22" i="21"/>
  <c r="U13" i="19"/>
  <c r="AU10" i="10"/>
  <c r="AC11" i="10"/>
  <c r="Y305" i="22" s="1"/>
  <c r="O22" i="21"/>
  <c r="AC18" i="19"/>
  <c r="AU11" i="10"/>
  <c r="P22" i="21"/>
  <c r="AU12" i="10"/>
  <c r="AC13" i="10"/>
  <c r="Y307" i="22" s="1"/>
  <c r="Q22" i="21"/>
  <c r="I31" i="19"/>
  <c r="AU13" i="10"/>
  <c r="R22" i="21"/>
  <c r="Q26" i="19"/>
  <c r="AU14" i="10"/>
  <c r="AC15" i="10"/>
  <c r="Y309" i="22" s="1"/>
  <c r="S22" i="21"/>
  <c r="U30" i="19"/>
  <c r="AU15" i="10"/>
  <c r="T22" i="21"/>
  <c r="AC27" i="19"/>
  <c r="AU16" i="10"/>
  <c r="AC17" i="10"/>
  <c r="Y311" i="22" s="1"/>
  <c r="U22" i="21"/>
  <c r="C42" i="19"/>
  <c r="AU17" i="10"/>
  <c r="V22" i="21"/>
  <c r="K41" i="19"/>
  <c r="AU18" i="10"/>
  <c r="AC19" i="10"/>
  <c r="Y313" i="22" s="1"/>
  <c r="W22" i="21"/>
  <c r="O41" i="19"/>
  <c r="AU19" i="10"/>
  <c r="AC21" i="10"/>
  <c r="Y315" i="22" s="1"/>
  <c r="AR21" i="10"/>
  <c r="G21" i="21" s="1"/>
  <c r="AA21" i="21" s="1"/>
  <c r="AC23" i="10"/>
  <c r="Y317" i="22" s="1"/>
  <c r="AC25" i="10"/>
  <c r="Y319" i="22" s="1"/>
  <c r="AC27" i="10"/>
  <c r="Y321" i="22" s="1"/>
  <c r="AC29" i="10"/>
  <c r="Y323" i="22" s="1"/>
  <c r="AC31" i="10"/>
  <c r="Y325" i="22" s="1"/>
  <c r="AC33" i="10"/>
  <c r="Y327" i="22" s="1"/>
  <c r="AC35" i="10"/>
  <c r="Y329" i="22" s="1"/>
  <c r="AC37" i="10"/>
  <c r="Y331" i="22" s="1"/>
  <c r="AC39" i="10"/>
  <c r="Y333" i="22" s="1"/>
  <c r="AC41" i="10"/>
  <c r="Y335" i="22" s="1"/>
  <c r="AC43" i="10"/>
  <c r="Y337" i="22" s="1"/>
  <c r="AC45" i="10"/>
  <c r="Y339" i="22" s="1"/>
  <c r="AC47" i="10"/>
  <c r="Y341" i="22" s="1"/>
  <c r="I7" i="11"/>
  <c r="G343" i="22" s="1"/>
  <c r="AG343" i="22" s="1"/>
  <c r="AB7" i="11"/>
  <c r="X343" i="22" s="1"/>
  <c r="AS7" i="11"/>
  <c r="I9" i="11"/>
  <c r="G345" i="22" s="1"/>
  <c r="AG345" i="22" s="1"/>
  <c r="AB9" i="11"/>
  <c r="X345" i="22" s="1"/>
  <c r="I11" i="11"/>
  <c r="G347" i="22" s="1"/>
  <c r="AG347" i="22" s="1"/>
  <c r="AB11" i="11"/>
  <c r="X347" i="22" s="1"/>
  <c r="I13" i="11"/>
  <c r="G349" i="22" s="1"/>
  <c r="AG349" i="22" s="1"/>
  <c r="AB13" i="11"/>
  <c r="X349" i="22" s="1"/>
  <c r="I15" i="11"/>
  <c r="G351" i="22" s="1"/>
  <c r="AG351" i="22" s="1"/>
  <c r="AB15" i="11"/>
  <c r="X351" i="22" s="1"/>
  <c r="I17" i="11"/>
  <c r="G353" i="22" s="1"/>
  <c r="AG353" i="22" s="1"/>
  <c r="AB17" i="11"/>
  <c r="X353" i="22" s="1"/>
  <c r="I19" i="11"/>
  <c r="G355" i="22" s="1"/>
  <c r="AG355" i="22" s="1"/>
  <c r="AB19" i="11"/>
  <c r="X355" i="22" s="1"/>
  <c r="I21" i="11"/>
  <c r="G357" i="22" s="1"/>
  <c r="AG357" i="22" s="1"/>
  <c r="AB21" i="11"/>
  <c r="X357" i="22" s="1"/>
  <c r="I23" i="11"/>
  <c r="G359" i="22" s="1"/>
  <c r="AG359" i="22" s="1"/>
  <c r="AB23" i="11"/>
  <c r="X359" i="22" s="1"/>
  <c r="I25" i="11"/>
  <c r="G361" i="22" s="1"/>
  <c r="AG361" i="22" s="1"/>
  <c r="AB25" i="11"/>
  <c r="X361" i="22" s="1"/>
  <c r="I27" i="11"/>
  <c r="G363" i="22" s="1"/>
  <c r="AG363" i="22" s="1"/>
  <c r="AB27" i="11"/>
  <c r="X363" i="22" s="1"/>
  <c r="I29" i="11"/>
  <c r="G365" i="22" s="1"/>
  <c r="AG365" i="22" s="1"/>
  <c r="AB29" i="11"/>
  <c r="X365" i="22" s="1"/>
  <c r="I31" i="11"/>
  <c r="G367" i="22" s="1"/>
  <c r="AG367" i="22" s="1"/>
  <c r="AB31" i="11"/>
  <c r="X367" i="22" s="1"/>
  <c r="I33" i="11"/>
  <c r="G369" i="22" s="1"/>
  <c r="AG369" i="22" s="1"/>
  <c r="AB33" i="11"/>
  <c r="X369" i="22" s="1"/>
  <c r="I35" i="11"/>
  <c r="G371" i="22" s="1"/>
  <c r="AG371" i="22" s="1"/>
  <c r="AB35" i="11"/>
  <c r="X371" i="22" s="1"/>
  <c r="I37" i="11"/>
  <c r="G373" i="22" s="1"/>
  <c r="AG373" i="22" s="1"/>
  <c r="AB37" i="11"/>
  <c r="X373" i="22" s="1"/>
  <c r="I39" i="11"/>
  <c r="G375" i="22" s="1"/>
  <c r="AG375" i="22" s="1"/>
  <c r="AB39" i="11"/>
  <c r="X375" i="22" s="1"/>
  <c r="I41" i="11"/>
  <c r="G377" i="22" s="1"/>
  <c r="AG377" i="22" s="1"/>
  <c r="AB41" i="11"/>
  <c r="X377" i="22" s="1"/>
  <c r="I43" i="11"/>
  <c r="G379" i="22" s="1"/>
  <c r="AG379" i="22" s="1"/>
  <c r="AB43" i="11"/>
  <c r="X379" i="22" s="1"/>
  <c r="I45" i="11"/>
  <c r="G381" i="22" s="1"/>
  <c r="AG381" i="22" s="1"/>
  <c r="AB45" i="11"/>
  <c r="X381" i="22" s="1"/>
  <c r="I47" i="11"/>
  <c r="G383" i="22" s="1"/>
  <c r="AG383" i="22" s="1"/>
  <c r="AB47" i="11"/>
  <c r="X383" i="22" s="1"/>
  <c r="W385" i="22"/>
  <c r="AW385" i="22" s="1"/>
  <c r="I25" i="21"/>
  <c r="AG25" i="21" s="1"/>
  <c r="AC7" i="12"/>
  <c r="Y385" i="22" s="1"/>
  <c r="E17" i="19"/>
  <c r="AU7" i="12"/>
  <c r="L26" i="21"/>
  <c r="I13" i="19"/>
  <c r="AU8" i="12"/>
  <c r="AC9" i="12"/>
  <c r="Y387" i="22" s="1"/>
  <c r="M26" i="21"/>
  <c r="Q18" i="19"/>
  <c r="AU9" i="12"/>
  <c r="N26" i="21"/>
  <c r="W12" i="19"/>
  <c r="AU10" i="12"/>
  <c r="AC11" i="12"/>
  <c r="Y389" i="22" s="1"/>
  <c r="O26" i="21"/>
  <c r="AU11" i="12"/>
  <c r="P26" i="21"/>
  <c r="E26" i="19"/>
  <c r="AU12" i="12"/>
  <c r="AC13" i="12"/>
  <c r="Y391" i="22" s="1"/>
  <c r="Q26" i="21"/>
  <c r="AU13" i="12"/>
  <c r="R26" i="21"/>
  <c r="Q27" i="19"/>
  <c r="AU14" i="12"/>
  <c r="AC15" i="12"/>
  <c r="Y393" i="22" s="1"/>
  <c r="S26" i="21"/>
  <c r="U29" i="19"/>
  <c r="AU15" i="12"/>
  <c r="AC28" i="19"/>
  <c r="AU16" i="12"/>
  <c r="AC17" i="12"/>
  <c r="Y395" i="22" s="1"/>
  <c r="U26" i="21"/>
  <c r="C41" i="19"/>
  <c r="AU17" i="12"/>
  <c r="V26" i="21"/>
  <c r="K42" i="19"/>
  <c r="AU18" i="12"/>
  <c r="AC19" i="12"/>
  <c r="Y397" i="22" s="1"/>
  <c r="W26" i="21"/>
  <c r="O40" i="19"/>
  <c r="AU19" i="12"/>
  <c r="AC21" i="12"/>
  <c r="Y399" i="22" s="1"/>
  <c r="AR21" i="12"/>
  <c r="G25" i="21" s="1"/>
  <c r="AA25" i="21" s="1"/>
  <c r="AC23" i="12"/>
  <c r="Y401" i="22" s="1"/>
  <c r="AC25" i="12"/>
  <c r="Y403" i="22" s="1"/>
  <c r="AC27" i="12"/>
  <c r="Y405" i="22" s="1"/>
  <c r="AC29" i="12"/>
  <c r="Y407" i="22" s="1"/>
  <c r="AC31" i="12"/>
  <c r="Y409" i="22" s="1"/>
  <c r="AC33" i="12"/>
  <c r="Y411" i="22" s="1"/>
  <c r="AC35" i="12"/>
  <c r="Y413" i="22" s="1"/>
  <c r="AC37" i="12"/>
  <c r="Y415" i="22" s="1"/>
  <c r="AC39" i="12"/>
  <c r="Y417" i="22" s="1"/>
  <c r="AC41" i="12"/>
  <c r="Y419" i="22" s="1"/>
  <c r="AC43" i="12"/>
  <c r="Y421" i="22" s="1"/>
  <c r="AC45" i="12"/>
  <c r="Y423" i="22" s="1"/>
  <c r="AC47" i="12"/>
  <c r="Y425" i="22" s="1"/>
  <c r="I7" i="13"/>
  <c r="G427" i="22" s="1"/>
  <c r="AG427" i="22" s="1"/>
  <c r="AB7" i="13"/>
  <c r="X427" i="22" s="1"/>
  <c r="AS7" i="13"/>
  <c r="I9" i="13"/>
  <c r="G429" i="22" s="1"/>
  <c r="AG429" i="22" s="1"/>
  <c r="AB9" i="13"/>
  <c r="X429" i="22" s="1"/>
  <c r="I11" i="13"/>
  <c r="G431" i="22" s="1"/>
  <c r="AG431" i="22" s="1"/>
  <c r="AB11" i="13"/>
  <c r="X431" i="22" s="1"/>
  <c r="I13" i="13"/>
  <c r="G433" i="22" s="1"/>
  <c r="AG433" i="22" s="1"/>
  <c r="AB13" i="13"/>
  <c r="X433" i="22" s="1"/>
  <c r="I15" i="13"/>
  <c r="G435" i="22" s="1"/>
  <c r="AG435" i="22" s="1"/>
  <c r="AB15" i="13"/>
  <c r="X435" i="22" s="1"/>
  <c r="I17" i="13"/>
  <c r="G437" i="22" s="1"/>
  <c r="AG437" i="22" s="1"/>
  <c r="AB17" i="13"/>
  <c r="X437" i="22" s="1"/>
  <c r="I19" i="13"/>
  <c r="G439" i="22" s="1"/>
  <c r="AG439" i="22" s="1"/>
  <c r="AB19" i="13"/>
  <c r="X439" i="22" s="1"/>
  <c r="I21" i="13"/>
  <c r="G441" i="22" s="1"/>
  <c r="AG441" i="22" s="1"/>
  <c r="AB21" i="13"/>
  <c r="X441" i="22" s="1"/>
  <c r="I23" i="13"/>
  <c r="G443" i="22" s="1"/>
  <c r="AG443" i="22" s="1"/>
  <c r="AB23" i="13"/>
  <c r="X443" i="22" s="1"/>
  <c r="I25" i="13"/>
  <c r="G445" i="22" s="1"/>
  <c r="AG445" i="22" s="1"/>
  <c r="AB25" i="13"/>
  <c r="X445" i="22" s="1"/>
  <c r="I27" i="13"/>
  <c r="G447" i="22" s="1"/>
  <c r="AG447" i="22" s="1"/>
  <c r="AB27" i="13"/>
  <c r="X447" i="22" s="1"/>
  <c r="I29" i="13"/>
  <c r="G449" i="22" s="1"/>
  <c r="AG449" i="22" s="1"/>
  <c r="AB29" i="13"/>
  <c r="X449" i="22" s="1"/>
  <c r="I31" i="13"/>
  <c r="G451" i="22" s="1"/>
  <c r="AG451" i="22" s="1"/>
  <c r="AB31" i="13"/>
  <c r="X451" i="22" s="1"/>
  <c r="I33" i="13"/>
  <c r="G453" i="22" s="1"/>
  <c r="AG453" i="22" s="1"/>
  <c r="AB33" i="13"/>
  <c r="X453" i="22" s="1"/>
  <c r="I35" i="13"/>
  <c r="G455" i="22" s="1"/>
  <c r="AG455" i="22" s="1"/>
  <c r="AB35" i="13"/>
  <c r="X455" i="22" s="1"/>
  <c r="I37" i="13"/>
  <c r="G457" i="22" s="1"/>
  <c r="AG457" i="22" s="1"/>
  <c r="AB37" i="13"/>
  <c r="X457" i="22" s="1"/>
  <c r="I39" i="13"/>
  <c r="G459" i="22" s="1"/>
  <c r="AG459" i="22" s="1"/>
  <c r="AB39" i="13"/>
  <c r="X459" i="22" s="1"/>
  <c r="I41" i="13"/>
  <c r="G461" i="22" s="1"/>
  <c r="AG461" i="22" s="1"/>
  <c r="AB41" i="13"/>
  <c r="X461" i="22" s="1"/>
  <c r="I43" i="13"/>
  <c r="G463" i="22" s="1"/>
  <c r="AG463" i="22" s="1"/>
  <c r="AB43" i="13"/>
  <c r="X463" i="22" s="1"/>
  <c r="I45" i="13"/>
  <c r="G465" i="22" s="1"/>
  <c r="AG465" i="22" s="1"/>
  <c r="AB45" i="13"/>
  <c r="X465" i="22" s="1"/>
  <c r="I47" i="13"/>
  <c r="G467" i="22" s="1"/>
  <c r="AG467" i="22" s="1"/>
  <c r="AB47" i="13"/>
  <c r="X467" i="22" s="1"/>
  <c r="W469" i="22"/>
  <c r="AW469" i="22" s="1"/>
  <c r="I29" i="21"/>
  <c r="AG29" i="21" s="1"/>
  <c r="AC7" i="14"/>
  <c r="Y469" i="22" s="1"/>
  <c r="C18" i="19"/>
  <c r="AU7" i="14"/>
  <c r="L30" i="21"/>
  <c r="K13" i="19"/>
  <c r="AU8" i="14"/>
  <c r="AC9" i="14"/>
  <c r="Y471" i="22" s="1"/>
  <c r="M30" i="21"/>
  <c r="AU9" i="14"/>
  <c r="N30" i="21"/>
  <c r="W14" i="19"/>
  <c r="AU10" i="14"/>
  <c r="AC11" i="14"/>
  <c r="Y473" i="22" s="1"/>
  <c r="O30" i="21"/>
  <c r="AU11" i="14"/>
  <c r="P30" i="21"/>
  <c r="AU12" i="14"/>
  <c r="AC13" i="14"/>
  <c r="Y475" i="22" s="1"/>
  <c r="Q30" i="21"/>
  <c r="I28" i="19"/>
  <c r="AU13" i="14"/>
  <c r="R30" i="21"/>
  <c r="Q29" i="19"/>
  <c r="AU14" i="14"/>
  <c r="AC15" i="14"/>
  <c r="Y477" i="22" s="1"/>
  <c r="S30" i="21"/>
  <c r="U27" i="19"/>
  <c r="AU15" i="14"/>
  <c r="T30" i="21"/>
  <c r="AC30" i="19"/>
  <c r="AU16" i="14"/>
  <c r="AC17" i="14"/>
  <c r="Y479" i="22" s="1"/>
  <c r="U30" i="21"/>
  <c r="C39" i="19"/>
  <c r="AU17" i="14"/>
  <c r="V30" i="21"/>
  <c r="K44" i="19"/>
  <c r="AU18" i="14"/>
  <c r="AC19" i="14"/>
  <c r="Y481" i="22" s="1"/>
  <c r="W30" i="21"/>
  <c r="O38" i="19"/>
  <c r="AU19" i="14"/>
  <c r="AC21" i="14"/>
  <c r="Y483" i="22" s="1"/>
  <c r="AR21" i="14"/>
  <c r="G29" i="21" s="1"/>
  <c r="AA29" i="21" s="1"/>
  <c r="AC23" i="14"/>
  <c r="Y485" i="22" s="1"/>
  <c r="AC25" i="14"/>
  <c r="Y487" i="22" s="1"/>
  <c r="AC27" i="14"/>
  <c r="Y489" i="22" s="1"/>
  <c r="AC29" i="14"/>
  <c r="Y491" i="22" s="1"/>
  <c r="AC31" i="14"/>
  <c r="Y493" i="22" s="1"/>
  <c r="AC33" i="14"/>
  <c r="Y495" i="22" s="1"/>
  <c r="AC35" i="14"/>
  <c r="Y497" i="22" s="1"/>
  <c r="AC37" i="14"/>
  <c r="Y499" i="22" s="1"/>
  <c r="AC39" i="14"/>
  <c r="Y501" i="22" s="1"/>
  <c r="AC41" i="14"/>
  <c r="Y503" i="22" s="1"/>
  <c r="AC43" i="14"/>
  <c r="Y505" i="22" s="1"/>
  <c r="AC45" i="14"/>
  <c r="Y507" i="22" s="1"/>
  <c r="AC47" i="14"/>
  <c r="Y509" i="22" s="1"/>
  <c r="I7" i="15"/>
  <c r="G511" i="22" s="1"/>
  <c r="AG511" i="22" s="1"/>
  <c r="AB7" i="15"/>
  <c r="X511" i="22" s="1"/>
  <c r="AS7" i="15"/>
  <c r="AS21" i="15" s="1"/>
  <c r="H31" i="21" s="1"/>
  <c r="AB31" i="21" s="1"/>
  <c r="I9" i="15"/>
  <c r="G513" i="22" s="1"/>
  <c r="AG513" i="22" s="1"/>
  <c r="AB9" i="15"/>
  <c r="X513" i="22" s="1"/>
  <c r="I11" i="15"/>
  <c r="G515" i="22" s="1"/>
  <c r="AG515" i="22" s="1"/>
  <c r="AB11" i="15"/>
  <c r="X515" i="22" s="1"/>
  <c r="I13" i="15"/>
  <c r="G517" i="22" s="1"/>
  <c r="AG517" i="22" s="1"/>
  <c r="AB13" i="15"/>
  <c r="X517" i="22" s="1"/>
  <c r="I15" i="15"/>
  <c r="G519" i="22" s="1"/>
  <c r="AG519" i="22" s="1"/>
  <c r="AB15" i="15"/>
  <c r="X519" i="22" s="1"/>
  <c r="I17" i="15"/>
  <c r="G521" i="22" s="1"/>
  <c r="AG521" i="22" s="1"/>
  <c r="AB17" i="15"/>
  <c r="X521" i="22" s="1"/>
  <c r="I19" i="15"/>
  <c r="G523" i="22" s="1"/>
  <c r="AG523" i="22" s="1"/>
  <c r="AB19" i="15"/>
  <c r="X523" i="22" s="1"/>
  <c r="I21" i="15"/>
  <c r="G525" i="22" s="1"/>
  <c r="AG525" i="22" s="1"/>
  <c r="AB21" i="15"/>
  <c r="X525" i="22" s="1"/>
  <c r="I23" i="15"/>
  <c r="G527" i="22" s="1"/>
  <c r="AG527" i="22" s="1"/>
  <c r="AB23" i="15"/>
  <c r="X527" i="22" s="1"/>
  <c r="I25" i="15"/>
  <c r="G529" i="22" s="1"/>
  <c r="AG529" i="22" s="1"/>
  <c r="AB25" i="15"/>
  <c r="X529" i="22" s="1"/>
  <c r="I27" i="15"/>
  <c r="G531" i="22" s="1"/>
  <c r="AG531" i="22" s="1"/>
  <c r="AB27" i="15"/>
  <c r="X531" i="22" s="1"/>
  <c r="I29" i="15"/>
  <c r="G533" i="22" s="1"/>
  <c r="AG533" i="22" s="1"/>
  <c r="AB29" i="15"/>
  <c r="X533" i="22" s="1"/>
  <c r="I31" i="15"/>
  <c r="G535" i="22" s="1"/>
  <c r="AG535" i="22" s="1"/>
  <c r="AB31" i="15"/>
  <c r="X535" i="22" s="1"/>
  <c r="I33" i="15"/>
  <c r="G537" i="22" s="1"/>
  <c r="AG537" i="22" s="1"/>
  <c r="AB33" i="15"/>
  <c r="X537" i="22" s="1"/>
  <c r="I35" i="15"/>
  <c r="G539" i="22" s="1"/>
  <c r="AG539" i="22" s="1"/>
  <c r="AB35" i="15"/>
  <c r="X539" i="22" s="1"/>
  <c r="I37" i="15"/>
  <c r="G541" i="22" s="1"/>
  <c r="AG541" i="22" s="1"/>
  <c r="AB37" i="15"/>
  <c r="X541" i="22" s="1"/>
  <c r="I39" i="15"/>
  <c r="G543" i="22" s="1"/>
  <c r="AG543" i="22" s="1"/>
  <c r="AB39" i="15"/>
  <c r="X543" i="22" s="1"/>
  <c r="I41" i="15"/>
  <c r="G545" i="22" s="1"/>
  <c r="AG545" i="22" s="1"/>
  <c r="AB41" i="15"/>
  <c r="X545" i="22" s="1"/>
  <c r="I43" i="15"/>
  <c r="G547" i="22" s="1"/>
  <c r="AG547" i="22" s="1"/>
  <c r="AB43" i="15"/>
  <c r="X547" i="22" s="1"/>
  <c r="I45" i="15"/>
  <c r="G549" i="22" s="1"/>
  <c r="AG549" i="22" s="1"/>
  <c r="AB45" i="15"/>
  <c r="X549" i="22" s="1"/>
  <c r="I47" i="15"/>
  <c r="G551" i="22" s="1"/>
  <c r="AG551" i="22" s="1"/>
  <c r="AB47" i="15"/>
  <c r="X551" i="22" s="1"/>
  <c r="W553" i="22"/>
  <c r="AW553" i="22" s="1"/>
  <c r="I33" i="21"/>
  <c r="AG33" i="21" s="1"/>
  <c r="AC7" i="16"/>
  <c r="Y553" i="22" s="1"/>
  <c r="C14" i="19"/>
  <c r="AU7" i="16"/>
  <c r="L34" i="21"/>
  <c r="K17" i="19"/>
  <c r="AU8" i="16"/>
  <c r="AC9" i="16"/>
  <c r="Y555" i="22" s="1"/>
  <c r="M34" i="21"/>
  <c r="O13" i="19"/>
  <c r="AU9" i="16"/>
  <c r="N34" i="21"/>
  <c r="AU10" i="16"/>
  <c r="AC11" i="16"/>
  <c r="Y557" i="22" s="1"/>
  <c r="O34" i="21"/>
  <c r="AA12" i="19"/>
  <c r="AU11" i="16"/>
  <c r="P34" i="21"/>
  <c r="C31" i="19"/>
  <c r="AU12" i="16"/>
  <c r="AC13" i="16"/>
  <c r="Y559" i="22" s="1"/>
  <c r="Q34" i="21"/>
  <c r="K26" i="19"/>
  <c r="AU13" i="16"/>
  <c r="R34" i="21"/>
  <c r="AU14" i="16"/>
  <c r="AC15" i="16"/>
  <c r="Y561" i="22" s="1"/>
  <c r="S34" i="21"/>
  <c r="W27" i="19"/>
  <c r="AU15" i="16"/>
  <c r="T34" i="21"/>
  <c r="AA29" i="19"/>
  <c r="AU16" i="16"/>
  <c r="AC17" i="16"/>
  <c r="Y563" i="22" s="1"/>
  <c r="U34" i="21"/>
  <c r="E41" i="19"/>
  <c r="AU17" i="16"/>
  <c r="V34" i="21"/>
  <c r="I41" i="19"/>
  <c r="AU18" i="16"/>
  <c r="AC19" i="16"/>
  <c r="Y565" i="22" s="1"/>
  <c r="W34" i="21"/>
  <c r="AU19" i="16"/>
  <c r="AC21" i="16"/>
  <c r="Y567" i="22" s="1"/>
  <c r="AR21" i="16"/>
  <c r="G33" i="21" s="1"/>
  <c r="AA33" i="21" s="1"/>
  <c r="AC23" i="16"/>
  <c r="Y569" i="22" s="1"/>
  <c r="AC25" i="16"/>
  <c r="Y571" i="22" s="1"/>
  <c r="AC27" i="16"/>
  <c r="Y573" i="22" s="1"/>
  <c r="AC29" i="16"/>
  <c r="Y575" i="22" s="1"/>
  <c r="AC31" i="16"/>
  <c r="Y577" i="22" s="1"/>
  <c r="AC33" i="16"/>
  <c r="Y579" i="22" s="1"/>
  <c r="AC35" i="16"/>
  <c r="Y581" i="22" s="1"/>
  <c r="AC37" i="16"/>
  <c r="Y583" i="22" s="1"/>
  <c r="AC39" i="16"/>
  <c r="Y585" i="22" s="1"/>
  <c r="AC41" i="16"/>
  <c r="Y587" i="22" s="1"/>
  <c r="AC43" i="16"/>
  <c r="Y589" i="22" s="1"/>
  <c r="AC45" i="16"/>
  <c r="Y591" i="22" s="1"/>
  <c r="AC47" i="16"/>
  <c r="Y593" i="22" s="1"/>
  <c r="I7" i="3"/>
  <c r="G7" i="22" s="1"/>
  <c r="AG7" i="22" s="1"/>
  <c r="AB7" i="3"/>
  <c r="X7" i="22" s="1"/>
  <c r="AS7" i="3"/>
  <c r="AS21" i="3" s="1"/>
  <c r="H7" i="21" s="1"/>
  <c r="AB7" i="21" s="1"/>
  <c r="I9" i="3"/>
  <c r="G9" i="22" s="1"/>
  <c r="AG9" i="22" s="1"/>
  <c r="AB9" i="3"/>
  <c r="X9" i="22" s="1"/>
  <c r="I11" i="3"/>
  <c r="G11" i="22" s="1"/>
  <c r="AG11" i="22" s="1"/>
  <c r="AB11" i="3"/>
  <c r="X11" i="22" s="1"/>
  <c r="I13" i="3"/>
  <c r="G13" i="22" s="1"/>
  <c r="AG13" i="22" s="1"/>
  <c r="AB13" i="3"/>
  <c r="X13" i="22" s="1"/>
  <c r="I15" i="3"/>
  <c r="G15" i="22" s="1"/>
  <c r="AG15" i="22" s="1"/>
  <c r="AB15" i="3"/>
  <c r="X15" i="22" s="1"/>
  <c r="I17" i="3"/>
  <c r="G17" i="22" s="1"/>
  <c r="AG17" i="22" s="1"/>
  <c r="AB17" i="3"/>
  <c r="X17" i="22" s="1"/>
  <c r="I19" i="3"/>
  <c r="G19" i="22" s="1"/>
  <c r="AG19" i="22" s="1"/>
  <c r="AB19" i="3"/>
  <c r="X19" i="22" s="1"/>
  <c r="I21" i="3"/>
  <c r="G21" i="22" s="1"/>
  <c r="AG21" i="22" s="1"/>
  <c r="AB21" i="3"/>
  <c r="X21" i="22" s="1"/>
  <c r="I23" i="3"/>
  <c r="G23" i="22" s="1"/>
  <c r="AG23" i="22" s="1"/>
  <c r="AB23" i="3"/>
  <c r="X23" i="22" s="1"/>
  <c r="I25" i="3"/>
  <c r="G25" i="22" s="1"/>
  <c r="AG25" i="22" s="1"/>
  <c r="AB25" i="3"/>
  <c r="X25" i="22" s="1"/>
  <c r="I27" i="3"/>
  <c r="G27" i="22" s="1"/>
  <c r="AG27" i="22" s="1"/>
  <c r="AB27" i="3"/>
  <c r="X27" i="22" s="1"/>
  <c r="I29" i="3"/>
  <c r="G29" i="22" s="1"/>
  <c r="AG29" i="22" s="1"/>
  <c r="AB29" i="3"/>
  <c r="X29" i="22" s="1"/>
  <c r="I31" i="3"/>
  <c r="G31" i="22" s="1"/>
  <c r="AG31" i="22" s="1"/>
  <c r="AB31" i="3"/>
  <c r="X31" i="22" s="1"/>
  <c r="I33" i="3"/>
  <c r="G33" i="22" s="1"/>
  <c r="AG33" i="22" s="1"/>
  <c r="AB33" i="3"/>
  <c r="X33" i="22" s="1"/>
  <c r="I35" i="3"/>
  <c r="G35" i="22" s="1"/>
  <c r="AG35" i="22" s="1"/>
  <c r="AB35" i="3"/>
  <c r="X35" i="22" s="1"/>
  <c r="I37" i="3"/>
  <c r="G37" i="22" s="1"/>
  <c r="AG37" i="22" s="1"/>
  <c r="AB37" i="3"/>
  <c r="X37" i="22" s="1"/>
  <c r="I39" i="3"/>
  <c r="G39" i="22" s="1"/>
  <c r="AG39" i="22" s="1"/>
  <c r="AB39" i="3"/>
  <c r="X39" i="22" s="1"/>
  <c r="I41" i="3"/>
  <c r="G41" i="22" s="1"/>
  <c r="AG41" i="22" s="1"/>
  <c r="AB41" i="3"/>
  <c r="X41" i="22" s="1"/>
  <c r="I43" i="3"/>
  <c r="G43" i="22" s="1"/>
  <c r="AG43" i="22" s="1"/>
  <c r="AB43" i="3"/>
  <c r="X43" i="22" s="1"/>
  <c r="I45" i="3"/>
  <c r="G45" i="22" s="1"/>
  <c r="AG45" i="22" s="1"/>
  <c r="AB45" i="3"/>
  <c r="X45" i="22" s="1"/>
  <c r="I47" i="3"/>
  <c r="G47" i="22" s="1"/>
  <c r="AG47" i="22" s="1"/>
  <c r="AB47" i="3"/>
  <c r="X47" i="22" s="1"/>
  <c r="W49" i="22"/>
  <c r="AW49" i="22" s="1"/>
  <c r="I9" i="21"/>
  <c r="AG9" i="21" s="1"/>
  <c r="AC7" i="4"/>
  <c r="Y49" i="22" s="1"/>
  <c r="C13" i="19"/>
  <c r="AU7" i="4"/>
  <c r="L10" i="21"/>
  <c r="AU8" i="4"/>
  <c r="AC9" i="4"/>
  <c r="Y51" i="22" s="1"/>
  <c r="M10" i="21"/>
  <c r="O12" i="19"/>
  <c r="AU9" i="4"/>
  <c r="N10" i="21"/>
  <c r="U18" i="19"/>
  <c r="AU10" i="4"/>
  <c r="AC11" i="4"/>
  <c r="Y53" i="22" s="1"/>
  <c r="O10" i="21"/>
  <c r="AC13" i="19"/>
  <c r="AU11" i="4"/>
  <c r="P10" i="21"/>
  <c r="C30" i="19"/>
  <c r="AU12" i="4"/>
  <c r="AC13" i="4"/>
  <c r="Y55" i="22" s="1"/>
  <c r="Q10" i="21"/>
  <c r="K27" i="19"/>
  <c r="AU13" i="4"/>
  <c r="R10" i="21"/>
  <c r="O29" i="19"/>
  <c r="AU14" i="4"/>
  <c r="AC15" i="4"/>
  <c r="Y57" i="22" s="1"/>
  <c r="S10" i="21"/>
  <c r="W28" i="19"/>
  <c r="AU15" i="4"/>
  <c r="T10" i="21"/>
  <c r="AA28" i="19"/>
  <c r="AU16" i="4"/>
  <c r="AC17" i="4"/>
  <c r="Y59" i="22" s="1"/>
  <c r="U10" i="21"/>
  <c r="E42" i="19"/>
  <c r="AU17" i="4"/>
  <c r="V10" i="21"/>
  <c r="I40" i="19"/>
  <c r="AU18" i="4"/>
  <c r="AC19" i="4"/>
  <c r="Y61" i="22" s="1"/>
  <c r="Q43" i="19"/>
  <c r="AU19" i="4"/>
  <c r="AC21" i="4"/>
  <c r="Y63" i="22" s="1"/>
  <c r="AR21" i="4"/>
  <c r="G9" i="21" s="1"/>
  <c r="AA9" i="21" s="1"/>
  <c r="AC23" i="4"/>
  <c r="Y65" i="22" s="1"/>
  <c r="AC25" i="4"/>
  <c r="Y67" i="22" s="1"/>
  <c r="AC27" i="4"/>
  <c r="Y69" i="22" s="1"/>
  <c r="AC29" i="4"/>
  <c r="Y71" i="22" s="1"/>
  <c r="AC31" i="4"/>
  <c r="Y73" i="22" s="1"/>
  <c r="AC33" i="4"/>
  <c r="Y75" i="22" s="1"/>
  <c r="AC35" i="4"/>
  <c r="Y77" i="22" s="1"/>
  <c r="AC37" i="4"/>
  <c r="Y79" i="22" s="1"/>
  <c r="AC39" i="4"/>
  <c r="Y81" i="22" s="1"/>
  <c r="AC41" i="4"/>
  <c r="Y83" i="22" s="1"/>
  <c r="AC43" i="4"/>
  <c r="Y85" i="22" s="1"/>
  <c r="AC45" i="4"/>
  <c r="Y87" i="22" s="1"/>
  <c r="AC47" i="4"/>
  <c r="Y89" i="22" s="1"/>
  <c r="I7" i="5"/>
  <c r="G91" i="22" s="1"/>
  <c r="AG91" i="22" s="1"/>
  <c r="AB7" i="5"/>
  <c r="X91" i="22" s="1"/>
  <c r="AS7" i="5"/>
  <c r="I9" i="5"/>
  <c r="G93" i="22" s="1"/>
  <c r="AG93" i="22" s="1"/>
  <c r="AB9" i="5"/>
  <c r="X93" i="22" s="1"/>
  <c r="I11" i="5"/>
  <c r="G95" i="22" s="1"/>
  <c r="AG95" i="22" s="1"/>
  <c r="AB11" i="5"/>
  <c r="X95" i="22" s="1"/>
  <c r="I13" i="5"/>
  <c r="G97" i="22" s="1"/>
  <c r="AG97" i="22" s="1"/>
  <c r="AB13" i="5"/>
  <c r="X97" i="22" s="1"/>
  <c r="I15" i="5"/>
  <c r="G99" i="22" s="1"/>
  <c r="AG99" i="22" s="1"/>
  <c r="AB15" i="5"/>
  <c r="X99" i="22" s="1"/>
  <c r="I17" i="5"/>
  <c r="G101" i="22" s="1"/>
  <c r="AG101" i="22" s="1"/>
  <c r="AB17" i="5"/>
  <c r="X101" i="22" s="1"/>
  <c r="I19" i="5"/>
  <c r="G103" i="22" s="1"/>
  <c r="AG103" i="22" s="1"/>
  <c r="AB19" i="5"/>
  <c r="X103" i="22" s="1"/>
  <c r="I21" i="5"/>
  <c r="G105" i="22" s="1"/>
  <c r="AG105" i="22" s="1"/>
  <c r="AB21" i="5"/>
  <c r="X105" i="22" s="1"/>
  <c r="I23" i="5"/>
  <c r="G107" i="22" s="1"/>
  <c r="AG107" i="22" s="1"/>
  <c r="AB23" i="5"/>
  <c r="X107" i="22" s="1"/>
  <c r="I25" i="5"/>
  <c r="G109" i="22" s="1"/>
  <c r="AG109" i="22" s="1"/>
  <c r="AB25" i="5"/>
  <c r="X109" i="22" s="1"/>
  <c r="I27" i="5"/>
  <c r="G111" i="22" s="1"/>
  <c r="AG111" i="22" s="1"/>
  <c r="AB27" i="5"/>
  <c r="X111" i="22" s="1"/>
  <c r="I29" i="5"/>
  <c r="G113" i="22" s="1"/>
  <c r="AG113" i="22" s="1"/>
  <c r="AB29" i="5"/>
  <c r="X113" i="22" s="1"/>
  <c r="I31" i="5"/>
  <c r="G115" i="22" s="1"/>
  <c r="AG115" i="22" s="1"/>
  <c r="AB31" i="5"/>
  <c r="X115" i="22" s="1"/>
  <c r="I33" i="5"/>
  <c r="G117" i="22" s="1"/>
  <c r="AG117" i="22" s="1"/>
  <c r="AB33" i="5"/>
  <c r="X117" i="22" s="1"/>
  <c r="I35" i="5"/>
  <c r="G119" i="22" s="1"/>
  <c r="AG119" i="22" s="1"/>
  <c r="AB35" i="5"/>
  <c r="X119" i="22" s="1"/>
  <c r="I37" i="5"/>
  <c r="G121" i="22" s="1"/>
  <c r="AG121" i="22" s="1"/>
  <c r="AB37" i="5"/>
  <c r="X121" i="22" s="1"/>
  <c r="I39" i="5"/>
  <c r="G123" i="22" s="1"/>
  <c r="AG123" i="22" s="1"/>
  <c r="AB39" i="5"/>
  <c r="X123" i="22" s="1"/>
  <c r="I41" i="5"/>
  <c r="G125" i="22" s="1"/>
  <c r="AG125" i="22" s="1"/>
  <c r="AB41" i="5"/>
  <c r="X125" i="22" s="1"/>
  <c r="I43" i="5"/>
  <c r="G127" i="22" s="1"/>
  <c r="AG127" i="22" s="1"/>
  <c r="AB43" i="5"/>
  <c r="X127" i="22" s="1"/>
  <c r="I45" i="5"/>
  <c r="G129" i="22" s="1"/>
  <c r="AG129" i="22" s="1"/>
  <c r="AB45" i="5"/>
  <c r="X129" i="22" s="1"/>
  <c r="I47" i="5"/>
  <c r="G131" i="22" s="1"/>
  <c r="AG131" i="22" s="1"/>
  <c r="AB47" i="5"/>
  <c r="X131" i="22" s="1"/>
  <c r="W133" i="22"/>
  <c r="AW133" i="22" s="1"/>
  <c r="I13" i="21"/>
  <c r="AG13" i="21" s="1"/>
  <c r="AC7" i="6"/>
  <c r="Y133" i="22" s="1"/>
  <c r="E13" i="19"/>
  <c r="AU7" i="6"/>
  <c r="L14" i="21"/>
  <c r="I17" i="19"/>
  <c r="AU8" i="6"/>
  <c r="AC9" i="6"/>
  <c r="Y135" i="22" s="1"/>
  <c r="M14" i="21"/>
  <c r="Q14" i="19"/>
  <c r="AU9" i="6"/>
  <c r="N14" i="21"/>
  <c r="U16" i="19"/>
  <c r="AU10" i="6"/>
  <c r="AC11" i="6"/>
  <c r="Y137" i="22" s="1"/>
  <c r="O14" i="21"/>
  <c r="AC15" i="19"/>
  <c r="AU11" i="6"/>
  <c r="P14" i="21"/>
  <c r="AU12" i="6"/>
  <c r="W7" i="22"/>
  <c r="AW7" i="22" s="1"/>
  <c r="I7" i="21"/>
  <c r="AG7" i="21" s="1"/>
  <c r="AC7" i="3"/>
  <c r="Y7" i="22" s="1"/>
  <c r="K8" i="21"/>
  <c r="E18" i="19"/>
  <c r="AU7" i="3"/>
  <c r="L8" i="21"/>
  <c r="K12" i="19"/>
  <c r="AU8" i="3"/>
  <c r="AC9" i="3"/>
  <c r="Y9" i="22" s="1"/>
  <c r="M8" i="21"/>
  <c r="O18" i="19"/>
  <c r="AU9" i="3"/>
  <c r="N8" i="21"/>
  <c r="W13" i="19"/>
  <c r="AU10" i="3"/>
  <c r="AC11" i="3"/>
  <c r="Y11" i="22" s="1"/>
  <c r="O8" i="21"/>
  <c r="AA17" i="19"/>
  <c r="AU11" i="3"/>
  <c r="P8" i="21"/>
  <c r="AU12" i="3"/>
  <c r="AC13" i="3"/>
  <c r="Y13" i="22" s="1"/>
  <c r="Q8" i="21"/>
  <c r="I29" i="19"/>
  <c r="AU13" i="3"/>
  <c r="R8" i="21"/>
  <c r="Q28" i="19"/>
  <c r="AU14" i="3"/>
  <c r="AC15" i="3"/>
  <c r="Y15" i="22" s="1"/>
  <c r="S8" i="21"/>
  <c r="U28" i="19"/>
  <c r="AU15" i="3"/>
  <c r="T8" i="21"/>
  <c r="AC29" i="19"/>
  <c r="AU16" i="3"/>
  <c r="AC17" i="3"/>
  <c r="Y17" i="22" s="1"/>
  <c r="U8" i="21"/>
  <c r="C40" i="19"/>
  <c r="AU17" i="3"/>
  <c r="V8" i="21"/>
  <c r="K43" i="19"/>
  <c r="AU18" i="3"/>
  <c r="AC19" i="3"/>
  <c r="Y19" i="22" s="1"/>
  <c r="O39" i="19"/>
  <c r="AU19" i="3"/>
  <c r="AC21" i="3"/>
  <c r="Y21" i="22" s="1"/>
  <c r="AR21" i="3"/>
  <c r="G7" i="21" s="1"/>
  <c r="AC23" i="3"/>
  <c r="Y23" i="22" s="1"/>
  <c r="AC25" i="3"/>
  <c r="Y25" i="22" s="1"/>
  <c r="AC27" i="3"/>
  <c r="Y27" i="22" s="1"/>
  <c r="AC29" i="3"/>
  <c r="Y29" i="22" s="1"/>
  <c r="AC31" i="3"/>
  <c r="Y31" i="22" s="1"/>
  <c r="AC33" i="3"/>
  <c r="Y33" i="22" s="1"/>
  <c r="AC35" i="3"/>
  <c r="Y35" i="22" s="1"/>
  <c r="AC37" i="3"/>
  <c r="Y37" i="22" s="1"/>
  <c r="AC39" i="3"/>
  <c r="Y39" i="22" s="1"/>
  <c r="AC41" i="3"/>
  <c r="Y41" i="22" s="1"/>
  <c r="AC43" i="3"/>
  <c r="Y43" i="22" s="1"/>
  <c r="AC45" i="3"/>
  <c r="Y45" i="22" s="1"/>
  <c r="AC47" i="3"/>
  <c r="Y47" i="22" s="1"/>
  <c r="I7" i="4"/>
  <c r="G49" i="22" s="1"/>
  <c r="AG49" i="22" s="1"/>
  <c r="AB7" i="4"/>
  <c r="X49" i="22" s="1"/>
  <c r="AS7" i="4"/>
  <c r="AS21" i="4" s="1"/>
  <c r="H9" i="21" s="1"/>
  <c r="AB9" i="21" s="1"/>
  <c r="I9" i="4"/>
  <c r="G51" i="22" s="1"/>
  <c r="AG51" i="22" s="1"/>
  <c r="AB9" i="4"/>
  <c r="X51" i="22" s="1"/>
  <c r="I11" i="4"/>
  <c r="G53" i="22" s="1"/>
  <c r="AG53" i="22" s="1"/>
  <c r="AB11" i="4"/>
  <c r="X53" i="22" s="1"/>
  <c r="I13" i="4"/>
  <c r="G55" i="22" s="1"/>
  <c r="AG55" i="22" s="1"/>
  <c r="AB13" i="4"/>
  <c r="X55" i="22" s="1"/>
  <c r="I15" i="4"/>
  <c r="G57" i="22" s="1"/>
  <c r="AG57" i="22" s="1"/>
  <c r="AB15" i="4"/>
  <c r="X57" i="22" s="1"/>
  <c r="I17" i="4"/>
  <c r="G59" i="22" s="1"/>
  <c r="AG59" i="22" s="1"/>
  <c r="AB17" i="4"/>
  <c r="X59" i="22" s="1"/>
  <c r="I19" i="4"/>
  <c r="G61" i="22" s="1"/>
  <c r="AG61" i="22" s="1"/>
  <c r="AB19" i="4"/>
  <c r="X61" i="22" s="1"/>
  <c r="I21" i="4"/>
  <c r="G63" i="22" s="1"/>
  <c r="AG63" i="22" s="1"/>
  <c r="AB21" i="4"/>
  <c r="X63" i="22" s="1"/>
  <c r="I23" i="4"/>
  <c r="G65" i="22" s="1"/>
  <c r="AG65" i="22" s="1"/>
  <c r="AB23" i="4"/>
  <c r="X65" i="22" s="1"/>
  <c r="I25" i="4"/>
  <c r="G67" i="22" s="1"/>
  <c r="AG67" i="22" s="1"/>
  <c r="AB25" i="4"/>
  <c r="X67" i="22" s="1"/>
  <c r="I27" i="4"/>
  <c r="G69" i="22" s="1"/>
  <c r="AG69" i="22" s="1"/>
  <c r="AB27" i="4"/>
  <c r="X69" i="22" s="1"/>
  <c r="I29" i="4"/>
  <c r="G71" i="22" s="1"/>
  <c r="AG71" i="22" s="1"/>
  <c r="AB29" i="4"/>
  <c r="X71" i="22" s="1"/>
  <c r="I31" i="4"/>
  <c r="G73" i="22" s="1"/>
  <c r="AG73" i="22" s="1"/>
  <c r="AB31" i="4"/>
  <c r="X73" i="22" s="1"/>
  <c r="I33" i="4"/>
  <c r="G75" i="22" s="1"/>
  <c r="AG75" i="22" s="1"/>
  <c r="AB33" i="4"/>
  <c r="X75" i="22" s="1"/>
  <c r="I35" i="4"/>
  <c r="G77" i="22" s="1"/>
  <c r="AG77" i="22" s="1"/>
  <c r="AB35" i="4"/>
  <c r="X77" i="22" s="1"/>
  <c r="I37" i="4"/>
  <c r="G79" i="22" s="1"/>
  <c r="AG79" i="22" s="1"/>
  <c r="AB37" i="4"/>
  <c r="X79" i="22" s="1"/>
  <c r="I39" i="4"/>
  <c r="G81" i="22" s="1"/>
  <c r="AG81" i="22" s="1"/>
  <c r="AB39" i="4"/>
  <c r="X81" i="22" s="1"/>
  <c r="I41" i="4"/>
  <c r="G83" i="22" s="1"/>
  <c r="AG83" i="22" s="1"/>
  <c r="AB41" i="4"/>
  <c r="X83" i="22" s="1"/>
  <c r="I43" i="4"/>
  <c r="G85" i="22" s="1"/>
  <c r="AG85" i="22" s="1"/>
  <c r="AB43" i="4"/>
  <c r="X85" i="22" s="1"/>
  <c r="I45" i="4"/>
  <c r="G87" i="22" s="1"/>
  <c r="AG87" i="22" s="1"/>
  <c r="AB45" i="4"/>
  <c r="X87" i="22" s="1"/>
  <c r="I47" i="4"/>
  <c r="G89" i="22" s="1"/>
  <c r="AG89" i="22" s="1"/>
  <c r="AB47" i="4"/>
  <c r="X89" i="22" s="1"/>
  <c r="W91" i="22"/>
  <c r="AW91" i="22" s="1"/>
  <c r="I11" i="21"/>
  <c r="AG11" i="21" s="1"/>
  <c r="AC7" i="5"/>
  <c r="Y91" i="22" s="1"/>
  <c r="K12" i="21"/>
  <c r="C16" i="19"/>
  <c r="AU7" i="5"/>
  <c r="L12" i="21"/>
  <c r="K15" i="19"/>
  <c r="AU8" i="5"/>
  <c r="AC9" i="5"/>
  <c r="Y93" i="22" s="1"/>
  <c r="M12" i="21"/>
  <c r="AU9" i="5"/>
  <c r="N12" i="21"/>
  <c r="AU10" i="5"/>
  <c r="AC11" i="5"/>
  <c r="Y95" i="22" s="1"/>
  <c r="O12" i="21"/>
  <c r="AA14" i="19"/>
  <c r="AU11" i="5"/>
  <c r="P12" i="21"/>
  <c r="E30" i="19"/>
  <c r="AU12" i="5"/>
  <c r="AC13" i="5"/>
  <c r="Y97" i="22" s="1"/>
  <c r="Q12" i="21"/>
  <c r="I26" i="19"/>
  <c r="AU13" i="5"/>
  <c r="R12" i="21"/>
  <c r="AU14" i="5"/>
  <c r="AC15" i="5"/>
  <c r="Y99" i="22" s="1"/>
  <c r="S12" i="21"/>
  <c r="U25" i="19"/>
  <c r="AU15" i="5"/>
  <c r="T12" i="21"/>
  <c r="AA31" i="19"/>
  <c r="AU16" i="5"/>
  <c r="AC17" i="5"/>
  <c r="Y101" i="22" s="1"/>
  <c r="U12" i="21"/>
  <c r="E39" i="19"/>
  <c r="AU17" i="5"/>
  <c r="V12" i="21"/>
  <c r="I43" i="19"/>
  <c r="AU18" i="5"/>
  <c r="AC19" i="5"/>
  <c r="Y103" i="22" s="1"/>
  <c r="W12" i="21"/>
  <c r="Q40" i="19"/>
  <c r="AU19" i="5"/>
  <c r="AC21" i="5"/>
  <c r="Y105" i="22" s="1"/>
  <c r="AR21" i="5"/>
  <c r="G11" i="21" s="1"/>
  <c r="AA11" i="21" s="1"/>
  <c r="AC23" i="5"/>
  <c r="Y107" i="22" s="1"/>
  <c r="AC25" i="5"/>
  <c r="Y109" i="22" s="1"/>
  <c r="AC27" i="5"/>
  <c r="Y111" i="22" s="1"/>
  <c r="AC29" i="5"/>
  <c r="Y113" i="22" s="1"/>
  <c r="AC31" i="5"/>
  <c r="Y115" i="22" s="1"/>
  <c r="AC33" i="5"/>
  <c r="Y117" i="22" s="1"/>
  <c r="AC35" i="5"/>
  <c r="Y119" i="22" s="1"/>
  <c r="AC37" i="5"/>
  <c r="Y121" i="22" s="1"/>
  <c r="AC39" i="5"/>
  <c r="Y123" i="22" s="1"/>
  <c r="AC41" i="5"/>
  <c r="Y125" i="22" s="1"/>
  <c r="AC43" i="5"/>
  <c r="Y127" i="22" s="1"/>
  <c r="AC45" i="5"/>
  <c r="Y129" i="22" s="1"/>
  <c r="AC47" i="5"/>
  <c r="Y131" i="22" s="1"/>
  <c r="I7" i="6"/>
  <c r="G133" i="22" s="1"/>
  <c r="AG133" i="22" s="1"/>
  <c r="AB7" i="6"/>
  <c r="X133" i="22" s="1"/>
  <c r="AS7" i="6"/>
  <c r="AS21" i="6" s="1"/>
  <c r="H13" i="21" s="1"/>
  <c r="AB13" i="21" s="1"/>
  <c r="I9" i="6"/>
  <c r="G135" i="22" s="1"/>
  <c r="AG135" i="22" s="1"/>
  <c r="AB9" i="6"/>
  <c r="X135" i="22" s="1"/>
  <c r="I11" i="6"/>
  <c r="G137" i="22" s="1"/>
  <c r="AG137" i="22" s="1"/>
  <c r="AB11" i="6"/>
  <c r="X137" i="22" s="1"/>
  <c r="I13" i="6"/>
  <c r="G139" i="22" s="1"/>
  <c r="AG139" i="22" s="1"/>
  <c r="AB13" i="6"/>
  <c r="X139" i="22" s="1"/>
  <c r="I15" i="6"/>
  <c r="G141" i="22" s="1"/>
  <c r="AG141" i="22" s="1"/>
  <c r="AB15" i="6"/>
  <c r="X141" i="22" s="1"/>
  <c r="I17" i="6"/>
  <c r="G143" i="22" s="1"/>
  <c r="AG143" i="22" s="1"/>
  <c r="AB17" i="6"/>
  <c r="X143" i="22" s="1"/>
  <c r="I19" i="6"/>
  <c r="G145" i="22" s="1"/>
  <c r="AG145" i="22" s="1"/>
  <c r="AB19" i="6"/>
  <c r="X145" i="22" s="1"/>
  <c r="I21" i="6"/>
  <c r="G147" i="22" s="1"/>
  <c r="AG147" i="22" s="1"/>
  <c r="AB21" i="6"/>
  <c r="X147" i="22" s="1"/>
  <c r="I23" i="6"/>
  <c r="G149" i="22" s="1"/>
  <c r="AG149" i="22" s="1"/>
  <c r="AB23" i="6"/>
  <c r="X149" i="22" s="1"/>
  <c r="I25" i="6"/>
  <c r="G151" i="22" s="1"/>
  <c r="AG151" i="22" s="1"/>
  <c r="AB25" i="6"/>
  <c r="X151" i="22" s="1"/>
  <c r="I27" i="6"/>
  <c r="G153" i="22" s="1"/>
  <c r="AG153" i="22" s="1"/>
  <c r="AB27" i="6"/>
  <c r="X153" i="22" s="1"/>
  <c r="I29" i="6"/>
  <c r="G155" i="22" s="1"/>
  <c r="AG155" i="22" s="1"/>
  <c r="AB29" i="6"/>
  <c r="X155" i="22" s="1"/>
  <c r="I31" i="6"/>
  <c r="G157" i="22" s="1"/>
  <c r="AG157" i="22" s="1"/>
  <c r="AB31" i="6"/>
  <c r="X157" i="22" s="1"/>
  <c r="I33" i="6"/>
  <c r="G159" i="22" s="1"/>
  <c r="AG159" i="22" s="1"/>
  <c r="AB33" i="6"/>
  <c r="X159" i="22" s="1"/>
  <c r="I35" i="6"/>
  <c r="G161" i="22" s="1"/>
  <c r="AG161" i="22" s="1"/>
  <c r="AB35" i="6"/>
  <c r="X161" i="22" s="1"/>
  <c r="I37" i="6"/>
  <c r="G163" i="22" s="1"/>
  <c r="AG163" i="22" s="1"/>
  <c r="AB37" i="6"/>
  <c r="X163" i="22" s="1"/>
  <c r="I39" i="6"/>
  <c r="G165" i="22" s="1"/>
  <c r="AG165" i="22" s="1"/>
  <c r="AB39" i="6"/>
  <c r="X165" i="22" s="1"/>
  <c r="I41" i="6"/>
  <c r="G167" i="22" s="1"/>
  <c r="AG167" i="22" s="1"/>
  <c r="AB41" i="6"/>
  <c r="X167" i="22" s="1"/>
  <c r="I43" i="6"/>
  <c r="G169" i="22" s="1"/>
  <c r="AG169" i="22" s="1"/>
  <c r="AB43" i="6"/>
  <c r="X169" i="22" s="1"/>
  <c r="I45" i="6"/>
  <c r="G171" i="22" s="1"/>
  <c r="AG171" i="22" s="1"/>
  <c r="AB45" i="6"/>
  <c r="X171" i="22" s="1"/>
  <c r="I47" i="6"/>
  <c r="G173" i="22" s="1"/>
  <c r="AG173" i="22" s="1"/>
  <c r="AB47" i="6"/>
  <c r="X173" i="22" s="1"/>
  <c r="W175" i="22"/>
  <c r="AW175" i="22" s="1"/>
  <c r="I15" i="21"/>
  <c r="AG15" i="21" s="1"/>
  <c r="AC7" i="7"/>
  <c r="Y175" i="22" s="1"/>
  <c r="C17" i="19"/>
  <c r="AU7" i="7"/>
  <c r="L16" i="21"/>
  <c r="K14" i="19"/>
  <c r="AU8" i="7"/>
  <c r="AC9" i="7"/>
  <c r="Y177" i="22" s="1"/>
  <c r="M16" i="21"/>
  <c r="O16" i="19"/>
  <c r="AU9" i="7"/>
  <c r="N16" i="21"/>
  <c r="W15" i="19"/>
  <c r="AU10" i="7"/>
  <c r="AC11" i="7"/>
  <c r="Y179" i="22" s="1"/>
  <c r="O16" i="21"/>
  <c r="AA15" i="19"/>
  <c r="AU11" i="7"/>
  <c r="P16" i="21"/>
  <c r="AU12" i="7"/>
  <c r="AC13" i="7"/>
  <c r="Y181" i="22" s="1"/>
  <c r="Q16" i="21"/>
  <c r="I27" i="19"/>
  <c r="AU13" i="7"/>
  <c r="R16" i="21"/>
  <c r="Q30" i="19"/>
  <c r="AU14" i="7"/>
  <c r="AC15" i="7"/>
  <c r="Y183" i="22" s="1"/>
  <c r="S16" i="21"/>
  <c r="U26" i="19"/>
  <c r="AU15" i="7"/>
  <c r="T16" i="21"/>
  <c r="AU16" i="7"/>
  <c r="AC17" i="7"/>
  <c r="Y185" i="22" s="1"/>
  <c r="U16" i="21"/>
  <c r="C38" i="19"/>
  <c r="AU17" i="7"/>
  <c r="V16" i="21"/>
  <c r="I44" i="19"/>
  <c r="AU18" i="7"/>
  <c r="AC19" i="7"/>
  <c r="Y187" i="22" s="1"/>
  <c r="W16" i="21"/>
  <c r="Q39" i="19"/>
  <c r="AU19" i="7"/>
  <c r="AC21" i="7"/>
  <c r="Y189" i="22" s="1"/>
  <c r="AR21" i="7"/>
  <c r="G15" i="21" s="1"/>
  <c r="AA15" i="21" s="1"/>
  <c r="AC23" i="7"/>
  <c r="Y191" i="22" s="1"/>
  <c r="AC25" i="7"/>
  <c r="Y193" i="22" s="1"/>
  <c r="AC27" i="7"/>
  <c r="Y195" i="22" s="1"/>
  <c r="AC29" i="7"/>
  <c r="Y197" i="22" s="1"/>
  <c r="AC31" i="7"/>
  <c r="Y199" i="22" s="1"/>
  <c r="AC33" i="7"/>
  <c r="Y201" i="22" s="1"/>
  <c r="AC35" i="7"/>
  <c r="Y203" i="22" s="1"/>
  <c r="AC37" i="7"/>
  <c r="Y205" i="22" s="1"/>
  <c r="AC39" i="7"/>
  <c r="Y207" i="22" s="1"/>
  <c r="AC41" i="7"/>
  <c r="Y209" i="22" s="1"/>
  <c r="AC43" i="7"/>
  <c r="Y211" i="22" s="1"/>
  <c r="AC45" i="7"/>
  <c r="Y213" i="22" s="1"/>
  <c r="AC47" i="7"/>
  <c r="Y215" i="22" s="1"/>
  <c r="I7" i="8"/>
  <c r="G217" i="22" s="1"/>
  <c r="AG217" i="22" s="1"/>
  <c r="AB7" i="8"/>
  <c r="X217" i="22" s="1"/>
  <c r="AS7" i="8"/>
  <c r="AS21" i="8" s="1"/>
  <c r="H17" i="21" s="1"/>
  <c r="AB17" i="21" s="1"/>
  <c r="I9" i="8"/>
  <c r="G219" i="22" s="1"/>
  <c r="AG219" i="22" s="1"/>
  <c r="AB9" i="8"/>
  <c r="X219" i="22" s="1"/>
  <c r="I11" i="8"/>
  <c r="G221" i="22" s="1"/>
  <c r="AG221" i="22" s="1"/>
  <c r="AB11" i="8"/>
  <c r="X221" i="22" s="1"/>
  <c r="I13" i="8"/>
  <c r="G223" i="22" s="1"/>
  <c r="AG223" i="22" s="1"/>
  <c r="AB13" i="8"/>
  <c r="X223" i="22" s="1"/>
  <c r="I15" i="8"/>
  <c r="G225" i="22" s="1"/>
  <c r="AG225" i="22" s="1"/>
  <c r="AB15" i="8"/>
  <c r="X225" i="22" s="1"/>
  <c r="I17" i="8"/>
  <c r="G227" i="22" s="1"/>
  <c r="AG227" i="22" s="1"/>
  <c r="AB17" i="8"/>
  <c r="X227" i="22" s="1"/>
  <c r="I19" i="8"/>
  <c r="G229" i="22" s="1"/>
  <c r="AG229" i="22" s="1"/>
  <c r="AB19" i="8"/>
  <c r="X229" i="22" s="1"/>
  <c r="I21" i="8"/>
  <c r="G231" i="22" s="1"/>
  <c r="AG231" i="22" s="1"/>
  <c r="AB21" i="8"/>
  <c r="X231" i="22" s="1"/>
  <c r="I23" i="8"/>
  <c r="G233" i="22" s="1"/>
  <c r="AG233" i="22" s="1"/>
  <c r="AB23" i="8"/>
  <c r="X233" i="22" s="1"/>
  <c r="I25" i="8"/>
  <c r="G235" i="22" s="1"/>
  <c r="AG235" i="22" s="1"/>
  <c r="AB25" i="8"/>
  <c r="X235" i="22" s="1"/>
  <c r="I27" i="8"/>
  <c r="G237" i="22" s="1"/>
  <c r="AG237" i="22" s="1"/>
  <c r="AB27" i="8"/>
  <c r="X237" i="22" s="1"/>
  <c r="I29" i="8"/>
  <c r="G239" i="22" s="1"/>
  <c r="AG239" i="22" s="1"/>
  <c r="AB29" i="8"/>
  <c r="X239" i="22" s="1"/>
  <c r="I31" i="8"/>
  <c r="G241" i="22" s="1"/>
  <c r="AG241" i="22" s="1"/>
  <c r="AB31" i="8"/>
  <c r="X241" i="22" s="1"/>
  <c r="I33" i="8"/>
  <c r="G243" i="22" s="1"/>
  <c r="AG243" i="22" s="1"/>
  <c r="AB33" i="8"/>
  <c r="X243" i="22" s="1"/>
  <c r="I35" i="8"/>
  <c r="G245" i="22" s="1"/>
  <c r="AG245" i="22" s="1"/>
  <c r="AB35" i="8"/>
  <c r="X245" i="22" s="1"/>
  <c r="I37" i="8"/>
  <c r="G247" i="22" s="1"/>
  <c r="AG247" i="22" s="1"/>
  <c r="AB37" i="8"/>
  <c r="X247" i="22" s="1"/>
  <c r="I39" i="8"/>
  <c r="G249" i="22" s="1"/>
  <c r="AG249" i="22" s="1"/>
  <c r="AB39" i="8"/>
  <c r="X249" i="22" s="1"/>
  <c r="I41" i="8"/>
  <c r="G251" i="22" s="1"/>
  <c r="AG251" i="22" s="1"/>
  <c r="AB41" i="8"/>
  <c r="X251" i="22" s="1"/>
  <c r="I43" i="8"/>
  <c r="G253" i="22" s="1"/>
  <c r="AG253" i="22" s="1"/>
  <c r="AB43" i="8"/>
  <c r="X253" i="22" s="1"/>
  <c r="I45" i="8"/>
  <c r="G255" i="22" s="1"/>
  <c r="AG255" i="22" s="1"/>
  <c r="AB45" i="8"/>
  <c r="X255" i="22" s="1"/>
  <c r="I47" i="8"/>
  <c r="G257" i="22" s="1"/>
  <c r="AG257" i="22" s="1"/>
  <c r="AB47" i="8"/>
  <c r="X257" i="22" s="1"/>
  <c r="W259" i="22"/>
  <c r="AW259" i="22" s="1"/>
  <c r="I19" i="21"/>
  <c r="AG19" i="21" s="1"/>
  <c r="AC7" i="9"/>
  <c r="Y259" i="22" s="1"/>
  <c r="K20" i="21"/>
  <c r="C15" i="19"/>
  <c r="AU7" i="9"/>
  <c r="L20" i="21"/>
  <c r="AU8" i="9"/>
  <c r="AC9" i="9"/>
  <c r="Y261" i="22" s="1"/>
  <c r="M20" i="21"/>
  <c r="O14" i="19"/>
  <c r="AU9" i="9"/>
  <c r="N20" i="21"/>
  <c r="W17" i="19"/>
  <c r="AU10" i="9"/>
  <c r="AC11" i="9"/>
  <c r="Y263" i="22" s="1"/>
  <c r="O20" i="21"/>
  <c r="AA13" i="19"/>
  <c r="AU11" i="9"/>
  <c r="P20" i="21"/>
  <c r="AU12" i="9"/>
  <c r="AC13" i="9"/>
  <c r="Y265" i="22" s="1"/>
  <c r="Q20" i="21"/>
  <c r="I25" i="19"/>
  <c r="AU13" i="9"/>
  <c r="R20" i="21"/>
  <c r="O31" i="19"/>
  <c r="AU14" i="9"/>
  <c r="AC15" i="9"/>
  <c r="Y267" i="22" s="1"/>
  <c r="S20" i="21"/>
  <c r="W26" i="19"/>
  <c r="AU15" i="9"/>
  <c r="T20" i="21"/>
  <c r="AA30" i="19"/>
  <c r="AU16" i="9"/>
  <c r="AC17" i="9"/>
  <c r="Y269" i="22" s="1"/>
  <c r="U20" i="21"/>
  <c r="E40" i="19"/>
  <c r="AU17" i="9"/>
  <c r="V20" i="21"/>
  <c r="I42" i="19"/>
  <c r="AU18" i="9"/>
  <c r="AC19" i="9"/>
  <c r="Y271" i="22" s="1"/>
  <c r="W20" i="21"/>
  <c r="Q41" i="19"/>
  <c r="AU19" i="9"/>
  <c r="AC21" i="9"/>
  <c r="Y273" i="22" s="1"/>
  <c r="AR21" i="9"/>
  <c r="G19" i="21" s="1"/>
  <c r="AA19" i="21" s="1"/>
  <c r="AC23" i="9"/>
  <c r="Y275" i="22" s="1"/>
  <c r="AC25" i="9"/>
  <c r="Y277" i="22" s="1"/>
  <c r="AC27" i="9"/>
  <c r="Y279" i="22" s="1"/>
  <c r="AC29" i="9"/>
  <c r="Y281" i="22" s="1"/>
  <c r="AC31" i="9"/>
  <c r="Y283" i="22" s="1"/>
  <c r="AC33" i="9"/>
  <c r="Y285" i="22" s="1"/>
  <c r="AC35" i="9"/>
  <c r="Y287" i="22" s="1"/>
  <c r="AC37" i="9"/>
  <c r="Y289" i="22" s="1"/>
  <c r="AC39" i="9"/>
  <c r="Y291" i="22" s="1"/>
  <c r="AC41" i="9"/>
  <c r="Y293" i="22" s="1"/>
  <c r="AC43" i="9"/>
  <c r="Y295" i="22" s="1"/>
  <c r="AC45" i="9"/>
  <c r="Y297" i="22" s="1"/>
  <c r="AC47" i="9"/>
  <c r="Y299" i="22" s="1"/>
  <c r="I7" i="10"/>
  <c r="G301" i="22" s="1"/>
  <c r="AG301" i="22" s="1"/>
  <c r="AB7" i="10"/>
  <c r="X301" i="22" s="1"/>
  <c r="AS7" i="10"/>
  <c r="AS21" i="10" s="1"/>
  <c r="H21" i="21" s="1"/>
  <c r="AB21" i="21" s="1"/>
  <c r="I9" i="10"/>
  <c r="G303" i="22" s="1"/>
  <c r="AG303" i="22" s="1"/>
  <c r="AB9" i="10"/>
  <c r="X303" i="22" s="1"/>
  <c r="I11" i="10"/>
  <c r="G305" i="22" s="1"/>
  <c r="AG305" i="22" s="1"/>
  <c r="AB11" i="10"/>
  <c r="X305" i="22" s="1"/>
  <c r="I13" i="10"/>
  <c r="G307" i="22" s="1"/>
  <c r="AG307" i="22" s="1"/>
  <c r="AB13" i="10"/>
  <c r="X307" i="22" s="1"/>
  <c r="I15" i="10"/>
  <c r="G309" i="22" s="1"/>
  <c r="AG309" i="22" s="1"/>
  <c r="AB15" i="10"/>
  <c r="X309" i="22" s="1"/>
  <c r="I17" i="10"/>
  <c r="G311" i="22" s="1"/>
  <c r="AG311" i="22" s="1"/>
  <c r="AB17" i="10"/>
  <c r="X311" i="22" s="1"/>
  <c r="I19" i="10"/>
  <c r="G313" i="22" s="1"/>
  <c r="AG313" i="22" s="1"/>
  <c r="AB19" i="10"/>
  <c r="X313" i="22" s="1"/>
  <c r="I21" i="10"/>
  <c r="G315" i="22" s="1"/>
  <c r="AG315" i="22" s="1"/>
  <c r="AB21" i="10"/>
  <c r="X315" i="22" s="1"/>
  <c r="I23" i="10"/>
  <c r="G317" i="22" s="1"/>
  <c r="AG317" i="22" s="1"/>
  <c r="AB23" i="10"/>
  <c r="X317" i="22" s="1"/>
  <c r="I25" i="10"/>
  <c r="G319" i="22" s="1"/>
  <c r="AG319" i="22" s="1"/>
  <c r="AB25" i="10"/>
  <c r="X319" i="22" s="1"/>
  <c r="I27" i="10"/>
  <c r="G321" i="22" s="1"/>
  <c r="AG321" i="22" s="1"/>
  <c r="AB27" i="10"/>
  <c r="X321" i="22" s="1"/>
  <c r="I29" i="10"/>
  <c r="G323" i="22" s="1"/>
  <c r="AG323" i="22" s="1"/>
  <c r="AB29" i="10"/>
  <c r="X323" i="22" s="1"/>
  <c r="I31" i="10"/>
  <c r="G325" i="22" s="1"/>
  <c r="AG325" i="22" s="1"/>
  <c r="AB31" i="10"/>
  <c r="X325" i="22" s="1"/>
  <c r="I33" i="10"/>
  <c r="G327" i="22" s="1"/>
  <c r="AG327" i="22" s="1"/>
  <c r="AB33" i="10"/>
  <c r="X327" i="22" s="1"/>
  <c r="I35" i="10"/>
  <c r="G329" i="22" s="1"/>
  <c r="AG329" i="22" s="1"/>
  <c r="AB35" i="10"/>
  <c r="X329" i="22" s="1"/>
  <c r="I37" i="10"/>
  <c r="G331" i="22" s="1"/>
  <c r="AG331" i="22" s="1"/>
  <c r="AB37" i="10"/>
  <c r="X331" i="22" s="1"/>
  <c r="I39" i="10"/>
  <c r="G333" i="22" s="1"/>
  <c r="AG333" i="22" s="1"/>
  <c r="AB39" i="10"/>
  <c r="X333" i="22" s="1"/>
  <c r="I41" i="10"/>
  <c r="G335" i="22" s="1"/>
  <c r="AG335" i="22" s="1"/>
  <c r="AB41" i="10"/>
  <c r="X335" i="22" s="1"/>
  <c r="I43" i="10"/>
  <c r="G337" i="22" s="1"/>
  <c r="AG337" i="22" s="1"/>
  <c r="AB43" i="10"/>
  <c r="X337" i="22" s="1"/>
  <c r="I45" i="10"/>
  <c r="G339" i="22" s="1"/>
  <c r="AG339" i="22" s="1"/>
  <c r="AB45" i="10"/>
  <c r="X339" i="22" s="1"/>
  <c r="I47" i="10"/>
  <c r="G341" i="22" s="1"/>
  <c r="AG341" i="22" s="1"/>
  <c r="AB47" i="10"/>
  <c r="X341" i="22" s="1"/>
  <c r="W343" i="22"/>
  <c r="AW343" i="22" s="1"/>
  <c r="I23" i="21"/>
  <c r="AG23" i="21" s="1"/>
  <c r="AC7" i="11"/>
  <c r="Y343" i="22" s="1"/>
  <c r="K24" i="21"/>
  <c r="C12" i="19"/>
  <c r="AU7" i="11"/>
  <c r="L24" i="21"/>
  <c r="I18" i="19"/>
  <c r="AU8" i="11"/>
  <c r="AC9" i="11"/>
  <c r="Y345" i="22" s="1"/>
  <c r="M24" i="21"/>
  <c r="Q13" i="19"/>
  <c r="AU9" i="11"/>
  <c r="N24" i="21"/>
  <c r="U17" i="19"/>
  <c r="AU10" i="11"/>
  <c r="AC11" i="11"/>
  <c r="Y347" i="22" s="1"/>
  <c r="O24" i="21"/>
  <c r="AC14" i="19"/>
  <c r="AU11" i="11"/>
  <c r="P24" i="21"/>
  <c r="C29" i="19"/>
  <c r="AU12" i="11"/>
  <c r="AC13" i="11"/>
  <c r="Y349" i="22" s="1"/>
  <c r="Q24" i="21"/>
  <c r="K28" i="19"/>
  <c r="AU13" i="11"/>
  <c r="R24" i="21"/>
  <c r="O28" i="19"/>
  <c r="AU14" i="11"/>
  <c r="AC15" i="11"/>
  <c r="Y351" i="22" s="1"/>
  <c r="S24" i="21"/>
  <c r="W29" i="19"/>
  <c r="AU15" i="11"/>
  <c r="T24" i="21"/>
  <c r="AA27" i="19"/>
  <c r="AU16" i="11"/>
  <c r="AC17" i="11"/>
  <c r="Y353" i="22" s="1"/>
  <c r="U24" i="21"/>
  <c r="AU17" i="11"/>
  <c r="V24" i="21"/>
  <c r="AU18" i="11"/>
  <c r="AC19" i="11"/>
  <c r="Y355" i="22" s="1"/>
  <c r="AU19" i="11"/>
  <c r="AC21" i="11"/>
  <c r="Y357" i="22" s="1"/>
  <c r="AR21" i="11"/>
  <c r="G23" i="21" s="1"/>
  <c r="AA23" i="21" s="1"/>
  <c r="AC23" i="11"/>
  <c r="Y359" i="22" s="1"/>
  <c r="AC25" i="11"/>
  <c r="Y361" i="22" s="1"/>
  <c r="AC27" i="11"/>
  <c r="Y363" i="22" s="1"/>
  <c r="AC29" i="11"/>
  <c r="Y365" i="22" s="1"/>
  <c r="AC31" i="11"/>
  <c r="Y367" i="22" s="1"/>
  <c r="AC33" i="11"/>
  <c r="Y369" i="22" s="1"/>
  <c r="AC35" i="11"/>
  <c r="Y371" i="22" s="1"/>
  <c r="AC37" i="11"/>
  <c r="Y373" i="22" s="1"/>
  <c r="AC39" i="11"/>
  <c r="Y375" i="22" s="1"/>
  <c r="AC41" i="11"/>
  <c r="Y377" i="22" s="1"/>
  <c r="AC43" i="11"/>
  <c r="Y379" i="22" s="1"/>
  <c r="AC45" i="11"/>
  <c r="Y381" i="22" s="1"/>
  <c r="AC47" i="11"/>
  <c r="Y383" i="22" s="1"/>
  <c r="I7" i="12"/>
  <c r="G385" i="22" s="1"/>
  <c r="AG385" i="22" s="1"/>
  <c r="AB7" i="12"/>
  <c r="X385" i="22" s="1"/>
  <c r="AS7" i="12"/>
  <c r="I9" i="12"/>
  <c r="G387" i="22" s="1"/>
  <c r="AG387" i="22" s="1"/>
  <c r="AB9" i="12"/>
  <c r="X387" i="22" s="1"/>
  <c r="I11" i="12"/>
  <c r="G389" i="22" s="1"/>
  <c r="AG389" i="22" s="1"/>
  <c r="AB11" i="12"/>
  <c r="X389" i="22" s="1"/>
  <c r="I13" i="12"/>
  <c r="G391" i="22" s="1"/>
  <c r="AG391" i="22" s="1"/>
  <c r="AB13" i="12"/>
  <c r="X391" i="22" s="1"/>
  <c r="I15" i="12"/>
  <c r="G393" i="22" s="1"/>
  <c r="AG393" i="22" s="1"/>
  <c r="AB15" i="12"/>
  <c r="X393" i="22" s="1"/>
  <c r="I17" i="12"/>
  <c r="G395" i="22" s="1"/>
  <c r="AG395" i="22" s="1"/>
  <c r="AB17" i="12"/>
  <c r="X395" i="22" s="1"/>
  <c r="I19" i="12"/>
  <c r="G397" i="22" s="1"/>
  <c r="AG397" i="22" s="1"/>
  <c r="AB19" i="12"/>
  <c r="X397" i="22" s="1"/>
  <c r="I21" i="12"/>
  <c r="G399" i="22" s="1"/>
  <c r="AG399" i="22" s="1"/>
  <c r="AB21" i="12"/>
  <c r="X399" i="22" s="1"/>
  <c r="I23" i="12"/>
  <c r="G401" i="22" s="1"/>
  <c r="AG401" i="22" s="1"/>
  <c r="AB23" i="12"/>
  <c r="X401" i="22" s="1"/>
  <c r="I25" i="12"/>
  <c r="G403" i="22" s="1"/>
  <c r="AG403" i="22" s="1"/>
  <c r="AB25" i="12"/>
  <c r="X403" i="22" s="1"/>
  <c r="I27" i="12"/>
  <c r="G405" i="22" s="1"/>
  <c r="AG405" i="22" s="1"/>
  <c r="AB27" i="12"/>
  <c r="X405" i="22" s="1"/>
  <c r="I29" i="12"/>
  <c r="G407" i="22" s="1"/>
  <c r="AG407" i="22" s="1"/>
  <c r="AB29" i="12"/>
  <c r="X407" i="22" s="1"/>
  <c r="I31" i="12"/>
  <c r="G409" i="22" s="1"/>
  <c r="AG409" i="22" s="1"/>
  <c r="AB31" i="12"/>
  <c r="X409" i="22" s="1"/>
  <c r="I33" i="12"/>
  <c r="G411" i="22" s="1"/>
  <c r="AG411" i="22" s="1"/>
  <c r="AB33" i="12"/>
  <c r="X411" i="22" s="1"/>
  <c r="I35" i="12"/>
  <c r="G413" i="22" s="1"/>
  <c r="AG413" i="22" s="1"/>
  <c r="AB35" i="12"/>
  <c r="X413" i="22" s="1"/>
  <c r="I37" i="12"/>
  <c r="G415" i="22" s="1"/>
  <c r="AG415" i="22" s="1"/>
  <c r="AB37" i="12"/>
  <c r="X415" i="22" s="1"/>
  <c r="I39" i="12"/>
  <c r="G417" i="22" s="1"/>
  <c r="AG417" i="22" s="1"/>
  <c r="AB39" i="12"/>
  <c r="X417" i="22" s="1"/>
  <c r="I41" i="12"/>
  <c r="G419" i="22" s="1"/>
  <c r="AG419" i="22" s="1"/>
  <c r="AB41" i="12"/>
  <c r="X419" i="22" s="1"/>
  <c r="I43" i="12"/>
  <c r="G421" i="22" s="1"/>
  <c r="AG421" i="22" s="1"/>
  <c r="AB43" i="12"/>
  <c r="X421" i="22" s="1"/>
  <c r="I45" i="12"/>
  <c r="G423" i="22" s="1"/>
  <c r="AG423" i="22" s="1"/>
  <c r="AB45" i="12"/>
  <c r="X423" i="22" s="1"/>
  <c r="I47" i="12"/>
  <c r="G425" i="22" s="1"/>
  <c r="AG425" i="22" s="1"/>
  <c r="AB47" i="12"/>
  <c r="X425" i="22" s="1"/>
  <c r="W427" i="22"/>
  <c r="AW427" i="22" s="1"/>
  <c r="I27" i="21"/>
  <c r="AG27" i="21" s="1"/>
  <c r="AC7" i="13"/>
  <c r="Y427" i="22" s="1"/>
  <c r="K28" i="21"/>
  <c r="E15" i="19"/>
  <c r="AU7" i="13"/>
  <c r="L28" i="21"/>
  <c r="I15" i="19"/>
  <c r="AU8" i="13"/>
  <c r="AC9" i="13"/>
  <c r="Y429" i="22" s="1"/>
  <c r="M28" i="21"/>
  <c r="Q16" i="19"/>
  <c r="AU9" i="13"/>
  <c r="N28" i="21"/>
  <c r="U14" i="19"/>
  <c r="AU10" i="13"/>
  <c r="AC11" i="13"/>
  <c r="Y431" i="22" s="1"/>
  <c r="O28" i="21"/>
  <c r="AC17" i="19"/>
  <c r="AU11" i="13"/>
  <c r="P28" i="21"/>
  <c r="C26" i="19"/>
  <c r="AU12" i="13"/>
  <c r="AC13" i="13"/>
  <c r="Y433" i="22" s="1"/>
  <c r="Q28" i="21"/>
  <c r="K31" i="19"/>
  <c r="AU13" i="13"/>
  <c r="R28" i="21"/>
  <c r="Q25" i="19"/>
  <c r="AU14" i="13"/>
  <c r="AC15" i="13"/>
  <c r="Y435" i="22" s="1"/>
  <c r="S28" i="21"/>
  <c r="AU15" i="13"/>
  <c r="T28" i="21"/>
  <c r="AC26" i="19"/>
  <c r="AU16" i="13"/>
  <c r="AC17" i="13"/>
  <c r="Y437" i="22" s="1"/>
  <c r="U28" i="21"/>
  <c r="C43" i="19"/>
  <c r="AU17" i="13"/>
  <c r="V28" i="21"/>
  <c r="K40" i="19"/>
  <c r="AU18" i="13"/>
  <c r="AC19" i="13"/>
  <c r="Y439" i="22" s="1"/>
  <c r="O42" i="19"/>
  <c r="AU19" i="13"/>
  <c r="AC21" i="13"/>
  <c r="Y441" i="22" s="1"/>
  <c r="AR21" i="13"/>
  <c r="G27" i="21" s="1"/>
  <c r="AA27" i="21" s="1"/>
  <c r="AC23" i="13"/>
  <c r="Y443" i="22" s="1"/>
  <c r="AC25" i="13"/>
  <c r="Y445" i="22" s="1"/>
  <c r="AC27" i="13"/>
  <c r="Y447" i="22" s="1"/>
  <c r="AC29" i="13"/>
  <c r="Y449" i="22" s="1"/>
  <c r="AC31" i="13"/>
  <c r="Y451" i="22" s="1"/>
  <c r="AC33" i="13"/>
  <c r="Y453" i="22" s="1"/>
  <c r="AC35" i="13"/>
  <c r="Y455" i="22" s="1"/>
  <c r="AC37" i="13"/>
  <c r="Y457" i="22" s="1"/>
  <c r="AC39" i="13"/>
  <c r="Y459" i="22" s="1"/>
  <c r="AC41" i="13"/>
  <c r="Y461" i="22" s="1"/>
  <c r="AC43" i="13"/>
  <c r="Y463" i="22" s="1"/>
  <c r="AC45" i="13"/>
  <c r="Y465" i="22" s="1"/>
  <c r="AC47" i="13"/>
  <c r="Y467" i="22" s="1"/>
  <c r="I7" i="14"/>
  <c r="G469" i="22" s="1"/>
  <c r="AG469" i="22" s="1"/>
  <c r="AB7" i="14"/>
  <c r="X469" i="22" s="1"/>
  <c r="AS7" i="14"/>
  <c r="I9" i="14"/>
  <c r="G471" i="22" s="1"/>
  <c r="AG471" i="22" s="1"/>
  <c r="AB9" i="14"/>
  <c r="X471" i="22" s="1"/>
  <c r="I11" i="14"/>
  <c r="G473" i="22" s="1"/>
  <c r="AG473" i="22" s="1"/>
  <c r="AB11" i="14"/>
  <c r="X473" i="22" s="1"/>
  <c r="I13" i="14"/>
  <c r="G475" i="22" s="1"/>
  <c r="AG475" i="22" s="1"/>
  <c r="AB13" i="14"/>
  <c r="X475" i="22" s="1"/>
  <c r="I15" i="14"/>
  <c r="G477" i="22" s="1"/>
  <c r="AG477" i="22" s="1"/>
  <c r="AB15" i="14"/>
  <c r="X477" i="22" s="1"/>
  <c r="I17" i="14"/>
  <c r="G479" i="22" s="1"/>
  <c r="AG479" i="22" s="1"/>
  <c r="AB17" i="14"/>
  <c r="X479" i="22" s="1"/>
  <c r="I19" i="14"/>
  <c r="G481" i="22" s="1"/>
  <c r="AG481" i="22" s="1"/>
  <c r="AB19" i="14"/>
  <c r="X481" i="22" s="1"/>
  <c r="I21" i="14"/>
  <c r="G483" i="22" s="1"/>
  <c r="AG483" i="22" s="1"/>
  <c r="AB21" i="14"/>
  <c r="X483" i="22" s="1"/>
  <c r="I23" i="14"/>
  <c r="G485" i="22" s="1"/>
  <c r="AG485" i="22" s="1"/>
  <c r="AB23" i="14"/>
  <c r="X485" i="22" s="1"/>
  <c r="I25" i="14"/>
  <c r="G487" i="22" s="1"/>
  <c r="AG487" i="22" s="1"/>
  <c r="AB25" i="14"/>
  <c r="X487" i="22" s="1"/>
  <c r="I27" i="14"/>
  <c r="G489" i="22" s="1"/>
  <c r="AG489" i="22" s="1"/>
  <c r="AB27" i="14"/>
  <c r="X489" i="22" s="1"/>
  <c r="I29" i="14"/>
  <c r="G491" i="22" s="1"/>
  <c r="AG491" i="22" s="1"/>
  <c r="AB29" i="14"/>
  <c r="X491" i="22" s="1"/>
  <c r="I31" i="14"/>
  <c r="G493" i="22" s="1"/>
  <c r="AG493" i="22" s="1"/>
  <c r="AB31" i="14"/>
  <c r="X493" i="22" s="1"/>
  <c r="I33" i="14"/>
  <c r="G495" i="22" s="1"/>
  <c r="AG495" i="22" s="1"/>
  <c r="AB33" i="14"/>
  <c r="X495" i="22" s="1"/>
  <c r="I35" i="14"/>
  <c r="G497" i="22" s="1"/>
  <c r="AG497" i="22" s="1"/>
  <c r="AB35" i="14"/>
  <c r="X497" i="22" s="1"/>
  <c r="I37" i="14"/>
  <c r="G499" i="22" s="1"/>
  <c r="AG499" i="22" s="1"/>
  <c r="AB37" i="14"/>
  <c r="X499" i="22" s="1"/>
  <c r="I39" i="14"/>
  <c r="G501" i="22" s="1"/>
  <c r="AG501" i="22" s="1"/>
  <c r="AB39" i="14"/>
  <c r="X501" i="22" s="1"/>
  <c r="I41" i="14"/>
  <c r="G503" i="22" s="1"/>
  <c r="AG503" i="22" s="1"/>
  <c r="AB41" i="14"/>
  <c r="X503" i="22" s="1"/>
  <c r="I43" i="14"/>
  <c r="G505" i="22" s="1"/>
  <c r="AG505" i="22" s="1"/>
  <c r="AB43" i="14"/>
  <c r="X505" i="22" s="1"/>
  <c r="I45" i="14"/>
  <c r="G507" i="22" s="1"/>
  <c r="AG507" i="22" s="1"/>
  <c r="AB45" i="14"/>
  <c r="X507" i="22" s="1"/>
  <c r="I47" i="14"/>
  <c r="G509" i="22" s="1"/>
  <c r="AG509" i="22" s="1"/>
  <c r="AB47" i="14"/>
  <c r="X509" i="22" s="1"/>
  <c r="W511" i="22"/>
  <c r="AW511" i="22" s="1"/>
  <c r="I31" i="21"/>
  <c r="AG31" i="21" s="1"/>
  <c r="AC7" i="15"/>
  <c r="Y511" i="22" s="1"/>
  <c r="K32" i="21"/>
  <c r="E14" i="19"/>
  <c r="AU7" i="15"/>
  <c r="L32" i="21"/>
  <c r="I16" i="19"/>
  <c r="AU8" i="15"/>
  <c r="AC9" i="15"/>
  <c r="Y513" i="22" s="1"/>
  <c r="M32" i="21"/>
  <c r="Q15" i="19"/>
  <c r="AU9" i="15"/>
  <c r="N32" i="21"/>
  <c r="U15" i="19"/>
  <c r="AU10" i="15"/>
  <c r="AC11" i="15"/>
  <c r="Y515" i="22" s="1"/>
  <c r="O32" i="21"/>
  <c r="AC16" i="19"/>
  <c r="AU11" i="15"/>
  <c r="P32" i="21"/>
  <c r="C27" i="19"/>
  <c r="AU12" i="15"/>
  <c r="AC13" i="15"/>
  <c r="Y517" i="22" s="1"/>
  <c r="Q32" i="21"/>
  <c r="K30" i="19"/>
  <c r="AU13" i="15"/>
  <c r="R32" i="21"/>
  <c r="O26" i="19"/>
  <c r="AU14" i="15"/>
  <c r="AC15" i="15"/>
  <c r="Y519" i="22" s="1"/>
  <c r="S32" i="21"/>
  <c r="AU15" i="15"/>
  <c r="T32" i="21"/>
  <c r="AC25" i="19"/>
  <c r="AU16" i="15"/>
  <c r="AC17" i="15"/>
  <c r="Y521" i="22" s="1"/>
  <c r="U32" i="21"/>
  <c r="C44" i="19"/>
  <c r="AU17" i="15"/>
  <c r="V32" i="21"/>
  <c r="K39" i="19"/>
  <c r="AU18" i="15"/>
  <c r="AC19" i="15"/>
  <c r="Y523" i="22" s="1"/>
  <c r="W32" i="21"/>
  <c r="O43" i="19"/>
  <c r="AU19" i="15"/>
  <c r="AC21" i="15"/>
  <c r="Y525" i="22" s="1"/>
  <c r="AR21" i="15"/>
  <c r="G31" i="21" s="1"/>
  <c r="AA31" i="21" s="1"/>
  <c r="AC23" i="15"/>
  <c r="Y527" i="22" s="1"/>
  <c r="AC25" i="15"/>
  <c r="Y529" i="22" s="1"/>
  <c r="AC27" i="15"/>
  <c r="Y531" i="22" s="1"/>
  <c r="AC29" i="15"/>
  <c r="Y533" i="22" s="1"/>
  <c r="AC31" i="15"/>
  <c r="Y535" i="22" s="1"/>
  <c r="AC33" i="15"/>
  <c r="Y537" i="22" s="1"/>
  <c r="AC35" i="15"/>
  <c r="Y539" i="22" s="1"/>
  <c r="AC37" i="15"/>
  <c r="Y541" i="22" s="1"/>
  <c r="AC39" i="15"/>
  <c r="Y543" i="22" s="1"/>
  <c r="AC41" i="15"/>
  <c r="Y545" i="22" s="1"/>
  <c r="AC43" i="15"/>
  <c r="Y547" i="22" s="1"/>
  <c r="AC45" i="15"/>
  <c r="Y549" i="22" s="1"/>
  <c r="AC47" i="15"/>
  <c r="Y551" i="22" s="1"/>
  <c r="I7" i="16"/>
  <c r="G553" i="22" s="1"/>
  <c r="AG553" i="22" s="1"/>
  <c r="AB7" i="16"/>
  <c r="X553" i="22" s="1"/>
  <c r="AS7" i="16"/>
  <c r="AS21" i="16" s="1"/>
  <c r="H33" i="21" s="1"/>
  <c r="AB33" i="21" s="1"/>
  <c r="I9" i="16"/>
  <c r="G555" i="22" s="1"/>
  <c r="AG555" i="22" s="1"/>
  <c r="AB9" i="16"/>
  <c r="X555" i="22" s="1"/>
  <c r="I11" i="16"/>
  <c r="G557" i="22" s="1"/>
  <c r="AG557" i="22" s="1"/>
  <c r="AB11" i="16"/>
  <c r="X557" i="22" s="1"/>
  <c r="I13" i="16"/>
  <c r="G559" i="22" s="1"/>
  <c r="AG559" i="22" s="1"/>
  <c r="AB13" i="16"/>
  <c r="X559" i="22" s="1"/>
  <c r="I15" i="16"/>
  <c r="G561" i="22" s="1"/>
  <c r="AG561" i="22" s="1"/>
  <c r="AB15" i="16"/>
  <c r="X561" i="22" s="1"/>
  <c r="I17" i="16"/>
  <c r="G563" i="22" s="1"/>
  <c r="AG563" i="22" s="1"/>
  <c r="AB17" i="16"/>
  <c r="X563" i="22" s="1"/>
  <c r="I19" i="16"/>
  <c r="G565" i="22" s="1"/>
  <c r="AG565" i="22" s="1"/>
  <c r="AB19" i="16"/>
  <c r="X565" i="22" s="1"/>
  <c r="I21" i="16"/>
  <c r="G567" i="22" s="1"/>
  <c r="AG567" i="22" s="1"/>
  <c r="AB21" i="16"/>
  <c r="X567" i="22" s="1"/>
  <c r="I23" i="16"/>
  <c r="G569" i="22" s="1"/>
  <c r="AG569" i="22" s="1"/>
  <c r="AB23" i="16"/>
  <c r="X569" i="22" s="1"/>
  <c r="I25" i="16"/>
  <c r="G571" i="22" s="1"/>
  <c r="AG571" i="22" s="1"/>
  <c r="AB25" i="16"/>
  <c r="X571" i="22" s="1"/>
  <c r="I27" i="16"/>
  <c r="G573" i="22" s="1"/>
  <c r="AG573" i="22" s="1"/>
  <c r="AB27" i="16"/>
  <c r="X573" i="22" s="1"/>
  <c r="I29" i="16"/>
  <c r="G575" i="22" s="1"/>
  <c r="AG575" i="22" s="1"/>
  <c r="AB29" i="16"/>
  <c r="X575" i="22" s="1"/>
  <c r="I31" i="16"/>
  <c r="G577" i="22" s="1"/>
  <c r="AG577" i="22" s="1"/>
  <c r="AB31" i="16"/>
  <c r="X577" i="22" s="1"/>
  <c r="I33" i="16"/>
  <c r="G579" i="22" s="1"/>
  <c r="AG579" i="22" s="1"/>
  <c r="AB33" i="16"/>
  <c r="X579" i="22" s="1"/>
  <c r="I35" i="16"/>
  <c r="G581" i="22" s="1"/>
  <c r="AG581" i="22" s="1"/>
  <c r="AB35" i="16"/>
  <c r="X581" i="22" s="1"/>
  <c r="I37" i="16"/>
  <c r="G583" i="22" s="1"/>
  <c r="AG583" i="22" s="1"/>
  <c r="AB37" i="16"/>
  <c r="X583" i="22" s="1"/>
  <c r="I39" i="16"/>
  <c r="G585" i="22" s="1"/>
  <c r="AG585" i="22" s="1"/>
  <c r="AB39" i="16"/>
  <c r="X585" i="22" s="1"/>
  <c r="I41" i="16"/>
  <c r="G587" i="22" s="1"/>
  <c r="AG587" i="22" s="1"/>
  <c r="AB41" i="16"/>
  <c r="X587" i="22" s="1"/>
  <c r="I43" i="16"/>
  <c r="G589" i="22" s="1"/>
  <c r="AG589" i="22" s="1"/>
  <c r="AB43" i="16"/>
  <c r="X589" i="22" s="1"/>
  <c r="I45" i="16"/>
  <c r="G591" i="22" s="1"/>
  <c r="AG591" i="22" s="1"/>
  <c r="AB45" i="16"/>
  <c r="X591" i="22" s="1"/>
  <c r="I47" i="16"/>
  <c r="G593" i="22" s="1"/>
  <c r="AG593" i="22" s="1"/>
  <c r="AB47" i="16"/>
  <c r="X593" i="22" s="1"/>
  <c r="AS21" i="14" l="1"/>
  <c r="H29" i="21" s="1"/>
  <c r="AB29" i="21" s="1"/>
  <c r="C29" i="21"/>
  <c r="AD29" i="21" s="1"/>
  <c r="C7" i="21"/>
  <c r="AD7" i="21" s="1"/>
  <c r="C19" i="21"/>
  <c r="AD19" i="21" s="1"/>
  <c r="C21" i="21"/>
  <c r="AD21" i="21" s="1"/>
  <c r="AS21" i="13"/>
  <c r="H27" i="21" s="1"/>
  <c r="AB27" i="21" s="1"/>
  <c r="C23" i="21"/>
  <c r="AD23" i="21" s="1"/>
  <c r="AS21" i="11"/>
  <c r="H23" i="21" s="1"/>
  <c r="AB23" i="21" s="1"/>
  <c r="C31" i="21"/>
  <c r="AD31" i="21" s="1"/>
  <c r="C33" i="21"/>
  <c r="AD33" i="21" s="1"/>
  <c r="C13" i="21"/>
  <c r="AD13" i="21" s="1"/>
  <c r="K16" i="21"/>
  <c r="C25" i="21"/>
  <c r="AD25" i="21" s="1"/>
  <c r="C17" i="21"/>
  <c r="AD17" i="21" s="1"/>
  <c r="C15" i="21"/>
  <c r="AD15" i="21" s="1"/>
  <c r="C9" i="21"/>
  <c r="AD9" i="21" s="1"/>
  <c r="AS21" i="12"/>
  <c r="H25" i="21" s="1"/>
  <c r="AB25" i="21" s="1"/>
  <c r="AS21" i="5"/>
  <c r="H11" i="21" s="1"/>
  <c r="AB11" i="21" s="1"/>
  <c r="AX593" i="22"/>
  <c r="AB593" i="22"/>
  <c r="AX589" i="22"/>
  <c r="AB589" i="22"/>
  <c r="AX587" i="22"/>
  <c r="AB587" i="22"/>
  <c r="AX585" i="22"/>
  <c r="AB585" i="22"/>
  <c r="AX583" i="22"/>
  <c r="AB583" i="22"/>
  <c r="AX581" i="22"/>
  <c r="AB581" i="22"/>
  <c r="AX579" i="22"/>
  <c r="AB579" i="22"/>
  <c r="AX577" i="22"/>
  <c r="AB577" i="22"/>
  <c r="AX575" i="22"/>
  <c r="AB575" i="22"/>
  <c r="AX573" i="22"/>
  <c r="AB573" i="22"/>
  <c r="AX571" i="22"/>
  <c r="AB571" i="22"/>
  <c r="AX569" i="22"/>
  <c r="AB569" i="22"/>
  <c r="AX567" i="22"/>
  <c r="AB567" i="22"/>
  <c r="AX565" i="22"/>
  <c r="AB565" i="22"/>
  <c r="AX563" i="22"/>
  <c r="AB563" i="22"/>
  <c r="AX561" i="22"/>
  <c r="AB561" i="22"/>
  <c r="AX559" i="22"/>
  <c r="AB559" i="22"/>
  <c r="AX557" i="22"/>
  <c r="AB557" i="22"/>
  <c r="AX555" i="22"/>
  <c r="AB555" i="22"/>
  <c r="AY549" i="22"/>
  <c r="AA549" i="22"/>
  <c r="AY545" i="22"/>
  <c r="AA545" i="22"/>
  <c r="AY541" i="22"/>
  <c r="AA541" i="22"/>
  <c r="AY537" i="22"/>
  <c r="AA537" i="22"/>
  <c r="AY533" i="22"/>
  <c r="AA533" i="22"/>
  <c r="AY529" i="22"/>
  <c r="AA529" i="22"/>
  <c r="AY521" i="22"/>
  <c r="AA521" i="22"/>
  <c r="AY519" i="22"/>
  <c r="AA519" i="22"/>
  <c r="AY515" i="22"/>
  <c r="AA515" i="22"/>
  <c r="AY511" i="22"/>
  <c r="AA511" i="22"/>
  <c r="AX469" i="22"/>
  <c r="AB469" i="22"/>
  <c r="AY467" i="22"/>
  <c r="AA467" i="22"/>
  <c r="AY463" i="22"/>
  <c r="AA463" i="22"/>
  <c r="AY459" i="22"/>
  <c r="AA459" i="22"/>
  <c r="AY455" i="22"/>
  <c r="AA455" i="22"/>
  <c r="AY451" i="22"/>
  <c r="AA451" i="22"/>
  <c r="AY447" i="22"/>
  <c r="AA447" i="22"/>
  <c r="AY443" i="22"/>
  <c r="AA443" i="22"/>
  <c r="AY441" i="22"/>
  <c r="AA441" i="22"/>
  <c r="AY439" i="22"/>
  <c r="AA439" i="22"/>
  <c r="AY433" i="22"/>
  <c r="AA433" i="22"/>
  <c r="AY429" i="22"/>
  <c r="AA429" i="22"/>
  <c r="AU21" i="13"/>
  <c r="AB425" i="22"/>
  <c r="AX425" i="22"/>
  <c r="AX423" i="22"/>
  <c r="AB423" i="22"/>
  <c r="AB421" i="22"/>
  <c r="AX421" i="22"/>
  <c r="AX419" i="22"/>
  <c r="AB419" i="22"/>
  <c r="AB417" i="22"/>
  <c r="AX417" i="22"/>
  <c r="AX415" i="22"/>
  <c r="AB415" i="22"/>
  <c r="AB413" i="22"/>
  <c r="AX413" i="22"/>
  <c r="AX411" i="22"/>
  <c r="AB411" i="22"/>
  <c r="AB409" i="22"/>
  <c r="AX409" i="22"/>
  <c r="AX407" i="22"/>
  <c r="AB407" i="22"/>
  <c r="AB405" i="22"/>
  <c r="AX405" i="22"/>
  <c r="AX403" i="22"/>
  <c r="AB403" i="22"/>
  <c r="AB401" i="22"/>
  <c r="AX401" i="22"/>
  <c r="AX399" i="22"/>
  <c r="AB399" i="22"/>
  <c r="AB397" i="22"/>
  <c r="AX397" i="22"/>
  <c r="AX395" i="22"/>
  <c r="AB395" i="22"/>
  <c r="AB393" i="22"/>
  <c r="AX393" i="22"/>
  <c r="AX391" i="22"/>
  <c r="AB391" i="22"/>
  <c r="AB389" i="22"/>
  <c r="AX389" i="22"/>
  <c r="AX387" i="22"/>
  <c r="AB387" i="22"/>
  <c r="AY381" i="22"/>
  <c r="AA381" i="22"/>
  <c r="AY377" i="22"/>
  <c r="AA377" i="22"/>
  <c r="AY373" i="22"/>
  <c r="AA373" i="22"/>
  <c r="AY369" i="22"/>
  <c r="AA369" i="22"/>
  <c r="AY365" i="22"/>
  <c r="AA365" i="22"/>
  <c r="AY361" i="22"/>
  <c r="AA361" i="22"/>
  <c r="AY355" i="22"/>
  <c r="AA355" i="22"/>
  <c r="AY351" i="22"/>
  <c r="AA351" i="22"/>
  <c r="AY347" i="22"/>
  <c r="AA347" i="22"/>
  <c r="AY343" i="22"/>
  <c r="AA343" i="22"/>
  <c r="AX301" i="22"/>
  <c r="AB301" i="22"/>
  <c r="AY299" i="22"/>
  <c r="AA299" i="22"/>
  <c r="AY295" i="22"/>
  <c r="AA295" i="22"/>
  <c r="AY291" i="22"/>
  <c r="AA291" i="22"/>
  <c r="AY287" i="22"/>
  <c r="AA287" i="22"/>
  <c r="AY283" i="22"/>
  <c r="AA283" i="22"/>
  <c r="AY279" i="22"/>
  <c r="AA279" i="22"/>
  <c r="AY275" i="22"/>
  <c r="AA275" i="22"/>
  <c r="AY273" i="22"/>
  <c r="AA273" i="22"/>
  <c r="AY271" i="22"/>
  <c r="AA271" i="22"/>
  <c r="AY267" i="22"/>
  <c r="AA267" i="22"/>
  <c r="AY261" i="22"/>
  <c r="AA261" i="22"/>
  <c r="AY259" i="22"/>
  <c r="AA259" i="22"/>
  <c r="AX217" i="22"/>
  <c r="AB217" i="22"/>
  <c r="AY215" i="22"/>
  <c r="AA215" i="22"/>
  <c r="AY211" i="22"/>
  <c r="AA211" i="22"/>
  <c r="AY207" i="22"/>
  <c r="AA207" i="22"/>
  <c r="AY203" i="22"/>
  <c r="AA203" i="22"/>
  <c r="AY199" i="22"/>
  <c r="AA199" i="22"/>
  <c r="AY195" i="22"/>
  <c r="AA195" i="22"/>
  <c r="AY191" i="22"/>
  <c r="AA191" i="22"/>
  <c r="AY189" i="22"/>
  <c r="AA189" i="22"/>
  <c r="AY187" i="22"/>
  <c r="AA187" i="22"/>
  <c r="AY181" i="22"/>
  <c r="AA181" i="22"/>
  <c r="AY179" i="22"/>
  <c r="AA179" i="22"/>
  <c r="AY175" i="22"/>
  <c r="AA175" i="22"/>
  <c r="AX133" i="22"/>
  <c r="AB133" i="22"/>
  <c r="AY131" i="22"/>
  <c r="AA131" i="22"/>
  <c r="AY127" i="22"/>
  <c r="AA127" i="22"/>
  <c r="AY123" i="22"/>
  <c r="AA123" i="22"/>
  <c r="AY119" i="22"/>
  <c r="AA119" i="22"/>
  <c r="AY115" i="22"/>
  <c r="AA115" i="22"/>
  <c r="AY111" i="22"/>
  <c r="AA111" i="22"/>
  <c r="AY107" i="22"/>
  <c r="AA107" i="22"/>
  <c r="AY105" i="22"/>
  <c r="AA105" i="22"/>
  <c r="AY103" i="22"/>
  <c r="AA103" i="22"/>
  <c r="AY99" i="22"/>
  <c r="AA99" i="22"/>
  <c r="AY97" i="22"/>
  <c r="AA97" i="22"/>
  <c r="AY93" i="22"/>
  <c r="AA93" i="22"/>
  <c r="AU21" i="5"/>
  <c r="AX89" i="22"/>
  <c r="AB89" i="22"/>
  <c r="AX87" i="22"/>
  <c r="AB87" i="22"/>
  <c r="AX85" i="22"/>
  <c r="AB85" i="22"/>
  <c r="AX83" i="22"/>
  <c r="AB83" i="22"/>
  <c r="AX81" i="22"/>
  <c r="AB81" i="22"/>
  <c r="AX79" i="22"/>
  <c r="AB79" i="22"/>
  <c r="AX77" i="22"/>
  <c r="AB77" i="22"/>
  <c r="AX75" i="22"/>
  <c r="AB75" i="22"/>
  <c r="AX73" i="22"/>
  <c r="AB73" i="22"/>
  <c r="AX71" i="22"/>
  <c r="AB71" i="22"/>
  <c r="AX69" i="22"/>
  <c r="AB69" i="22"/>
  <c r="AX67" i="22"/>
  <c r="AB67" i="22"/>
  <c r="AX65" i="22"/>
  <c r="AB65" i="22"/>
  <c r="AX63" i="22"/>
  <c r="AB63" i="22"/>
  <c r="AX61" i="22"/>
  <c r="AB61" i="22"/>
  <c r="AX59" i="22"/>
  <c r="AB59" i="22"/>
  <c r="AX57" i="22"/>
  <c r="AB57" i="22"/>
  <c r="AX55" i="22"/>
  <c r="AB55" i="22"/>
  <c r="AX53" i="22"/>
  <c r="AB53" i="22"/>
  <c r="AX51" i="22"/>
  <c r="AB51" i="22"/>
  <c r="AY45" i="22"/>
  <c r="AA45" i="22"/>
  <c r="AY41" i="22"/>
  <c r="AA41" i="22"/>
  <c r="AY37" i="22"/>
  <c r="AA37" i="22"/>
  <c r="AY33" i="22"/>
  <c r="AA33" i="22"/>
  <c r="AY29" i="22"/>
  <c r="AA29" i="22"/>
  <c r="AY25" i="22"/>
  <c r="AA25" i="22"/>
  <c r="AA7" i="21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AY17" i="22"/>
  <c r="AA17" i="22"/>
  <c r="AY13" i="22"/>
  <c r="AA13" i="22"/>
  <c r="AY11" i="22"/>
  <c r="AA11" i="22"/>
  <c r="AY7" i="22"/>
  <c r="AA7" i="22"/>
  <c r="AC343" i="18"/>
  <c r="AC341" i="18"/>
  <c r="AC339" i="18"/>
  <c r="AC337" i="18"/>
  <c r="AC335" i="18"/>
  <c r="AC333" i="18"/>
  <c r="AC331" i="18"/>
  <c r="AC329" i="18"/>
  <c r="AC327" i="18"/>
  <c r="AC325" i="18"/>
  <c r="AC323" i="18"/>
  <c r="AC321" i="18"/>
  <c r="AC319" i="18"/>
  <c r="AC317" i="18"/>
  <c r="AC315" i="18"/>
  <c r="AC313" i="18"/>
  <c r="AC311" i="18"/>
  <c r="AC309" i="18"/>
  <c r="AC307" i="18"/>
  <c r="AC305" i="18"/>
  <c r="AC303" i="18"/>
  <c r="AC340" i="18"/>
  <c r="AC336" i="18"/>
  <c r="AC332" i="18"/>
  <c r="AC342" i="18"/>
  <c r="AC338" i="18"/>
  <c r="AC334" i="18"/>
  <c r="AC330" i="18"/>
  <c r="AC326" i="18"/>
  <c r="AC322" i="18"/>
  <c r="AC318" i="18"/>
  <c r="AC314" i="18"/>
  <c r="AC310" i="18"/>
  <c r="AC306" i="18"/>
  <c r="AC302" i="18"/>
  <c r="AC301" i="18"/>
  <c r="AC299" i="18"/>
  <c r="AC297" i="18"/>
  <c r="AC295" i="18"/>
  <c r="AC293" i="18"/>
  <c r="AC291" i="18"/>
  <c r="AC289" i="18"/>
  <c r="AC287" i="18"/>
  <c r="AC285" i="18"/>
  <c r="AC283" i="18"/>
  <c r="AC281" i="18"/>
  <c r="AC279" i="18"/>
  <c r="AC277" i="18"/>
  <c r="AC275" i="18"/>
  <c r="AC273" i="18"/>
  <c r="AC271" i="18"/>
  <c r="AC269" i="18"/>
  <c r="AC267" i="18"/>
  <c r="AC265" i="18"/>
  <c r="AC263" i="18"/>
  <c r="AC261" i="18"/>
  <c r="AC259" i="18"/>
  <c r="AC257" i="18"/>
  <c r="AC255" i="18"/>
  <c r="AC253" i="18"/>
  <c r="AC251" i="18"/>
  <c r="AC249" i="18"/>
  <c r="AC247" i="18"/>
  <c r="AC245" i="18"/>
  <c r="AC243" i="18"/>
  <c r="AC241" i="18"/>
  <c r="AC239" i="18"/>
  <c r="AC237" i="18"/>
  <c r="AC235" i="18"/>
  <c r="AC233" i="18"/>
  <c r="AC231" i="18"/>
  <c r="AC229" i="18"/>
  <c r="AC227" i="18"/>
  <c r="AC225" i="18"/>
  <c r="AC223" i="18"/>
  <c r="AC221" i="18"/>
  <c r="AC219" i="18"/>
  <c r="AC217" i="18"/>
  <c r="AC215" i="18"/>
  <c r="AC213" i="18"/>
  <c r="AC211" i="18"/>
  <c r="AC209" i="18"/>
  <c r="AC207" i="18"/>
  <c r="AC205" i="18"/>
  <c r="AC203" i="18"/>
  <c r="AC201" i="18"/>
  <c r="AC199" i="18"/>
  <c r="AC328" i="18"/>
  <c r="AC320" i="18"/>
  <c r="AC312" i="18"/>
  <c r="AC304" i="18"/>
  <c r="AC300" i="18"/>
  <c r="AC296" i="18"/>
  <c r="AC292" i="18"/>
  <c r="AC288" i="18"/>
  <c r="AC284" i="18"/>
  <c r="AC280" i="18"/>
  <c r="AC276" i="18"/>
  <c r="AC272" i="18"/>
  <c r="AC268" i="18"/>
  <c r="AC264" i="18"/>
  <c r="AC260" i="18"/>
  <c r="AC256" i="18"/>
  <c r="AC252" i="18"/>
  <c r="AC248" i="18"/>
  <c r="AC244" i="18"/>
  <c r="AC240" i="18"/>
  <c r="AC236" i="18"/>
  <c r="AC232" i="18"/>
  <c r="AC228" i="18"/>
  <c r="AC224" i="18"/>
  <c r="AC220" i="18"/>
  <c r="AC216" i="18"/>
  <c r="AC212" i="18"/>
  <c r="AC208" i="18"/>
  <c r="AC204" i="18"/>
  <c r="AC200" i="18"/>
  <c r="AC197" i="18"/>
  <c r="AC195" i="18"/>
  <c r="AC324" i="18"/>
  <c r="AC316" i="18"/>
  <c r="AC308" i="18"/>
  <c r="AC298" i="18"/>
  <c r="AC294" i="18"/>
  <c r="AC290" i="18"/>
  <c r="AC286" i="18"/>
  <c r="AC282" i="18"/>
  <c r="AC278" i="18"/>
  <c r="AC274" i="18"/>
  <c r="AC270" i="18"/>
  <c r="AC266" i="18"/>
  <c r="AC262" i="18"/>
  <c r="AC258" i="18"/>
  <c r="AC254" i="18"/>
  <c r="AC250" i="18"/>
  <c r="AC246" i="18"/>
  <c r="AC242" i="18"/>
  <c r="AC238" i="18"/>
  <c r="AC234" i="18"/>
  <c r="AC230" i="18"/>
  <c r="AC226" i="18"/>
  <c r="AC222" i="18"/>
  <c r="AC218" i="18"/>
  <c r="AC214" i="18"/>
  <c r="AC210" i="18"/>
  <c r="AC206" i="18"/>
  <c r="AC202" i="18"/>
  <c r="AC198" i="18"/>
  <c r="AC196" i="18"/>
  <c r="AC194" i="18"/>
  <c r="AC192" i="18"/>
  <c r="AC190" i="18"/>
  <c r="AC188" i="18"/>
  <c r="AC186" i="18"/>
  <c r="AC184" i="18"/>
  <c r="AC182" i="18"/>
  <c r="AC180" i="18"/>
  <c r="AC178" i="18"/>
  <c r="AC176" i="18"/>
  <c r="AC174" i="18"/>
  <c r="AC172" i="18"/>
  <c r="AC170" i="18"/>
  <c r="AC168" i="18"/>
  <c r="AC166" i="18"/>
  <c r="AC164" i="18"/>
  <c r="AC162" i="18"/>
  <c r="AC160" i="18"/>
  <c r="AC158" i="18"/>
  <c r="AC156" i="18"/>
  <c r="AC154" i="18"/>
  <c r="AC152" i="18"/>
  <c r="AC150" i="18"/>
  <c r="AC148" i="18"/>
  <c r="AC146" i="18"/>
  <c r="AC144" i="18"/>
  <c r="AC142" i="18"/>
  <c r="AC140" i="18"/>
  <c r="AC138" i="18"/>
  <c r="AC136" i="18"/>
  <c r="AC134" i="18"/>
  <c r="AC132" i="18"/>
  <c r="AC130" i="18"/>
  <c r="AC128" i="18"/>
  <c r="AC126" i="18"/>
  <c r="AC124" i="18"/>
  <c r="AC122" i="18"/>
  <c r="AC120" i="18"/>
  <c r="AC118" i="18"/>
  <c r="AC116" i="18"/>
  <c r="AC114" i="18"/>
  <c r="AC112" i="18"/>
  <c r="AC110" i="18"/>
  <c r="AC109" i="18"/>
  <c r="AC107" i="18"/>
  <c r="AC105" i="18"/>
  <c r="AC103" i="18"/>
  <c r="AC101" i="18"/>
  <c r="AC99" i="18"/>
  <c r="AC97" i="18"/>
  <c r="AC95" i="18"/>
  <c r="AC93" i="18"/>
  <c r="AC91" i="18"/>
  <c r="AC89" i="18"/>
  <c r="AC87" i="18"/>
  <c r="AC85" i="18"/>
  <c r="AC83" i="18"/>
  <c r="AC81" i="18"/>
  <c r="AC79" i="18"/>
  <c r="AC77" i="18"/>
  <c r="AC75" i="18"/>
  <c r="AC73" i="18"/>
  <c r="AC71" i="18"/>
  <c r="AC69" i="18"/>
  <c r="AC193" i="18"/>
  <c r="AC191" i="18"/>
  <c r="AC189" i="18"/>
  <c r="AC187" i="18"/>
  <c r="AC185" i="18"/>
  <c r="AC183" i="18"/>
  <c r="AC181" i="18"/>
  <c r="AC179" i="18"/>
  <c r="AC177" i="18"/>
  <c r="AC175" i="18"/>
  <c r="AC173" i="18"/>
  <c r="AC171" i="18"/>
  <c r="AC169" i="18"/>
  <c r="AC167" i="18"/>
  <c r="AC165" i="18"/>
  <c r="AC163" i="18"/>
  <c r="AC161" i="18"/>
  <c r="AC159" i="18"/>
  <c r="AC157" i="18"/>
  <c r="AC155" i="18"/>
  <c r="AC153" i="18"/>
  <c r="AC151" i="18"/>
  <c r="AC149" i="18"/>
  <c r="AC147" i="18"/>
  <c r="AC145" i="18"/>
  <c r="AC143" i="18"/>
  <c r="AC141" i="18"/>
  <c r="AC139" i="18"/>
  <c r="AC137" i="18"/>
  <c r="AC135" i="18"/>
  <c r="AC133" i="18"/>
  <c r="AC131" i="18"/>
  <c r="AC129" i="18"/>
  <c r="AC127" i="18"/>
  <c r="AC125" i="18"/>
  <c r="AC123" i="18"/>
  <c r="AC121" i="18"/>
  <c r="AC119" i="18"/>
  <c r="AC117" i="18"/>
  <c r="AC115" i="18"/>
  <c r="AC113" i="18"/>
  <c r="AC111" i="18"/>
  <c r="AC108" i="18"/>
  <c r="AC106" i="18"/>
  <c r="AC104" i="18"/>
  <c r="AC102" i="18"/>
  <c r="AC100" i="18"/>
  <c r="AC98" i="18"/>
  <c r="AC96" i="18"/>
  <c r="AC94" i="18"/>
  <c r="AC92" i="18"/>
  <c r="AC90" i="18"/>
  <c r="AC88" i="18"/>
  <c r="AC86" i="18"/>
  <c r="AC84" i="18"/>
  <c r="AC82" i="18"/>
  <c r="AC80" i="18"/>
  <c r="AC78" i="18"/>
  <c r="AC76" i="18"/>
  <c r="AC74" i="18"/>
  <c r="AC72" i="18"/>
  <c r="AC70" i="18"/>
  <c r="AC68" i="18"/>
  <c r="AC65" i="18"/>
  <c r="AC63" i="18"/>
  <c r="AC61" i="18"/>
  <c r="AC59" i="18"/>
  <c r="AC57" i="18"/>
  <c r="AC55" i="18"/>
  <c r="AC53" i="18"/>
  <c r="AC51" i="18"/>
  <c r="AC49" i="18"/>
  <c r="AC47" i="18"/>
  <c r="AC45" i="18"/>
  <c r="AC43" i="18"/>
  <c r="AC41" i="18"/>
  <c r="AC39" i="18"/>
  <c r="AC37" i="18"/>
  <c r="AC35" i="18"/>
  <c r="AC33" i="18"/>
  <c r="AC31" i="18"/>
  <c r="AC29" i="18"/>
  <c r="AC27" i="18"/>
  <c r="AC25" i="18"/>
  <c r="AC23" i="18"/>
  <c r="AC21" i="18"/>
  <c r="AC19" i="18"/>
  <c r="AC17" i="18"/>
  <c r="AC15" i="18"/>
  <c r="AC13" i="18"/>
  <c r="AC11" i="18"/>
  <c r="AC9" i="18"/>
  <c r="AC67" i="18"/>
  <c r="AC66" i="18"/>
  <c r="AC64" i="18"/>
  <c r="AC62" i="18"/>
  <c r="AC60" i="18"/>
  <c r="AC58" i="18"/>
  <c r="AC56" i="18"/>
  <c r="AC54" i="18"/>
  <c r="AC52" i="18"/>
  <c r="AC50" i="18"/>
  <c r="AC48" i="18"/>
  <c r="AC46" i="18"/>
  <c r="AC44" i="18"/>
  <c r="AC42" i="18"/>
  <c r="AC40" i="18"/>
  <c r="AC38" i="18"/>
  <c r="AC36" i="18"/>
  <c r="AC34" i="18"/>
  <c r="AC32" i="18"/>
  <c r="AC30" i="18"/>
  <c r="AC28" i="18"/>
  <c r="AC26" i="18"/>
  <c r="AC24" i="18"/>
  <c r="AC22" i="18"/>
  <c r="AC20" i="18"/>
  <c r="AC18" i="18"/>
  <c r="AC16" i="18"/>
  <c r="AC14" i="18"/>
  <c r="AC12" i="18"/>
  <c r="AC10" i="18"/>
  <c r="AC8" i="18"/>
  <c r="AY137" i="22"/>
  <c r="AA137" i="22"/>
  <c r="AY133" i="22"/>
  <c r="AA133" i="22"/>
  <c r="AX91" i="22"/>
  <c r="AB91" i="22"/>
  <c r="AY89" i="22"/>
  <c r="AA89" i="22"/>
  <c r="AY85" i="22"/>
  <c r="AA85" i="22"/>
  <c r="AY81" i="22"/>
  <c r="AA81" i="22"/>
  <c r="AY77" i="22"/>
  <c r="AA77" i="22"/>
  <c r="AY73" i="22"/>
  <c r="AA73" i="22"/>
  <c r="AY69" i="22"/>
  <c r="AA69" i="22"/>
  <c r="AY65" i="22"/>
  <c r="AA65" i="22"/>
  <c r="AY63" i="22"/>
  <c r="AA63" i="22"/>
  <c r="AY61" i="22"/>
  <c r="AA61" i="22"/>
  <c r="AY57" i="22"/>
  <c r="AA57" i="22"/>
  <c r="AY53" i="22"/>
  <c r="AA53" i="22"/>
  <c r="AU21" i="4"/>
  <c r="K10" i="21"/>
  <c r="AX47" i="22"/>
  <c r="AB47" i="22"/>
  <c r="AX45" i="22"/>
  <c r="AB45" i="22"/>
  <c r="AX43" i="22"/>
  <c r="AB43" i="22"/>
  <c r="AX41" i="22"/>
  <c r="AB41" i="22"/>
  <c r="AX39" i="22"/>
  <c r="AB39" i="22"/>
  <c r="AX37" i="22"/>
  <c r="AB37" i="22"/>
  <c r="AX35" i="22"/>
  <c r="AB35" i="22"/>
  <c r="AX33" i="22"/>
  <c r="AB33" i="22"/>
  <c r="AX31" i="22"/>
  <c r="AB31" i="22"/>
  <c r="AX29" i="22"/>
  <c r="AB29" i="22"/>
  <c r="AX27" i="22"/>
  <c r="AB27" i="22"/>
  <c r="AX25" i="22"/>
  <c r="AB25" i="22"/>
  <c r="AX23" i="22"/>
  <c r="AB23" i="22"/>
  <c r="AX21" i="22"/>
  <c r="AB21" i="22"/>
  <c r="AX19" i="22"/>
  <c r="AB19" i="22"/>
  <c r="AX17" i="22"/>
  <c r="AB17" i="22"/>
  <c r="AX15" i="22"/>
  <c r="AB15" i="22"/>
  <c r="AX13" i="22"/>
  <c r="AB13" i="22"/>
  <c r="AX11" i="22"/>
  <c r="AB11" i="22"/>
  <c r="AX9" i="22"/>
  <c r="AB9" i="22"/>
  <c r="AY591" i="22"/>
  <c r="AA591" i="22"/>
  <c r="AY587" i="22"/>
  <c r="AA587" i="22"/>
  <c r="AY583" i="22"/>
  <c r="AA583" i="22"/>
  <c r="AY579" i="22"/>
  <c r="AA579" i="22"/>
  <c r="AY575" i="22"/>
  <c r="AA575" i="22"/>
  <c r="AY571" i="22"/>
  <c r="AA571" i="22"/>
  <c r="AY565" i="22"/>
  <c r="AA565" i="22"/>
  <c r="AY561" i="22"/>
  <c r="AA561" i="22"/>
  <c r="AY559" i="22"/>
  <c r="AA559" i="22"/>
  <c r="AY553" i="22"/>
  <c r="AA553" i="22"/>
  <c r="AX511" i="22"/>
  <c r="AB511" i="22"/>
  <c r="AY509" i="22"/>
  <c r="AA509" i="22"/>
  <c r="AY505" i="22"/>
  <c r="AA505" i="22"/>
  <c r="AY501" i="22"/>
  <c r="AA501" i="22"/>
  <c r="AY497" i="22"/>
  <c r="AA497" i="22"/>
  <c r="AY493" i="22"/>
  <c r="AA493" i="22"/>
  <c r="AY489" i="22"/>
  <c r="AA489" i="22"/>
  <c r="AY485" i="22"/>
  <c r="AA485" i="22"/>
  <c r="AY483" i="22"/>
  <c r="AA483" i="22"/>
  <c r="AY481" i="22"/>
  <c r="AA481" i="22"/>
  <c r="AY477" i="22"/>
  <c r="AA477" i="22"/>
  <c r="AY473" i="22"/>
  <c r="AA473" i="22"/>
  <c r="AY471" i="22"/>
  <c r="AA471" i="22"/>
  <c r="AU21" i="14"/>
  <c r="K30" i="21"/>
  <c r="AB467" i="22"/>
  <c r="AX467" i="22"/>
  <c r="AX465" i="22"/>
  <c r="AB465" i="22"/>
  <c r="AB463" i="22"/>
  <c r="AX463" i="22"/>
  <c r="AX461" i="22"/>
  <c r="AB461" i="22"/>
  <c r="AB459" i="22"/>
  <c r="AX459" i="22"/>
  <c r="AX457" i="22"/>
  <c r="AB457" i="22"/>
  <c r="AB455" i="22"/>
  <c r="AX455" i="22"/>
  <c r="AX453" i="22"/>
  <c r="AB453" i="22"/>
  <c r="AB451" i="22"/>
  <c r="AX451" i="22"/>
  <c r="AX449" i="22"/>
  <c r="AB449" i="22"/>
  <c r="AX447" i="22"/>
  <c r="AB447" i="22"/>
  <c r="AB445" i="22"/>
  <c r="AX445" i="22"/>
  <c r="AX443" i="22"/>
  <c r="AB443" i="22"/>
  <c r="AB441" i="22"/>
  <c r="AX441" i="22"/>
  <c r="AX439" i="22"/>
  <c r="AB439" i="22"/>
  <c r="AB437" i="22"/>
  <c r="AX437" i="22"/>
  <c r="AX435" i="22"/>
  <c r="AB435" i="22"/>
  <c r="AB433" i="22"/>
  <c r="AX433" i="22"/>
  <c r="AX431" i="22"/>
  <c r="AB431" i="22"/>
  <c r="AB429" i="22"/>
  <c r="AX429" i="22"/>
  <c r="AY423" i="22"/>
  <c r="AA423" i="22"/>
  <c r="AY419" i="22"/>
  <c r="AA419" i="22"/>
  <c r="AY415" i="22"/>
  <c r="AA415" i="22"/>
  <c r="AY411" i="22"/>
  <c r="AA411" i="22"/>
  <c r="AY407" i="22"/>
  <c r="AA407" i="22"/>
  <c r="AY403" i="22"/>
  <c r="AA403" i="22"/>
  <c r="AY395" i="22"/>
  <c r="AA395" i="22"/>
  <c r="AY389" i="22"/>
  <c r="AA389" i="22"/>
  <c r="AY385" i="22"/>
  <c r="AA385" i="22"/>
  <c r="AX343" i="22"/>
  <c r="AB343" i="22"/>
  <c r="AY341" i="22"/>
  <c r="AA341" i="22"/>
  <c r="AY337" i="22"/>
  <c r="AA337" i="22"/>
  <c r="AY333" i="22"/>
  <c r="AA333" i="22"/>
  <c r="AY329" i="22"/>
  <c r="AA329" i="22"/>
  <c r="AY325" i="22"/>
  <c r="AA325" i="22"/>
  <c r="AY321" i="22"/>
  <c r="AA321" i="22"/>
  <c r="AY317" i="22"/>
  <c r="AA317" i="22"/>
  <c r="AY315" i="22"/>
  <c r="AA315" i="22"/>
  <c r="AY313" i="22"/>
  <c r="AA313" i="22"/>
  <c r="AY309" i="22"/>
  <c r="AA309" i="22"/>
  <c r="AY303" i="22"/>
  <c r="AA303" i="22"/>
  <c r="AU21" i="10"/>
  <c r="K22" i="21"/>
  <c r="AX299" i="22"/>
  <c r="AB299" i="22"/>
  <c r="AX297" i="22"/>
  <c r="AB297" i="22"/>
  <c r="AX295" i="22"/>
  <c r="AB295" i="22"/>
  <c r="AX293" i="22"/>
  <c r="AB293" i="22"/>
  <c r="AX291" i="22"/>
  <c r="AB291" i="22"/>
  <c r="AX289" i="22"/>
  <c r="AB289" i="22"/>
  <c r="AX287" i="22"/>
  <c r="AB287" i="22"/>
  <c r="AX285" i="22"/>
  <c r="AB285" i="22"/>
  <c r="AX283" i="22"/>
  <c r="AB283" i="22"/>
  <c r="AX281" i="22"/>
  <c r="AB281" i="22"/>
  <c r="AX279" i="22"/>
  <c r="AB279" i="22"/>
  <c r="AX277" i="22"/>
  <c r="AB277" i="22"/>
  <c r="AX275" i="22"/>
  <c r="AB275" i="22"/>
  <c r="AX273" i="22"/>
  <c r="AB273" i="22"/>
  <c r="AX271" i="22"/>
  <c r="AB271" i="22"/>
  <c r="AX269" i="22"/>
  <c r="AB269" i="22"/>
  <c r="AX267" i="22"/>
  <c r="AB267" i="22"/>
  <c r="AX265" i="22"/>
  <c r="AB265" i="22"/>
  <c r="AX263" i="22"/>
  <c r="AB263" i="22"/>
  <c r="AX261" i="22"/>
  <c r="AB261" i="22"/>
  <c r="AY255" i="22"/>
  <c r="AA255" i="22"/>
  <c r="AY251" i="22"/>
  <c r="AA251" i="22"/>
  <c r="AY247" i="22"/>
  <c r="AA247" i="22"/>
  <c r="AY243" i="22"/>
  <c r="AA243" i="22"/>
  <c r="AY239" i="22"/>
  <c r="AA239" i="22"/>
  <c r="AY235" i="22"/>
  <c r="AA235" i="22"/>
  <c r="AY227" i="22"/>
  <c r="AA227" i="22"/>
  <c r="AY223" i="22"/>
  <c r="AA223" i="22"/>
  <c r="AY221" i="22"/>
  <c r="AA221" i="22"/>
  <c r="AY219" i="22"/>
  <c r="AA219" i="22"/>
  <c r="AU21" i="8"/>
  <c r="K18" i="21"/>
  <c r="AX215" i="22"/>
  <c r="AB215" i="22"/>
  <c r="AX213" i="22"/>
  <c r="AB213" i="22"/>
  <c r="AX211" i="22"/>
  <c r="AB211" i="22"/>
  <c r="AX209" i="22"/>
  <c r="AB209" i="22"/>
  <c r="AX207" i="22"/>
  <c r="AB207" i="22"/>
  <c r="AX205" i="22"/>
  <c r="AB205" i="22"/>
  <c r="AX203" i="22"/>
  <c r="AB203" i="22"/>
  <c r="AX201" i="22"/>
  <c r="AB201" i="22"/>
  <c r="AX199" i="22"/>
  <c r="AB199" i="22"/>
  <c r="AX197" i="22"/>
  <c r="AB197" i="22"/>
  <c r="AX195" i="22"/>
  <c r="AB195" i="22"/>
  <c r="AX193" i="22"/>
  <c r="AB193" i="22"/>
  <c r="AX191" i="22"/>
  <c r="AB191" i="22"/>
  <c r="AX189" i="22"/>
  <c r="AB189" i="22"/>
  <c r="AX187" i="22"/>
  <c r="AB187" i="22"/>
  <c r="AX185" i="22"/>
  <c r="AB185" i="22"/>
  <c r="AX183" i="22"/>
  <c r="AB183" i="22"/>
  <c r="AX181" i="22"/>
  <c r="AB181" i="22"/>
  <c r="AX179" i="22"/>
  <c r="AB179" i="22"/>
  <c r="AX177" i="22"/>
  <c r="AB177" i="22"/>
  <c r="AY171" i="22"/>
  <c r="AA171" i="22"/>
  <c r="AY167" i="22"/>
  <c r="AA167" i="22"/>
  <c r="AY163" i="22"/>
  <c r="AA163" i="22"/>
  <c r="AY159" i="22"/>
  <c r="AA159" i="22"/>
  <c r="AY155" i="22"/>
  <c r="AA155" i="22"/>
  <c r="AY151" i="22"/>
  <c r="AA151" i="22"/>
  <c r="AY147" i="22"/>
  <c r="AA147" i="22"/>
  <c r="AY145" i="22"/>
  <c r="AA145" i="22"/>
  <c r="AY141" i="22"/>
  <c r="AA141" i="22"/>
  <c r="AX591" i="22"/>
  <c r="AB591" i="22"/>
  <c r="AX553" i="22"/>
  <c r="AB553" i="22"/>
  <c r="AY551" i="22"/>
  <c r="AA551" i="22"/>
  <c r="AY547" i="22"/>
  <c r="AA547" i="22"/>
  <c r="AY543" i="22"/>
  <c r="AA543" i="22"/>
  <c r="AY539" i="22"/>
  <c r="AA539" i="22"/>
  <c r="AY535" i="22"/>
  <c r="AA535" i="22"/>
  <c r="AY531" i="22"/>
  <c r="AA531" i="22"/>
  <c r="AY527" i="22"/>
  <c r="AA527" i="22"/>
  <c r="AY525" i="22"/>
  <c r="AA525" i="22"/>
  <c r="AY523" i="22"/>
  <c r="AA523" i="22"/>
  <c r="AY517" i="22"/>
  <c r="AA517" i="22"/>
  <c r="AY513" i="22"/>
  <c r="AA513" i="22"/>
  <c r="AU21" i="15"/>
  <c r="AX509" i="22"/>
  <c r="AB509" i="22"/>
  <c r="AX507" i="22"/>
  <c r="AB507" i="22"/>
  <c r="AX505" i="22"/>
  <c r="AB505" i="22"/>
  <c r="AX503" i="22"/>
  <c r="AB503" i="22"/>
  <c r="AX501" i="22"/>
  <c r="AB501" i="22"/>
  <c r="AX499" i="22"/>
  <c r="AB499" i="22"/>
  <c r="AX497" i="22"/>
  <c r="AB497" i="22"/>
  <c r="AX495" i="22"/>
  <c r="AB495" i="22"/>
  <c r="AX493" i="22"/>
  <c r="AB493" i="22"/>
  <c r="AX491" i="22"/>
  <c r="AB491" i="22"/>
  <c r="AX489" i="22"/>
  <c r="AB489" i="22"/>
  <c r="AX487" i="22"/>
  <c r="AB487" i="22"/>
  <c r="AX485" i="22"/>
  <c r="AB485" i="22"/>
  <c r="AB483" i="22"/>
  <c r="AX483" i="22"/>
  <c r="AX481" i="22"/>
  <c r="AB481" i="22"/>
  <c r="AB479" i="22"/>
  <c r="AX479" i="22"/>
  <c r="AX477" i="22"/>
  <c r="AB477" i="22"/>
  <c r="AB475" i="22"/>
  <c r="AX475" i="22"/>
  <c r="AX473" i="22"/>
  <c r="AB473" i="22"/>
  <c r="AB471" i="22"/>
  <c r="AX471" i="22"/>
  <c r="AY465" i="22"/>
  <c r="AA465" i="22"/>
  <c r="AY461" i="22"/>
  <c r="AA461" i="22"/>
  <c r="AY457" i="22"/>
  <c r="AA457" i="22"/>
  <c r="AY453" i="22"/>
  <c r="AA453" i="22"/>
  <c r="AY449" i="22"/>
  <c r="AA449" i="22"/>
  <c r="AY445" i="22"/>
  <c r="AA445" i="22"/>
  <c r="AY437" i="22"/>
  <c r="AA437" i="22"/>
  <c r="AY435" i="22"/>
  <c r="AA435" i="22"/>
  <c r="AY431" i="22"/>
  <c r="AA431" i="22"/>
  <c r="AY427" i="22"/>
  <c r="AA427" i="22"/>
  <c r="AB385" i="22"/>
  <c r="AX385" i="22"/>
  <c r="AY383" i="22"/>
  <c r="AA383" i="22"/>
  <c r="AY379" i="22"/>
  <c r="AA379" i="22"/>
  <c r="AY375" i="22"/>
  <c r="AA375" i="22"/>
  <c r="AY371" i="22"/>
  <c r="AA371" i="22"/>
  <c r="AY367" i="22"/>
  <c r="AA367" i="22"/>
  <c r="AY363" i="22"/>
  <c r="AA363" i="22"/>
  <c r="AY359" i="22"/>
  <c r="AA359" i="22"/>
  <c r="AY357" i="22"/>
  <c r="AA357" i="22"/>
  <c r="AY353" i="22"/>
  <c r="AA353" i="22"/>
  <c r="AY349" i="22"/>
  <c r="AA349" i="22"/>
  <c r="AY345" i="22"/>
  <c r="AA345" i="22"/>
  <c r="AU21" i="11"/>
  <c r="AX341" i="22"/>
  <c r="AB341" i="22"/>
  <c r="AX339" i="22"/>
  <c r="AB339" i="22"/>
  <c r="AX337" i="22"/>
  <c r="AB337" i="22"/>
  <c r="AX335" i="22"/>
  <c r="AB335" i="22"/>
  <c r="AX333" i="22"/>
  <c r="AB333" i="22"/>
  <c r="AX331" i="22"/>
  <c r="AB331" i="22"/>
  <c r="AX329" i="22"/>
  <c r="AB329" i="22"/>
  <c r="AX327" i="22"/>
  <c r="AB327" i="22"/>
  <c r="AX325" i="22"/>
  <c r="AB325" i="22"/>
  <c r="AX323" i="22"/>
  <c r="AB323" i="22"/>
  <c r="AX321" i="22"/>
  <c r="AB321" i="22"/>
  <c r="AX319" i="22"/>
  <c r="AB319" i="22"/>
  <c r="AX317" i="22"/>
  <c r="AB317" i="22"/>
  <c r="AX315" i="22"/>
  <c r="AB315" i="22"/>
  <c r="AX313" i="22"/>
  <c r="AB313" i="22"/>
  <c r="AX311" i="22"/>
  <c r="AB311" i="22"/>
  <c r="AX309" i="22"/>
  <c r="AB309" i="22"/>
  <c r="AX307" i="22"/>
  <c r="AB307" i="22"/>
  <c r="AX305" i="22"/>
  <c r="AB305" i="22"/>
  <c r="AX303" i="22"/>
  <c r="AB303" i="22"/>
  <c r="AY297" i="22"/>
  <c r="AA297" i="22"/>
  <c r="AY293" i="22"/>
  <c r="AA293" i="22"/>
  <c r="AY289" i="22"/>
  <c r="AA289" i="22"/>
  <c r="AY285" i="22"/>
  <c r="AA285" i="22"/>
  <c r="AY281" i="22"/>
  <c r="AA281" i="22"/>
  <c r="AY277" i="22"/>
  <c r="AA277" i="22"/>
  <c r="AY269" i="22"/>
  <c r="AA269" i="22"/>
  <c r="AY265" i="22"/>
  <c r="AA265" i="22"/>
  <c r="AY263" i="22"/>
  <c r="AA263" i="22"/>
  <c r="AU21" i="9"/>
  <c r="AX257" i="22"/>
  <c r="AB257" i="22"/>
  <c r="AX255" i="22"/>
  <c r="AB255" i="22"/>
  <c r="AX253" i="22"/>
  <c r="AB253" i="22"/>
  <c r="AX251" i="22"/>
  <c r="AB251" i="22"/>
  <c r="AX249" i="22"/>
  <c r="AB249" i="22"/>
  <c r="AX247" i="22"/>
  <c r="AB247" i="22"/>
  <c r="AX245" i="22"/>
  <c r="AB245" i="22"/>
  <c r="AX243" i="22"/>
  <c r="AB243" i="22"/>
  <c r="AX241" i="22"/>
  <c r="AB241" i="22"/>
  <c r="AX239" i="22"/>
  <c r="AB239" i="22"/>
  <c r="AX237" i="22"/>
  <c r="AB237" i="22"/>
  <c r="AX235" i="22"/>
  <c r="AB235" i="22"/>
  <c r="AX233" i="22"/>
  <c r="AB233" i="22"/>
  <c r="AX231" i="22"/>
  <c r="AB231" i="22"/>
  <c r="AX229" i="22"/>
  <c r="AB229" i="22"/>
  <c r="AX227" i="22"/>
  <c r="AB227" i="22"/>
  <c r="AX225" i="22"/>
  <c r="AB225" i="22"/>
  <c r="AX223" i="22"/>
  <c r="AB223" i="22"/>
  <c r="AX221" i="22"/>
  <c r="AB221" i="22"/>
  <c r="AX219" i="22"/>
  <c r="AB219" i="22"/>
  <c r="AY213" i="22"/>
  <c r="AA213" i="22"/>
  <c r="AY209" i="22"/>
  <c r="AA209" i="22"/>
  <c r="AY205" i="22"/>
  <c r="AA205" i="22"/>
  <c r="AY201" i="22"/>
  <c r="AA201" i="22"/>
  <c r="AY197" i="22"/>
  <c r="AA197" i="22"/>
  <c r="AY193" i="22"/>
  <c r="AA193" i="22"/>
  <c r="AY185" i="22"/>
  <c r="AA185" i="22"/>
  <c r="AY183" i="22"/>
  <c r="AA183" i="22"/>
  <c r="AY177" i="22"/>
  <c r="AA177" i="22"/>
  <c r="AU21" i="7"/>
  <c r="AX173" i="22"/>
  <c r="AB173" i="22"/>
  <c r="AX171" i="22"/>
  <c r="AB171" i="22"/>
  <c r="AX169" i="22"/>
  <c r="AB169" i="22"/>
  <c r="AX167" i="22"/>
  <c r="AB167" i="22"/>
  <c r="AX165" i="22"/>
  <c r="AB165" i="22"/>
  <c r="AX163" i="22"/>
  <c r="AB163" i="22"/>
  <c r="AX161" i="22"/>
  <c r="AB161" i="22"/>
  <c r="AX159" i="22"/>
  <c r="AB159" i="22"/>
  <c r="AX157" i="22"/>
  <c r="AB157" i="22"/>
  <c r="AX155" i="22"/>
  <c r="AB155" i="22"/>
  <c r="AX153" i="22"/>
  <c r="AB153" i="22"/>
  <c r="AX151" i="22"/>
  <c r="AB151" i="22"/>
  <c r="AX149" i="22"/>
  <c r="AB149" i="22"/>
  <c r="AX147" i="22"/>
  <c r="AB147" i="22"/>
  <c r="AX145" i="22"/>
  <c r="AB145" i="22"/>
  <c r="AX143" i="22"/>
  <c r="AB143" i="22"/>
  <c r="AX141" i="22"/>
  <c r="AB141" i="22"/>
  <c r="AX139" i="22"/>
  <c r="AB139" i="22"/>
  <c r="AX137" i="22"/>
  <c r="AB137" i="22"/>
  <c r="AX135" i="22"/>
  <c r="AB135" i="22"/>
  <c r="AY129" i="22"/>
  <c r="AA129" i="22"/>
  <c r="AY125" i="22"/>
  <c r="AA125" i="22"/>
  <c r="AY121" i="22"/>
  <c r="AA121" i="22"/>
  <c r="AY117" i="22"/>
  <c r="AA117" i="22"/>
  <c r="AY113" i="22"/>
  <c r="AA113" i="22"/>
  <c r="AY109" i="22"/>
  <c r="AA109" i="22"/>
  <c r="AY101" i="22"/>
  <c r="AA101" i="22"/>
  <c r="AY95" i="22"/>
  <c r="AA95" i="22"/>
  <c r="AY91" i="22"/>
  <c r="AA91" i="22"/>
  <c r="AX49" i="22"/>
  <c r="AB49" i="22"/>
  <c r="AY47" i="22"/>
  <c r="AA47" i="22"/>
  <c r="AY43" i="22"/>
  <c r="AA43" i="22"/>
  <c r="AY39" i="22"/>
  <c r="AA39" i="22"/>
  <c r="AY35" i="22"/>
  <c r="AA35" i="22"/>
  <c r="AY31" i="22"/>
  <c r="AA31" i="22"/>
  <c r="AY27" i="22"/>
  <c r="AA27" i="22"/>
  <c r="AY23" i="22"/>
  <c r="AA23" i="22"/>
  <c r="AY21" i="22"/>
  <c r="AA21" i="22"/>
  <c r="AY19" i="22"/>
  <c r="AA19" i="22"/>
  <c r="AY15" i="22"/>
  <c r="AA15" i="22"/>
  <c r="AY9" i="22"/>
  <c r="AA9" i="22"/>
  <c r="AU21" i="3"/>
  <c r="AY135" i="22"/>
  <c r="AA135" i="22"/>
  <c r="AU21" i="6"/>
  <c r="K14" i="21"/>
  <c r="AX131" i="22"/>
  <c r="AB131" i="22"/>
  <c r="AX129" i="22"/>
  <c r="AB129" i="22"/>
  <c r="AX127" i="22"/>
  <c r="AB127" i="22"/>
  <c r="AX125" i="22"/>
  <c r="AB125" i="22"/>
  <c r="AX123" i="22"/>
  <c r="AB123" i="22"/>
  <c r="AX121" i="22"/>
  <c r="AB121" i="22"/>
  <c r="AX119" i="22"/>
  <c r="AB119" i="22"/>
  <c r="AX117" i="22"/>
  <c r="AB117" i="22"/>
  <c r="AX115" i="22"/>
  <c r="AB115" i="22"/>
  <c r="AX113" i="22"/>
  <c r="AB113" i="22"/>
  <c r="AX111" i="22"/>
  <c r="AB111" i="22"/>
  <c r="AX109" i="22"/>
  <c r="AB109" i="22"/>
  <c r="AX107" i="22"/>
  <c r="AB107" i="22"/>
  <c r="AX105" i="22"/>
  <c r="AB105" i="22"/>
  <c r="AX103" i="22"/>
  <c r="AB103" i="22"/>
  <c r="AX101" i="22"/>
  <c r="AB101" i="22"/>
  <c r="AX99" i="22"/>
  <c r="AB99" i="22"/>
  <c r="AX97" i="22"/>
  <c r="AB97" i="22"/>
  <c r="AX95" i="22"/>
  <c r="AB95" i="22"/>
  <c r="AX93" i="22"/>
  <c r="AB93" i="22"/>
  <c r="AY87" i="22"/>
  <c r="AA87" i="22"/>
  <c r="AY83" i="22"/>
  <c r="AA83" i="22"/>
  <c r="AY79" i="22"/>
  <c r="AA79" i="22"/>
  <c r="AY75" i="22"/>
  <c r="AA75" i="22"/>
  <c r="AY71" i="22"/>
  <c r="AA71" i="22"/>
  <c r="AY67" i="22"/>
  <c r="AA67" i="22"/>
  <c r="AY59" i="22"/>
  <c r="AA59" i="22"/>
  <c r="AY55" i="22"/>
  <c r="AA55" i="22"/>
  <c r="AY51" i="22"/>
  <c r="AA51" i="22"/>
  <c r="AY49" i="22"/>
  <c r="AA49" i="22"/>
  <c r="AX7" i="22"/>
  <c r="AB7" i="22"/>
  <c r="AY593" i="22"/>
  <c r="AA593" i="22"/>
  <c r="AA589" i="22"/>
  <c r="AY589" i="22"/>
  <c r="AA585" i="22"/>
  <c r="AY585" i="22"/>
  <c r="AY581" i="22"/>
  <c r="AA581" i="22"/>
  <c r="AY577" i="22"/>
  <c r="AA577" i="22"/>
  <c r="AY573" i="22"/>
  <c r="AA573" i="22"/>
  <c r="AY569" i="22"/>
  <c r="AA569" i="22"/>
  <c r="AY567" i="22"/>
  <c r="AA567" i="22"/>
  <c r="AY563" i="22"/>
  <c r="AA563" i="22"/>
  <c r="AY557" i="22"/>
  <c r="AA557" i="22"/>
  <c r="AY555" i="22"/>
  <c r="AA555" i="22"/>
  <c r="AU21" i="16"/>
  <c r="K34" i="21"/>
  <c r="AX551" i="22"/>
  <c r="AB551" i="22"/>
  <c r="AX549" i="22"/>
  <c r="AB549" i="22"/>
  <c r="AX547" i="22"/>
  <c r="AB547" i="22"/>
  <c r="AX545" i="22"/>
  <c r="AB545" i="22"/>
  <c r="AX543" i="22"/>
  <c r="AB543" i="22"/>
  <c r="AX541" i="22"/>
  <c r="AB541" i="22"/>
  <c r="AX539" i="22"/>
  <c r="AB539" i="22"/>
  <c r="AX537" i="22"/>
  <c r="AB537" i="22"/>
  <c r="AX535" i="22"/>
  <c r="AB535" i="22"/>
  <c r="AX533" i="22"/>
  <c r="AB533" i="22"/>
  <c r="AX531" i="22"/>
  <c r="AB531" i="22"/>
  <c r="AX529" i="22"/>
  <c r="AB529" i="22"/>
  <c r="AX527" i="22"/>
  <c r="AB527" i="22"/>
  <c r="AX525" i="22"/>
  <c r="AB525" i="22"/>
  <c r="AX523" i="22"/>
  <c r="AB523" i="22"/>
  <c r="AX521" i="22"/>
  <c r="AB521" i="22"/>
  <c r="AX519" i="22"/>
  <c r="AB519" i="22"/>
  <c r="AX517" i="22"/>
  <c r="AB517" i="22"/>
  <c r="AX515" i="22"/>
  <c r="AB515" i="22"/>
  <c r="AX513" i="22"/>
  <c r="AB513" i="22"/>
  <c r="AY507" i="22"/>
  <c r="AA507" i="22"/>
  <c r="AY503" i="22"/>
  <c r="AA503" i="22"/>
  <c r="AA499" i="22"/>
  <c r="AY499" i="22"/>
  <c r="AA495" i="22"/>
  <c r="AY495" i="22"/>
  <c r="AA491" i="22"/>
  <c r="AY491" i="22"/>
  <c r="AA487" i="22"/>
  <c r="AY487" i="22"/>
  <c r="AY479" i="22"/>
  <c r="AA479" i="22"/>
  <c r="AY475" i="22"/>
  <c r="AA475" i="22"/>
  <c r="AY469" i="22"/>
  <c r="AA469" i="22"/>
  <c r="AX427" i="22"/>
  <c r="AB427" i="22"/>
  <c r="AY425" i="22"/>
  <c r="AA425" i="22"/>
  <c r="AY421" i="22"/>
  <c r="AA421" i="22"/>
  <c r="AY417" i="22"/>
  <c r="AA417" i="22"/>
  <c r="AY413" i="22"/>
  <c r="AA413" i="22"/>
  <c r="AY409" i="22"/>
  <c r="AA409" i="22"/>
  <c r="AY405" i="22"/>
  <c r="AA405" i="22"/>
  <c r="AY401" i="22"/>
  <c r="AA401" i="22"/>
  <c r="AY399" i="22"/>
  <c r="AA399" i="22"/>
  <c r="AY397" i="22"/>
  <c r="AA397" i="22"/>
  <c r="AY393" i="22"/>
  <c r="AA393" i="22"/>
  <c r="AY391" i="22"/>
  <c r="AA391" i="22"/>
  <c r="AY387" i="22"/>
  <c r="AA387" i="22"/>
  <c r="AU21" i="12"/>
  <c r="K26" i="21"/>
  <c r="AX383" i="22"/>
  <c r="AB383" i="22"/>
  <c r="AB381" i="22"/>
  <c r="AX381" i="22"/>
  <c r="AX379" i="22"/>
  <c r="AB379" i="22"/>
  <c r="AB377" i="22"/>
  <c r="AX377" i="22"/>
  <c r="AX375" i="22"/>
  <c r="AB375" i="22"/>
  <c r="AX373" i="22"/>
  <c r="AB373" i="22"/>
  <c r="AX371" i="22"/>
  <c r="AB371" i="22"/>
  <c r="AX369" i="22"/>
  <c r="AB369" i="22"/>
  <c r="AX367" i="22"/>
  <c r="AB367" i="22"/>
  <c r="AX365" i="22"/>
  <c r="AB365" i="22"/>
  <c r="AX363" i="22"/>
  <c r="AB363" i="22"/>
  <c r="AX361" i="22"/>
  <c r="AB361" i="22"/>
  <c r="AX359" i="22"/>
  <c r="AB359" i="22"/>
  <c r="AX357" i="22"/>
  <c r="AB357" i="22"/>
  <c r="AX355" i="22"/>
  <c r="AB355" i="22"/>
  <c r="AX353" i="22"/>
  <c r="AB353" i="22"/>
  <c r="AX351" i="22"/>
  <c r="AB351" i="22"/>
  <c r="AX349" i="22"/>
  <c r="AB349" i="22"/>
  <c r="AX347" i="22"/>
  <c r="AB347" i="22"/>
  <c r="AX345" i="22"/>
  <c r="AB345" i="22"/>
  <c r="AY339" i="22"/>
  <c r="AA339" i="22"/>
  <c r="AY335" i="22"/>
  <c r="AA335" i="22"/>
  <c r="AA331" i="22"/>
  <c r="AY331" i="22"/>
  <c r="AA327" i="22"/>
  <c r="AY327" i="22"/>
  <c r="AA323" i="22"/>
  <c r="AY323" i="22"/>
  <c r="AA319" i="22"/>
  <c r="AY319" i="22"/>
  <c r="AY311" i="22"/>
  <c r="AA311" i="22"/>
  <c r="AY307" i="22"/>
  <c r="AA307" i="22"/>
  <c r="AY305" i="22"/>
  <c r="AA305" i="22"/>
  <c r="AY301" i="22"/>
  <c r="AA301" i="22"/>
  <c r="AX259" i="22"/>
  <c r="AB259" i="22"/>
  <c r="AY257" i="22"/>
  <c r="AA257" i="22"/>
  <c r="AY253" i="22"/>
  <c r="AA253" i="22"/>
  <c r="AY249" i="22"/>
  <c r="AA249" i="22"/>
  <c r="AY245" i="22"/>
  <c r="AA245" i="22"/>
  <c r="AY241" i="22"/>
  <c r="AA241" i="22"/>
  <c r="AY237" i="22"/>
  <c r="AA237" i="22"/>
  <c r="AY233" i="22"/>
  <c r="AA233" i="22"/>
  <c r="AY231" i="22"/>
  <c r="AA231" i="22"/>
  <c r="AY229" i="22"/>
  <c r="AA229" i="22"/>
  <c r="AY225" i="22"/>
  <c r="AA225" i="22"/>
  <c r="AY217" i="22"/>
  <c r="AA217" i="22"/>
  <c r="AX175" i="22"/>
  <c r="AB175" i="22"/>
  <c r="AY173" i="22"/>
  <c r="AA173" i="22"/>
  <c r="AY169" i="22"/>
  <c r="AA169" i="22"/>
  <c r="AY165" i="22"/>
  <c r="AA165" i="22"/>
  <c r="AY161" i="22"/>
  <c r="AA161" i="22"/>
  <c r="AY157" i="22"/>
  <c r="AA157" i="22"/>
  <c r="AY153" i="22"/>
  <c r="AA153" i="22"/>
  <c r="AY149" i="22"/>
  <c r="AA149" i="22"/>
  <c r="AY143" i="22"/>
  <c r="AA143" i="22"/>
  <c r="AY139" i="22"/>
  <c r="AA139" i="22"/>
  <c r="BC10" i="18" l="1" a="1"/>
  <c r="BC10" i="18" s="1"/>
  <c r="AY10" i="18" a="1"/>
  <c r="AY10" i="18" s="1"/>
  <c r="AU10" i="18" a="1"/>
  <c r="AU10" i="18" s="1"/>
  <c r="AQ10" i="18" a="1"/>
  <c r="AQ10" i="18" s="1"/>
  <c r="AM10" i="18" a="1"/>
  <c r="AM10" i="18" s="1"/>
  <c r="AI10" i="18" a="1"/>
  <c r="AI10" i="18" s="1"/>
  <c r="AE10" i="18" a="1"/>
  <c r="AE10" i="18" s="1"/>
  <c r="AB10" i="18" a="1"/>
  <c r="AB10" i="18" s="1"/>
  <c r="AA10" i="18" a="1"/>
  <c r="AA10" i="18" s="1"/>
  <c r="Z10" i="18" a="1"/>
  <c r="Z10" i="18" s="1"/>
  <c r="Y10" i="18" a="1"/>
  <c r="Y10" i="18" s="1"/>
  <c r="X10" i="18" a="1"/>
  <c r="X10" i="18" s="1"/>
  <c r="W10" i="18" a="1"/>
  <c r="W10" i="18" s="1"/>
  <c r="V10" i="18" a="1"/>
  <c r="V10" i="18" s="1"/>
  <c r="U10" i="18" a="1"/>
  <c r="U10" i="18" s="1"/>
  <c r="T10" i="18" a="1"/>
  <c r="T10" i="18" s="1"/>
  <c r="S10" i="18" a="1"/>
  <c r="S10" i="18" s="1"/>
  <c r="R10" i="18" a="1"/>
  <c r="R10" i="18" s="1"/>
  <c r="Q10" i="18" a="1"/>
  <c r="Q10" i="18" s="1"/>
  <c r="P10" i="18" a="1"/>
  <c r="P10" i="18" s="1"/>
  <c r="O10" i="18" a="1"/>
  <c r="O10" i="18" s="1"/>
  <c r="N10" i="18" a="1"/>
  <c r="N10" i="18" s="1"/>
  <c r="M10" i="18" a="1"/>
  <c r="M10" i="18" s="1"/>
  <c r="L10" i="18" a="1"/>
  <c r="L10" i="18" s="1"/>
  <c r="K10" i="18" a="1"/>
  <c r="K10" i="18" s="1"/>
  <c r="J10" i="18" a="1"/>
  <c r="J10" i="18" s="1"/>
  <c r="I10" i="18" a="1"/>
  <c r="I10" i="18" s="1"/>
  <c r="H10" i="18" a="1"/>
  <c r="H10" i="18" s="1"/>
  <c r="G10" i="18" a="1"/>
  <c r="G10" i="18" s="1"/>
  <c r="D10" i="18"/>
  <c r="BA10" i="18" a="1"/>
  <c r="BA10" i="18" s="1"/>
  <c r="BB10" i="18" s="1"/>
  <c r="AW10" i="18" a="1"/>
  <c r="AW10" i="18" s="1"/>
  <c r="AS10" i="18" a="1"/>
  <c r="AS10" i="18" s="1"/>
  <c r="AT10" i="18" s="1"/>
  <c r="AO10" i="18" a="1"/>
  <c r="AO10" i="18" s="1"/>
  <c r="AK10" i="18" a="1"/>
  <c r="AK10" i="18" s="1"/>
  <c r="AL10" i="18" s="1"/>
  <c r="AG10" i="18" a="1"/>
  <c r="AG10" i="18" s="1"/>
  <c r="BC18" i="18" a="1"/>
  <c r="BC18" i="18" s="1"/>
  <c r="AY18" i="18" a="1"/>
  <c r="AY18" i="18" s="1"/>
  <c r="AU18" i="18" a="1"/>
  <c r="AU18" i="18" s="1"/>
  <c r="AQ18" i="18" a="1"/>
  <c r="AQ18" i="18" s="1"/>
  <c r="AM18" i="18" a="1"/>
  <c r="AM18" i="18" s="1"/>
  <c r="AI18" i="18" a="1"/>
  <c r="AI18" i="18" s="1"/>
  <c r="AE18" i="18" a="1"/>
  <c r="AE18" i="18" s="1"/>
  <c r="AB18" i="18" a="1"/>
  <c r="AB18" i="18" s="1"/>
  <c r="AA18" i="18" a="1"/>
  <c r="AA18" i="18" s="1"/>
  <c r="Z18" i="18" a="1"/>
  <c r="Z18" i="18" s="1"/>
  <c r="Y18" i="18" a="1"/>
  <c r="Y18" i="18" s="1"/>
  <c r="X18" i="18" a="1"/>
  <c r="X18" i="18" s="1"/>
  <c r="W18" i="18" a="1"/>
  <c r="W18" i="18" s="1"/>
  <c r="V18" i="18" a="1"/>
  <c r="V18" i="18" s="1"/>
  <c r="U18" i="18" a="1"/>
  <c r="U18" i="18" s="1"/>
  <c r="T18" i="18" a="1"/>
  <c r="T18" i="18" s="1"/>
  <c r="S18" i="18" a="1"/>
  <c r="S18" i="18" s="1"/>
  <c r="R18" i="18" a="1"/>
  <c r="R18" i="18" s="1"/>
  <c r="Q18" i="18" a="1"/>
  <c r="Q18" i="18" s="1"/>
  <c r="P18" i="18" a="1"/>
  <c r="P18" i="18" s="1"/>
  <c r="O18" i="18" a="1"/>
  <c r="O18" i="18" s="1"/>
  <c r="N18" i="18" a="1"/>
  <c r="N18" i="18" s="1"/>
  <c r="M18" i="18" a="1"/>
  <c r="M18" i="18" s="1"/>
  <c r="L18" i="18" a="1"/>
  <c r="L18" i="18" s="1"/>
  <c r="K18" i="18" a="1"/>
  <c r="K18" i="18" s="1"/>
  <c r="J18" i="18" a="1"/>
  <c r="J18" i="18" s="1"/>
  <c r="I18" i="18" a="1"/>
  <c r="I18" i="18" s="1"/>
  <c r="H18" i="18" a="1"/>
  <c r="H18" i="18" s="1"/>
  <c r="G18" i="18" a="1"/>
  <c r="G18" i="18" s="1"/>
  <c r="D18" i="18"/>
  <c r="BA18" i="18" a="1"/>
  <c r="BA18" i="18" s="1"/>
  <c r="BB18" i="18" s="1"/>
  <c r="AW18" i="18" a="1"/>
  <c r="AW18" i="18" s="1"/>
  <c r="AS18" i="18" a="1"/>
  <c r="AS18" i="18" s="1"/>
  <c r="AO18" i="18" a="1"/>
  <c r="AO18" i="18" s="1"/>
  <c r="AK18" i="18" a="1"/>
  <c r="AK18" i="18" s="1"/>
  <c r="AL18" i="18" s="1"/>
  <c r="AG18" i="18" a="1"/>
  <c r="AG18" i="18" s="1"/>
  <c r="BC26" i="18" a="1"/>
  <c r="BC26" i="18" s="1"/>
  <c r="AY26" i="18" a="1"/>
  <c r="AY26" i="18" s="1"/>
  <c r="AU26" i="18" a="1"/>
  <c r="AU26" i="18" s="1"/>
  <c r="AQ26" i="18" a="1"/>
  <c r="AQ26" i="18" s="1"/>
  <c r="AM26" i="18" a="1"/>
  <c r="AM26" i="18" s="1"/>
  <c r="AI26" i="18" a="1"/>
  <c r="AI26" i="18" s="1"/>
  <c r="AE26" i="18" a="1"/>
  <c r="AE26" i="18" s="1"/>
  <c r="AB26" i="18" a="1"/>
  <c r="AB26" i="18" s="1"/>
  <c r="AA26" i="18" a="1"/>
  <c r="AA26" i="18" s="1"/>
  <c r="Z26" i="18" a="1"/>
  <c r="Z26" i="18" s="1"/>
  <c r="Y26" i="18" a="1"/>
  <c r="Y26" i="18" s="1"/>
  <c r="X26" i="18" a="1"/>
  <c r="X26" i="18" s="1"/>
  <c r="W26" i="18" a="1"/>
  <c r="W26" i="18" s="1"/>
  <c r="V26" i="18" a="1"/>
  <c r="V26" i="18" s="1"/>
  <c r="U26" i="18" a="1"/>
  <c r="U26" i="18" s="1"/>
  <c r="T26" i="18" a="1"/>
  <c r="T26" i="18" s="1"/>
  <c r="S26" i="18" a="1"/>
  <c r="S26" i="18" s="1"/>
  <c r="R26" i="18" a="1"/>
  <c r="R26" i="18" s="1"/>
  <c r="Q26" i="18" a="1"/>
  <c r="Q26" i="18" s="1"/>
  <c r="P26" i="18" a="1"/>
  <c r="P26" i="18" s="1"/>
  <c r="O26" i="18" a="1"/>
  <c r="O26" i="18" s="1"/>
  <c r="N26" i="18" a="1"/>
  <c r="N26" i="18" s="1"/>
  <c r="M26" i="18" a="1"/>
  <c r="M26" i="18" s="1"/>
  <c r="L26" i="18" a="1"/>
  <c r="L26" i="18" s="1"/>
  <c r="K26" i="18" a="1"/>
  <c r="K26" i="18" s="1"/>
  <c r="J26" i="18" a="1"/>
  <c r="J26" i="18" s="1"/>
  <c r="I26" i="18" a="1"/>
  <c r="I26" i="18" s="1"/>
  <c r="H26" i="18" a="1"/>
  <c r="H26" i="18" s="1"/>
  <c r="G26" i="18" a="1"/>
  <c r="G26" i="18" s="1"/>
  <c r="D26" i="18"/>
  <c r="BA26" i="18" a="1"/>
  <c r="BA26" i="18" s="1"/>
  <c r="BB26" i="18" s="1"/>
  <c r="AW26" i="18" a="1"/>
  <c r="AW26" i="18" s="1"/>
  <c r="AS26" i="18" a="1"/>
  <c r="AS26" i="18" s="1"/>
  <c r="AO26" i="18" a="1"/>
  <c r="AO26" i="18" s="1"/>
  <c r="AK26" i="18" a="1"/>
  <c r="AK26" i="18" s="1"/>
  <c r="AL26" i="18" s="1"/>
  <c r="AG26" i="18" a="1"/>
  <c r="AG26" i="18" s="1"/>
  <c r="BC34" i="18" a="1"/>
  <c r="BC34" i="18" s="1"/>
  <c r="AY34" i="18" a="1"/>
  <c r="AY34" i="18" s="1"/>
  <c r="AU34" i="18" a="1"/>
  <c r="AU34" i="18" s="1"/>
  <c r="AQ34" i="18" a="1"/>
  <c r="AQ34" i="18" s="1"/>
  <c r="AM34" i="18" a="1"/>
  <c r="AM34" i="18" s="1"/>
  <c r="AI34" i="18" a="1"/>
  <c r="AI34" i="18" s="1"/>
  <c r="AE34" i="18" a="1"/>
  <c r="AE34" i="18" s="1"/>
  <c r="AB34" i="18" a="1"/>
  <c r="AB34" i="18" s="1"/>
  <c r="AA34" i="18" a="1"/>
  <c r="AA34" i="18" s="1"/>
  <c r="Z34" i="18" a="1"/>
  <c r="Z34" i="18" s="1"/>
  <c r="Y34" i="18" a="1"/>
  <c r="Y34" i="18" s="1"/>
  <c r="X34" i="18" a="1"/>
  <c r="X34" i="18" s="1"/>
  <c r="W34" i="18" a="1"/>
  <c r="W34" i="18" s="1"/>
  <c r="V34" i="18" a="1"/>
  <c r="V34" i="18" s="1"/>
  <c r="U34" i="18" a="1"/>
  <c r="U34" i="18" s="1"/>
  <c r="T34" i="18" a="1"/>
  <c r="T34" i="18" s="1"/>
  <c r="S34" i="18" a="1"/>
  <c r="S34" i="18" s="1"/>
  <c r="R34" i="18" a="1"/>
  <c r="R34" i="18" s="1"/>
  <c r="Q34" i="18" a="1"/>
  <c r="Q34" i="18" s="1"/>
  <c r="P34" i="18" a="1"/>
  <c r="P34" i="18" s="1"/>
  <c r="O34" i="18" a="1"/>
  <c r="O34" i="18" s="1"/>
  <c r="N34" i="18" a="1"/>
  <c r="N34" i="18" s="1"/>
  <c r="M34" i="18" a="1"/>
  <c r="M34" i="18" s="1"/>
  <c r="L34" i="18" a="1"/>
  <c r="L34" i="18" s="1"/>
  <c r="K34" i="18" a="1"/>
  <c r="K34" i="18" s="1"/>
  <c r="J34" i="18" a="1"/>
  <c r="J34" i="18" s="1"/>
  <c r="I34" i="18" a="1"/>
  <c r="I34" i="18" s="1"/>
  <c r="H34" i="18" a="1"/>
  <c r="H34" i="18" s="1"/>
  <c r="G34" i="18" a="1"/>
  <c r="G34" i="18" s="1"/>
  <c r="D34" i="18"/>
  <c r="BA34" i="18" a="1"/>
  <c r="BA34" i="18" s="1"/>
  <c r="BB34" i="18" s="1"/>
  <c r="AW34" i="18" a="1"/>
  <c r="AW34" i="18" s="1"/>
  <c r="AS34" i="18" a="1"/>
  <c r="AS34" i="18" s="1"/>
  <c r="AO34" i="18" a="1"/>
  <c r="AO34" i="18" s="1"/>
  <c r="AK34" i="18" a="1"/>
  <c r="AK34" i="18" s="1"/>
  <c r="AL34" i="18" s="1"/>
  <c r="AG34" i="18" a="1"/>
  <c r="AG34" i="18" s="1"/>
  <c r="BC42" i="18" a="1"/>
  <c r="BC42" i="18" s="1"/>
  <c r="AY42" i="18" a="1"/>
  <c r="AY42" i="18" s="1"/>
  <c r="AU42" i="18" a="1"/>
  <c r="AU42" i="18" s="1"/>
  <c r="AQ42" i="18" a="1"/>
  <c r="AQ42" i="18" s="1"/>
  <c r="AM42" i="18" a="1"/>
  <c r="AM42" i="18" s="1"/>
  <c r="AI42" i="18" a="1"/>
  <c r="AI42" i="18" s="1"/>
  <c r="AE42" i="18" a="1"/>
  <c r="AE42" i="18" s="1"/>
  <c r="AB42" i="18" a="1"/>
  <c r="AB42" i="18" s="1"/>
  <c r="AA42" i="18" a="1"/>
  <c r="AA42" i="18" s="1"/>
  <c r="Z42" i="18" a="1"/>
  <c r="Z42" i="18" s="1"/>
  <c r="Y42" i="18" a="1"/>
  <c r="Y42" i="18" s="1"/>
  <c r="X42" i="18" a="1"/>
  <c r="X42" i="18" s="1"/>
  <c r="W42" i="18" a="1"/>
  <c r="W42" i="18" s="1"/>
  <c r="V42" i="18" a="1"/>
  <c r="V42" i="18" s="1"/>
  <c r="U42" i="18" a="1"/>
  <c r="U42" i="18" s="1"/>
  <c r="T42" i="18" a="1"/>
  <c r="T42" i="18" s="1"/>
  <c r="S42" i="18" a="1"/>
  <c r="S42" i="18" s="1"/>
  <c r="R42" i="18" a="1"/>
  <c r="R42" i="18" s="1"/>
  <c r="Q42" i="18" a="1"/>
  <c r="Q42" i="18" s="1"/>
  <c r="P42" i="18" a="1"/>
  <c r="P42" i="18" s="1"/>
  <c r="O42" i="18" a="1"/>
  <c r="O42" i="18" s="1"/>
  <c r="N42" i="18" a="1"/>
  <c r="N42" i="18" s="1"/>
  <c r="M42" i="18" a="1"/>
  <c r="M42" i="18" s="1"/>
  <c r="L42" i="18" a="1"/>
  <c r="L42" i="18" s="1"/>
  <c r="K42" i="18" a="1"/>
  <c r="K42" i="18" s="1"/>
  <c r="J42" i="18" a="1"/>
  <c r="J42" i="18" s="1"/>
  <c r="I42" i="18" a="1"/>
  <c r="I42" i="18" s="1"/>
  <c r="H42" i="18" a="1"/>
  <c r="H42" i="18" s="1"/>
  <c r="G42" i="18" a="1"/>
  <c r="G42" i="18" s="1"/>
  <c r="D42" i="18"/>
  <c r="BA42" i="18" a="1"/>
  <c r="BA42" i="18" s="1"/>
  <c r="BB42" i="18" s="1"/>
  <c r="AW42" i="18" a="1"/>
  <c r="AW42" i="18" s="1"/>
  <c r="AS42" i="18" a="1"/>
  <c r="AS42" i="18" s="1"/>
  <c r="AO42" i="18" a="1"/>
  <c r="AO42" i="18" s="1"/>
  <c r="AK42" i="18" a="1"/>
  <c r="AK42" i="18" s="1"/>
  <c r="AL42" i="18" s="1"/>
  <c r="AG42" i="18" a="1"/>
  <c r="AG42" i="18" s="1"/>
  <c r="BC50" i="18" a="1"/>
  <c r="BC50" i="18" s="1"/>
  <c r="AY50" i="18" a="1"/>
  <c r="AY50" i="18" s="1"/>
  <c r="AU50" i="18" a="1"/>
  <c r="AU50" i="18" s="1"/>
  <c r="AQ50" i="18" a="1"/>
  <c r="AQ50" i="18" s="1"/>
  <c r="AM50" i="18" a="1"/>
  <c r="AM50" i="18" s="1"/>
  <c r="AI50" i="18" a="1"/>
  <c r="AI50" i="18" s="1"/>
  <c r="AE50" i="18" a="1"/>
  <c r="AE50" i="18" s="1"/>
  <c r="AB50" i="18" a="1"/>
  <c r="AB50" i="18" s="1"/>
  <c r="AA50" i="18" a="1"/>
  <c r="AA50" i="18" s="1"/>
  <c r="Z50" i="18" a="1"/>
  <c r="Z50" i="18" s="1"/>
  <c r="Y50" i="18" a="1"/>
  <c r="Y50" i="18" s="1"/>
  <c r="X50" i="18" a="1"/>
  <c r="X50" i="18" s="1"/>
  <c r="W50" i="18" a="1"/>
  <c r="W50" i="18" s="1"/>
  <c r="V50" i="18" a="1"/>
  <c r="V50" i="18" s="1"/>
  <c r="U50" i="18" a="1"/>
  <c r="U50" i="18" s="1"/>
  <c r="T50" i="18" a="1"/>
  <c r="T50" i="18" s="1"/>
  <c r="S50" i="18" a="1"/>
  <c r="S50" i="18" s="1"/>
  <c r="R50" i="18" a="1"/>
  <c r="R50" i="18" s="1"/>
  <c r="Q50" i="18" a="1"/>
  <c r="Q50" i="18" s="1"/>
  <c r="P50" i="18" a="1"/>
  <c r="P50" i="18" s="1"/>
  <c r="O50" i="18" a="1"/>
  <c r="O50" i="18" s="1"/>
  <c r="N50" i="18" a="1"/>
  <c r="N50" i="18" s="1"/>
  <c r="M50" i="18" a="1"/>
  <c r="M50" i="18" s="1"/>
  <c r="L50" i="18" a="1"/>
  <c r="L50" i="18" s="1"/>
  <c r="K50" i="18" a="1"/>
  <c r="K50" i="18" s="1"/>
  <c r="J50" i="18" a="1"/>
  <c r="J50" i="18" s="1"/>
  <c r="I50" i="18" a="1"/>
  <c r="I50" i="18" s="1"/>
  <c r="H50" i="18" a="1"/>
  <c r="H50" i="18" s="1"/>
  <c r="G50" i="18" a="1"/>
  <c r="G50" i="18" s="1"/>
  <c r="D50" i="18"/>
  <c r="BA50" i="18" a="1"/>
  <c r="BA50" i="18" s="1"/>
  <c r="BB50" i="18" s="1"/>
  <c r="AW50" i="18" a="1"/>
  <c r="AW50" i="18" s="1"/>
  <c r="AS50" i="18" a="1"/>
  <c r="AS50" i="18" s="1"/>
  <c r="AO50" i="18" a="1"/>
  <c r="AO50" i="18" s="1"/>
  <c r="AK50" i="18" a="1"/>
  <c r="AK50" i="18" s="1"/>
  <c r="AL50" i="18" s="1"/>
  <c r="AG50" i="18" a="1"/>
  <c r="AG50" i="18" s="1"/>
  <c r="BC58" i="18" a="1"/>
  <c r="BC58" i="18" s="1"/>
  <c r="AY58" i="18" a="1"/>
  <c r="AY58" i="18" s="1"/>
  <c r="AU58" i="18" a="1"/>
  <c r="AU58" i="18" s="1"/>
  <c r="AQ58" i="18" a="1"/>
  <c r="AQ58" i="18" s="1"/>
  <c r="AM58" i="18" a="1"/>
  <c r="AM58" i="18" s="1"/>
  <c r="AI58" i="18" a="1"/>
  <c r="AI58" i="18" s="1"/>
  <c r="AE58" i="18" a="1"/>
  <c r="AE58" i="18" s="1"/>
  <c r="AB58" i="18" a="1"/>
  <c r="AB58" i="18" s="1"/>
  <c r="AA58" i="18" a="1"/>
  <c r="AA58" i="18" s="1"/>
  <c r="Z58" i="18" a="1"/>
  <c r="Z58" i="18" s="1"/>
  <c r="Y58" i="18" a="1"/>
  <c r="Y58" i="18" s="1"/>
  <c r="X58" i="18" a="1"/>
  <c r="X58" i="18" s="1"/>
  <c r="W58" i="18" a="1"/>
  <c r="W58" i="18" s="1"/>
  <c r="V58" i="18" a="1"/>
  <c r="V58" i="18" s="1"/>
  <c r="U58" i="18" a="1"/>
  <c r="U58" i="18" s="1"/>
  <c r="T58" i="18" a="1"/>
  <c r="T58" i="18" s="1"/>
  <c r="S58" i="18" a="1"/>
  <c r="S58" i="18" s="1"/>
  <c r="R58" i="18" a="1"/>
  <c r="R58" i="18" s="1"/>
  <c r="Q58" i="18" a="1"/>
  <c r="Q58" i="18" s="1"/>
  <c r="P58" i="18" a="1"/>
  <c r="P58" i="18" s="1"/>
  <c r="O58" i="18" a="1"/>
  <c r="O58" i="18" s="1"/>
  <c r="N58" i="18" a="1"/>
  <c r="N58" i="18" s="1"/>
  <c r="M58" i="18" a="1"/>
  <c r="M58" i="18" s="1"/>
  <c r="L58" i="18" a="1"/>
  <c r="L58" i="18" s="1"/>
  <c r="K58" i="18" a="1"/>
  <c r="K58" i="18" s="1"/>
  <c r="J58" i="18" a="1"/>
  <c r="J58" i="18" s="1"/>
  <c r="I58" i="18" a="1"/>
  <c r="I58" i="18" s="1"/>
  <c r="H58" i="18" a="1"/>
  <c r="H58" i="18" s="1"/>
  <c r="G58" i="18" a="1"/>
  <c r="G58" i="18" s="1"/>
  <c r="D58" i="18"/>
  <c r="BA58" i="18" a="1"/>
  <c r="BA58" i="18" s="1"/>
  <c r="BB58" i="18" s="1"/>
  <c r="AW58" i="18" a="1"/>
  <c r="AW58" i="18" s="1"/>
  <c r="AS58" i="18" a="1"/>
  <c r="AS58" i="18" s="1"/>
  <c r="AO58" i="18" a="1"/>
  <c r="AO58" i="18" s="1"/>
  <c r="AK58" i="18" a="1"/>
  <c r="AK58" i="18" s="1"/>
  <c r="AL58" i="18" s="1"/>
  <c r="AG58" i="18" a="1"/>
  <c r="AG58" i="18" s="1"/>
  <c r="BA66" i="18" a="1"/>
  <c r="BA66" i="18" s="1"/>
  <c r="AW66" i="18" a="1"/>
  <c r="AW66" i="18" s="1"/>
  <c r="AS66" i="18" a="1"/>
  <c r="AS66" i="18" s="1"/>
  <c r="AY66" i="18" a="1"/>
  <c r="AY66" i="18" s="1"/>
  <c r="AQ66" i="18" a="1"/>
  <c r="AQ66" i="18" s="1"/>
  <c r="AM66" i="18" a="1"/>
  <c r="AM66" i="18" s="1"/>
  <c r="AI66" i="18" a="1"/>
  <c r="AI66" i="18" s="1"/>
  <c r="AE66" i="18" a="1"/>
  <c r="AE66" i="18" s="1"/>
  <c r="AB66" i="18" a="1"/>
  <c r="AB66" i="18" s="1"/>
  <c r="AA66" i="18" a="1"/>
  <c r="AA66" i="18" s="1"/>
  <c r="Z66" i="18" a="1"/>
  <c r="Z66" i="18" s="1"/>
  <c r="Y66" i="18" a="1"/>
  <c r="Y66" i="18" s="1"/>
  <c r="X66" i="18" a="1"/>
  <c r="X66" i="18" s="1"/>
  <c r="W66" i="18" a="1"/>
  <c r="W66" i="18" s="1"/>
  <c r="V66" i="18" a="1"/>
  <c r="V66" i="18" s="1"/>
  <c r="U66" i="18" a="1"/>
  <c r="U66" i="18" s="1"/>
  <c r="T66" i="18" a="1"/>
  <c r="T66" i="18" s="1"/>
  <c r="S66" i="18" a="1"/>
  <c r="S66" i="18" s="1"/>
  <c r="R66" i="18" a="1"/>
  <c r="R66" i="18" s="1"/>
  <c r="Q66" i="18" a="1"/>
  <c r="Q66" i="18" s="1"/>
  <c r="P66" i="18" a="1"/>
  <c r="P66" i="18" s="1"/>
  <c r="O66" i="18" a="1"/>
  <c r="O66" i="18" s="1"/>
  <c r="N66" i="18" a="1"/>
  <c r="N66" i="18" s="1"/>
  <c r="M66" i="18" a="1"/>
  <c r="M66" i="18" s="1"/>
  <c r="L66" i="18" a="1"/>
  <c r="L66" i="18" s="1"/>
  <c r="K66" i="18" a="1"/>
  <c r="K66" i="18" s="1"/>
  <c r="J66" i="18" a="1"/>
  <c r="J66" i="18" s="1"/>
  <c r="I66" i="18" a="1"/>
  <c r="I66" i="18" s="1"/>
  <c r="H66" i="18" a="1"/>
  <c r="H66" i="18" s="1"/>
  <c r="G66" i="18" a="1"/>
  <c r="G66" i="18" s="1"/>
  <c r="D66" i="18"/>
  <c r="BC66" i="18" a="1"/>
  <c r="BC66" i="18" s="1"/>
  <c r="AU66" i="18" a="1"/>
  <c r="AU66" i="18" s="1"/>
  <c r="AO66" i="18" a="1"/>
  <c r="AO66" i="18" s="1"/>
  <c r="AP66" i="18" s="1"/>
  <c r="AK66" i="18" a="1"/>
  <c r="AK66" i="18" s="1"/>
  <c r="AG66" i="18" a="1"/>
  <c r="AG66" i="18" s="1"/>
  <c r="BA13" i="18" a="1"/>
  <c r="BA13" i="18" s="1"/>
  <c r="AW13" i="18" a="1"/>
  <c r="AW13" i="18" s="1"/>
  <c r="AS13" i="18" a="1"/>
  <c r="AS13" i="18" s="1"/>
  <c r="AO13" i="18" a="1"/>
  <c r="AO13" i="18" s="1"/>
  <c r="AK13" i="18" a="1"/>
  <c r="AK13" i="18" s="1"/>
  <c r="AG13" i="18" a="1"/>
  <c r="AG13" i="18" s="1"/>
  <c r="BC13" i="18" a="1"/>
  <c r="BC13" i="18" s="1"/>
  <c r="AY13" i="18" a="1"/>
  <c r="AY13" i="18" s="1"/>
  <c r="AU13" i="18" a="1"/>
  <c r="AU13" i="18" s="1"/>
  <c r="AQ13" i="18" a="1"/>
  <c r="AQ13" i="18" s="1"/>
  <c r="AM13" i="18" a="1"/>
  <c r="AM13" i="18" s="1"/>
  <c r="AI13" i="18" a="1"/>
  <c r="AI13" i="18" s="1"/>
  <c r="AE13" i="18" a="1"/>
  <c r="AE13" i="18" s="1"/>
  <c r="AB13" i="18" a="1"/>
  <c r="AB13" i="18" s="1"/>
  <c r="AA13" i="18" a="1"/>
  <c r="AA13" i="18" s="1"/>
  <c r="Z13" i="18" a="1"/>
  <c r="Z13" i="18" s="1"/>
  <c r="Y13" i="18" a="1"/>
  <c r="Y13" i="18" s="1"/>
  <c r="X13" i="18" a="1"/>
  <c r="X13" i="18" s="1"/>
  <c r="W13" i="18" a="1"/>
  <c r="W13" i="18" s="1"/>
  <c r="V13" i="18" a="1"/>
  <c r="V13" i="18" s="1"/>
  <c r="U13" i="18" a="1"/>
  <c r="U13" i="18" s="1"/>
  <c r="T13" i="18" a="1"/>
  <c r="T13" i="18" s="1"/>
  <c r="S13" i="18" a="1"/>
  <c r="S13" i="18" s="1"/>
  <c r="R13" i="18" a="1"/>
  <c r="R13" i="18" s="1"/>
  <c r="Q13" i="18" a="1"/>
  <c r="Q13" i="18" s="1"/>
  <c r="P13" i="18" a="1"/>
  <c r="P13" i="18" s="1"/>
  <c r="O13" i="18" a="1"/>
  <c r="O13" i="18" s="1"/>
  <c r="N13" i="18" a="1"/>
  <c r="N13" i="18" s="1"/>
  <c r="M13" i="18" a="1"/>
  <c r="M13" i="18" s="1"/>
  <c r="L13" i="18" a="1"/>
  <c r="L13" i="18" s="1"/>
  <c r="K13" i="18" a="1"/>
  <c r="K13" i="18" s="1"/>
  <c r="J13" i="18" a="1"/>
  <c r="J13" i="18" s="1"/>
  <c r="I13" i="18" a="1"/>
  <c r="I13" i="18" s="1"/>
  <c r="H13" i="18" a="1"/>
  <c r="H13" i="18" s="1"/>
  <c r="G13" i="18" a="1"/>
  <c r="G13" i="18" s="1"/>
  <c r="D13" i="18"/>
  <c r="BA21" i="18" a="1"/>
  <c r="BA21" i="18" s="1"/>
  <c r="AW21" i="18" a="1"/>
  <c r="AW21" i="18" s="1"/>
  <c r="AS21" i="18" a="1"/>
  <c r="AS21" i="18" s="1"/>
  <c r="AO21" i="18" a="1"/>
  <c r="AO21" i="18" s="1"/>
  <c r="AK21" i="18" a="1"/>
  <c r="AK21" i="18" s="1"/>
  <c r="AG21" i="18" a="1"/>
  <c r="AG21" i="18" s="1"/>
  <c r="BC21" i="18" a="1"/>
  <c r="BC21" i="18" s="1"/>
  <c r="AY21" i="18" a="1"/>
  <c r="AY21" i="18" s="1"/>
  <c r="AU21" i="18" a="1"/>
  <c r="AU21" i="18" s="1"/>
  <c r="AQ21" i="18" a="1"/>
  <c r="AQ21" i="18" s="1"/>
  <c r="AM21" i="18" a="1"/>
  <c r="AM21" i="18" s="1"/>
  <c r="AI21" i="18" a="1"/>
  <c r="AI21" i="18" s="1"/>
  <c r="AE21" i="18" a="1"/>
  <c r="AE21" i="18" s="1"/>
  <c r="AB21" i="18" a="1"/>
  <c r="AB21" i="18" s="1"/>
  <c r="AA21" i="18" a="1"/>
  <c r="AA21" i="18" s="1"/>
  <c r="Z21" i="18" a="1"/>
  <c r="Z21" i="18" s="1"/>
  <c r="Y21" i="18" a="1"/>
  <c r="Y21" i="18" s="1"/>
  <c r="X21" i="18" a="1"/>
  <c r="X21" i="18" s="1"/>
  <c r="W21" i="18" a="1"/>
  <c r="W21" i="18" s="1"/>
  <c r="V21" i="18" a="1"/>
  <c r="V21" i="18" s="1"/>
  <c r="U21" i="18" a="1"/>
  <c r="U21" i="18" s="1"/>
  <c r="T21" i="18" a="1"/>
  <c r="T21" i="18" s="1"/>
  <c r="S21" i="18" a="1"/>
  <c r="S21" i="18" s="1"/>
  <c r="R21" i="18" a="1"/>
  <c r="R21" i="18" s="1"/>
  <c r="Q21" i="18" a="1"/>
  <c r="Q21" i="18" s="1"/>
  <c r="P21" i="18" a="1"/>
  <c r="P21" i="18" s="1"/>
  <c r="O21" i="18" a="1"/>
  <c r="O21" i="18" s="1"/>
  <c r="N21" i="18" a="1"/>
  <c r="N21" i="18" s="1"/>
  <c r="M21" i="18" a="1"/>
  <c r="M21" i="18" s="1"/>
  <c r="L21" i="18" a="1"/>
  <c r="L21" i="18" s="1"/>
  <c r="K21" i="18" a="1"/>
  <c r="K21" i="18" s="1"/>
  <c r="J21" i="18" a="1"/>
  <c r="J21" i="18" s="1"/>
  <c r="I21" i="18" a="1"/>
  <c r="I21" i="18" s="1"/>
  <c r="H21" i="18" a="1"/>
  <c r="H21" i="18" s="1"/>
  <c r="G21" i="18" a="1"/>
  <c r="G21" i="18" s="1"/>
  <c r="D21" i="18"/>
  <c r="BA33" i="18" a="1"/>
  <c r="BA33" i="18" s="1"/>
  <c r="AW33" i="18" a="1"/>
  <c r="AW33" i="18" s="1"/>
  <c r="AS33" i="18" a="1"/>
  <c r="AS33" i="18" s="1"/>
  <c r="AO33" i="18" a="1"/>
  <c r="AO33" i="18" s="1"/>
  <c r="AK33" i="18" a="1"/>
  <c r="AK33" i="18" s="1"/>
  <c r="AG33" i="18" a="1"/>
  <c r="AG33" i="18" s="1"/>
  <c r="BC33" i="18" a="1"/>
  <c r="BC33" i="18" s="1"/>
  <c r="AY33" i="18" a="1"/>
  <c r="AY33" i="18" s="1"/>
  <c r="AU33" i="18" a="1"/>
  <c r="AU33" i="18" s="1"/>
  <c r="AQ33" i="18" a="1"/>
  <c r="AQ33" i="18" s="1"/>
  <c r="AM33" i="18" a="1"/>
  <c r="AM33" i="18" s="1"/>
  <c r="AI33" i="18" a="1"/>
  <c r="AI33" i="18" s="1"/>
  <c r="AE33" i="18" a="1"/>
  <c r="AE33" i="18" s="1"/>
  <c r="AB33" i="18" a="1"/>
  <c r="AB33" i="18" s="1"/>
  <c r="AA33" i="18" a="1"/>
  <c r="AA33" i="18" s="1"/>
  <c r="Z33" i="18" a="1"/>
  <c r="Z33" i="18" s="1"/>
  <c r="Y33" i="18" a="1"/>
  <c r="Y33" i="18" s="1"/>
  <c r="X33" i="18" a="1"/>
  <c r="X33" i="18" s="1"/>
  <c r="W33" i="18" a="1"/>
  <c r="W33" i="18" s="1"/>
  <c r="V33" i="18" a="1"/>
  <c r="V33" i="18" s="1"/>
  <c r="U33" i="18" a="1"/>
  <c r="U33" i="18" s="1"/>
  <c r="T33" i="18" a="1"/>
  <c r="T33" i="18" s="1"/>
  <c r="S33" i="18" a="1"/>
  <c r="S33" i="18" s="1"/>
  <c r="R33" i="18" a="1"/>
  <c r="R33" i="18" s="1"/>
  <c r="Q33" i="18" a="1"/>
  <c r="Q33" i="18" s="1"/>
  <c r="P33" i="18" a="1"/>
  <c r="P33" i="18" s="1"/>
  <c r="O33" i="18" a="1"/>
  <c r="O33" i="18" s="1"/>
  <c r="N33" i="18" a="1"/>
  <c r="N33" i="18" s="1"/>
  <c r="M33" i="18" a="1"/>
  <c r="M33" i="18" s="1"/>
  <c r="L33" i="18" a="1"/>
  <c r="L33" i="18" s="1"/>
  <c r="K33" i="18" a="1"/>
  <c r="K33" i="18" s="1"/>
  <c r="J33" i="18" a="1"/>
  <c r="J33" i="18" s="1"/>
  <c r="I33" i="18" a="1"/>
  <c r="I33" i="18" s="1"/>
  <c r="H33" i="18" a="1"/>
  <c r="H33" i="18" s="1"/>
  <c r="G33" i="18" a="1"/>
  <c r="G33" i="18" s="1"/>
  <c r="D33" i="18"/>
  <c r="BA41" i="18" a="1"/>
  <c r="BA41" i="18" s="1"/>
  <c r="AW41" i="18" a="1"/>
  <c r="AW41" i="18" s="1"/>
  <c r="AS41" i="18" a="1"/>
  <c r="AS41" i="18" s="1"/>
  <c r="AO41" i="18" a="1"/>
  <c r="AO41" i="18" s="1"/>
  <c r="AK41" i="18" a="1"/>
  <c r="AK41" i="18" s="1"/>
  <c r="AG41" i="18" a="1"/>
  <c r="AG41" i="18" s="1"/>
  <c r="BC41" i="18" a="1"/>
  <c r="BC41" i="18" s="1"/>
  <c r="AY41" i="18" a="1"/>
  <c r="AY41" i="18" s="1"/>
  <c r="AU41" i="18" a="1"/>
  <c r="AU41" i="18" s="1"/>
  <c r="AQ41" i="18" a="1"/>
  <c r="AQ41" i="18" s="1"/>
  <c r="AM41" i="18" a="1"/>
  <c r="AM41" i="18" s="1"/>
  <c r="AI41" i="18" a="1"/>
  <c r="AI41" i="18" s="1"/>
  <c r="AE41" i="18" a="1"/>
  <c r="AE41" i="18" s="1"/>
  <c r="AB41" i="18" a="1"/>
  <c r="AB41" i="18" s="1"/>
  <c r="AA41" i="18" a="1"/>
  <c r="AA41" i="18" s="1"/>
  <c r="Z41" i="18" a="1"/>
  <c r="Z41" i="18" s="1"/>
  <c r="Y41" i="18" a="1"/>
  <c r="Y41" i="18" s="1"/>
  <c r="X41" i="18" a="1"/>
  <c r="X41" i="18" s="1"/>
  <c r="W41" i="18" a="1"/>
  <c r="W41" i="18" s="1"/>
  <c r="V41" i="18" a="1"/>
  <c r="V41" i="18" s="1"/>
  <c r="U41" i="18" a="1"/>
  <c r="U41" i="18" s="1"/>
  <c r="T41" i="18" a="1"/>
  <c r="T41" i="18" s="1"/>
  <c r="S41" i="18" a="1"/>
  <c r="S41" i="18" s="1"/>
  <c r="R41" i="18" a="1"/>
  <c r="R41" i="18" s="1"/>
  <c r="Q41" i="18" a="1"/>
  <c r="Q41" i="18" s="1"/>
  <c r="P41" i="18" a="1"/>
  <c r="P41" i="18" s="1"/>
  <c r="O41" i="18" a="1"/>
  <c r="O41" i="18" s="1"/>
  <c r="N41" i="18" a="1"/>
  <c r="N41" i="18" s="1"/>
  <c r="M41" i="18" a="1"/>
  <c r="M41" i="18" s="1"/>
  <c r="L41" i="18" a="1"/>
  <c r="L41" i="18" s="1"/>
  <c r="K41" i="18" a="1"/>
  <c r="K41" i="18" s="1"/>
  <c r="J41" i="18" a="1"/>
  <c r="J41" i="18" s="1"/>
  <c r="I41" i="18" a="1"/>
  <c r="I41" i="18" s="1"/>
  <c r="H41" i="18" a="1"/>
  <c r="H41" i="18" s="1"/>
  <c r="G41" i="18" a="1"/>
  <c r="G41" i="18" s="1"/>
  <c r="D41" i="18"/>
  <c r="BA45" i="18" a="1"/>
  <c r="BA45" i="18" s="1"/>
  <c r="AW45" i="18" a="1"/>
  <c r="AW45" i="18" s="1"/>
  <c r="AS45" i="18" a="1"/>
  <c r="AS45" i="18" s="1"/>
  <c r="AO45" i="18" a="1"/>
  <c r="AO45" i="18" s="1"/>
  <c r="AK45" i="18" a="1"/>
  <c r="AK45" i="18" s="1"/>
  <c r="AG45" i="18" a="1"/>
  <c r="AG45" i="18" s="1"/>
  <c r="BC45" i="18" a="1"/>
  <c r="BC45" i="18" s="1"/>
  <c r="AY45" i="18" a="1"/>
  <c r="AY45" i="18" s="1"/>
  <c r="AU45" i="18" a="1"/>
  <c r="AU45" i="18" s="1"/>
  <c r="AQ45" i="18" a="1"/>
  <c r="AQ45" i="18" s="1"/>
  <c r="AM45" i="18" a="1"/>
  <c r="AM45" i="18" s="1"/>
  <c r="AI45" i="18" a="1"/>
  <c r="AI45" i="18" s="1"/>
  <c r="AE45" i="18" a="1"/>
  <c r="AE45" i="18" s="1"/>
  <c r="AB45" i="18" a="1"/>
  <c r="AB45" i="18" s="1"/>
  <c r="AA45" i="18" a="1"/>
  <c r="AA45" i="18" s="1"/>
  <c r="Z45" i="18" a="1"/>
  <c r="Z45" i="18" s="1"/>
  <c r="Y45" i="18" a="1"/>
  <c r="Y45" i="18" s="1"/>
  <c r="X45" i="18" a="1"/>
  <c r="X45" i="18" s="1"/>
  <c r="W45" i="18" a="1"/>
  <c r="W45" i="18" s="1"/>
  <c r="V45" i="18" a="1"/>
  <c r="V45" i="18" s="1"/>
  <c r="U45" i="18" a="1"/>
  <c r="U45" i="18" s="1"/>
  <c r="T45" i="18" a="1"/>
  <c r="T45" i="18" s="1"/>
  <c r="S45" i="18" a="1"/>
  <c r="S45" i="18" s="1"/>
  <c r="R45" i="18" a="1"/>
  <c r="R45" i="18" s="1"/>
  <c r="Q45" i="18" a="1"/>
  <c r="Q45" i="18" s="1"/>
  <c r="P45" i="18" a="1"/>
  <c r="P45" i="18" s="1"/>
  <c r="O45" i="18" a="1"/>
  <c r="O45" i="18" s="1"/>
  <c r="N45" i="18" a="1"/>
  <c r="N45" i="18" s="1"/>
  <c r="M45" i="18" a="1"/>
  <c r="M45" i="18" s="1"/>
  <c r="L45" i="18" a="1"/>
  <c r="L45" i="18" s="1"/>
  <c r="K45" i="18" a="1"/>
  <c r="K45" i="18" s="1"/>
  <c r="J45" i="18" a="1"/>
  <c r="J45" i="18" s="1"/>
  <c r="I45" i="18" a="1"/>
  <c r="I45" i="18" s="1"/>
  <c r="H45" i="18" a="1"/>
  <c r="H45" i="18" s="1"/>
  <c r="G45" i="18" a="1"/>
  <c r="G45" i="18" s="1"/>
  <c r="D45" i="18"/>
  <c r="BA49" i="18" a="1"/>
  <c r="BA49" i="18" s="1"/>
  <c r="AW49" i="18" a="1"/>
  <c r="AW49" i="18" s="1"/>
  <c r="AS49" i="18" a="1"/>
  <c r="AS49" i="18" s="1"/>
  <c r="AO49" i="18" a="1"/>
  <c r="AO49" i="18" s="1"/>
  <c r="AK49" i="18" a="1"/>
  <c r="AK49" i="18" s="1"/>
  <c r="AG49" i="18" a="1"/>
  <c r="AG49" i="18" s="1"/>
  <c r="BC49" i="18" a="1"/>
  <c r="BC49" i="18" s="1"/>
  <c r="AY49" i="18" a="1"/>
  <c r="AY49" i="18" s="1"/>
  <c r="AU49" i="18" a="1"/>
  <c r="AU49" i="18" s="1"/>
  <c r="AQ49" i="18" a="1"/>
  <c r="AQ49" i="18" s="1"/>
  <c r="AM49" i="18" a="1"/>
  <c r="AM49" i="18" s="1"/>
  <c r="AI49" i="18" a="1"/>
  <c r="AI49" i="18" s="1"/>
  <c r="AE49" i="18" a="1"/>
  <c r="AE49" i="18" s="1"/>
  <c r="AB49" i="18" a="1"/>
  <c r="AB49" i="18" s="1"/>
  <c r="AA49" i="18" a="1"/>
  <c r="AA49" i="18" s="1"/>
  <c r="Z49" i="18" a="1"/>
  <c r="Z49" i="18" s="1"/>
  <c r="Y49" i="18" a="1"/>
  <c r="Y49" i="18" s="1"/>
  <c r="X49" i="18" a="1"/>
  <c r="X49" i="18" s="1"/>
  <c r="W49" i="18" a="1"/>
  <c r="W49" i="18" s="1"/>
  <c r="V49" i="18" a="1"/>
  <c r="V49" i="18" s="1"/>
  <c r="U49" i="18" a="1"/>
  <c r="U49" i="18" s="1"/>
  <c r="T49" i="18" a="1"/>
  <c r="T49" i="18" s="1"/>
  <c r="S49" i="18" a="1"/>
  <c r="S49" i="18" s="1"/>
  <c r="R49" i="18" a="1"/>
  <c r="R49" i="18" s="1"/>
  <c r="Q49" i="18" a="1"/>
  <c r="Q49" i="18" s="1"/>
  <c r="P49" i="18" a="1"/>
  <c r="P49" i="18" s="1"/>
  <c r="O49" i="18" a="1"/>
  <c r="O49" i="18" s="1"/>
  <c r="N49" i="18" a="1"/>
  <c r="N49" i="18" s="1"/>
  <c r="M49" i="18" a="1"/>
  <c r="M49" i="18" s="1"/>
  <c r="L49" i="18" a="1"/>
  <c r="L49" i="18" s="1"/>
  <c r="K49" i="18" a="1"/>
  <c r="K49" i="18" s="1"/>
  <c r="J49" i="18" a="1"/>
  <c r="J49" i="18" s="1"/>
  <c r="I49" i="18" a="1"/>
  <c r="I49" i="18" s="1"/>
  <c r="H49" i="18" a="1"/>
  <c r="H49" i="18" s="1"/>
  <c r="G49" i="18" a="1"/>
  <c r="G49" i="18" s="1"/>
  <c r="D49" i="18"/>
  <c r="BA53" i="18" a="1"/>
  <c r="BA53" i="18" s="1"/>
  <c r="AW53" i="18" a="1"/>
  <c r="AW53" i="18" s="1"/>
  <c r="AS53" i="18" a="1"/>
  <c r="AS53" i="18" s="1"/>
  <c r="AO53" i="18" a="1"/>
  <c r="AO53" i="18" s="1"/>
  <c r="AK53" i="18" a="1"/>
  <c r="AK53" i="18" s="1"/>
  <c r="AG53" i="18" a="1"/>
  <c r="AG53" i="18" s="1"/>
  <c r="BC53" i="18" a="1"/>
  <c r="BC53" i="18" s="1"/>
  <c r="AY53" i="18" a="1"/>
  <c r="AY53" i="18" s="1"/>
  <c r="AU53" i="18" a="1"/>
  <c r="AU53" i="18" s="1"/>
  <c r="AQ53" i="18" a="1"/>
  <c r="AQ53" i="18" s="1"/>
  <c r="AM53" i="18" a="1"/>
  <c r="AM53" i="18" s="1"/>
  <c r="AI53" i="18" a="1"/>
  <c r="AI53" i="18" s="1"/>
  <c r="AE53" i="18" a="1"/>
  <c r="AE53" i="18" s="1"/>
  <c r="AB53" i="18" a="1"/>
  <c r="AB53" i="18" s="1"/>
  <c r="AA53" i="18" a="1"/>
  <c r="AA53" i="18" s="1"/>
  <c r="Z53" i="18" a="1"/>
  <c r="Z53" i="18" s="1"/>
  <c r="Y53" i="18" a="1"/>
  <c r="Y53" i="18" s="1"/>
  <c r="X53" i="18" a="1"/>
  <c r="X53" i="18" s="1"/>
  <c r="W53" i="18" a="1"/>
  <c r="W53" i="18" s="1"/>
  <c r="V53" i="18" a="1"/>
  <c r="V53" i="18" s="1"/>
  <c r="U53" i="18" a="1"/>
  <c r="U53" i="18" s="1"/>
  <c r="T53" i="18" a="1"/>
  <c r="T53" i="18" s="1"/>
  <c r="S53" i="18" a="1"/>
  <c r="S53" i="18" s="1"/>
  <c r="R53" i="18" a="1"/>
  <c r="R53" i="18" s="1"/>
  <c r="Q53" i="18" a="1"/>
  <c r="Q53" i="18" s="1"/>
  <c r="P53" i="18" a="1"/>
  <c r="P53" i="18" s="1"/>
  <c r="O53" i="18" a="1"/>
  <c r="O53" i="18" s="1"/>
  <c r="N53" i="18" a="1"/>
  <c r="N53" i="18" s="1"/>
  <c r="M53" i="18" a="1"/>
  <c r="M53" i="18" s="1"/>
  <c r="L53" i="18" a="1"/>
  <c r="L53" i="18" s="1"/>
  <c r="K53" i="18" a="1"/>
  <c r="K53" i="18" s="1"/>
  <c r="J53" i="18" a="1"/>
  <c r="J53" i="18" s="1"/>
  <c r="I53" i="18" a="1"/>
  <c r="I53" i="18" s="1"/>
  <c r="H53" i="18" a="1"/>
  <c r="H53" i="18" s="1"/>
  <c r="G53" i="18" a="1"/>
  <c r="G53" i="18" s="1"/>
  <c r="D53" i="18"/>
  <c r="BA57" i="18" a="1"/>
  <c r="BA57" i="18" s="1"/>
  <c r="AW57" i="18" a="1"/>
  <c r="AW57" i="18" s="1"/>
  <c r="AS57" i="18" a="1"/>
  <c r="AS57" i="18" s="1"/>
  <c r="AO57" i="18" a="1"/>
  <c r="AO57" i="18" s="1"/>
  <c r="AK57" i="18" a="1"/>
  <c r="AK57" i="18" s="1"/>
  <c r="AG57" i="18" a="1"/>
  <c r="AG57" i="18" s="1"/>
  <c r="BC57" i="18" a="1"/>
  <c r="BC57" i="18" s="1"/>
  <c r="AY57" i="18" a="1"/>
  <c r="AY57" i="18" s="1"/>
  <c r="AU57" i="18" a="1"/>
  <c r="AU57" i="18" s="1"/>
  <c r="AQ57" i="18" a="1"/>
  <c r="AQ57" i="18" s="1"/>
  <c r="AM57" i="18" a="1"/>
  <c r="AM57" i="18" s="1"/>
  <c r="AI57" i="18" a="1"/>
  <c r="AI57" i="18" s="1"/>
  <c r="AE57" i="18" a="1"/>
  <c r="AE57" i="18" s="1"/>
  <c r="AB57" i="18" a="1"/>
  <c r="AB57" i="18" s="1"/>
  <c r="AA57" i="18" a="1"/>
  <c r="AA57" i="18" s="1"/>
  <c r="Z57" i="18" a="1"/>
  <c r="Z57" i="18" s="1"/>
  <c r="Y57" i="18" a="1"/>
  <c r="Y57" i="18" s="1"/>
  <c r="X57" i="18" a="1"/>
  <c r="X57" i="18" s="1"/>
  <c r="W57" i="18" a="1"/>
  <c r="W57" i="18" s="1"/>
  <c r="V57" i="18" a="1"/>
  <c r="V57" i="18" s="1"/>
  <c r="U57" i="18" a="1"/>
  <c r="U57" i="18" s="1"/>
  <c r="T57" i="18" a="1"/>
  <c r="T57" i="18" s="1"/>
  <c r="S57" i="18" a="1"/>
  <c r="S57" i="18" s="1"/>
  <c r="R57" i="18" a="1"/>
  <c r="R57" i="18" s="1"/>
  <c r="Q57" i="18" a="1"/>
  <c r="Q57" i="18" s="1"/>
  <c r="P57" i="18" a="1"/>
  <c r="P57" i="18" s="1"/>
  <c r="O57" i="18" a="1"/>
  <c r="O57" i="18" s="1"/>
  <c r="N57" i="18" a="1"/>
  <c r="N57" i="18" s="1"/>
  <c r="M57" i="18" a="1"/>
  <c r="M57" i="18" s="1"/>
  <c r="L57" i="18" a="1"/>
  <c r="L57" i="18" s="1"/>
  <c r="K57" i="18" a="1"/>
  <c r="K57" i="18" s="1"/>
  <c r="J57" i="18" a="1"/>
  <c r="J57" i="18" s="1"/>
  <c r="I57" i="18" a="1"/>
  <c r="I57" i="18" s="1"/>
  <c r="H57" i="18" a="1"/>
  <c r="H57" i="18" s="1"/>
  <c r="G57" i="18" a="1"/>
  <c r="G57" i="18" s="1"/>
  <c r="D57" i="18"/>
  <c r="BA61" i="18" a="1"/>
  <c r="BA61" i="18" s="1"/>
  <c r="AW61" i="18" a="1"/>
  <c r="AW61" i="18" s="1"/>
  <c r="AS61" i="18" a="1"/>
  <c r="AS61" i="18" s="1"/>
  <c r="AO61" i="18" a="1"/>
  <c r="AO61" i="18" s="1"/>
  <c r="AK61" i="18" a="1"/>
  <c r="AK61" i="18" s="1"/>
  <c r="AG61" i="18" a="1"/>
  <c r="AG61" i="18" s="1"/>
  <c r="BC61" i="18" a="1"/>
  <c r="BC61" i="18" s="1"/>
  <c r="AY61" i="18" a="1"/>
  <c r="AY61" i="18" s="1"/>
  <c r="AU61" i="18" a="1"/>
  <c r="AU61" i="18" s="1"/>
  <c r="AQ61" i="18" a="1"/>
  <c r="AQ61" i="18" s="1"/>
  <c r="AM61" i="18" a="1"/>
  <c r="AM61" i="18" s="1"/>
  <c r="AI61" i="18" a="1"/>
  <c r="AI61" i="18" s="1"/>
  <c r="AE61" i="18" a="1"/>
  <c r="AE61" i="18" s="1"/>
  <c r="AB61" i="18" a="1"/>
  <c r="AB61" i="18" s="1"/>
  <c r="AA61" i="18" a="1"/>
  <c r="AA61" i="18" s="1"/>
  <c r="Z61" i="18" a="1"/>
  <c r="Z61" i="18" s="1"/>
  <c r="Y61" i="18" a="1"/>
  <c r="Y61" i="18" s="1"/>
  <c r="X61" i="18" a="1"/>
  <c r="X61" i="18" s="1"/>
  <c r="W61" i="18" a="1"/>
  <c r="W61" i="18" s="1"/>
  <c r="V61" i="18" a="1"/>
  <c r="V61" i="18" s="1"/>
  <c r="U61" i="18" a="1"/>
  <c r="U61" i="18" s="1"/>
  <c r="T61" i="18" a="1"/>
  <c r="T61" i="18" s="1"/>
  <c r="S61" i="18" a="1"/>
  <c r="S61" i="18" s="1"/>
  <c r="R61" i="18" a="1"/>
  <c r="R61" i="18" s="1"/>
  <c r="Q61" i="18" a="1"/>
  <c r="Q61" i="18" s="1"/>
  <c r="P61" i="18" a="1"/>
  <c r="P61" i="18" s="1"/>
  <c r="O61" i="18" a="1"/>
  <c r="O61" i="18" s="1"/>
  <c r="N61" i="18" a="1"/>
  <c r="N61" i="18" s="1"/>
  <c r="M61" i="18" a="1"/>
  <c r="M61" i="18" s="1"/>
  <c r="L61" i="18" a="1"/>
  <c r="L61" i="18" s="1"/>
  <c r="K61" i="18" a="1"/>
  <c r="K61" i="18" s="1"/>
  <c r="J61" i="18" a="1"/>
  <c r="J61" i="18" s="1"/>
  <c r="I61" i="18" a="1"/>
  <c r="I61" i="18" s="1"/>
  <c r="H61" i="18" a="1"/>
  <c r="H61" i="18" s="1"/>
  <c r="G61" i="18" a="1"/>
  <c r="G61" i="18" s="1"/>
  <c r="D61" i="18"/>
  <c r="BA65" i="18" a="1"/>
  <c r="BA65" i="18" s="1"/>
  <c r="AW65" i="18" a="1"/>
  <c r="AW65" i="18" s="1"/>
  <c r="AS65" i="18" a="1"/>
  <c r="AS65" i="18" s="1"/>
  <c r="AO65" i="18" a="1"/>
  <c r="AO65" i="18" s="1"/>
  <c r="AK65" i="18" a="1"/>
  <c r="AK65" i="18" s="1"/>
  <c r="AG65" i="18" a="1"/>
  <c r="AG65" i="18" s="1"/>
  <c r="BC65" i="18" a="1"/>
  <c r="BC65" i="18" s="1"/>
  <c r="AY65" i="18" a="1"/>
  <c r="AY65" i="18" s="1"/>
  <c r="AU65" i="18" a="1"/>
  <c r="AU65" i="18" s="1"/>
  <c r="AQ65" i="18" a="1"/>
  <c r="AQ65" i="18" s="1"/>
  <c r="AM65" i="18" a="1"/>
  <c r="AM65" i="18" s="1"/>
  <c r="AI65" i="18" a="1"/>
  <c r="AI65" i="18" s="1"/>
  <c r="AE65" i="18" a="1"/>
  <c r="AE65" i="18" s="1"/>
  <c r="AB65" i="18" a="1"/>
  <c r="AB65" i="18" s="1"/>
  <c r="AA65" i="18" a="1"/>
  <c r="AA65" i="18" s="1"/>
  <c r="Z65" i="18" a="1"/>
  <c r="Z65" i="18" s="1"/>
  <c r="Y65" i="18" a="1"/>
  <c r="Y65" i="18" s="1"/>
  <c r="X65" i="18" a="1"/>
  <c r="X65" i="18" s="1"/>
  <c r="W65" i="18" a="1"/>
  <c r="W65" i="18" s="1"/>
  <c r="V65" i="18" a="1"/>
  <c r="V65" i="18" s="1"/>
  <c r="U65" i="18" a="1"/>
  <c r="U65" i="18" s="1"/>
  <c r="T65" i="18" a="1"/>
  <c r="T65" i="18" s="1"/>
  <c r="S65" i="18" a="1"/>
  <c r="S65" i="18" s="1"/>
  <c r="R65" i="18" a="1"/>
  <c r="R65" i="18" s="1"/>
  <c r="Q65" i="18" a="1"/>
  <c r="Q65" i="18" s="1"/>
  <c r="P65" i="18" a="1"/>
  <c r="P65" i="18" s="1"/>
  <c r="O65" i="18" a="1"/>
  <c r="O65" i="18" s="1"/>
  <c r="N65" i="18" a="1"/>
  <c r="N65" i="18" s="1"/>
  <c r="M65" i="18" a="1"/>
  <c r="M65" i="18" s="1"/>
  <c r="L65" i="18" a="1"/>
  <c r="L65" i="18" s="1"/>
  <c r="K65" i="18" a="1"/>
  <c r="K65" i="18" s="1"/>
  <c r="J65" i="18" a="1"/>
  <c r="J65" i="18" s="1"/>
  <c r="I65" i="18" a="1"/>
  <c r="I65" i="18" s="1"/>
  <c r="H65" i="18" a="1"/>
  <c r="H65" i="18" s="1"/>
  <c r="G65" i="18" a="1"/>
  <c r="G65" i="18" s="1"/>
  <c r="D65" i="18"/>
  <c r="BC70" i="18" a="1"/>
  <c r="BC70" i="18" s="1"/>
  <c r="AY70" i="18" a="1"/>
  <c r="AY70" i="18" s="1"/>
  <c r="AU70" i="18" a="1"/>
  <c r="AU70" i="18" s="1"/>
  <c r="AQ70" i="18" a="1"/>
  <c r="AQ70" i="18" s="1"/>
  <c r="AM70" i="18" a="1"/>
  <c r="AM70" i="18" s="1"/>
  <c r="AI70" i="18" a="1"/>
  <c r="AI70" i="18" s="1"/>
  <c r="AE70" i="18" a="1"/>
  <c r="AE70" i="18" s="1"/>
  <c r="AB70" i="18" a="1"/>
  <c r="AB70" i="18" s="1"/>
  <c r="AA70" i="18" a="1"/>
  <c r="AA70" i="18" s="1"/>
  <c r="Z70" i="18" a="1"/>
  <c r="Z70" i="18" s="1"/>
  <c r="Y70" i="18" a="1"/>
  <c r="Y70" i="18" s="1"/>
  <c r="X70" i="18" a="1"/>
  <c r="X70" i="18" s="1"/>
  <c r="W70" i="18" a="1"/>
  <c r="W70" i="18" s="1"/>
  <c r="V70" i="18" a="1"/>
  <c r="V70" i="18" s="1"/>
  <c r="U70" i="18" a="1"/>
  <c r="U70" i="18" s="1"/>
  <c r="T70" i="18" a="1"/>
  <c r="T70" i="18" s="1"/>
  <c r="S70" i="18" a="1"/>
  <c r="S70" i="18" s="1"/>
  <c r="R70" i="18" a="1"/>
  <c r="R70" i="18" s="1"/>
  <c r="Q70" i="18" a="1"/>
  <c r="Q70" i="18" s="1"/>
  <c r="P70" i="18" a="1"/>
  <c r="P70" i="18" s="1"/>
  <c r="O70" i="18" a="1"/>
  <c r="O70" i="18" s="1"/>
  <c r="N70" i="18" a="1"/>
  <c r="N70" i="18" s="1"/>
  <c r="M70" i="18" a="1"/>
  <c r="M70" i="18" s="1"/>
  <c r="L70" i="18" a="1"/>
  <c r="L70" i="18" s="1"/>
  <c r="K70" i="18" a="1"/>
  <c r="K70" i="18" s="1"/>
  <c r="J70" i="18" a="1"/>
  <c r="J70" i="18" s="1"/>
  <c r="I70" i="18" a="1"/>
  <c r="I70" i="18" s="1"/>
  <c r="H70" i="18" a="1"/>
  <c r="H70" i="18" s="1"/>
  <c r="G70" i="18" a="1"/>
  <c r="G70" i="18" s="1"/>
  <c r="D70" i="18"/>
  <c r="BA70" i="18" a="1"/>
  <c r="BA70" i="18" s="1"/>
  <c r="BB70" i="18" s="1"/>
  <c r="AW70" i="18" a="1"/>
  <c r="AW70" i="18" s="1"/>
  <c r="AS70" i="18" a="1"/>
  <c r="AS70" i="18" s="1"/>
  <c r="AO70" i="18" a="1"/>
  <c r="AO70" i="18" s="1"/>
  <c r="AK70" i="18" a="1"/>
  <c r="AK70" i="18" s="1"/>
  <c r="AL70" i="18" s="1"/>
  <c r="AG70" i="18" a="1"/>
  <c r="AG70" i="18" s="1"/>
  <c r="BC74" i="18" a="1"/>
  <c r="BC74" i="18" s="1"/>
  <c r="AY74" i="18" a="1"/>
  <c r="AY74" i="18" s="1"/>
  <c r="AU74" i="18" a="1"/>
  <c r="AU74" i="18" s="1"/>
  <c r="AQ74" i="18" a="1"/>
  <c r="AQ74" i="18" s="1"/>
  <c r="AM74" i="18" a="1"/>
  <c r="AM74" i="18" s="1"/>
  <c r="AI74" i="18" a="1"/>
  <c r="AI74" i="18" s="1"/>
  <c r="AE74" i="18" a="1"/>
  <c r="AE74" i="18" s="1"/>
  <c r="AB74" i="18" a="1"/>
  <c r="AB74" i="18" s="1"/>
  <c r="AA74" i="18" a="1"/>
  <c r="AA74" i="18" s="1"/>
  <c r="Z74" i="18" a="1"/>
  <c r="Z74" i="18" s="1"/>
  <c r="Y74" i="18" a="1"/>
  <c r="Y74" i="18" s="1"/>
  <c r="X74" i="18" a="1"/>
  <c r="X74" i="18" s="1"/>
  <c r="W74" i="18" a="1"/>
  <c r="W74" i="18" s="1"/>
  <c r="V74" i="18" a="1"/>
  <c r="V74" i="18" s="1"/>
  <c r="U74" i="18" a="1"/>
  <c r="U74" i="18" s="1"/>
  <c r="T74" i="18" a="1"/>
  <c r="T74" i="18" s="1"/>
  <c r="S74" i="18" a="1"/>
  <c r="S74" i="18" s="1"/>
  <c r="R74" i="18" a="1"/>
  <c r="R74" i="18" s="1"/>
  <c r="Q74" i="18" a="1"/>
  <c r="Q74" i="18" s="1"/>
  <c r="P74" i="18" a="1"/>
  <c r="P74" i="18" s="1"/>
  <c r="O74" i="18" a="1"/>
  <c r="O74" i="18" s="1"/>
  <c r="N74" i="18" a="1"/>
  <c r="N74" i="18" s="1"/>
  <c r="M74" i="18" a="1"/>
  <c r="M74" i="18" s="1"/>
  <c r="L74" i="18" a="1"/>
  <c r="L74" i="18" s="1"/>
  <c r="K74" i="18" a="1"/>
  <c r="K74" i="18" s="1"/>
  <c r="J74" i="18" a="1"/>
  <c r="J74" i="18" s="1"/>
  <c r="I74" i="18" a="1"/>
  <c r="I74" i="18" s="1"/>
  <c r="H74" i="18" a="1"/>
  <c r="H74" i="18" s="1"/>
  <c r="G74" i="18" a="1"/>
  <c r="G74" i="18" s="1"/>
  <c r="D74" i="18"/>
  <c r="BA74" i="18" a="1"/>
  <c r="BA74" i="18" s="1"/>
  <c r="BB74" i="18" s="1"/>
  <c r="AW74" i="18" a="1"/>
  <c r="AW74" i="18" s="1"/>
  <c r="AS74" i="18" a="1"/>
  <c r="AS74" i="18" s="1"/>
  <c r="AO74" i="18" a="1"/>
  <c r="AO74" i="18" s="1"/>
  <c r="AK74" i="18" a="1"/>
  <c r="AK74" i="18" s="1"/>
  <c r="AL74" i="18" s="1"/>
  <c r="AG74" i="18" a="1"/>
  <c r="AG74" i="18" s="1"/>
  <c r="BC78" i="18" a="1"/>
  <c r="BC78" i="18" s="1"/>
  <c r="AY78" i="18" a="1"/>
  <c r="AY78" i="18" s="1"/>
  <c r="AU78" i="18" a="1"/>
  <c r="AU78" i="18" s="1"/>
  <c r="AQ78" i="18" a="1"/>
  <c r="AQ78" i="18" s="1"/>
  <c r="AM78" i="18" a="1"/>
  <c r="AM78" i="18" s="1"/>
  <c r="AI78" i="18" a="1"/>
  <c r="AI78" i="18" s="1"/>
  <c r="AE78" i="18" a="1"/>
  <c r="AE78" i="18" s="1"/>
  <c r="AB78" i="18" a="1"/>
  <c r="AB78" i="18" s="1"/>
  <c r="AA78" i="18" a="1"/>
  <c r="AA78" i="18" s="1"/>
  <c r="Z78" i="18" a="1"/>
  <c r="Z78" i="18" s="1"/>
  <c r="Y78" i="18" a="1"/>
  <c r="Y78" i="18" s="1"/>
  <c r="X78" i="18" a="1"/>
  <c r="X78" i="18" s="1"/>
  <c r="W78" i="18" a="1"/>
  <c r="W78" i="18" s="1"/>
  <c r="V78" i="18" a="1"/>
  <c r="V78" i="18" s="1"/>
  <c r="U78" i="18" a="1"/>
  <c r="U78" i="18" s="1"/>
  <c r="T78" i="18" a="1"/>
  <c r="T78" i="18" s="1"/>
  <c r="S78" i="18" a="1"/>
  <c r="S78" i="18" s="1"/>
  <c r="R78" i="18" a="1"/>
  <c r="R78" i="18" s="1"/>
  <c r="Q78" i="18" a="1"/>
  <c r="Q78" i="18" s="1"/>
  <c r="P78" i="18" a="1"/>
  <c r="P78" i="18" s="1"/>
  <c r="O78" i="18" a="1"/>
  <c r="O78" i="18" s="1"/>
  <c r="N78" i="18" a="1"/>
  <c r="N78" i="18" s="1"/>
  <c r="M78" i="18" a="1"/>
  <c r="M78" i="18" s="1"/>
  <c r="L78" i="18" a="1"/>
  <c r="L78" i="18" s="1"/>
  <c r="K78" i="18" a="1"/>
  <c r="K78" i="18" s="1"/>
  <c r="J78" i="18" a="1"/>
  <c r="J78" i="18" s="1"/>
  <c r="I78" i="18" a="1"/>
  <c r="I78" i="18" s="1"/>
  <c r="H78" i="18" a="1"/>
  <c r="H78" i="18" s="1"/>
  <c r="G78" i="18" a="1"/>
  <c r="G78" i="18" s="1"/>
  <c r="D78" i="18"/>
  <c r="BA78" i="18" a="1"/>
  <c r="BA78" i="18" s="1"/>
  <c r="BB78" i="18" s="1"/>
  <c r="AW78" i="18" a="1"/>
  <c r="AW78" i="18" s="1"/>
  <c r="AS78" i="18" a="1"/>
  <c r="AS78" i="18" s="1"/>
  <c r="AO78" i="18" a="1"/>
  <c r="AO78" i="18" s="1"/>
  <c r="AK78" i="18" a="1"/>
  <c r="AK78" i="18" s="1"/>
  <c r="AL78" i="18" s="1"/>
  <c r="AG78" i="18" a="1"/>
  <c r="AG78" i="18" s="1"/>
  <c r="BC82" i="18" a="1"/>
  <c r="BC82" i="18" s="1"/>
  <c r="AY82" i="18" a="1"/>
  <c r="AY82" i="18" s="1"/>
  <c r="AU82" i="18" a="1"/>
  <c r="AU82" i="18" s="1"/>
  <c r="AQ82" i="18" a="1"/>
  <c r="AQ82" i="18" s="1"/>
  <c r="AM82" i="18" a="1"/>
  <c r="AM82" i="18" s="1"/>
  <c r="AI82" i="18" a="1"/>
  <c r="AI82" i="18" s="1"/>
  <c r="AE82" i="18" a="1"/>
  <c r="AE82" i="18" s="1"/>
  <c r="AB82" i="18" a="1"/>
  <c r="AB82" i="18" s="1"/>
  <c r="AA82" i="18" a="1"/>
  <c r="AA82" i="18" s="1"/>
  <c r="Z82" i="18" a="1"/>
  <c r="Z82" i="18" s="1"/>
  <c r="Y82" i="18" a="1"/>
  <c r="Y82" i="18" s="1"/>
  <c r="X82" i="18" a="1"/>
  <c r="X82" i="18" s="1"/>
  <c r="W82" i="18" a="1"/>
  <c r="W82" i="18" s="1"/>
  <c r="V82" i="18" a="1"/>
  <c r="V82" i="18" s="1"/>
  <c r="U82" i="18" a="1"/>
  <c r="U82" i="18" s="1"/>
  <c r="T82" i="18" a="1"/>
  <c r="T82" i="18" s="1"/>
  <c r="S82" i="18" a="1"/>
  <c r="S82" i="18" s="1"/>
  <c r="R82" i="18" a="1"/>
  <c r="R82" i="18" s="1"/>
  <c r="Q82" i="18" a="1"/>
  <c r="Q82" i="18" s="1"/>
  <c r="P82" i="18" a="1"/>
  <c r="P82" i="18" s="1"/>
  <c r="O82" i="18" a="1"/>
  <c r="O82" i="18" s="1"/>
  <c r="N82" i="18" a="1"/>
  <c r="N82" i="18" s="1"/>
  <c r="M82" i="18" a="1"/>
  <c r="M82" i="18" s="1"/>
  <c r="L82" i="18" a="1"/>
  <c r="L82" i="18" s="1"/>
  <c r="K82" i="18" a="1"/>
  <c r="K82" i="18" s="1"/>
  <c r="J82" i="18" a="1"/>
  <c r="J82" i="18" s="1"/>
  <c r="I82" i="18" a="1"/>
  <c r="I82" i="18" s="1"/>
  <c r="H82" i="18" a="1"/>
  <c r="H82" i="18" s="1"/>
  <c r="G82" i="18" a="1"/>
  <c r="G82" i="18" s="1"/>
  <c r="D82" i="18"/>
  <c r="BA82" i="18" a="1"/>
  <c r="BA82" i="18" s="1"/>
  <c r="BB82" i="18" s="1"/>
  <c r="AW82" i="18" a="1"/>
  <c r="AW82" i="18" s="1"/>
  <c r="AS82" i="18" a="1"/>
  <c r="AS82" i="18" s="1"/>
  <c r="AO82" i="18" a="1"/>
  <c r="AO82" i="18" s="1"/>
  <c r="AK82" i="18" a="1"/>
  <c r="AK82" i="18" s="1"/>
  <c r="AL82" i="18" s="1"/>
  <c r="AG82" i="18" a="1"/>
  <c r="AG82" i="18" s="1"/>
  <c r="BC86" i="18" a="1"/>
  <c r="BC86" i="18" s="1"/>
  <c r="AY86" i="18" a="1"/>
  <c r="AY86" i="18" s="1"/>
  <c r="AU86" i="18" a="1"/>
  <c r="AU86" i="18" s="1"/>
  <c r="AQ86" i="18" a="1"/>
  <c r="AQ86" i="18" s="1"/>
  <c r="AM86" i="18" a="1"/>
  <c r="AM86" i="18" s="1"/>
  <c r="AI86" i="18" a="1"/>
  <c r="AI86" i="18" s="1"/>
  <c r="AE86" i="18" a="1"/>
  <c r="AE86" i="18" s="1"/>
  <c r="AB86" i="18" a="1"/>
  <c r="AB86" i="18" s="1"/>
  <c r="AA86" i="18" a="1"/>
  <c r="AA86" i="18" s="1"/>
  <c r="Z86" i="18" a="1"/>
  <c r="Z86" i="18" s="1"/>
  <c r="Y86" i="18" a="1"/>
  <c r="Y86" i="18" s="1"/>
  <c r="X86" i="18" a="1"/>
  <c r="X86" i="18" s="1"/>
  <c r="W86" i="18" a="1"/>
  <c r="W86" i="18" s="1"/>
  <c r="V86" i="18" a="1"/>
  <c r="V86" i="18" s="1"/>
  <c r="U86" i="18" a="1"/>
  <c r="U86" i="18" s="1"/>
  <c r="T86" i="18" a="1"/>
  <c r="T86" i="18" s="1"/>
  <c r="S86" i="18" a="1"/>
  <c r="S86" i="18" s="1"/>
  <c r="R86" i="18" a="1"/>
  <c r="R86" i="18" s="1"/>
  <c r="Q86" i="18" a="1"/>
  <c r="Q86" i="18" s="1"/>
  <c r="P86" i="18" a="1"/>
  <c r="P86" i="18" s="1"/>
  <c r="O86" i="18" a="1"/>
  <c r="O86" i="18" s="1"/>
  <c r="N86" i="18" a="1"/>
  <c r="N86" i="18" s="1"/>
  <c r="M86" i="18" a="1"/>
  <c r="M86" i="18" s="1"/>
  <c r="L86" i="18" a="1"/>
  <c r="L86" i="18" s="1"/>
  <c r="K86" i="18" a="1"/>
  <c r="K86" i="18" s="1"/>
  <c r="J86" i="18" a="1"/>
  <c r="J86" i="18" s="1"/>
  <c r="I86" i="18" a="1"/>
  <c r="I86" i="18" s="1"/>
  <c r="H86" i="18" a="1"/>
  <c r="H86" i="18" s="1"/>
  <c r="G86" i="18" a="1"/>
  <c r="G86" i="18" s="1"/>
  <c r="D86" i="18"/>
  <c r="BA86" i="18" a="1"/>
  <c r="BA86" i="18" s="1"/>
  <c r="BB86" i="18" s="1"/>
  <c r="AW86" i="18" a="1"/>
  <c r="AW86" i="18" s="1"/>
  <c r="AS86" i="18" a="1"/>
  <c r="AS86" i="18" s="1"/>
  <c r="AO86" i="18" a="1"/>
  <c r="AO86" i="18" s="1"/>
  <c r="AK86" i="18" a="1"/>
  <c r="AK86" i="18" s="1"/>
  <c r="AL86" i="18" s="1"/>
  <c r="AG86" i="18" a="1"/>
  <c r="AG86" i="18" s="1"/>
  <c r="BC90" i="18" a="1"/>
  <c r="BC90" i="18" s="1"/>
  <c r="AY90" i="18" a="1"/>
  <c r="AY90" i="18" s="1"/>
  <c r="AU90" i="18" a="1"/>
  <c r="AU90" i="18" s="1"/>
  <c r="AQ90" i="18" a="1"/>
  <c r="AQ90" i="18" s="1"/>
  <c r="AM90" i="18" a="1"/>
  <c r="AM90" i="18" s="1"/>
  <c r="AI90" i="18" a="1"/>
  <c r="AI90" i="18" s="1"/>
  <c r="AE90" i="18" a="1"/>
  <c r="AE90" i="18" s="1"/>
  <c r="AB90" i="18" a="1"/>
  <c r="AB90" i="18" s="1"/>
  <c r="AA90" i="18" a="1"/>
  <c r="AA90" i="18" s="1"/>
  <c r="Z90" i="18" a="1"/>
  <c r="Z90" i="18" s="1"/>
  <c r="Y90" i="18" a="1"/>
  <c r="Y90" i="18" s="1"/>
  <c r="X90" i="18" a="1"/>
  <c r="X90" i="18" s="1"/>
  <c r="W90" i="18" a="1"/>
  <c r="W90" i="18" s="1"/>
  <c r="V90" i="18" a="1"/>
  <c r="V90" i="18" s="1"/>
  <c r="U90" i="18" a="1"/>
  <c r="U90" i="18" s="1"/>
  <c r="T90" i="18" a="1"/>
  <c r="T90" i="18" s="1"/>
  <c r="S90" i="18" a="1"/>
  <c r="S90" i="18" s="1"/>
  <c r="R90" i="18" a="1"/>
  <c r="R90" i="18" s="1"/>
  <c r="Q90" i="18" a="1"/>
  <c r="Q90" i="18" s="1"/>
  <c r="P90" i="18" a="1"/>
  <c r="P90" i="18" s="1"/>
  <c r="O90" i="18" a="1"/>
  <c r="O90" i="18" s="1"/>
  <c r="N90" i="18" a="1"/>
  <c r="N90" i="18" s="1"/>
  <c r="M90" i="18" a="1"/>
  <c r="M90" i="18" s="1"/>
  <c r="L90" i="18" a="1"/>
  <c r="L90" i="18" s="1"/>
  <c r="K90" i="18" a="1"/>
  <c r="K90" i="18" s="1"/>
  <c r="J90" i="18" a="1"/>
  <c r="J90" i="18" s="1"/>
  <c r="I90" i="18" a="1"/>
  <c r="I90" i="18" s="1"/>
  <c r="H90" i="18" a="1"/>
  <c r="H90" i="18" s="1"/>
  <c r="G90" i="18" a="1"/>
  <c r="G90" i="18" s="1"/>
  <c r="D90" i="18"/>
  <c r="BA90" i="18" a="1"/>
  <c r="BA90" i="18" s="1"/>
  <c r="BB90" i="18" s="1"/>
  <c r="AW90" i="18" a="1"/>
  <c r="AW90" i="18" s="1"/>
  <c r="AS90" i="18" a="1"/>
  <c r="AS90" i="18" s="1"/>
  <c r="AO90" i="18" a="1"/>
  <c r="AO90" i="18" s="1"/>
  <c r="AK90" i="18" a="1"/>
  <c r="AK90" i="18" s="1"/>
  <c r="AL90" i="18" s="1"/>
  <c r="AG90" i="18" a="1"/>
  <c r="AG90" i="18" s="1"/>
  <c r="BC94" i="18" a="1"/>
  <c r="BC94" i="18" s="1"/>
  <c r="AY94" i="18" a="1"/>
  <c r="AY94" i="18" s="1"/>
  <c r="AU94" i="18" a="1"/>
  <c r="AU94" i="18" s="1"/>
  <c r="AQ94" i="18" a="1"/>
  <c r="AQ94" i="18" s="1"/>
  <c r="AM94" i="18" a="1"/>
  <c r="AM94" i="18" s="1"/>
  <c r="AI94" i="18" a="1"/>
  <c r="AI94" i="18" s="1"/>
  <c r="AE94" i="18" a="1"/>
  <c r="AE94" i="18" s="1"/>
  <c r="AB94" i="18" a="1"/>
  <c r="AB94" i="18" s="1"/>
  <c r="AA94" i="18" a="1"/>
  <c r="AA94" i="18" s="1"/>
  <c r="Z94" i="18" a="1"/>
  <c r="Z94" i="18" s="1"/>
  <c r="Y94" i="18" a="1"/>
  <c r="Y94" i="18" s="1"/>
  <c r="X94" i="18" a="1"/>
  <c r="X94" i="18" s="1"/>
  <c r="W94" i="18" a="1"/>
  <c r="W94" i="18" s="1"/>
  <c r="V94" i="18" a="1"/>
  <c r="V94" i="18" s="1"/>
  <c r="U94" i="18" a="1"/>
  <c r="U94" i="18" s="1"/>
  <c r="T94" i="18" a="1"/>
  <c r="T94" i="18" s="1"/>
  <c r="S94" i="18" a="1"/>
  <c r="S94" i="18" s="1"/>
  <c r="R94" i="18" a="1"/>
  <c r="R94" i="18" s="1"/>
  <c r="Q94" i="18" a="1"/>
  <c r="Q94" i="18" s="1"/>
  <c r="P94" i="18" a="1"/>
  <c r="P94" i="18" s="1"/>
  <c r="O94" i="18" a="1"/>
  <c r="O94" i="18" s="1"/>
  <c r="N94" i="18" a="1"/>
  <c r="N94" i="18" s="1"/>
  <c r="M94" i="18" a="1"/>
  <c r="M94" i="18" s="1"/>
  <c r="L94" i="18" a="1"/>
  <c r="L94" i="18" s="1"/>
  <c r="K94" i="18" a="1"/>
  <c r="K94" i="18" s="1"/>
  <c r="J94" i="18" a="1"/>
  <c r="J94" i="18" s="1"/>
  <c r="I94" i="18" a="1"/>
  <c r="I94" i="18" s="1"/>
  <c r="H94" i="18" a="1"/>
  <c r="H94" i="18" s="1"/>
  <c r="G94" i="18" a="1"/>
  <c r="G94" i="18" s="1"/>
  <c r="D94" i="18"/>
  <c r="BA94" i="18" a="1"/>
  <c r="BA94" i="18" s="1"/>
  <c r="BB94" i="18" s="1"/>
  <c r="AW94" i="18" a="1"/>
  <c r="AW94" i="18" s="1"/>
  <c r="AS94" i="18" a="1"/>
  <c r="AS94" i="18" s="1"/>
  <c r="AO94" i="18" a="1"/>
  <c r="AO94" i="18" s="1"/>
  <c r="AK94" i="18" a="1"/>
  <c r="AK94" i="18" s="1"/>
  <c r="AL94" i="18" s="1"/>
  <c r="AG94" i="18" a="1"/>
  <c r="AG94" i="18" s="1"/>
  <c r="BC102" i="18" a="1"/>
  <c r="BC102" i="18" s="1"/>
  <c r="AY102" i="18" a="1"/>
  <c r="AY102" i="18" s="1"/>
  <c r="AU102" i="18" a="1"/>
  <c r="AU102" i="18" s="1"/>
  <c r="AQ102" i="18" a="1"/>
  <c r="AQ102" i="18" s="1"/>
  <c r="AM102" i="18" a="1"/>
  <c r="AM102" i="18" s="1"/>
  <c r="AI102" i="18" a="1"/>
  <c r="AI102" i="18" s="1"/>
  <c r="AE102" i="18" a="1"/>
  <c r="AE102" i="18" s="1"/>
  <c r="AB102" i="18" a="1"/>
  <c r="AB102" i="18" s="1"/>
  <c r="AA102" i="18" a="1"/>
  <c r="AA102" i="18" s="1"/>
  <c r="Z102" i="18" a="1"/>
  <c r="Z102" i="18" s="1"/>
  <c r="Y102" i="18" a="1"/>
  <c r="Y102" i="18" s="1"/>
  <c r="X102" i="18" a="1"/>
  <c r="X102" i="18" s="1"/>
  <c r="W102" i="18" a="1"/>
  <c r="W102" i="18" s="1"/>
  <c r="V102" i="18" a="1"/>
  <c r="V102" i="18" s="1"/>
  <c r="U102" i="18" a="1"/>
  <c r="U102" i="18" s="1"/>
  <c r="T102" i="18" a="1"/>
  <c r="T102" i="18" s="1"/>
  <c r="S102" i="18" a="1"/>
  <c r="S102" i="18" s="1"/>
  <c r="R102" i="18" a="1"/>
  <c r="R102" i="18" s="1"/>
  <c r="Q102" i="18" a="1"/>
  <c r="Q102" i="18" s="1"/>
  <c r="P102" i="18" a="1"/>
  <c r="P102" i="18" s="1"/>
  <c r="O102" i="18" a="1"/>
  <c r="O102" i="18" s="1"/>
  <c r="N102" i="18" a="1"/>
  <c r="N102" i="18" s="1"/>
  <c r="M102" i="18" a="1"/>
  <c r="M102" i="18" s="1"/>
  <c r="L102" i="18" a="1"/>
  <c r="L102" i="18" s="1"/>
  <c r="K102" i="18" a="1"/>
  <c r="K102" i="18" s="1"/>
  <c r="J102" i="18" a="1"/>
  <c r="J102" i="18" s="1"/>
  <c r="I102" i="18" a="1"/>
  <c r="I102" i="18" s="1"/>
  <c r="H102" i="18" a="1"/>
  <c r="H102" i="18" s="1"/>
  <c r="G102" i="18" a="1"/>
  <c r="G102" i="18" s="1"/>
  <c r="D102" i="18"/>
  <c r="BA102" i="18" a="1"/>
  <c r="BA102" i="18" s="1"/>
  <c r="BB102" i="18" s="1"/>
  <c r="AW102" i="18" a="1"/>
  <c r="AW102" i="18" s="1"/>
  <c r="AS102" i="18" a="1"/>
  <c r="AS102" i="18" s="1"/>
  <c r="AO102" i="18" a="1"/>
  <c r="AO102" i="18" s="1"/>
  <c r="AK102" i="18" a="1"/>
  <c r="AK102" i="18" s="1"/>
  <c r="AL102" i="18" s="1"/>
  <c r="AG102" i="18" a="1"/>
  <c r="AG102" i="18" s="1"/>
  <c r="BC106" i="18" a="1"/>
  <c r="BC106" i="18" s="1"/>
  <c r="AY106" i="18" a="1"/>
  <c r="AY106" i="18" s="1"/>
  <c r="AU106" i="18" a="1"/>
  <c r="AU106" i="18" s="1"/>
  <c r="AQ106" i="18" a="1"/>
  <c r="AQ106" i="18" s="1"/>
  <c r="AM106" i="18" a="1"/>
  <c r="AM106" i="18" s="1"/>
  <c r="AI106" i="18" a="1"/>
  <c r="AI106" i="18" s="1"/>
  <c r="AE106" i="18" a="1"/>
  <c r="AE106" i="18" s="1"/>
  <c r="AB106" i="18" a="1"/>
  <c r="AB106" i="18" s="1"/>
  <c r="AA106" i="18" a="1"/>
  <c r="AA106" i="18" s="1"/>
  <c r="Z106" i="18" a="1"/>
  <c r="Z106" i="18" s="1"/>
  <c r="Y106" i="18" a="1"/>
  <c r="Y106" i="18" s="1"/>
  <c r="X106" i="18" a="1"/>
  <c r="X106" i="18" s="1"/>
  <c r="W106" i="18" a="1"/>
  <c r="W106" i="18" s="1"/>
  <c r="V106" i="18" a="1"/>
  <c r="V106" i="18" s="1"/>
  <c r="U106" i="18" a="1"/>
  <c r="U106" i="18" s="1"/>
  <c r="T106" i="18" a="1"/>
  <c r="T106" i="18" s="1"/>
  <c r="S106" i="18" a="1"/>
  <c r="S106" i="18" s="1"/>
  <c r="R106" i="18" a="1"/>
  <c r="R106" i="18" s="1"/>
  <c r="Q106" i="18" a="1"/>
  <c r="Q106" i="18" s="1"/>
  <c r="P106" i="18" a="1"/>
  <c r="P106" i="18" s="1"/>
  <c r="O106" i="18" a="1"/>
  <c r="O106" i="18" s="1"/>
  <c r="N106" i="18" a="1"/>
  <c r="N106" i="18" s="1"/>
  <c r="M106" i="18" a="1"/>
  <c r="M106" i="18" s="1"/>
  <c r="L106" i="18" a="1"/>
  <c r="L106" i="18" s="1"/>
  <c r="K106" i="18" a="1"/>
  <c r="K106" i="18" s="1"/>
  <c r="J106" i="18" a="1"/>
  <c r="J106" i="18" s="1"/>
  <c r="I106" i="18" a="1"/>
  <c r="I106" i="18" s="1"/>
  <c r="H106" i="18" a="1"/>
  <c r="H106" i="18" s="1"/>
  <c r="G106" i="18" a="1"/>
  <c r="G106" i="18" s="1"/>
  <c r="D106" i="18"/>
  <c r="BA106" i="18" a="1"/>
  <c r="BA106" i="18" s="1"/>
  <c r="BB106" i="18" s="1"/>
  <c r="AW106" i="18" a="1"/>
  <c r="AW106" i="18" s="1"/>
  <c r="AS106" i="18" a="1"/>
  <c r="AS106" i="18" s="1"/>
  <c r="AO106" i="18" a="1"/>
  <c r="AO106" i="18" s="1"/>
  <c r="AK106" i="18" a="1"/>
  <c r="AK106" i="18" s="1"/>
  <c r="AL106" i="18" s="1"/>
  <c r="AG106" i="18" a="1"/>
  <c r="AG106" i="18" s="1"/>
  <c r="BC115" i="18" a="1"/>
  <c r="BC115" i="18" s="1"/>
  <c r="AY115" i="18" a="1"/>
  <c r="AY115" i="18" s="1"/>
  <c r="AU115" i="18" a="1"/>
  <c r="AU115" i="18" s="1"/>
  <c r="AQ115" i="18" a="1"/>
  <c r="AQ115" i="18" s="1"/>
  <c r="AM115" i="18" a="1"/>
  <c r="AM115" i="18" s="1"/>
  <c r="AI115" i="18" a="1"/>
  <c r="AI115" i="18" s="1"/>
  <c r="AE115" i="18" a="1"/>
  <c r="AE115" i="18" s="1"/>
  <c r="AB115" i="18" a="1"/>
  <c r="AB115" i="18" s="1"/>
  <c r="AA115" i="18" a="1"/>
  <c r="AA115" i="18" s="1"/>
  <c r="Z115" i="18" a="1"/>
  <c r="Z115" i="18" s="1"/>
  <c r="Y115" i="18" a="1"/>
  <c r="Y115" i="18" s="1"/>
  <c r="X115" i="18" a="1"/>
  <c r="X115" i="18" s="1"/>
  <c r="W115" i="18" a="1"/>
  <c r="W115" i="18" s="1"/>
  <c r="V115" i="18" a="1"/>
  <c r="V115" i="18" s="1"/>
  <c r="U115" i="18" a="1"/>
  <c r="U115" i="18" s="1"/>
  <c r="T115" i="18" a="1"/>
  <c r="T115" i="18" s="1"/>
  <c r="S115" i="18" a="1"/>
  <c r="S115" i="18" s="1"/>
  <c r="R115" i="18" a="1"/>
  <c r="R115" i="18" s="1"/>
  <c r="Q115" i="18" a="1"/>
  <c r="Q115" i="18" s="1"/>
  <c r="P115" i="18" a="1"/>
  <c r="P115" i="18" s="1"/>
  <c r="O115" i="18" a="1"/>
  <c r="O115" i="18" s="1"/>
  <c r="N115" i="18" a="1"/>
  <c r="N115" i="18" s="1"/>
  <c r="M115" i="18" a="1"/>
  <c r="M115" i="18" s="1"/>
  <c r="L115" i="18" a="1"/>
  <c r="L115" i="18" s="1"/>
  <c r="K115" i="18" a="1"/>
  <c r="K115" i="18" s="1"/>
  <c r="J115" i="18" a="1"/>
  <c r="J115" i="18" s="1"/>
  <c r="I115" i="18" a="1"/>
  <c r="I115" i="18" s="1"/>
  <c r="H115" i="18" a="1"/>
  <c r="H115" i="18" s="1"/>
  <c r="G115" i="18" a="1"/>
  <c r="G115" i="18" s="1"/>
  <c r="D115" i="18"/>
  <c r="BA115" i="18" a="1"/>
  <c r="BA115" i="18" s="1"/>
  <c r="BB115" i="18" s="1"/>
  <c r="AW115" i="18" a="1"/>
  <c r="AW115" i="18" s="1"/>
  <c r="AS115" i="18" a="1"/>
  <c r="AS115" i="18" s="1"/>
  <c r="AO115" i="18" a="1"/>
  <c r="AO115" i="18" s="1"/>
  <c r="AK115" i="18" a="1"/>
  <c r="AK115" i="18" s="1"/>
  <c r="AL115" i="18" s="1"/>
  <c r="AG115" i="18" a="1"/>
  <c r="AG115" i="18" s="1"/>
  <c r="BC155" i="18" a="1"/>
  <c r="BC155" i="18" s="1"/>
  <c r="AY155" i="18" a="1"/>
  <c r="AY155" i="18" s="1"/>
  <c r="AU155" i="18" a="1"/>
  <c r="AU155" i="18" s="1"/>
  <c r="AQ155" i="18" a="1"/>
  <c r="AQ155" i="18" s="1"/>
  <c r="AM155" i="18" a="1"/>
  <c r="AM155" i="18" s="1"/>
  <c r="AI155" i="18" a="1"/>
  <c r="AI155" i="18" s="1"/>
  <c r="AE155" i="18" a="1"/>
  <c r="AE155" i="18" s="1"/>
  <c r="AB155" i="18" a="1"/>
  <c r="AB155" i="18" s="1"/>
  <c r="AA155" i="18" a="1"/>
  <c r="AA155" i="18" s="1"/>
  <c r="Z155" i="18" a="1"/>
  <c r="Z155" i="18" s="1"/>
  <c r="Y155" i="18" a="1"/>
  <c r="Y155" i="18" s="1"/>
  <c r="X155" i="18" a="1"/>
  <c r="X155" i="18" s="1"/>
  <c r="W155" i="18" a="1"/>
  <c r="W155" i="18" s="1"/>
  <c r="V155" i="18" a="1"/>
  <c r="V155" i="18" s="1"/>
  <c r="U155" i="18" a="1"/>
  <c r="U155" i="18" s="1"/>
  <c r="T155" i="18" a="1"/>
  <c r="T155" i="18" s="1"/>
  <c r="S155" i="18" a="1"/>
  <c r="S155" i="18" s="1"/>
  <c r="R155" i="18" a="1"/>
  <c r="R155" i="18" s="1"/>
  <c r="Q155" i="18" a="1"/>
  <c r="Q155" i="18" s="1"/>
  <c r="P155" i="18" a="1"/>
  <c r="P155" i="18" s="1"/>
  <c r="O155" i="18" a="1"/>
  <c r="O155" i="18" s="1"/>
  <c r="N155" i="18" a="1"/>
  <c r="N155" i="18" s="1"/>
  <c r="M155" i="18" a="1"/>
  <c r="M155" i="18" s="1"/>
  <c r="L155" i="18" a="1"/>
  <c r="L155" i="18" s="1"/>
  <c r="K155" i="18" a="1"/>
  <c r="K155" i="18" s="1"/>
  <c r="J155" i="18" a="1"/>
  <c r="J155" i="18" s="1"/>
  <c r="I155" i="18" a="1"/>
  <c r="I155" i="18" s="1"/>
  <c r="H155" i="18" a="1"/>
  <c r="H155" i="18" s="1"/>
  <c r="G155" i="18" a="1"/>
  <c r="G155" i="18" s="1"/>
  <c r="D155" i="18"/>
  <c r="BA155" i="18" a="1"/>
  <c r="BA155" i="18" s="1"/>
  <c r="BB155" i="18" s="1"/>
  <c r="AW155" i="18" a="1"/>
  <c r="AW155" i="18" s="1"/>
  <c r="AS155" i="18" a="1"/>
  <c r="AS155" i="18" s="1"/>
  <c r="AO155" i="18" a="1"/>
  <c r="AO155" i="18" s="1"/>
  <c r="AK155" i="18" a="1"/>
  <c r="AK155" i="18" s="1"/>
  <c r="AL155" i="18" s="1"/>
  <c r="AG155" i="18" a="1"/>
  <c r="AG155" i="18" s="1"/>
  <c r="BC159" i="18" a="1"/>
  <c r="BC159" i="18" s="1"/>
  <c r="AY159" i="18" a="1"/>
  <c r="AY159" i="18" s="1"/>
  <c r="AU159" i="18" a="1"/>
  <c r="AU159" i="18" s="1"/>
  <c r="AQ159" i="18" a="1"/>
  <c r="AQ159" i="18" s="1"/>
  <c r="AM159" i="18" a="1"/>
  <c r="AM159" i="18" s="1"/>
  <c r="AI159" i="18" a="1"/>
  <c r="AI159" i="18" s="1"/>
  <c r="AE159" i="18" a="1"/>
  <c r="AE159" i="18" s="1"/>
  <c r="AB159" i="18" a="1"/>
  <c r="AB159" i="18" s="1"/>
  <c r="AA159" i="18" a="1"/>
  <c r="AA159" i="18" s="1"/>
  <c r="Z159" i="18" a="1"/>
  <c r="Z159" i="18" s="1"/>
  <c r="Y159" i="18" a="1"/>
  <c r="Y159" i="18" s="1"/>
  <c r="X159" i="18" a="1"/>
  <c r="X159" i="18" s="1"/>
  <c r="W159" i="18" a="1"/>
  <c r="W159" i="18" s="1"/>
  <c r="V159" i="18" a="1"/>
  <c r="V159" i="18" s="1"/>
  <c r="U159" i="18" a="1"/>
  <c r="U159" i="18" s="1"/>
  <c r="T159" i="18" a="1"/>
  <c r="T159" i="18" s="1"/>
  <c r="S159" i="18" a="1"/>
  <c r="S159" i="18" s="1"/>
  <c r="R159" i="18" a="1"/>
  <c r="R159" i="18" s="1"/>
  <c r="Q159" i="18" a="1"/>
  <c r="Q159" i="18" s="1"/>
  <c r="P159" i="18" a="1"/>
  <c r="P159" i="18" s="1"/>
  <c r="O159" i="18" a="1"/>
  <c r="O159" i="18" s="1"/>
  <c r="N159" i="18" a="1"/>
  <c r="N159" i="18" s="1"/>
  <c r="M159" i="18" a="1"/>
  <c r="M159" i="18" s="1"/>
  <c r="L159" i="18" a="1"/>
  <c r="L159" i="18" s="1"/>
  <c r="K159" i="18" a="1"/>
  <c r="K159" i="18" s="1"/>
  <c r="J159" i="18" a="1"/>
  <c r="J159" i="18" s="1"/>
  <c r="I159" i="18" a="1"/>
  <c r="I159" i="18" s="1"/>
  <c r="H159" i="18" a="1"/>
  <c r="H159" i="18" s="1"/>
  <c r="G159" i="18" a="1"/>
  <c r="G159" i="18" s="1"/>
  <c r="D159" i="18"/>
  <c r="BA159" i="18" a="1"/>
  <c r="BA159" i="18" s="1"/>
  <c r="BB159" i="18" s="1"/>
  <c r="AW159" i="18" a="1"/>
  <c r="AW159" i="18" s="1"/>
  <c r="AS159" i="18" a="1"/>
  <c r="AS159" i="18" s="1"/>
  <c r="AO159" i="18" a="1"/>
  <c r="AO159" i="18" s="1"/>
  <c r="AK159" i="18" a="1"/>
  <c r="AK159" i="18" s="1"/>
  <c r="AL159" i="18" s="1"/>
  <c r="AG159" i="18" a="1"/>
  <c r="AG159" i="18" s="1"/>
  <c r="BC163" i="18" a="1"/>
  <c r="BC163" i="18" s="1"/>
  <c r="AY163" i="18" a="1"/>
  <c r="AY163" i="18" s="1"/>
  <c r="AU163" i="18" a="1"/>
  <c r="AU163" i="18" s="1"/>
  <c r="AQ163" i="18" a="1"/>
  <c r="AQ163" i="18" s="1"/>
  <c r="AM163" i="18" a="1"/>
  <c r="AM163" i="18" s="1"/>
  <c r="AI163" i="18" a="1"/>
  <c r="AI163" i="18" s="1"/>
  <c r="AE163" i="18" a="1"/>
  <c r="AE163" i="18" s="1"/>
  <c r="AB163" i="18" a="1"/>
  <c r="AB163" i="18" s="1"/>
  <c r="AA163" i="18" a="1"/>
  <c r="AA163" i="18" s="1"/>
  <c r="Z163" i="18" a="1"/>
  <c r="Z163" i="18" s="1"/>
  <c r="Y163" i="18" a="1"/>
  <c r="Y163" i="18" s="1"/>
  <c r="X163" i="18" a="1"/>
  <c r="X163" i="18" s="1"/>
  <c r="W163" i="18" a="1"/>
  <c r="W163" i="18" s="1"/>
  <c r="V163" i="18" a="1"/>
  <c r="V163" i="18" s="1"/>
  <c r="U163" i="18" a="1"/>
  <c r="U163" i="18" s="1"/>
  <c r="T163" i="18" a="1"/>
  <c r="T163" i="18" s="1"/>
  <c r="S163" i="18" a="1"/>
  <c r="S163" i="18" s="1"/>
  <c r="R163" i="18" a="1"/>
  <c r="R163" i="18" s="1"/>
  <c r="Q163" i="18" a="1"/>
  <c r="Q163" i="18" s="1"/>
  <c r="P163" i="18" a="1"/>
  <c r="P163" i="18" s="1"/>
  <c r="O163" i="18" a="1"/>
  <c r="O163" i="18" s="1"/>
  <c r="N163" i="18" a="1"/>
  <c r="N163" i="18" s="1"/>
  <c r="M163" i="18" a="1"/>
  <c r="M163" i="18" s="1"/>
  <c r="L163" i="18" a="1"/>
  <c r="L163" i="18" s="1"/>
  <c r="K163" i="18" a="1"/>
  <c r="K163" i="18" s="1"/>
  <c r="J163" i="18" a="1"/>
  <c r="J163" i="18" s="1"/>
  <c r="I163" i="18" a="1"/>
  <c r="I163" i="18" s="1"/>
  <c r="H163" i="18" a="1"/>
  <c r="H163" i="18" s="1"/>
  <c r="G163" i="18" a="1"/>
  <c r="G163" i="18" s="1"/>
  <c r="D163" i="18"/>
  <c r="BA163" i="18" a="1"/>
  <c r="BA163" i="18" s="1"/>
  <c r="BB163" i="18" s="1"/>
  <c r="AW163" i="18" a="1"/>
  <c r="AW163" i="18" s="1"/>
  <c r="AS163" i="18" a="1"/>
  <c r="AS163" i="18" s="1"/>
  <c r="AO163" i="18" a="1"/>
  <c r="AO163" i="18" s="1"/>
  <c r="AK163" i="18" a="1"/>
  <c r="AK163" i="18" s="1"/>
  <c r="AL163" i="18" s="1"/>
  <c r="AG163" i="18" a="1"/>
  <c r="AG163" i="18" s="1"/>
  <c r="BC167" i="18" a="1"/>
  <c r="BC167" i="18" s="1"/>
  <c r="AY167" i="18" a="1"/>
  <c r="AY167" i="18" s="1"/>
  <c r="AU167" i="18" a="1"/>
  <c r="AU167" i="18" s="1"/>
  <c r="AQ167" i="18" a="1"/>
  <c r="AQ167" i="18" s="1"/>
  <c r="AM167" i="18" a="1"/>
  <c r="AM167" i="18" s="1"/>
  <c r="AI167" i="18" a="1"/>
  <c r="AI167" i="18" s="1"/>
  <c r="AE167" i="18" a="1"/>
  <c r="AE167" i="18" s="1"/>
  <c r="AB167" i="18" a="1"/>
  <c r="AB167" i="18" s="1"/>
  <c r="AA167" i="18" a="1"/>
  <c r="AA167" i="18" s="1"/>
  <c r="Z167" i="18" a="1"/>
  <c r="Z167" i="18" s="1"/>
  <c r="Y167" i="18" a="1"/>
  <c r="Y167" i="18" s="1"/>
  <c r="X167" i="18" a="1"/>
  <c r="X167" i="18" s="1"/>
  <c r="W167" i="18" a="1"/>
  <c r="W167" i="18" s="1"/>
  <c r="V167" i="18" a="1"/>
  <c r="V167" i="18" s="1"/>
  <c r="U167" i="18" a="1"/>
  <c r="U167" i="18" s="1"/>
  <c r="T167" i="18" a="1"/>
  <c r="T167" i="18" s="1"/>
  <c r="S167" i="18" a="1"/>
  <c r="S167" i="18" s="1"/>
  <c r="R167" i="18" a="1"/>
  <c r="R167" i="18" s="1"/>
  <c r="Q167" i="18" a="1"/>
  <c r="Q167" i="18" s="1"/>
  <c r="P167" i="18" a="1"/>
  <c r="P167" i="18" s="1"/>
  <c r="O167" i="18" a="1"/>
  <c r="O167" i="18" s="1"/>
  <c r="N167" i="18" a="1"/>
  <c r="N167" i="18" s="1"/>
  <c r="M167" i="18" a="1"/>
  <c r="M167" i="18" s="1"/>
  <c r="L167" i="18" a="1"/>
  <c r="L167" i="18" s="1"/>
  <c r="K167" i="18" a="1"/>
  <c r="K167" i="18" s="1"/>
  <c r="J167" i="18" a="1"/>
  <c r="J167" i="18" s="1"/>
  <c r="I167" i="18" a="1"/>
  <c r="I167" i="18" s="1"/>
  <c r="H167" i="18" a="1"/>
  <c r="H167" i="18" s="1"/>
  <c r="G167" i="18" a="1"/>
  <c r="G167" i="18" s="1"/>
  <c r="D167" i="18"/>
  <c r="BA167" i="18" a="1"/>
  <c r="BA167" i="18" s="1"/>
  <c r="BB167" i="18" s="1"/>
  <c r="AW167" i="18" a="1"/>
  <c r="AW167" i="18" s="1"/>
  <c r="AS167" i="18" a="1"/>
  <c r="AS167" i="18" s="1"/>
  <c r="AO167" i="18" a="1"/>
  <c r="AO167" i="18" s="1"/>
  <c r="AK167" i="18" a="1"/>
  <c r="AK167" i="18" s="1"/>
  <c r="AL167" i="18" s="1"/>
  <c r="AG167" i="18" a="1"/>
  <c r="AG167" i="18" s="1"/>
  <c r="BC171" i="18" a="1"/>
  <c r="BC171" i="18" s="1"/>
  <c r="AY171" i="18" a="1"/>
  <c r="AY171" i="18" s="1"/>
  <c r="AU171" i="18" a="1"/>
  <c r="AU171" i="18" s="1"/>
  <c r="AQ171" i="18" a="1"/>
  <c r="AQ171" i="18" s="1"/>
  <c r="AM171" i="18" a="1"/>
  <c r="AM171" i="18" s="1"/>
  <c r="AI171" i="18" a="1"/>
  <c r="AI171" i="18" s="1"/>
  <c r="AE171" i="18" a="1"/>
  <c r="AE171" i="18" s="1"/>
  <c r="AB171" i="18" a="1"/>
  <c r="AB171" i="18" s="1"/>
  <c r="AA171" i="18" a="1"/>
  <c r="AA171" i="18" s="1"/>
  <c r="Z171" i="18" a="1"/>
  <c r="Z171" i="18" s="1"/>
  <c r="Y171" i="18" a="1"/>
  <c r="Y171" i="18" s="1"/>
  <c r="X171" i="18" a="1"/>
  <c r="X171" i="18" s="1"/>
  <c r="W171" i="18" a="1"/>
  <c r="W171" i="18" s="1"/>
  <c r="V171" i="18" a="1"/>
  <c r="V171" i="18" s="1"/>
  <c r="U171" i="18" a="1"/>
  <c r="U171" i="18" s="1"/>
  <c r="T171" i="18" a="1"/>
  <c r="T171" i="18" s="1"/>
  <c r="S171" i="18" a="1"/>
  <c r="S171" i="18" s="1"/>
  <c r="R171" i="18" a="1"/>
  <c r="R171" i="18" s="1"/>
  <c r="Q171" i="18" a="1"/>
  <c r="Q171" i="18" s="1"/>
  <c r="P171" i="18" a="1"/>
  <c r="P171" i="18" s="1"/>
  <c r="O171" i="18" a="1"/>
  <c r="O171" i="18" s="1"/>
  <c r="N171" i="18" a="1"/>
  <c r="N171" i="18" s="1"/>
  <c r="M171" i="18" a="1"/>
  <c r="M171" i="18" s="1"/>
  <c r="L171" i="18" a="1"/>
  <c r="L171" i="18" s="1"/>
  <c r="K171" i="18" a="1"/>
  <c r="K171" i="18" s="1"/>
  <c r="J171" i="18" a="1"/>
  <c r="J171" i="18" s="1"/>
  <c r="I171" i="18" a="1"/>
  <c r="I171" i="18" s="1"/>
  <c r="H171" i="18" a="1"/>
  <c r="H171" i="18" s="1"/>
  <c r="G171" i="18" a="1"/>
  <c r="G171" i="18" s="1"/>
  <c r="D171" i="18"/>
  <c r="BA171" i="18" a="1"/>
  <c r="BA171" i="18" s="1"/>
  <c r="BB171" i="18" s="1"/>
  <c r="AW171" i="18" a="1"/>
  <c r="AW171" i="18" s="1"/>
  <c r="AS171" i="18" a="1"/>
  <c r="AS171" i="18" s="1"/>
  <c r="AO171" i="18" a="1"/>
  <c r="AO171" i="18" s="1"/>
  <c r="AK171" i="18" a="1"/>
  <c r="AK171" i="18" s="1"/>
  <c r="AL171" i="18" s="1"/>
  <c r="AG171" i="18" a="1"/>
  <c r="AG171" i="18" s="1"/>
  <c r="BC175" i="18" a="1"/>
  <c r="BC175" i="18" s="1"/>
  <c r="AY175" i="18" a="1"/>
  <c r="AY175" i="18" s="1"/>
  <c r="AU175" i="18" a="1"/>
  <c r="AU175" i="18" s="1"/>
  <c r="AQ175" i="18" a="1"/>
  <c r="AQ175" i="18" s="1"/>
  <c r="AM175" i="18" a="1"/>
  <c r="AM175" i="18" s="1"/>
  <c r="AI175" i="18" a="1"/>
  <c r="AI175" i="18" s="1"/>
  <c r="AE175" i="18" a="1"/>
  <c r="AE175" i="18" s="1"/>
  <c r="AB175" i="18" a="1"/>
  <c r="AB175" i="18" s="1"/>
  <c r="AA175" i="18" a="1"/>
  <c r="AA175" i="18" s="1"/>
  <c r="Z175" i="18" a="1"/>
  <c r="Z175" i="18" s="1"/>
  <c r="Y175" i="18" a="1"/>
  <c r="Y175" i="18" s="1"/>
  <c r="X175" i="18" a="1"/>
  <c r="X175" i="18" s="1"/>
  <c r="W175" i="18" a="1"/>
  <c r="W175" i="18" s="1"/>
  <c r="V175" i="18" a="1"/>
  <c r="V175" i="18" s="1"/>
  <c r="U175" i="18" a="1"/>
  <c r="U175" i="18" s="1"/>
  <c r="T175" i="18" a="1"/>
  <c r="T175" i="18" s="1"/>
  <c r="S175" i="18" a="1"/>
  <c r="S175" i="18" s="1"/>
  <c r="R175" i="18" a="1"/>
  <c r="R175" i="18" s="1"/>
  <c r="Q175" i="18" a="1"/>
  <c r="Q175" i="18" s="1"/>
  <c r="P175" i="18" a="1"/>
  <c r="P175" i="18" s="1"/>
  <c r="O175" i="18" a="1"/>
  <c r="O175" i="18" s="1"/>
  <c r="N175" i="18" a="1"/>
  <c r="N175" i="18" s="1"/>
  <c r="M175" i="18" a="1"/>
  <c r="M175" i="18" s="1"/>
  <c r="L175" i="18" a="1"/>
  <c r="L175" i="18" s="1"/>
  <c r="K175" i="18" a="1"/>
  <c r="K175" i="18" s="1"/>
  <c r="J175" i="18" a="1"/>
  <c r="J175" i="18" s="1"/>
  <c r="I175" i="18" a="1"/>
  <c r="I175" i="18" s="1"/>
  <c r="H175" i="18" a="1"/>
  <c r="H175" i="18" s="1"/>
  <c r="G175" i="18" a="1"/>
  <c r="G175" i="18" s="1"/>
  <c r="D175" i="18"/>
  <c r="BA175" i="18" a="1"/>
  <c r="BA175" i="18" s="1"/>
  <c r="BB175" i="18" s="1"/>
  <c r="AW175" i="18" a="1"/>
  <c r="AW175" i="18" s="1"/>
  <c r="AS175" i="18" a="1"/>
  <c r="AS175" i="18" s="1"/>
  <c r="AO175" i="18" a="1"/>
  <c r="AO175" i="18" s="1"/>
  <c r="AK175" i="18" a="1"/>
  <c r="AK175" i="18" s="1"/>
  <c r="AL175" i="18" s="1"/>
  <c r="AG175" i="18" a="1"/>
  <c r="AG175" i="18" s="1"/>
  <c r="BC179" i="18" a="1"/>
  <c r="BC179" i="18" s="1"/>
  <c r="AY179" i="18" a="1"/>
  <c r="AY179" i="18" s="1"/>
  <c r="AU179" i="18" a="1"/>
  <c r="AU179" i="18" s="1"/>
  <c r="AQ179" i="18" a="1"/>
  <c r="AQ179" i="18" s="1"/>
  <c r="AM179" i="18" a="1"/>
  <c r="AM179" i="18" s="1"/>
  <c r="AI179" i="18" a="1"/>
  <c r="AI179" i="18" s="1"/>
  <c r="AE179" i="18" a="1"/>
  <c r="AE179" i="18" s="1"/>
  <c r="AB179" i="18" a="1"/>
  <c r="AB179" i="18" s="1"/>
  <c r="AA179" i="18" a="1"/>
  <c r="AA179" i="18" s="1"/>
  <c r="Z179" i="18" a="1"/>
  <c r="Z179" i="18" s="1"/>
  <c r="Y179" i="18" a="1"/>
  <c r="Y179" i="18" s="1"/>
  <c r="X179" i="18" a="1"/>
  <c r="X179" i="18" s="1"/>
  <c r="W179" i="18" a="1"/>
  <c r="W179" i="18" s="1"/>
  <c r="V179" i="18" a="1"/>
  <c r="V179" i="18" s="1"/>
  <c r="U179" i="18" a="1"/>
  <c r="U179" i="18" s="1"/>
  <c r="T179" i="18" a="1"/>
  <c r="T179" i="18" s="1"/>
  <c r="S179" i="18" a="1"/>
  <c r="S179" i="18" s="1"/>
  <c r="R179" i="18" a="1"/>
  <c r="R179" i="18" s="1"/>
  <c r="Q179" i="18" a="1"/>
  <c r="Q179" i="18" s="1"/>
  <c r="P179" i="18" a="1"/>
  <c r="P179" i="18" s="1"/>
  <c r="O179" i="18" a="1"/>
  <c r="O179" i="18" s="1"/>
  <c r="N179" i="18" a="1"/>
  <c r="N179" i="18" s="1"/>
  <c r="M179" i="18" a="1"/>
  <c r="M179" i="18" s="1"/>
  <c r="L179" i="18" a="1"/>
  <c r="L179" i="18" s="1"/>
  <c r="K179" i="18" a="1"/>
  <c r="K179" i="18" s="1"/>
  <c r="J179" i="18" a="1"/>
  <c r="J179" i="18" s="1"/>
  <c r="I179" i="18" a="1"/>
  <c r="I179" i="18" s="1"/>
  <c r="H179" i="18" a="1"/>
  <c r="H179" i="18" s="1"/>
  <c r="G179" i="18" a="1"/>
  <c r="G179" i="18" s="1"/>
  <c r="D179" i="18"/>
  <c r="BA179" i="18" a="1"/>
  <c r="BA179" i="18" s="1"/>
  <c r="BB179" i="18" s="1"/>
  <c r="AW179" i="18" a="1"/>
  <c r="AW179" i="18" s="1"/>
  <c r="AS179" i="18" a="1"/>
  <c r="AS179" i="18" s="1"/>
  <c r="AO179" i="18" a="1"/>
  <c r="AO179" i="18" s="1"/>
  <c r="AK179" i="18" a="1"/>
  <c r="AK179" i="18" s="1"/>
  <c r="AL179" i="18" s="1"/>
  <c r="AG179" i="18" a="1"/>
  <c r="AG179" i="18" s="1"/>
  <c r="BC183" i="18" a="1"/>
  <c r="BC183" i="18" s="1"/>
  <c r="AY183" i="18" a="1"/>
  <c r="AY183" i="18" s="1"/>
  <c r="AU183" i="18" a="1"/>
  <c r="AU183" i="18" s="1"/>
  <c r="AQ183" i="18" a="1"/>
  <c r="AQ183" i="18" s="1"/>
  <c r="AM183" i="18" a="1"/>
  <c r="AM183" i="18" s="1"/>
  <c r="AI183" i="18" a="1"/>
  <c r="AI183" i="18" s="1"/>
  <c r="AE183" i="18" a="1"/>
  <c r="AE183" i="18" s="1"/>
  <c r="AB183" i="18" a="1"/>
  <c r="AB183" i="18" s="1"/>
  <c r="AA183" i="18" a="1"/>
  <c r="AA183" i="18" s="1"/>
  <c r="Z183" i="18" a="1"/>
  <c r="Z183" i="18" s="1"/>
  <c r="Y183" i="18" a="1"/>
  <c r="Y183" i="18" s="1"/>
  <c r="X183" i="18" a="1"/>
  <c r="X183" i="18" s="1"/>
  <c r="W183" i="18" a="1"/>
  <c r="W183" i="18" s="1"/>
  <c r="V183" i="18" a="1"/>
  <c r="V183" i="18" s="1"/>
  <c r="U183" i="18" a="1"/>
  <c r="U183" i="18" s="1"/>
  <c r="T183" i="18" a="1"/>
  <c r="T183" i="18" s="1"/>
  <c r="S183" i="18" a="1"/>
  <c r="S183" i="18" s="1"/>
  <c r="R183" i="18" a="1"/>
  <c r="R183" i="18" s="1"/>
  <c r="Q183" i="18" a="1"/>
  <c r="Q183" i="18" s="1"/>
  <c r="P183" i="18" a="1"/>
  <c r="P183" i="18" s="1"/>
  <c r="O183" i="18" a="1"/>
  <c r="O183" i="18" s="1"/>
  <c r="N183" i="18" a="1"/>
  <c r="N183" i="18" s="1"/>
  <c r="M183" i="18" a="1"/>
  <c r="M183" i="18" s="1"/>
  <c r="L183" i="18" a="1"/>
  <c r="L183" i="18" s="1"/>
  <c r="K183" i="18" a="1"/>
  <c r="K183" i="18" s="1"/>
  <c r="J183" i="18" a="1"/>
  <c r="J183" i="18" s="1"/>
  <c r="I183" i="18" a="1"/>
  <c r="I183" i="18" s="1"/>
  <c r="H183" i="18" a="1"/>
  <c r="H183" i="18" s="1"/>
  <c r="G183" i="18" a="1"/>
  <c r="G183" i="18" s="1"/>
  <c r="D183" i="18"/>
  <c r="BA183" i="18" a="1"/>
  <c r="BA183" i="18" s="1"/>
  <c r="BB183" i="18" s="1"/>
  <c r="AW183" i="18" a="1"/>
  <c r="AW183" i="18" s="1"/>
  <c r="AS183" i="18" a="1"/>
  <c r="AS183" i="18" s="1"/>
  <c r="AO183" i="18" a="1"/>
  <c r="AO183" i="18" s="1"/>
  <c r="AK183" i="18" a="1"/>
  <c r="AK183" i="18" s="1"/>
  <c r="AL183" i="18" s="1"/>
  <c r="AG183" i="18" a="1"/>
  <c r="AG183" i="18" s="1"/>
  <c r="BC187" i="18" a="1"/>
  <c r="BC187" i="18" s="1"/>
  <c r="AY187" i="18" a="1"/>
  <c r="AY187" i="18" s="1"/>
  <c r="AU187" i="18" a="1"/>
  <c r="AU187" i="18" s="1"/>
  <c r="AQ187" i="18" a="1"/>
  <c r="AQ187" i="18" s="1"/>
  <c r="AM187" i="18" a="1"/>
  <c r="AM187" i="18" s="1"/>
  <c r="AI187" i="18" a="1"/>
  <c r="AI187" i="18" s="1"/>
  <c r="AE187" i="18" a="1"/>
  <c r="AE187" i="18" s="1"/>
  <c r="AB187" i="18" a="1"/>
  <c r="AB187" i="18" s="1"/>
  <c r="AA187" i="18" a="1"/>
  <c r="AA187" i="18" s="1"/>
  <c r="Z187" i="18" a="1"/>
  <c r="Z187" i="18" s="1"/>
  <c r="Y187" i="18" a="1"/>
  <c r="Y187" i="18" s="1"/>
  <c r="X187" i="18" a="1"/>
  <c r="X187" i="18" s="1"/>
  <c r="W187" i="18" a="1"/>
  <c r="W187" i="18" s="1"/>
  <c r="V187" i="18" a="1"/>
  <c r="V187" i="18" s="1"/>
  <c r="U187" i="18" a="1"/>
  <c r="U187" i="18" s="1"/>
  <c r="T187" i="18" a="1"/>
  <c r="T187" i="18" s="1"/>
  <c r="S187" i="18" a="1"/>
  <c r="S187" i="18" s="1"/>
  <c r="R187" i="18" a="1"/>
  <c r="R187" i="18" s="1"/>
  <c r="Q187" i="18" a="1"/>
  <c r="Q187" i="18" s="1"/>
  <c r="P187" i="18" a="1"/>
  <c r="P187" i="18" s="1"/>
  <c r="O187" i="18" a="1"/>
  <c r="O187" i="18" s="1"/>
  <c r="N187" i="18" a="1"/>
  <c r="N187" i="18" s="1"/>
  <c r="M187" i="18" a="1"/>
  <c r="M187" i="18" s="1"/>
  <c r="L187" i="18" a="1"/>
  <c r="L187" i="18" s="1"/>
  <c r="K187" i="18" a="1"/>
  <c r="K187" i="18" s="1"/>
  <c r="J187" i="18" a="1"/>
  <c r="J187" i="18" s="1"/>
  <c r="I187" i="18" a="1"/>
  <c r="I187" i="18" s="1"/>
  <c r="H187" i="18" a="1"/>
  <c r="H187" i="18" s="1"/>
  <c r="G187" i="18" a="1"/>
  <c r="G187" i="18" s="1"/>
  <c r="D187" i="18"/>
  <c r="BA187" i="18" a="1"/>
  <c r="BA187" i="18" s="1"/>
  <c r="BB187" i="18" s="1"/>
  <c r="AW187" i="18" a="1"/>
  <c r="AW187" i="18" s="1"/>
  <c r="AS187" i="18" a="1"/>
  <c r="AS187" i="18" s="1"/>
  <c r="AO187" i="18" a="1"/>
  <c r="AO187" i="18" s="1"/>
  <c r="AK187" i="18" a="1"/>
  <c r="AK187" i="18" s="1"/>
  <c r="AL187" i="18" s="1"/>
  <c r="AG187" i="18" a="1"/>
  <c r="AG187" i="18" s="1"/>
  <c r="BC191" i="18" a="1"/>
  <c r="BC191" i="18" s="1"/>
  <c r="AY191" i="18" a="1"/>
  <c r="AY191" i="18" s="1"/>
  <c r="AU191" i="18" a="1"/>
  <c r="AU191" i="18" s="1"/>
  <c r="AQ191" i="18" a="1"/>
  <c r="AQ191" i="18" s="1"/>
  <c r="AM191" i="18" a="1"/>
  <c r="AM191" i="18" s="1"/>
  <c r="AI191" i="18" a="1"/>
  <c r="AI191" i="18" s="1"/>
  <c r="AE191" i="18" a="1"/>
  <c r="AE191" i="18" s="1"/>
  <c r="AB191" i="18" a="1"/>
  <c r="AB191" i="18" s="1"/>
  <c r="AA191" i="18" a="1"/>
  <c r="AA191" i="18" s="1"/>
  <c r="Z191" i="18" a="1"/>
  <c r="Z191" i="18" s="1"/>
  <c r="Y191" i="18" a="1"/>
  <c r="Y191" i="18" s="1"/>
  <c r="X191" i="18" a="1"/>
  <c r="X191" i="18" s="1"/>
  <c r="W191" i="18" a="1"/>
  <c r="W191" i="18" s="1"/>
  <c r="V191" i="18" a="1"/>
  <c r="V191" i="18" s="1"/>
  <c r="U191" i="18" a="1"/>
  <c r="U191" i="18" s="1"/>
  <c r="T191" i="18" a="1"/>
  <c r="T191" i="18" s="1"/>
  <c r="S191" i="18" a="1"/>
  <c r="S191" i="18" s="1"/>
  <c r="R191" i="18" a="1"/>
  <c r="R191" i="18" s="1"/>
  <c r="Q191" i="18" a="1"/>
  <c r="Q191" i="18" s="1"/>
  <c r="P191" i="18" a="1"/>
  <c r="P191" i="18" s="1"/>
  <c r="O191" i="18" a="1"/>
  <c r="O191" i="18" s="1"/>
  <c r="N191" i="18" a="1"/>
  <c r="N191" i="18" s="1"/>
  <c r="M191" i="18" a="1"/>
  <c r="M191" i="18" s="1"/>
  <c r="L191" i="18" a="1"/>
  <c r="L191" i="18" s="1"/>
  <c r="K191" i="18" a="1"/>
  <c r="K191" i="18" s="1"/>
  <c r="J191" i="18" a="1"/>
  <c r="J191" i="18" s="1"/>
  <c r="I191" i="18" a="1"/>
  <c r="I191" i="18" s="1"/>
  <c r="H191" i="18" a="1"/>
  <c r="H191" i="18" s="1"/>
  <c r="G191" i="18" a="1"/>
  <c r="G191" i="18" s="1"/>
  <c r="D191" i="18"/>
  <c r="BA191" i="18" a="1"/>
  <c r="BA191" i="18" s="1"/>
  <c r="BB191" i="18" s="1"/>
  <c r="AW191" i="18" a="1"/>
  <c r="AW191" i="18" s="1"/>
  <c r="AS191" i="18" a="1"/>
  <c r="AS191" i="18" s="1"/>
  <c r="AO191" i="18" a="1"/>
  <c r="AO191" i="18" s="1"/>
  <c r="AK191" i="18" a="1"/>
  <c r="AK191" i="18" s="1"/>
  <c r="AL191" i="18" s="1"/>
  <c r="AG191" i="18" a="1"/>
  <c r="AG191" i="18" s="1"/>
  <c r="BA69" i="18" a="1"/>
  <c r="BA69" i="18" s="1"/>
  <c r="AW69" i="18" a="1"/>
  <c r="AW69" i="18" s="1"/>
  <c r="AS69" i="18" a="1"/>
  <c r="AS69" i="18" s="1"/>
  <c r="AO69" i="18" a="1"/>
  <c r="AO69" i="18" s="1"/>
  <c r="AK69" i="18" a="1"/>
  <c r="AK69" i="18" s="1"/>
  <c r="AG69" i="18" a="1"/>
  <c r="AG69" i="18" s="1"/>
  <c r="BC69" i="18" a="1"/>
  <c r="BC69" i="18" s="1"/>
  <c r="AY69" i="18" a="1"/>
  <c r="AY69" i="18" s="1"/>
  <c r="AU69" i="18" a="1"/>
  <c r="AU69" i="18" s="1"/>
  <c r="AQ69" i="18" a="1"/>
  <c r="AQ69" i="18" s="1"/>
  <c r="AM69" i="18" a="1"/>
  <c r="AM69" i="18" s="1"/>
  <c r="AI69" i="18" a="1"/>
  <c r="AI69" i="18" s="1"/>
  <c r="AE69" i="18" a="1"/>
  <c r="AE69" i="18" s="1"/>
  <c r="AB69" i="18" a="1"/>
  <c r="AB69" i="18" s="1"/>
  <c r="AA69" i="18" a="1"/>
  <c r="AA69" i="18" s="1"/>
  <c r="Z69" i="18" a="1"/>
  <c r="Z69" i="18" s="1"/>
  <c r="Y69" i="18" a="1"/>
  <c r="Y69" i="18" s="1"/>
  <c r="X69" i="18" a="1"/>
  <c r="X69" i="18" s="1"/>
  <c r="W69" i="18" a="1"/>
  <c r="W69" i="18" s="1"/>
  <c r="V69" i="18" a="1"/>
  <c r="V69" i="18" s="1"/>
  <c r="U69" i="18" a="1"/>
  <c r="U69" i="18" s="1"/>
  <c r="T69" i="18" a="1"/>
  <c r="T69" i="18" s="1"/>
  <c r="S69" i="18" a="1"/>
  <c r="S69" i="18" s="1"/>
  <c r="R69" i="18" a="1"/>
  <c r="R69" i="18" s="1"/>
  <c r="Q69" i="18" a="1"/>
  <c r="Q69" i="18" s="1"/>
  <c r="P69" i="18" a="1"/>
  <c r="P69" i="18" s="1"/>
  <c r="O69" i="18" a="1"/>
  <c r="O69" i="18" s="1"/>
  <c r="N69" i="18" a="1"/>
  <c r="N69" i="18" s="1"/>
  <c r="M69" i="18" a="1"/>
  <c r="M69" i="18" s="1"/>
  <c r="L69" i="18" a="1"/>
  <c r="L69" i="18" s="1"/>
  <c r="K69" i="18" a="1"/>
  <c r="K69" i="18" s="1"/>
  <c r="J69" i="18" a="1"/>
  <c r="J69" i="18" s="1"/>
  <c r="I69" i="18" a="1"/>
  <c r="I69" i="18" s="1"/>
  <c r="H69" i="18" a="1"/>
  <c r="H69" i="18" s="1"/>
  <c r="G69" i="18" a="1"/>
  <c r="G69" i="18" s="1"/>
  <c r="D69" i="18"/>
  <c r="BA73" i="18" a="1"/>
  <c r="BA73" i="18" s="1"/>
  <c r="AW73" i="18" a="1"/>
  <c r="AW73" i="18" s="1"/>
  <c r="AS73" i="18" a="1"/>
  <c r="AS73" i="18" s="1"/>
  <c r="AO73" i="18" a="1"/>
  <c r="AO73" i="18" s="1"/>
  <c r="AK73" i="18" a="1"/>
  <c r="AK73" i="18" s="1"/>
  <c r="AG73" i="18" a="1"/>
  <c r="AG73" i="18" s="1"/>
  <c r="BC73" i="18" a="1"/>
  <c r="BC73" i="18" s="1"/>
  <c r="AY73" i="18" a="1"/>
  <c r="AY73" i="18" s="1"/>
  <c r="AU73" i="18" a="1"/>
  <c r="AU73" i="18" s="1"/>
  <c r="AQ73" i="18" a="1"/>
  <c r="AQ73" i="18" s="1"/>
  <c r="AM73" i="18" a="1"/>
  <c r="AM73" i="18" s="1"/>
  <c r="AI73" i="18" a="1"/>
  <c r="AI73" i="18" s="1"/>
  <c r="AE73" i="18" a="1"/>
  <c r="AE73" i="18" s="1"/>
  <c r="AB73" i="18" a="1"/>
  <c r="AB73" i="18" s="1"/>
  <c r="AA73" i="18" a="1"/>
  <c r="AA73" i="18" s="1"/>
  <c r="Z73" i="18" a="1"/>
  <c r="Z73" i="18" s="1"/>
  <c r="Y73" i="18" a="1"/>
  <c r="Y73" i="18" s="1"/>
  <c r="X73" i="18" a="1"/>
  <c r="X73" i="18" s="1"/>
  <c r="W73" i="18" a="1"/>
  <c r="W73" i="18" s="1"/>
  <c r="V73" i="18" a="1"/>
  <c r="V73" i="18" s="1"/>
  <c r="U73" i="18" a="1"/>
  <c r="U73" i="18" s="1"/>
  <c r="T73" i="18" a="1"/>
  <c r="T73" i="18" s="1"/>
  <c r="S73" i="18" a="1"/>
  <c r="S73" i="18" s="1"/>
  <c r="R73" i="18" a="1"/>
  <c r="R73" i="18" s="1"/>
  <c r="Q73" i="18" a="1"/>
  <c r="Q73" i="18" s="1"/>
  <c r="P73" i="18" a="1"/>
  <c r="P73" i="18" s="1"/>
  <c r="O73" i="18" a="1"/>
  <c r="O73" i="18" s="1"/>
  <c r="N73" i="18" a="1"/>
  <c r="N73" i="18" s="1"/>
  <c r="M73" i="18" a="1"/>
  <c r="M73" i="18" s="1"/>
  <c r="L73" i="18" a="1"/>
  <c r="L73" i="18" s="1"/>
  <c r="K73" i="18" a="1"/>
  <c r="K73" i="18" s="1"/>
  <c r="J73" i="18" a="1"/>
  <c r="J73" i="18" s="1"/>
  <c r="I73" i="18" a="1"/>
  <c r="I73" i="18" s="1"/>
  <c r="H73" i="18" a="1"/>
  <c r="H73" i="18" s="1"/>
  <c r="G73" i="18" a="1"/>
  <c r="G73" i="18" s="1"/>
  <c r="D73" i="18"/>
  <c r="BA77" i="18" a="1"/>
  <c r="BA77" i="18" s="1"/>
  <c r="AW77" i="18" a="1"/>
  <c r="AW77" i="18" s="1"/>
  <c r="AS77" i="18" a="1"/>
  <c r="AS77" i="18" s="1"/>
  <c r="AO77" i="18" a="1"/>
  <c r="AO77" i="18" s="1"/>
  <c r="AK77" i="18" a="1"/>
  <c r="AK77" i="18" s="1"/>
  <c r="AG77" i="18" a="1"/>
  <c r="AG77" i="18" s="1"/>
  <c r="BC77" i="18" a="1"/>
  <c r="BC77" i="18" s="1"/>
  <c r="AY77" i="18" a="1"/>
  <c r="AY77" i="18" s="1"/>
  <c r="AU77" i="18" a="1"/>
  <c r="AU77" i="18" s="1"/>
  <c r="AQ77" i="18" a="1"/>
  <c r="AQ77" i="18" s="1"/>
  <c r="AM77" i="18" a="1"/>
  <c r="AM77" i="18" s="1"/>
  <c r="AI77" i="18" a="1"/>
  <c r="AI77" i="18" s="1"/>
  <c r="AE77" i="18" a="1"/>
  <c r="AE77" i="18" s="1"/>
  <c r="AB77" i="18" a="1"/>
  <c r="AB77" i="18" s="1"/>
  <c r="AA77" i="18" a="1"/>
  <c r="AA77" i="18" s="1"/>
  <c r="Z77" i="18" a="1"/>
  <c r="Z77" i="18" s="1"/>
  <c r="Y77" i="18" a="1"/>
  <c r="Y77" i="18" s="1"/>
  <c r="X77" i="18" a="1"/>
  <c r="X77" i="18" s="1"/>
  <c r="W77" i="18" a="1"/>
  <c r="W77" i="18" s="1"/>
  <c r="V77" i="18" a="1"/>
  <c r="V77" i="18" s="1"/>
  <c r="U77" i="18" a="1"/>
  <c r="U77" i="18" s="1"/>
  <c r="T77" i="18" a="1"/>
  <c r="T77" i="18" s="1"/>
  <c r="S77" i="18" a="1"/>
  <c r="S77" i="18" s="1"/>
  <c r="R77" i="18" a="1"/>
  <c r="R77" i="18" s="1"/>
  <c r="Q77" i="18" a="1"/>
  <c r="Q77" i="18" s="1"/>
  <c r="P77" i="18" a="1"/>
  <c r="P77" i="18" s="1"/>
  <c r="O77" i="18" a="1"/>
  <c r="O77" i="18" s="1"/>
  <c r="N77" i="18" a="1"/>
  <c r="N77" i="18" s="1"/>
  <c r="M77" i="18" a="1"/>
  <c r="M77" i="18" s="1"/>
  <c r="L77" i="18" a="1"/>
  <c r="L77" i="18" s="1"/>
  <c r="K77" i="18" a="1"/>
  <c r="K77" i="18" s="1"/>
  <c r="J77" i="18" a="1"/>
  <c r="J77" i="18" s="1"/>
  <c r="I77" i="18" a="1"/>
  <c r="I77" i="18" s="1"/>
  <c r="H77" i="18" a="1"/>
  <c r="H77" i="18" s="1"/>
  <c r="G77" i="18" a="1"/>
  <c r="G77" i="18" s="1"/>
  <c r="D77" i="18"/>
  <c r="BA81" i="18" a="1"/>
  <c r="BA81" i="18" s="1"/>
  <c r="AW81" i="18" a="1"/>
  <c r="AW81" i="18" s="1"/>
  <c r="AS81" i="18" a="1"/>
  <c r="AS81" i="18" s="1"/>
  <c r="AO81" i="18" a="1"/>
  <c r="AO81" i="18" s="1"/>
  <c r="AK81" i="18" a="1"/>
  <c r="AK81" i="18" s="1"/>
  <c r="AG81" i="18" a="1"/>
  <c r="AG81" i="18" s="1"/>
  <c r="BC81" i="18" a="1"/>
  <c r="BC81" i="18" s="1"/>
  <c r="AY81" i="18" a="1"/>
  <c r="AY81" i="18" s="1"/>
  <c r="AU81" i="18" a="1"/>
  <c r="AU81" i="18" s="1"/>
  <c r="AQ81" i="18" a="1"/>
  <c r="AQ81" i="18" s="1"/>
  <c r="AM81" i="18" a="1"/>
  <c r="AM81" i="18" s="1"/>
  <c r="AI81" i="18" a="1"/>
  <c r="AI81" i="18" s="1"/>
  <c r="AE81" i="18" a="1"/>
  <c r="AE81" i="18" s="1"/>
  <c r="AB81" i="18" a="1"/>
  <c r="AB81" i="18" s="1"/>
  <c r="AA81" i="18" a="1"/>
  <c r="AA81" i="18" s="1"/>
  <c r="Z81" i="18" a="1"/>
  <c r="Z81" i="18" s="1"/>
  <c r="Y81" i="18" a="1"/>
  <c r="Y81" i="18" s="1"/>
  <c r="X81" i="18" a="1"/>
  <c r="X81" i="18" s="1"/>
  <c r="W81" i="18" a="1"/>
  <c r="W81" i="18" s="1"/>
  <c r="V81" i="18" a="1"/>
  <c r="V81" i="18" s="1"/>
  <c r="U81" i="18" a="1"/>
  <c r="U81" i="18" s="1"/>
  <c r="T81" i="18" a="1"/>
  <c r="T81" i="18" s="1"/>
  <c r="S81" i="18" a="1"/>
  <c r="S81" i="18" s="1"/>
  <c r="R81" i="18" a="1"/>
  <c r="R81" i="18" s="1"/>
  <c r="Q81" i="18" a="1"/>
  <c r="Q81" i="18" s="1"/>
  <c r="P81" i="18" a="1"/>
  <c r="P81" i="18" s="1"/>
  <c r="O81" i="18" a="1"/>
  <c r="O81" i="18" s="1"/>
  <c r="N81" i="18" a="1"/>
  <c r="N81" i="18" s="1"/>
  <c r="M81" i="18" a="1"/>
  <c r="M81" i="18" s="1"/>
  <c r="L81" i="18" a="1"/>
  <c r="L81" i="18" s="1"/>
  <c r="K81" i="18" a="1"/>
  <c r="K81" i="18" s="1"/>
  <c r="J81" i="18" a="1"/>
  <c r="J81" i="18" s="1"/>
  <c r="I81" i="18" a="1"/>
  <c r="I81" i="18" s="1"/>
  <c r="H81" i="18" a="1"/>
  <c r="H81" i="18" s="1"/>
  <c r="G81" i="18" a="1"/>
  <c r="G81" i="18" s="1"/>
  <c r="D81" i="18"/>
  <c r="BA85" i="18" a="1"/>
  <c r="BA85" i="18" s="1"/>
  <c r="AW85" i="18" a="1"/>
  <c r="AW85" i="18" s="1"/>
  <c r="AS85" i="18" a="1"/>
  <c r="AS85" i="18" s="1"/>
  <c r="AO85" i="18" a="1"/>
  <c r="AO85" i="18" s="1"/>
  <c r="AK85" i="18" a="1"/>
  <c r="AK85" i="18" s="1"/>
  <c r="AG85" i="18" a="1"/>
  <c r="AG85" i="18" s="1"/>
  <c r="BC85" i="18" a="1"/>
  <c r="BC85" i="18" s="1"/>
  <c r="AY85" i="18" a="1"/>
  <c r="AY85" i="18" s="1"/>
  <c r="AU85" i="18" a="1"/>
  <c r="AU85" i="18" s="1"/>
  <c r="AQ85" i="18" a="1"/>
  <c r="AQ85" i="18" s="1"/>
  <c r="AM85" i="18" a="1"/>
  <c r="AM85" i="18" s="1"/>
  <c r="AI85" i="18" a="1"/>
  <c r="AI85" i="18" s="1"/>
  <c r="AE85" i="18" a="1"/>
  <c r="AE85" i="18" s="1"/>
  <c r="AB85" i="18" a="1"/>
  <c r="AB85" i="18" s="1"/>
  <c r="AA85" i="18" a="1"/>
  <c r="AA85" i="18" s="1"/>
  <c r="Z85" i="18" a="1"/>
  <c r="Z85" i="18" s="1"/>
  <c r="Y85" i="18" a="1"/>
  <c r="Y85" i="18" s="1"/>
  <c r="X85" i="18" a="1"/>
  <c r="X85" i="18" s="1"/>
  <c r="W85" i="18" a="1"/>
  <c r="W85" i="18" s="1"/>
  <c r="V85" i="18" a="1"/>
  <c r="V85" i="18" s="1"/>
  <c r="U85" i="18" a="1"/>
  <c r="U85" i="18" s="1"/>
  <c r="T85" i="18" a="1"/>
  <c r="T85" i="18" s="1"/>
  <c r="S85" i="18" a="1"/>
  <c r="S85" i="18" s="1"/>
  <c r="R85" i="18" a="1"/>
  <c r="R85" i="18" s="1"/>
  <c r="Q85" i="18" a="1"/>
  <c r="Q85" i="18" s="1"/>
  <c r="P85" i="18" a="1"/>
  <c r="P85" i="18" s="1"/>
  <c r="O85" i="18" a="1"/>
  <c r="O85" i="18" s="1"/>
  <c r="N85" i="18" a="1"/>
  <c r="N85" i="18" s="1"/>
  <c r="M85" i="18" a="1"/>
  <c r="M85" i="18" s="1"/>
  <c r="L85" i="18" a="1"/>
  <c r="L85" i="18" s="1"/>
  <c r="K85" i="18" a="1"/>
  <c r="K85" i="18" s="1"/>
  <c r="J85" i="18" a="1"/>
  <c r="J85" i="18" s="1"/>
  <c r="I85" i="18" a="1"/>
  <c r="I85" i="18" s="1"/>
  <c r="H85" i="18" a="1"/>
  <c r="H85" i="18" s="1"/>
  <c r="G85" i="18" a="1"/>
  <c r="G85" i="18" s="1"/>
  <c r="D85" i="18"/>
  <c r="BA89" i="18" a="1"/>
  <c r="BA89" i="18" s="1"/>
  <c r="AW89" i="18" a="1"/>
  <c r="AW89" i="18" s="1"/>
  <c r="AS89" i="18" a="1"/>
  <c r="AS89" i="18" s="1"/>
  <c r="AO89" i="18" a="1"/>
  <c r="AO89" i="18" s="1"/>
  <c r="AK89" i="18" a="1"/>
  <c r="AK89" i="18" s="1"/>
  <c r="AG89" i="18" a="1"/>
  <c r="AG89" i="18" s="1"/>
  <c r="BC89" i="18" a="1"/>
  <c r="BC89" i="18" s="1"/>
  <c r="AY89" i="18" a="1"/>
  <c r="AY89" i="18" s="1"/>
  <c r="AU89" i="18" a="1"/>
  <c r="AU89" i="18" s="1"/>
  <c r="AQ89" i="18" a="1"/>
  <c r="AQ89" i="18" s="1"/>
  <c r="AM89" i="18" a="1"/>
  <c r="AM89" i="18" s="1"/>
  <c r="AI89" i="18" a="1"/>
  <c r="AI89" i="18" s="1"/>
  <c r="AE89" i="18" a="1"/>
  <c r="AE89" i="18" s="1"/>
  <c r="AB89" i="18" a="1"/>
  <c r="AB89" i="18" s="1"/>
  <c r="AA89" i="18" a="1"/>
  <c r="AA89" i="18" s="1"/>
  <c r="Z89" i="18" a="1"/>
  <c r="Z89" i="18" s="1"/>
  <c r="Y89" i="18" a="1"/>
  <c r="Y89" i="18" s="1"/>
  <c r="X89" i="18" a="1"/>
  <c r="X89" i="18" s="1"/>
  <c r="W89" i="18" a="1"/>
  <c r="W89" i="18" s="1"/>
  <c r="V89" i="18" a="1"/>
  <c r="V89" i="18" s="1"/>
  <c r="U89" i="18" a="1"/>
  <c r="U89" i="18" s="1"/>
  <c r="T89" i="18" a="1"/>
  <c r="T89" i="18" s="1"/>
  <c r="S89" i="18" a="1"/>
  <c r="S89" i="18" s="1"/>
  <c r="R89" i="18" a="1"/>
  <c r="R89" i="18" s="1"/>
  <c r="Q89" i="18" a="1"/>
  <c r="Q89" i="18" s="1"/>
  <c r="P89" i="18" a="1"/>
  <c r="P89" i="18" s="1"/>
  <c r="O89" i="18" a="1"/>
  <c r="O89" i="18" s="1"/>
  <c r="N89" i="18" a="1"/>
  <c r="N89" i="18" s="1"/>
  <c r="M89" i="18" a="1"/>
  <c r="M89" i="18" s="1"/>
  <c r="L89" i="18" a="1"/>
  <c r="L89" i="18" s="1"/>
  <c r="K89" i="18" a="1"/>
  <c r="K89" i="18" s="1"/>
  <c r="J89" i="18" a="1"/>
  <c r="J89" i="18" s="1"/>
  <c r="I89" i="18" a="1"/>
  <c r="I89" i="18" s="1"/>
  <c r="H89" i="18" a="1"/>
  <c r="H89" i="18" s="1"/>
  <c r="G89" i="18" a="1"/>
  <c r="G89" i="18" s="1"/>
  <c r="D89" i="18"/>
  <c r="BA93" i="18" a="1"/>
  <c r="BA93" i="18" s="1"/>
  <c r="AW93" i="18" a="1"/>
  <c r="AW93" i="18" s="1"/>
  <c r="AS93" i="18" a="1"/>
  <c r="AS93" i="18" s="1"/>
  <c r="AO93" i="18" a="1"/>
  <c r="AO93" i="18" s="1"/>
  <c r="AK93" i="18" a="1"/>
  <c r="AK93" i="18" s="1"/>
  <c r="AG93" i="18" a="1"/>
  <c r="AG93" i="18" s="1"/>
  <c r="BC93" i="18" a="1"/>
  <c r="BC93" i="18" s="1"/>
  <c r="AY93" i="18" a="1"/>
  <c r="AY93" i="18" s="1"/>
  <c r="AU93" i="18" a="1"/>
  <c r="AU93" i="18" s="1"/>
  <c r="AQ93" i="18" a="1"/>
  <c r="AQ93" i="18" s="1"/>
  <c r="AM93" i="18" a="1"/>
  <c r="AM93" i="18" s="1"/>
  <c r="AI93" i="18" a="1"/>
  <c r="AI93" i="18" s="1"/>
  <c r="AE93" i="18" a="1"/>
  <c r="AE93" i="18" s="1"/>
  <c r="AB93" i="18" a="1"/>
  <c r="AB93" i="18" s="1"/>
  <c r="AA93" i="18" a="1"/>
  <c r="AA93" i="18" s="1"/>
  <c r="Z93" i="18" a="1"/>
  <c r="Z93" i="18" s="1"/>
  <c r="Y93" i="18" a="1"/>
  <c r="Y93" i="18" s="1"/>
  <c r="X93" i="18" a="1"/>
  <c r="X93" i="18" s="1"/>
  <c r="W93" i="18" a="1"/>
  <c r="W93" i="18" s="1"/>
  <c r="V93" i="18" a="1"/>
  <c r="V93" i="18" s="1"/>
  <c r="U93" i="18" a="1"/>
  <c r="U93" i="18" s="1"/>
  <c r="T93" i="18" a="1"/>
  <c r="T93" i="18" s="1"/>
  <c r="S93" i="18" a="1"/>
  <c r="S93" i="18" s="1"/>
  <c r="R93" i="18" a="1"/>
  <c r="R93" i="18" s="1"/>
  <c r="Q93" i="18" a="1"/>
  <c r="Q93" i="18" s="1"/>
  <c r="P93" i="18" a="1"/>
  <c r="P93" i="18" s="1"/>
  <c r="O93" i="18" a="1"/>
  <c r="O93" i="18" s="1"/>
  <c r="N93" i="18" a="1"/>
  <c r="N93" i="18" s="1"/>
  <c r="M93" i="18" a="1"/>
  <c r="M93" i="18" s="1"/>
  <c r="L93" i="18" a="1"/>
  <c r="L93" i="18" s="1"/>
  <c r="K93" i="18" a="1"/>
  <c r="K93" i="18" s="1"/>
  <c r="J93" i="18" a="1"/>
  <c r="J93" i="18" s="1"/>
  <c r="I93" i="18" a="1"/>
  <c r="I93" i="18" s="1"/>
  <c r="H93" i="18" a="1"/>
  <c r="H93" i="18" s="1"/>
  <c r="G93" i="18" a="1"/>
  <c r="G93" i="18" s="1"/>
  <c r="D93" i="18"/>
  <c r="BA97" i="18" a="1"/>
  <c r="BA97" i="18" s="1"/>
  <c r="AW97" i="18" a="1"/>
  <c r="AW97" i="18" s="1"/>
  <c r="AS97" i="18" a="1"/>
  <c r="AS97" i="18" s="1"/>
  <c r="AO97" i="18" a="1"/>
  <c r="AO97" i="18" s="1"/>
  <c r="AK97" i="18" a="1"/>
  <c r="AK97" i="18" s="1"/>
  <c r="AG97" i="18" a="1"/>
  <c r="AG97" i="18" s="1"/>
  <c r="BC97" i="18" a="1"/>
  <c r="BC97" i="18" s="1"/>
  <c r="AY97" i="18" a="1"/>
  <c r="AY97" i="18" s="1"/>
  <c r="AU97" i="18" a="1"/>
  <c r="AU97" i="18" s="1"/>
  <c r="AQ97" i="18" a="1"/>
  <c r="AQ97" i="18" s="1"/>
  <c r="AM97" i="18" a="1"/>
  <c r="AM97" i="18" s="1"/>
  <c r="AI97" i="18" a="1"/>
  <c r="AI97" i="18" s="1"/>
  <c r="AE97" i="18" a="1"/>
  <c r="AE97" i="18" s="1"/>
  <c r="AB97" i="18" a="1"/>
  <c r="AB97" i="18" s="1"/>
  <c r="AA97" i="18" a="1"/>
  <c r="AA97" i="18" s="1"/>
  <c r="Z97" i="18" a="1"/>
  <c r="Z97" i="18" s="1"/>
  <c r="Y97" i="18" a="1"/>
  <c r="Y97" i="18" s="1"/>
  <c r="X97" i="18" a="1"/>
  <c r="X97" i="18" s="1"/>
  <c r="W97" i="18" a="1"/>
  <c r="W97" i="18" s="1"/>
  <c r="V97" i="18" a="1"/>
  <c r="V97" i="18" s="1"/>
  <c r="U97" i="18" a="1"/>
  <c r="U97" i="18" s="1"/>
  <c r="T97" i="18" a="1"/>
  <c r="T97" i="18" s="1"/>
  <c r="S97" i="18" a="1"/>
  <c r="S97" i="18" s="1"/>
  <c r="R97" i="18" a="1"/>
  <c r="R97" i="18" s="1"/>
  <c r="Q97" i="18" a="1"/>
  <c r="Q97" i="18" s="1"/>
  <c r="P97" i="18" a="1"/>
  <c r="P97" i="18" s="1"/>
  <c r="O97" i="18" a="1"/>
  <c r="O97" i="18" s="1"/>
  <c r="N97" i="18" a="1"/>
  <c r="N97" i="18" s="1"/>
  <c r="M97" i="18" a="1"/>
  <c r="M97" i="18" s="1"/>
  <c r="L97" i="18" a="1"/>
  <c r="L97" i="18" s="1"/>
  <c r="K97" i="18" a="1"/>
  <c r="K97" i="18" s="1"/>
  <c r="J97" i="18" a="1"/>
  <c r="J97" i="18" s="1"/>
  <c r="I97" i="18" a="1"/>
  <c r="I97" i="18" s="1"/>
  <c r="H97" i="18" a="1"/>
  <c r="H97" i="18" s="1"/>
  <c r="G97" i="18" a="1"/>
  <c r="G97" i="18" s="1"/>
  <c r="D97" i="18"/>
  <c r="BA101" i="18" a="1"/>
  <c r="BA101" i="18" s="1"/>
  <c r="AW101" i="18" a="1"/>
  <c r="AW101" i="18" s="1"/>
  <c r="AS101" i="18" a="1"/>
  <c r="AS101" i="18" s="1"/>
  <c r="AO101" i="18" a="1"/>
  <c r="AO101" i="18" s="1"/>
  <c r="AK101" i="18" a="1"/>
  <c r="AK101" i="18" s="1"/>
  <c r="AG101" i="18" a="1"/>
  <c r="AG101" i="18" s="1"/>
  <c r="BC101" i="18" a="1"/>
  <c r="BC101" i="18" s="1"/>
  <c r="AY101" i="18" a="1"/>
  <c r="AY101" i="18" s="1"/>
  <c r="AU101" i="18" a="1"/>
  <c r="AU101" i="18" s="1"/>
  <c r="AQ101" i="18" a="1"/>
  <c r="AQ101" i="18" s="1"/>
  <c r="AM101" i="18" a="1"/>
  <c r="AM101" i="18" s="1"/>
  <c r="AI101" i="18" a="1"/>
  <c r="AI101" i="18" s="1"/>
  <c r="AE101" i="18" a="1"/>
  <c r="AE101" i="18" s="1"/>
  <c r="AB101" i="18" a="1"/>
  <c r="AB101" i="18" s="1"/>
  <c r="AA101" i="18" a="1"/>
  <c r="AA101" i="18" s="1"/>
  <c r="Z101" i="18" a="1"/>
  <c r="Z101" i="18" s="1"/>
  <c r="Y101" i="18" a="1"/>
  <c r="Y101" i="18" s="1"/>
  <c r="X101" i="18" a="1"/>
  <c r="X101" i="18" s="1"/>
  <c r="W101" i="18" a="1"/>
  <c r="W101" i="18" s="1"/>
  <c r="V101" i="18" a="1"/>
  <c r="V101" i="18" s="1"/>
  <c r="U101" i="18" a="1"/>
  <c r="U101" i="18" s="1"/>
  <c r="T101" i="18" a="1"/>
  <c r="T101" i="18" s="1"/>
  <c r="S101" i="18" a="1"/>
  <c r="S101" i="18" s="1"/>
  <c r="R101" i="18" a="1"/>
  <c r="R101" i="18" s="1"/>
  <c r="Q101" i="18" a="1"/>
  <c r="Q101" i="18" s="1"/>
  <c r="P101" i="18" a="1"/>
  <c r="P101" i="18" s="1"/>
  <c r="O101" i="18" a="1"/>
  <c r="O101" i="18" s="1"/>
  <c r="N101" i="18" a="1"/>
  <c r="N101" i="18" s="1"/>
  <c r="M101" i="18" a="1"/>
  <c r="M101" i="18" s="1"/>
  <c r="L101" i="18" a="1"/>
  <c r="L101" i="18" s="1"/>
  <c r="K101" i="18" a="1"/>
  <c r="K101" i="18" s="1"/>
  <c r="J101" i="18" a="1"/>
  <c r="J101" i="18" s="1"/>
  <c r="I101" i="18" a="1"/>
  <c r="I101" i="18" s="1"/>
  <c r="H101" i="18" a="1"/>
  <c r="H101" i="18" s="1"/>
  <c r="G101" i="18" a="1"/>
  <c r="G101" i="18" s="1"/>
  <c r="D101" i="18"/>
  <c r="BA105" i="18" a="1"/>
  <c r="BA105" i="18" s="1"/>
  <c r="AW105" i="18" a="1"/>
  <c r="AW105" i="18" s="1"/>
  <c r="AS105" i="18" a="1"/>
  <c r="AS105" i="18" s="1"/>
  <c r="AO105" i="18" a="1"/>
  <c r="AO105" i="18" s="1"/>
  <c r="AK105" i="18" a="1"/>
  <c r="AK105" i="18" s="1"/>
  <c r="AG105" i="18" a="1"/>
  <c r="AG105" i="18" s="1"/>
  <c r="BC105" i="18" a="1"/>
  <c r="BC105" i="18" s="1"/>
  <c r="AY105" i="18" a="1"/>
  <c r="AY105" i="18" s="1"/>
  <c r="AU105" i="18" a="1"/>
  <c r="AU105" i="18" s="1"/>
  <c r="AQ105" i="18" a="1"/>
  <c r="AQ105" i="18" s="1"/>
  <c r="AM105" i="18" a="1"/>
  <c r="AM105" i="18" s="1"/>
  <c r="AI105" i="18" a="1"/>
  <c r="AI105" i="18" s="1"/>
  <c r="AE105" i="18" a="1"/>
  <c r="AE105" i="18" s="1"/>
  <c r="AB105" i="18" a="1"/>
  <c r="AB105" i="18" s="1"/>
  <c r="AA105" i="18" a="1"/>
  <c r="AA105" i="18" s="1"/>
  <c r="Z105" i="18" a="1"/>
  <c r="Z105" i="18" s="1"/>
  <c r="Y105" i="18" a="1"/>
  <c r="Y105" i="18" s="1"/>
  <c r="X105" i="18" a="1"/>
  <c r="X105" i="18" s="1"/>
  <c r="W105" i="18" a="1"/>
  <c r="W105" i="18" s="1"/>
  <c r="V105" i="18" a="1"/>
  <c r="V105" i="18" s="1"/>
  <c r="U105" i="18" a="1"/>
  <c r="U105" i="18" s="1"/>
  <c r="T105" i="18" a="1"/>
  <c r="T105" i="18" s="1"/>
  <c r="S105" i="18" a="1"/>
  <c r="S105" i="18" s="1"/>
  <c r="R105" i="18" a="1"/>
  <c r="R105" i="18" s="1"/>
  <c r="Q105" i="18" a="1"/>
  <c r="Q105" i="18" s="1"/>
  <c r="P105" i="18" a="1"/>
  <c r="P105" i="18" s="1"/>
  <c r="O105" i="18" a="1"/>
  <c r="O105" i="18" s="1"/>
  <c r="N105" i="18" a="1"/>
  <c r="N105" i="18" s="1"/>
  <c r="M105" i="18" a="1"/>
  <c r="M105" i="18" s="1"/>
  <c r="L105" i="18" a="1"/>
  <c r="L105" i="18" s="1"/>
  <c r="K105" i="18" a="1"/>
  <c r="K105" i="18" s="1"/>
  <c r="J105" i="18" a="1"/>
  <c r="J105" i="18" s="1"/>
  <c r="I105" i="18" a="1"/>
  <c r="I105" i="18" s="1"/>
  <c r="H105" i="18" a="1"/>
  <c r="H105" i="18" s="1"/>
  <c r="G105" i="18" a="1"/>
  <c r="G105" i="18" s="1"/>
  <c r="D105" i="18"/>
  <c r="BC109" i="18" a="1"/>
  <c r="BC109" i="18" s="1"/>
  <c r="AY109" i="18" a="1"/>
  <c r="AY109" i="18" s="1"/>
  <c r="AU109" i="18" a="1"/>
  <c r="AU109" i="18" s="1"/>
  <c r="AQ109" i="18" a="1"/>
  <c r="AQ109" i="18" s="1"/>
  <c r="AM109" i="18" a="1"/>
  <c r="AM109" i="18" s="1"/>
  <c r="AI109" i="18" a="1"/>
  <c r="AI109" i="18" s="1"/>
  <c r="AE109" i="18" a="1"/>
  <c r="AE109" i="18" s="1"/>
  <c r="BA109" i="18" a="1"/>
  <c r="BA109" i="18" s="1"/>
  <c r="AW109" i="18" a="1"/>
  <c r="AW109" i="18" s="1"/>
  <c r="AS109" i="18" a="1"/>
  <c r="AS109" i="18" s="1"/>
  <c r="AO109" i="18" a="1"/>
  <c r="AO109" i="18" s="1"/>
  <c r="AK109" i="18" a="1"/>
  <c r="AK109" i="18" s="1"/>
  <c r="AG109" i="18" a="1"/>
  <c r="AG109" i="18" s="1"/>
  <c r="AB109" i="18" a="1"/>
  <c r="AB109" i="18" s="1"/>
  <c r="AA109" i="18" a="1"/>
  <c r="AA109" i="18" s="1"/>
  <c r="Z109" i="18" a="1"/>
  <c r="Z109" i="18" s="1"/>
  <c r="Y109" i="18" a="1"/>
  <c r="Y109" i="18" s="1"/>
  <c r="X109" i="18" a="1"/>
  <c r="X109" i="18" s="1"/>
  <c r="W109" i="18" a="1"/>
  <c r="W109" i="18" s="1"/>
  <c r="V109" i="18" a="1"/>
  <c r="V109" i="18" s="1"/>
  <c r="U109" i="18" a="1"/>
  <c r="U109" i="18" s="1"/>
  <c r="T109" i="18" a="1"/>
  <c r="T109" i="18" s="1"/>
  <c r="S109" i="18" a="1"/>
  <c r="S109" i="18" s="1"/>
  <c r="R109" i="18" a="1"/>
  <c r="R109" i="18" s="1"/>
  <c r="Q109" i="18" a="1"/>
  <c r="Q109" i="18" s="1"/>
  <c r="P109" i="18" a="1"/>
  <c r="P109" i="18" s="1"/>
  <c r="O109" i="18" a="1"/>
  <c r="O109" i="18" s="1"/>
  <c r="N109" i="18" a="1"/>
  <c r="N109" i="18" s="1"/>
  <c r="M109" i="18" a="1"/>
  <c r="M109" i="18" s="1"/>
  <c r="L109" i="18" a="1"/>
  <c r="L109" i="18" s="1"/>
  <c r="K109" i="18" a="1"/>
  <c r="K109" i="18" s="1"/>
  <c r="J109" i="18" a="1"/>
  <c r="J109" i="18" s="1"/>
  <c r="I109" i="18" a="1"/>
  <c r="I109" i="18" s="1"/>
  <c r="B109" i="18" s="1"/>
  <c r="H109" i="18" a="1"/>
  <c r="H109" i="18" s="1"/>
  <c r="G109" i="18" a="1"/>
  <c r="G109" i="18" s="1"/>
  <c r="D109" i="18"/>
  <c r="BA112" i="18" a="1"/>
  <c r="BA112" i="18" s="1"/>
  <c r="AW112" i="18" a="1"/>
  <c r="AW112" i="18" s="1"/>
  <c r="AS112" i="18" a="1"/>
  <c r="AS112" i="18" s="1"/>
  <c r="AO112" i="18" a="1"/>
  <c r="AO112" i="18" s="1"/>
  <c r="AK112" i="18" a="1"/>
  <c r="AK112" i="18" s="1"/>
  <c r="AG112" i="18" a="1"/>
  <c r="AG112" i="18" s="1"/>
  <c r="BC112" i="18" a="1"/>
  <c r="BC112" i="18" s="1"/>
  <c r="AY112" i="18" a="1"/>
  <c r="AY112" i="18" s="1"/>
  <c r="AU112" i="18" a="1"/>
  <c r="AU112" i="18" s="1"/>
  <c r="AQ112" i="18" a="1"/>
  <c r="AQ112" i="18" s="1"/>
  <c r="AM112" i="18" a="1"/>
  <c r="AM112" i="18" s="1"/>
  <c r="AI112" i="18" a="1"/>
  <c r="AI112" i="18" s="1"/>
  <c r="AE112" i="18" a="1"/>
  <c r="AE112" i="18" s="1"/>
  <c r="AB112" i="18" a="1"/>
  <c r="AB112" i="18" s="1"/>
  <c r="AA112" i="18" a="1"/>
  <c r="AA112" i="18" s="1"/>
  <c r="Z112" i="18" a="1"/>
  <c r="Z112" i="18" s="1"/>
  <c r="Y112" i="18" a="1"/>
  <c r="Y112" i="18" s="1"/>
  <c r="X112" i="18" a="1"/>
  <c r="X112" i="18" s="1"/>
  <c r="W112" i="18" a="1"/>
  <c r="W112" i="18" s="1"/>
  <c r="V112" i="18" a="1"/>
  <c r="V112" i="18" s="1"/>
  <c r="U112" i="18" a="1"/>
  <c r="U112" i="18" s="1"/>
  <c r="T112" i="18" a="1"/>
  <c r="T112" i="18" s="1"/>
  <c r="S112" i="18" a="1"/>
  <c r="S112" i="18" s="1"/>
  <c r="R112" i="18" a="1"/>
  <c r="R112" i="18" s="1"/>
  <c r="Q112" i="18" a="1"/>
  <c r="Q112" i="18" s="1"/>
  <c r="P112" i="18" a="1"/>
  <c r="P112" i="18" s="1"/>
  <c r="O112" i="18" a="1"/>
  <c r="O112" i="18" s="1"/>
  <c r="N112" i="18" a="1"/>
  <c r="N112" i="18" s="1"/>
  <c r="M112" i="18" a="1"/>
  <c r="M112" i="18" s="1"/>
  <c r="L112" i="18" a="1"/>
  <c r="L112" i="18" s="1"/>
  <c r="K112" i="18" a="1"/>
  <c r="K112" i="18" s="1"/>
  <c r="J112" i="18" a="1"/>
  <c r="J112" i="18" s="1"/>
  <c r="I112" i="18" a="1"/>
  <c r="I112" i="18" s="1"/>
  <c r="H112" i="18" a="1"/>
  <c r="H112" i="18" s="1"/>
  <c r="G112" i="18" a="1"/>
  <c r="G112" i="18" s="1"/>
  <c r="D112" i="18"/>
  <c r="BA116" i="18" a="1"/>
  <c r="BA116" i="18" s="1"/>
  <c r="AW116" i="18" a="1"/>
  <c r="AW116" i="18" s="1"/>
  <c r="AS116" i="18" a="1"/>
  <c r="AS116" i="18" s="1"/>
  <c r="AO116" i="18" a="1"/>
  <c r="AO116" i="18" s="1"/>
  <c r="AK116" i="18" a="1"/>
  <c r="AK116" i="18" s="1"/>
  <c r="AG116" i="18" a="1"/>
  <c r="AG116" i="18" s="1"/>
  <c r="BC116" i="18" a="1"/>
  <c r="BC116" i="18" s="1"/>
  <c r="AY116" i="18" a="1"/>
  <c r="AY116" i="18" s="1"/>
  <c r="AU116" i="18" a="1"/>
  <c r="AU116" i="18" s="1"/>
  <c r="AQ116" i="18" a="1"/>
  <c r="AQ116" i="18" s="1"/>
  <c r="AM116" i="18" a="1"/>
  <c r="AM116" i="18" s="1"/>
  <c r="AI116" i="18" a="1"/>
  <c r="AI116" i="18" s="1"/>
  <c r="AE116" i="18" a="1"/>
  <c r="AE116" i="18" s="1"/>
  <c r="AB116" i="18" a="1"/>
  <c r="AB116" i="18" s="1"/>
  <c r="AA116" i="18" a="1"/>
  <c r="AA116" i="18" s="1"/>
  <c r="Z116" i="18" a="1"/>
  <c r="Z116" i="18" s="1"/>
  <c r="Y116" i="18" a="1"/>
  <c r="Y116" i="18" s="1"/>
  <c r="X116" i="18" a="1"/>
  <c r="X116" i="18" s="1"/>
  <c r="W116" i="18" a="1"/>
  <c r="W116" i="18" s="1"/>
  <c r="V116" i="18" a="1"/>
  <c r="V116" i="18" s="1"/>
  <c r="U116" i="18" a="1"/>
  <c r="U116" i="18" s="1"/>
  <c r="T116" i="18" a="1"/>
  <c r="T116" i="18" s="1"/>
  <c r="S116" i="18" a="1"/>
  <c r="S116" i="18" s="1"/>
  <c r="R116" i="18" a="1"/>
  <c r="R116" i="18" s="1"/>
  <c r="Q116" i="18" a="1"/>
  <c r="Q116" i="18" s="1"/>
  <c r="P116" i="18" a="1"/>
  <c r="P116" i="18" s="1"/>
  <c r="O116" i="18" a="1"/>
  <c r="O116" i="18" s="1"/>
  <c r="N116" i="18" a="1"/>
  <c r="N116" i="18" s="1"/>
  <c r="M116" i="18" a="1"/>
  <c r="M116" i="18" s="1"/>
  <c r="L116" i="18" a="1"/>
  <c r="L116" i="18" s="1"/>
  <c r="K116" i="18" a="1"/>
  <c r="K116" i="18" s="1"/>
  <c r="J116" i="18" a="1"/>
  <c r="J116" i="18" s="1"/>
  <c r="I116" i="18" a="1"/>
  <c r="I116" i="18" s="1"/>
  <c r="H116" i="18" a="1"/>
  <c r="H116" i="18" s="1"/>
  <c r="G116" i="18" a="1"/>
  <c r="G116" i="18" s="1"/>
  <c r="D116" i="18"/>
  <c r="BA120" i="18" a="1"/>
  <c r="BA120" i="18" s="1"/>
  <c r="AW120" i="18" a="1"/>
  <c r="AW120" i="18" s="1"/>
  <c r="AS120" i="18" a="1"/>
  <c r="AS120" i="18" s="1"/>
  <c r="AO120" i="18" a="1"/>
  <c r="AO120" i="18" s="1"/>
  <c r="AK120" i="18" a="1"/>
  <c r="AK120" i="18" s="1"/>
  <c r="AG120" i="18" a="1"/>
  <c r="AG120" i="18" s="1"/>
  <c r="BC120" i="18" a="1"/>
  <c r="BC120" i="18" s="1"/>
  <c r="AY120" i="18" a="1"/>
  <c r="AY120" i="18" s="1"/>
  <c r="AU120" i="18" a="1"/>
  <c r="AU120" i="18" s="1"/>
  <c r="AQ120" i="18" a="1"/>
  <c r="AQ120" i="18" s="1"/>
  <c r="AM120" i="18" a="1"/>
  <c r="AM120" i="18" s="1"/>
  <c r="AI120" i="18" a="1"/>
  <c r="AI120" i="18" s="1"/>
  <c r="AE120" i="18" a="1"/>
  <c r="AE120" i="18" s="1"/>
  <c r="AB120" i="18" a="1"/>
  <c r="AB120" i="18" s="1"/>
  <c r="AA120" i="18" a="1"/>
  <c r="AA120" i="18" s="1"/>
  <c r="Z120" i="18" a="1"/>
  <c r="Z120" i="18" s="1"/>
  <c r="Y120" i="18" a="1"/>
  <c r="Y120" i="18" s="1"/>
  <c r="X120" i="18" a="1"/>
  <c r="X120" i="18" s="1"/>
  <c r="W120" i="18" a="1"/>
  <c r="W120" i="18" s="1"/>
  <c r="V120" i="18" a="1"/>
  <c r="V120" i="18" s="1"/>
  <c r="U120" i="18" a="1"/>
  <c r="U120" i="18" s="1"/>
  <c r="T120" i="18" a="1"/>
  <c r="T120" i="18" s="1"/>
  <c r="S120" i="18" a="1"/>
  <c r="S120" i="18" s="1"/>
  <c r="R120" i="18" a="1"/>
  <c r="R120" i="18" s="1"/>
  <c r="Q120" i="18" a="1"/>
  <c r="Q120" i="18" s="1"/>
  <c r="P120" i="18" a="1"/>
  <c r="P120" i="18" s="1"/>
  <c r="O120" i="18" a="1"/>
  <c r="O120" i="18" s="1"/>
  <c r="N120" i="18" a="1"/>
  <c r="N120" i="18" s="1"/>
  <c r="M120" i="18" a="1"/>
  <c r="M120" i="18" s="1"/>
  <c r="L120" i="18" a="1"/>
  <c r="L120" i="18" s="1"/>
  <c r="K120" i="18" a="1"/>
  <c r="K120" i="18" s="1"/>
  <c r="J120" i="18" a="1"/>
  <c r="J120" i="18" s="1"/>
  <c r="I120" i="18" a="1"/>
  <c r="I120" i="18" s="1"/>
  <c r="H120" i="18" a="1"/>
  <c r="H120" i="18" s="1"/>
  <c r="G120" i="18" a="1"/>
  <c r="G120" i="18" s="1"/>
  <c r="D120" i="18"/>
  <c r="BA124" i="18" a="1"/>
  <c r="BA124" i="18" s="1"/>
  <c r="AW124" i="18" a="1"/>
  <c r="AW124" i="18" s="1"/>
  <c r="AS124" i="18" a="1"/>
  <c r="AS124" i="18" s="1"/>
  <c r="AO124" i="18" a="1"/>
  <c r="AO124" i="18" s="1"/>
  <c r="AK124" i="18" a="1"/>
  <c r="AK124" i="18" s="1"/>
  <c r="AG124" i="18" a="1"/>
  <c r="AG124" i="18" s="1"/>
  <c r="BC124" i="18" a="1"/>
  <c r="BC124" i="18" s="1"/>
  <c r="AY124" i="18" a="1"/>
  <c r="AY124" i="18" s="1"/>
  <c r="AU124" i="18" a="1"/>
  <c r="AU124" i="18" s="1"/>
  <c r="AQ124" i="18" a="1"/>
  <c r="AQ124" i="18" s="1"/>
  <c r="AM124" i="18" a="1"/>
  <c r="AM124" i="18" s="1"/>
  <c r="AI124" i="18" a="1"/>
  <c r="AI124" i="18" s="1"/>
  <c r="AE124" i="18" a="1"/>
  <c r="AE124" i="18" s="1"/>
  <c r="AB124" i="18" a="1"/>
  <c r="AB124" i="18" s="1"/>
  <c r="AA124" i="18" a="1"/>
  <c r="AA124" i="18" s="1"/>
  <c r="Z124" i="18" a="1"/>
  <c r="Z124" i="18" s="1"/>
  <c r="Y124" i="18" a="1"/>
  <c r="Y124" i="18" s="1"/>
  <c r="X124" i="18" a="1"/>
  <c r="X124" i="18" s="1"/>
  <c r="W124" i="18" a="1"/>
  <c r="W124" i="18" s="1"/>
  <c r="V124" i="18" a="1"/>
  <c r="V124" i="18" s="1"/>
  <c r="U124" i="18" a="1"/>
  <c r="U124" i="18" s="1"/>
  <c r="T124" i="18" a="1"/>
  <c r="T124" i="18" s="1"/>
  <c r="S124" i="18" a="1"/>
  <c r="S124" i="18" s="1"/>
  <c r="R124" i="18" a="1"/>
  <c r="R124" i="18" s="1"/>
  <c r="Q124" i="18" a="1"/>
  <c r="Q124" i="18" s="1"/>
  <c r="P124" i="18" a="1"/>
  <c r="P124" i="18" s="1"/>
  <c r="O124" i="18" a="1"/>
  <c r="O124" i="18" s="1"/>
  <c r="N124" i="18" a="1"/>
  <c r="N124" i="18" s="1"/>
  <c r="M124" i="18" a="1"/>
  <c r="M124" i="18" s="1"/>
  <c r="L124" i="18" a="1"/>
  <c r="L124" i="18" s="1"/>
  <c r="K124" i="18" a="1"/>
  <c r="K124" i="18" s="1"/>
  <c r="J124" i="18" a="1"/>
  <c r="J124" i="18" s="1"/>
  <c r="I124" i="18" a="1"/>
  <c r="I124" i="18" s="1"/>
  <c r="H124" i="18" a="1"/>
  <c r="H124" i="18" s="1"/>
  <c r="G124" i="18" a="1"/>
  <c r="G124" i="18" s="1"/>
  <c r="D124" i="18"/>
  <c r="BA128" i="18" a="1"/>
  <c r="BA128" i="18" s="1"/>
  <c r="AW128" i="18" a="1"/>
  <c r="AW128" i="18" s="1"/>
  <c r="AS128" i="18" a="1"/>
  <c r="AS128" i="18" s="1"/>
  <c r="AO128" i="18" a="1"/>
  <c r="AO128" i="18" s="1"/>
  <c r="AK128" i="18" a="1"/>
  <c r="AK128" i="18" s="1"/>
  <c r="AG128" i="18" a="1"/>
  <c r="AG128" i="18" s="1"/>
  <c r="BC128" i="18" a="1"/>
  <c r="BC128" i="18" s="1"/>
  <c r="AY128" i="18" a="1"/>
  <c r="AY128" i="18" s="1"/>
  <c r="AU128" i="18" a="1"/>
  <c r="AU128" i="18" s="1"/>
  <c r="AQ128" i="18" a="1"/>
  <c r="AQ128" i="18" s="1"/>
  <c r="AM128" i="18" a="1"/>
  <c r="AM128" i="18" s="1"/>
  <c r="AI128" i="18" a="1"/>
  <c r="AI128" i="18" s="1"/>
  <c r="AE128" i="18" a="1"/>
  <c r="AE128" i="18" s="1"/>
  <c r="AB128" i="18" a="1"/>
  <c r="AB128" i="18" s="1"/>
  <c r="AA128" i="18" a="1"/>
  <c r="AA128" i="18" s="1"/>
  <c r="Z128" i="18" a="1"/>
  <c r="Z128" i="18" s="1"/>
  <c r="Y128" i="18" a="1"/>
  <c r="Y128" i="18" s="1"/>
  <c r="X128" i="18" a="1"/>
  <c r="X128" i="18" s="1"/>
  <c r="W128" i="18" a="1"/>
  <c r="W128" i="18" s="1"/>
  <c r="V128" i="18" a="1"/>
  <c r="V128" i="18" s="1"/>
  <c r="U128" i="18" a="1"/>
  <c r="U128" i="18" s="1"/>
  <c r="T128" i="18" a="1"/>
  <c r="T128" i="18" s="1"/>
  <c r="S128" i="18" a="1"/>
  <c r="S128" i="18" s="1"/>
  <c r="R128" i="18" a="1"/>
  <c r="R128" i="18" s="1"/>
  <c r="Q128" i="18" a="1"/>
  <c r="Q128" i="18" s="1"/>
  <c r="P128" i="18" a="1"/>
  <c r="P128" i="18" s="1"/>
  <c r="O128" i="18" a="1"/>
  <c r="O128" i="18" s="1"/>
  <c r="N128" i="18" a="1"/>
  <c r="N128" i="18" s="1"/>
  <c r="M128" i="18" a="1"/>
  <c r="M128" i="18" s="1"/>
  <c r="L128" i="18" a="1"/>
  <c r="L128" i="18" s="1"/>
  <c r="K128" i="18" a="1"/>
  <c r="K128" i="18" s="1"/>
  <c r="J128" i="18" a="1"/>
  <c r="J128" i="18" s="1"/>
  <c r="I128" i="18" a="1"/>
  <c r="I128" i="18" s="1"/>
  <c r="H128" i="18" a="1"/>
  <c r="H128" i="18" s="1"/>
  <c r="G128" i="18" a="1"/>
  <c r="G128" i="18" s="1"/>
  <c r="D128" i="18"/>
  <c r="BA132" i="18" a="1"/>
  <c r="BA132" i="18" s="1"/>
  <c r="AW132" i="18" a="1"/>
  <c r="AW132" i="18" s="1"/>
  <c r="AS132" i="18" a="1"/>
  <c r="AS132" i="18" s="1"/>
  <c r="AO132" i="18" a="1"/>
  <c r="AO132" i="18" s="1"/>
  <c r="AK132" i="18" a="1"/>
  <c r="AK132" i="18" s="1"/>
  <c r="AG132" i="18" a="1"/>
  <c r="AG132" i="18" s="1"/>
  <c r="BC132" i="18" a="1"/>
  <c r="BC132" i="18" s="1"/>
  <c r="AY132" i="18" a="1"/>
  <c r="AY132" i="18" s="1"/>
  <c r="AU132" i="18" a="1"/>
  <c r="AU132" i="18" s="1"/>
  <c r="AQ132" i="18" a="1"/>
  <c r="AQ132" i="18" s="1"/>
  <c r="AM132" i="18" a="1"/>
  <c r="AM132" i="18" s="1"/>
  <c r="AI132" i="18" a="1"/>
  <c r="AI132" i="18" s="1"/>
  <c r="AE132" i="18" a="1"/>
  <c r="AE132" i="18" s="1"/>
  <c r="AB132" i="18" a="1"/>
  <c r="AB132" i="18" s="1"/>
  <c r="AA132" i="18" a="1"/>
  <c r="AA132" i="18" s="1"/>
  <c r="Z132" i="18" a="1"/>
  <c r="Z132" i="18" s="1"/>
  <c r="Y132" i="18" a="1"/>
  <c r="Y132" i="18" s="1"/>
  <c r="X132" i="18" a="1"/>
  <c r="X132" i="18" s="1"/>
  <c r="W132" i="18" a="1"/>
  <c r="W132" i="18" s="1"/>
  <c r="V132" i="18" a="1"/>
  <c r="V132" i="18" s="1"/>
  <c r="U132" i="18" a="1"/>
  <c r="U132" i="18" s="1"/>
  <c r="T132" i="18" a="1"/>
  <c r="T132" i="18" s="1"/>
  <c r="S132" i="18" a="1"/>
  <c r="S132" i="18" s="1"/>
  <c r="R132" i="18" a="1"/>
  <c r="R132" i="18" s="1"/>
  <c r="Q132" i="18" a="1"/>
  <c r="Q132" i="18" s="1"/>
  <c r="P132" i="18" a="1"/>
  <c r="P132" i="18" s="1"/>
  <c r="O132" i="18" a="1"/>
  <c r="O132" i="18" s="1"/>
  <c r="N132" i="18" a="1"/>
  <c r="N132" i="18" s="1"/>
  <c r="M132" i="18" a="1"/>
  <c r="M132" i="18" s="1"/>
  <c r="L132" i="18" a="1"/>
  <c r="L132" i="18" s="1"/>
  <c r="K132" i="18" a="1"/>
  <c r="K132" i="18" s="1"/>
  <c r="J132" i="18" a="1"/>
  <c r="J132" i="18" s="1"/>
  <c r="I132" i="18" a="1"/>
  <c r="I132" i="18" s="1"/>
  <c r="H132" i="18" a="1"/>
  <c r="H132" i="18" s="1"/>
  <c r="G132" i="18" a="1"/>
  <c r="G132" i="18" s="1"/>
  <c r="D132" i="18"/>
  <c r="BA136" i="18" a="1"/>
  <c r="BA136" i="18" s="1"/>
  <c r="AW136" i="18" a="1"/>
  <c r="AW136" i="18" s="1"/>
  <c r="AS136" i="18" a="1"/>
  <c r="AS136" i="18" s="1"/>
  <c r="AO136" i="18" a="1"/>
  <c r="AO136" i="18" s="1"/>
  <c r="AK136" i="18" a="1"/>
  <c r="AK136" i="18" s="1"/>
  <c r="AG136" i="18" a="1"/>
  <c r="AG136" i="18" s="1"/>
  <c r="BC136" i="18" a="1"/>
  <c r="BC136" i="18" s="1"/>
  <c r="AY136" i="18" a="1"/>
  <c r="AY136" i="18" s="1"/>
  <c r="AU136" i="18" a="1"/>
  <c r="AU136" i="18" s="1"/>
  <c r="AQ136" i="18" a="1"/>
  <c r="AQ136" i="18" s="1"/>
  <c r="AM136" i="18" a="1"/>
  <c r="AM136" i="18" s="1"/>
  <c r="AI136" i="18" a="1"/>
  <c r="AI136" i="18" s="1"/>
  <c r="AE136" i="18" a="1"/>
  <c r="AE136" i="18" s="1"/>
  <c r="AB136" i="18" a="1"/>
  <c r="AB136" i="18" s="1"/>
  <c r="AA136" i="18" a="1"/>
  <c r="AA136" i="18" s="1"/>
  <c r="Z136" i="18" a="1"/>
  <c r="Z136" i="18" s="1"/>
  <c r="Y136" i="18" a="1"/>
  <c r="Y136" i="18" s="1"/>
  <c r="X136" i="18" a="1"/>
  <c r="X136" i="18" s="1"/>
  <c r="W136" i="18" a="1"/>
  <c r="W136" i="18" s="1"/>
  <c r="V136" i="18" a="1"/>
  <c r="V136" i="18" s="1"/>
  <c r="U136" i="18" a="1"/>
  <c r="U136" i="18" s="1"/>
  <c r="T136" i="18" a="1"/>
  <c r="T136" i="18" s="1"/>
  <c r="S136" i="18" a="1"/>
  <c r="S136" i="18" s="1"/>
  <c r="R136" i="18" a="1"/>
  <c r="R136" i="18" s="1"/>
  <c r="Q136" i="18" a="1"/>
  <c r="Q136" i="18" s="1"/>
  <c r="P136" i="18" a="1"/>
  <c r="P136" i="18" s="1"/>
  <c r="O136" i="18" a="1"/>
  <c r="O136" i="18" s="1"/>
  <c r="N136" i="18" a="1"/>
  <c r="N136" i="18" s="1"/>
  <c r="M136" i="18" a="1"/>
  <c r="M136" i="18" s="1"/>
  <c r="L136" i="18" a="1"/>
  <c r="L136" i="18" s="1"/>
  <c r="K136" i="18" a="1"/>
  <c r="K136" i="18" s="1"/>
  <c r="J136" i="18" a="1"/>
  <c r="J136" i="18" s="1"/>
  <c r="I136" i="18" a="1"/>
  <c r="I136" i="18" s="1"/>
  <c r="H136" i="18" a="1"/>
  <c r="H136" i="18" s="1"/>
  <c r="G136" i="18" a="1"/>
  <c r="G136" i="18" s="1"/>
  <c r="D136" i="18"/>
  <c r="BA140" i="18" a="1"/>
  <c r="BA140" i="18" s="1"/>
  <c r="AW140" i="18" a="1"/>
  <c r="AW140" i="18" s="1"/>
  <c r="AS140" i="18" a="1"/>
  <c r="AS140" i="18" s="1"/>
  <c r="AO140" i="18" a="1"/>
  <c r="AO140" i="18" s="1"/>
  <c r="AK140" i="18" a="1"/>
  <c r="AK140" i="18" s="1"/>
  <c r="AG140" i="18" a="1"/>
  <c r="AG140" i="18" s="1"/>
  <c r="BC140" i="18" a="1"/>
  <c r="BC140" i="18" s="1"/>
  <c r="AY140" i="18" a="1"/>
  <c r="AY140" i="18" s="1"/>
  <c r="AU140" i="18" a="1"/>
  <c r="AU140" i="18" s="1"/>
  <c r="AQ140" i="18" a="1"/>
  <c r="AQ140" i="18" s="1"/>
  <c r="AM140" i="18" a="1"/>
  <c r="AM140" i="18" s="1"/>
  <c r="AI140" i="18" a="1"/>
  <c r="AI140" i="18" s="1"/>
  <c r="AE140" i="18" a="1"/>
  <c r="AE140" i="18" s="1"/>
  <c r="AB140" i="18" a="1"/>
  <c r="AB140" i="18" s="1"/>
  <c r="AA140" i="18" a="1"/>
  <c r="AA140" i="18" s="1"/>
  <c r="Z140" i="18" a="1"/>
  <c r="Z140" i="18" s="1"/>
  <c r="Y140" i="18" a="1"/>
  <c r="Y140" i="18" s="1"/>
  <c r="X140" i="18" a="1"/>
  <c r="X140" i="18" s="1"/>
  <c r="W140" i="18" a="1"/>
  <c r="W140" i="18" s="1"/>
  <c r="V140" i="18" a="1"/>
  <c r="V140" i="18" s="1"/>
  <c r="U140" i="18" a="1"/>
  <c r="U140" i="18" s="1"/>
  <c r="T140" i="18" a="1"/>
  <c r="T140" i="18" s="1"/>
  <c r="S140" i="18" a="1"/>
  <c r="S140" i="18" s="1"/>
  <c r="R140" i="18" a="1"/>
  <c r="R140" i="18" s="1"/>
  <c r="Q140" i="18" a="1"/>
  <c r="Q140" i="18" s="1"/>
  <c r="P140" i="18" a="1"/>
  <c r="P140" i="18" s="1"/>
  <c r="O140" i="18" a="1"/>
  <c r="O140" i="18" s="1"/>
  <c r="N140" i="18" a="1"/>
  <c r="N140" i="18" s="1"/>
  <c r="M140" i="18" a="1"/>
  <c r="M140" i="18" s="1"/>
  <c r="L140" i="18" a="1"/>
  <c r="L140" i="18" s="1"/>
  <c r="K140" i="18" a="1"/>
  <c r="K140" i="18" s="1"/>
  <c r="J140" i="18" a="1"/>
  <c r="J140" i="18" s="1"/>
  <c r="I140" i="18" a="1"/>
  <c r="I140" i="18" s="1"/>
  <c r="H140" i="18" a="1"/>
  <c r="H140" i="18" s="1"/>
  <c r="G140" i="18" a="1"/>
  <c r="G140" i="18" s="1"/>
  <c r="D140" i="18"/>
  <c r="BA144" i="18" a="1"/>
  <c r="BA144" i="18" s="1"/>
  <c r="AW144" i="18" a="1"/>
  <c r="AW144" i="18" s="1"/>
  <c r="AS144" i="18" a="1"/>
  <c r="AS144" i="18" s="1"/>
  <c r="AO144" i="18" a="1"/>
  <c r="AO144" i="18" s="1"/>
  <c r="AK144" i="18" a="1"/>
  <c r="AK144" i="18" s="1"/>
  <c r="AG144" i="18" a="1"/>
  <c r="AG144" i="18" s="1"/>
  <c r="BC144" i="18" a="1"/>
  <c r="BC144" i="18" s="1"/>
  <c r="AY144" i="18" a="1"/>
  <c r="AY144" i="18" s="1"/>
  <c r="AU144" i="18" a="1"/>
  <c r="AU144" i="18" s="1"/>
  <c r="AQ144" i="18" a="1"/>
  <c r="AQ144" i="18" s="1"/>
  <c r="AM144" i="18" a="1"/>
  <c r="AM144" i="18" s="1"/>
  <c r="AI144" i="18" a="1"/>
  <c r="AI144" i="18" s="1"/>
  <c r="AE144" i="18" a="1"/>
  <c r="AE144" i="18" s="1"/>
  <c r="AB144" i="18" a="1"/>
  <c r="AB144" i="18" s="1"/>
  <c r="AA144" i="18" a="1"/>
  <c r="AA144" i="18" s="1"/>
  <c r="Z144" i="18" a="1"/>
  <c r="Z144" i="18" s="1"/>
  <c r="Y144" i="18" a="1"/>
  <c r="Y144" i="18" s="1"/>
  <c r="X144" i="18" a="1"/>
  <c r="X144" i="18" s="1"/>
  <c r="W144" i="18" a="1"/>
  <c r="W144" i="18" s="1"/>
  <c r="V144" i="18" a="1"/>
  <c r="V144" i="18" s="1"/>
  <c r="U144" i="18" a="1"/>
  <c r="U144" i="18" s="1"/>
  <c r="T144" i="18" a="1"/>
  <c r="T144" i="18" s="1"/>
  <c r="S144" i="18" a="1"/>
  <c r="S144" i="18" s="1"/>
  <c r="R144" i="18" a="1"/>
  <c r="R144" i="18" s="1"/>
  <c r="Q144" i="18" a="1"/>
  <c r="Q144" i="18" s="1"/>
  <c r="P144" i="18" a="1"/>
  <c r="P144" i="18" s="1"/>
  <c r="O144" i="18" a="1"/>
  <c r="O144" i="18" s="1"/>
  <c r="N144" i="18" a="1"/>
  <c r="N144" i="18" s="1"/>
  <c r="M144" i="18" a="1"/>
  <c r="M144" i="18" s="1"/>
  <c r="L144" i="18" a="1"/>
  <c r="L144" i="18" s="1"/>
  <c r="K144" i="18" a="1"/>
  <c r="K144" i="18" s="1"/>
  <c r="J144" i="18" a="1"/>
  <c r="J144" i="18" s="1"/>
  <c r="I144" i="18" a="1"/>
  <c r="I144" i="18" s="1"/>
  <c r="H144" i="18" a="1"/>
  <c r="H144" i="18" s="1"/>
  <c r="G144" i="18" a="1"/>
  <c r="G144" i="18" s="1"/>
  <c r="D144" i="18"/>
  <c r="BA148" i="18" a="1"/>
  <c r="BA148" i="18" s="1"/>
  <c r="AW148" i="18" a="1"/>
  <c r="AW148" i="18" s="1"/>
  <c r="AS148" i="18" a="1"/>
  <c r="AS148" i="18" s="1"/>
  <c r="AO148" i="18" a="1"/>
  <c r="AO148" i="18" s="1"/>
  <c r="AK148" i="18" a="1"/>
  <c r="AK148" i="18" s="1"/>
  <c r="AG148" i="18" a="1"/>
  <c r="AG148" i="18" s="1"/>
  <c r="BC148" i="18" a="1"/>
  <c r="BC148" i="18" s="1"/>
  <c r="AY148" i="18" a="1"/>
  <c r="AY148" i="18" s="1"/>
  <c r="AU148" i="18" a="1"/>
  <c r="AU148" i="18" s="1"/>
  <c r="AQ148" i="18" a="1"/>
  <c r="AQ148" i="18" s="1"/>
  <c r="AM148" i="18" a="1"/>
  <c r="AM148" i="18" s="1"/>
  <c r="AI148" i="18" a="1"/>
  <c r="AI148" i="18" s="1"/>
  <c r="AE148" i="18" a="1"/>
  <c r="AE148" i="18" s="1"/>
  <c r="AB148" i="18" a="1"/>
  <c r="AB148" i="18" s="1"/>
  <c r="AA148" i="18" a="1"/>
  <c r="AA148" i="18" s="1"/>
  <c r="Z148" i="18" a="1"/>
  <c r="Z148" i="18" s="1"/>
  <c r="Y148" i="18" a="1"/>
  <c r="Y148" i="18" s="1"/>
  <c r="X148" i="18" a="1"/>
  <c r="X148" i="18" s="1"/>
  <c r="W148" i="18" a="1"/>
  <c r="W148" i="18" s="1"/>
  <c r="V148" i="18" a="1"/>
  <c r="V148" i="18" s="1"/>
  <c r="U148" i="18" a="1"/>
  <c r="U148" i="18" s="1"/>
  <c r="T148" i="18" a="1"/>
  <c r="T148" i="18" s="1"/>
  <c r="S148" i="18" a="1"/>
  <c r="S148" i="18" s="1"/>
  <c r="R148" i="18" a="1"/>
  <c r="R148" i="18" s="1"/>
  <c r="Q148" i="18" a="1"/>
  <c r="Q148" i="18" s="1"/>
  <c r="P148" i="18" a="1"/>
  <c r="P148" i="18" s="1"/>
  <c r="O148" i="18" a="1"/>
  <c r="O148" i="18" s="1"/>
  <c r="N148" i="18" a="1"/>
  <c r="N148" i="18" s="1"/>
  <c r="M148" i="18" a="1"/>
  <c r="M148" i="18" s="1"/>
  <c r="L148" i="18" a="1"/>
  <c r="L148" i="18" s="1"/>
  <c r="K148" i="18" a="1"/>
  <c r="K148" i="18" s="1"/>
  <c r="J148" i="18" a="1"/>
  <c r="J148" i="18" s="1"/>
  <c r="I148" i="18" a="1"/>
  <c r="I148" i="18" s="1"/>
  <c r="H148" i="18" a="1"/>
  <c r="H148" i="18" s="1"/>
  <c r="G148" i="18" a="1"/>
  <c r="G148" i="18" s="1"/>
  <c r="D148" i="18"/>
  <c r="BA152" i="18" a="1"/>
  <c r="BA152" i="18" s="1"/>
  <c r="AW152" i="18" a="1"/>
  <c r="AW152" i="18" s="1"/>
  <c r="AS152" i="18" a="1"/>
  <c r="AS152" i="18" s="1"/>
  <c r="AO152" i="18" a="1"/>
  <c r="AO152" i="18" s="1"/>
  <c r="AK152" i="18" a="1"/>
  <c r="AK152" i="18" s="1"/>
  <c r="AG152" i="18" a="1"/>
  <c r="AG152" i="18" s="1"/>
  <c r="BC152" i="18" a="1"/>
  <c r="BC152" i="18" s="1"/>
  <c r="AY152" i="18" a="1"/>
  <c r="AY152" i="18" s="1"/>
  <c r="AU152" i="18" a="1"/>
  <c r="AU152" i="18" s="1"/>
  <c r="AQ152" i="18" a="1"/>
  <c r="AQ152" i="18" s="1"/>
  <c r="AM152" i="18" a="1"/>
  <c r="AM152" i="18" s="1"/>
  <c r="AI152" i="18" a="1"/>
  <c r="AI152" i="18" s="1"/>
  <c r="AE152" i="18" a="1"/>
  <c r="AE152" i="18" s="1"/>
  <c r="AB152" i="18" a="1"/>
  <c r="AB152" i="18" s="1"/>
  <c r="AA152" i="18" a="1"/>
  <c r="AA152" i="18" s="1"/>
  <c r="Z152" i="18" a="1"/>
  <c r="Z152" i="18" s="1"/>
  <c r="Y152" i="18" a="1"/>
  <c r="Y152" i="18" s="1"/>
  <c r="X152" i="18" a="1"/>
  <c r="X152" i="18" s="1"/>
  <c r="W152" i="18" a="1"/>
  <c r="W152" i="18" s="1"/>
  <c r="V152" i="18" a="1"/>
  <c r="V152" i="18" s="1"/>
  <c r="U152" i="18" a="1"/>
  <c r="U152" i="18" s="1"/>
  <c r="T152" i="18" a="1"/>
  <c r="T152" i="18" s="1"/>
  <c r="S152" i="18" a="1"/>
  <c r="S152" i="18" s="1"/>
  <c r="R152" i="18" a="1"/>
  <c r="R152" i="18" s="1"/>
  <c r="Q152" i="18" a="1"/>
  <c r="Q152" i="18" s="1"/>
  <c r="P152" i="18" a="1"/>
  <c r="P152" i="18" s="1"/>
  <c r="O152" i="18" a="1"/>
  <c r="O152" i="18" s="1"/>
  <c r="N152" i="18" a="1"/>
  <c r="N152" i="18" s="1"/>
  <c r="M152" i="18" a="1"/>
  <c r="M152" i="18" s="1"/>
  <c r="L152" i="18" a="1"/>
  <c r="L152" i="18" s="1"/>
  <c r="K152" i="18" a="1"/>
  <c r="K152" i="18" s="1"/>
  <c r="J152" i="18" a="1"/>
  <c r="J152" i="18" s="1"/>
  <c r="I152" i="18" a="1"/>
  <c r="I152" i="18" s="1"/>
  <c r="H152" i="18" a="1"/>
  <c r="H152" i="18" s="1"/>
  <c r="G152" i="18" a="1"/>
  <c r="G152" i="18" s="1"/>
  <c r="D152" i="18"/>
  <c r="BA156" i="18" a="1"/>
  <c r="BA156" i="18" s="1"/>
  <c r="AW156" i="18" a="1"/>
  <c r="AW156" i="18" s="1"/>
  <c r="AS156" i="18" a="1"/>
  <c r="AS156" i="18" s="1"/>
  <c r="AO156" i="18" a="1"/>
  <c r="AO156" i="18" s="1"/>
  <c r="AK156" i="18" a="1"/>
  <c r="AK156" i="18" s="1"/>
  <c r="AG156" i="18" a="1"/>
  <c r="AG156" i="18" s="1"/>
  <c r="BC156" i="18" a="1"/>
  <c r="BC156" i="18" s="1"/>
  <c r="AY156" i="18" a="1"/>
  <c r="AY156" i="18" s="1"/>
  <c r="AU156" i="18" a="1"/>
  <c r="AU156" i="18" s="1"/>
  <c r="AQ156" i="18" a="1"/>
  <c r="AQ156" i="18" s="1"/>
  <c r="AM156" i="18" a="1"/>
  <c r="AM156" i="18" s="1"/>
  <c r="AI156" i="18" a="1"/>
  <c r="AI156" i="18" s="1"/>
  <c r="AE156" i="18" a="1"/>
  <c r="AE156" i="18" s="1"/>
  <c r="AB156" i="18" a="1"/>
  <c r="AB156" i="18" s="1"/>
  <c r="AA156" i="18" a="1"/>
  <c r="AA156" i="18" s="1"/>
  <c r="Z156" i="18" a="1"/>
  <c r="Z156" i="18" s="1"/>
  <c r="Y156" i="18" a="1"/>
  <c r="Y156" i="18" s="1"/>
  <c r="X156" i="18" a="1"/>
  <c r="X156" i="18" s="1"/>
  <c r="W156" i="18" a="1"/>
  <c r="W156" i="18" s="1"/>
  <c r="V156" i="18" a="1"/>
  <c r="V156" i="18" s="1"/>
  <c r="U156" i="18" a="1"/>
  <c r="U156" i="18" s="1"/>
  <c r="T156" i="18" a="1"/>
  <c r="T156" i="18" s="1"/>
  <c r="S156" i="18" a="1"/>
  <c r="S156" i="18" s="1"/>
  <c r="R156" i="18" a="1"/>
  <c r="R156" i="18" s="1"/>
  <c r="Q156" i="18" a="1"/>
  <c r="Q156" i="18" s="1"/>
  <c r="P156" i="18" a="1"/>
  <c r="P156" i="18" s="1"/>
  <c r="O156" i="18" a="1"/>
  <c r="O156" i="18" s="1"/>
  <c r="N156" i="18" a="1"/>
  <c r="N156" i="18" s="1"/>
  <c r="M156" i="18" a="1"/>
  <c r="M156" i="18" s="1"/>
  <c r="L156" i="18" a="1"/>
  <c r="L156" i="18" s="1"/>
  <c r="K156" i="18" a="1"/>
  <c r="K156" i="18" s="1"/>
  <c r="J156" i="18" a="1"/>
  <c r="J156" i="18" s="1"/>
  <c r="I156" i="18" a="1"/>
  <c r="I156" i="18" s="1"/>
  <c r="H156" i="18" a="1"/>
  <c r="H156" i="18" s="1"/>
  <c r="G156" i="18" a="1"/>
  <c r="G156" i="18" s="1"/>
  <c r="D156" i="18"/>
  <c r="BA160" i="18" a="1"/>
  <c r="BA160" i="18" s="1"/>
  <c r="AW160" i="18" a="1"/>
  <c r="AW160" i="18" s="1"/>
  <c r="AS160" i="18" a="1"/>
  <c r="AS160" i="18" s="1"/>
  <c r="AO160" i="18" a="1"/>
  <c r="AO160" i="18" s="1"/>
  <c r="AK160" i="18" a="1"/>
  <c r="AK160" i="18" s="1"/>
  <c r="AG160" i="18" a="1"/>
  <c r="AG160" i="18" s="1"/>
  <c r="BC160" i="18" a="1"/>
  <c r="BC160" i="18" s="1"/>
  <c r="AY160" i="18" a="1"/>
  <c r="AY160" i="18" s="1"/>
  <c r="AU160" i="18" a="1"/>
  <c r="AU160" i="18" s="1"/>
  <c r="AQ160" i="18" a="1"/>
  <c r="AQ160" i="18" s="1"/>
  <c r="AM160" i="18" a="1"/>
  <c r="AM160" i="18" s="1"/>
  <c r="AI160" i="18" a="1"/>
  <c r="AI160" i="18" s="1"/>
  <c r="AE160" i="18" a="1"/>
  <c r="AE160" i="18" s="1"/>
  <c r="AB160" i="18" a="1"/>
  <c r="AB160" i="18" s="1"/>
  <c r="AA160" i="18" a="1"/>
  <c r="AA160" i="18" s="1"/>
  <c r="Z160" i="18" a="1"/>
  <c r="Z160" i="18" s="1"/>
  <c r="Y160" i="18" a="1"/>
  <c r="Y160" i="18" s="1"/>
  <c r="X160" i="18" a="1"/>
  <c r="X160" i="18" s="1"/>
  <c r="W160" i="18" a="1"/>
  <c r="W160" i="18" s="1"/>
  <c r="V160" i="18" a="1"/>
  <c r="V160" i="18" s="1"/>
  <c r="U160" i="18" a="1"/>
  <c r="U160" i="18" s="1"/>
  <c r="T160" i="18" a="1"/>
  <c r="T160" i="18" s="1"/>
  <c r="S160" i="18" a="1"/>
  <c r="S160" i="18" s="1"/>
  <c r="R160" i="18" a="1"/>
  <c r="R160" i="18" s="1"/>
  <c r="Q160" i="18" a="1"/>
  <c r="Q160" i="18" s="1"/>
  <c r="P160" i="18" a="1"/>
  <c r="P160" i="18" s="1"/>
  <c r="O160" i="18" a="1"/>
  <c r="O160" i="18" s="1"/>
  <c r="N160" i="18" a="1"/>
  <c r="N160" i="18" s="1"/>
  <c r="M160" i="18" a="1"/>
  <c r="M160" i="18" s="1"/>
  <c r="L160" i="18" a="1"/>
  <c r="L160" i="18" s="1"/>
  <c r="K160" i="18" a="1"/>
  <c r="K160" i="18" s="1"/>
  <c r="J160" i="18" a="1"/>
  <c r="J160" i="18" s="1"/>
  <c r="I160" i="18" a="1"/>
  <c r="I160" i="18" s="1"/>
  <c r="H160" i="18" a="1"/>
  <c r="H160" i="18" s="1"/>
  <c r="G160" i="18" a="1"/>
  <c r="G160" i="18" s="1"/>
  <c r="D160" i="18"/>
  <c r="BA164" i="18" a="1"/>
  <c r="BA164" i="18" s="1"/>
  <c r="AW164" i="18" a="1"/>
  <c r="AW164" i="18" s="1"/>
  <c r="AS164" i="18" a="1"/>
  <c r="AS164" i="18" s="1"/>
  <c r="AO164" i="18" a="1"/>
  <c r="AO164" i="18" s="1"/>
  <c r="AK164" i="18" a="1"/>
  <c r="AK164" i="18" s="1"/>
  <c r="AG164" i="18" a="1"/>
  <c r="AG164" i="18" s="1"/>
  <c r="BC164" i="18" a="1"/>
  <c r="BC164" i="18" s="1"/>
  <c r="AY164" i="18" a="1"/>
  <c r="AY164" i="18" s="1"/>
  <c r="AU164" i="18" a="1"/>
  <c r="AU164" i="18" s="1"/>
  <c r="AQ164" i="18" a="1"/>
  <c r="AQ164" i="18" s="1"/>
  <c r="AM164" i="18" a="1"/>
  <c r="AM164" i="18" s="1"/>
  <c r="AI164" i="18" a="1"/>
  <c r="AI164" i="18" s="1"/>
  <c r="AE164" i="18" a="1"/>
  <c r="AE164" i="18" s="1"/>
  <c r="AB164" i="18" a="1"/>
  <c r="AB164" i="18" s="1"/>
  <c r="AA164" i="18" a="1"/>
  <c r="AA164" i="18" s="1"/>
  <c r="Z164" i="18" a="1"/>
  <c r="Z164" i="18" s="1"/>
  <c r="Y164" i="18" a="1"/>
  <c r="Y164" i="18" s="1"/>
  <c r="X164" i="18" a="1"/>
  <c r="X164" i="18" s="1"/>
  <c r="W164" i="18" a="1"/>
  <c r="W164" i="18" s="1"/>
  <c r="V164" i="18" a="1"/>
  <c r="V164" i="18" s="1"/>
  <c r="U164" i="18" a="1"/>
  <c r="U164" i="18" s="1"/>
  <c r="T164" i="18" a="1"/>
  <c r="T164" i="18" s="1"/>
  <c r="S164" i="18" a="1"/>
  <c r="S164" i="18" s="1"/>
  <c r="R164" i="18" a="1"/>
  <c r="R164" i="18" s="1"/>
  <c r="Q164" i="18" a="1"/>
  <c r="Q164" i="18" s="1"/>
  <c r="P164" i="18" a="1"/>
  <c r="P164" i="18" s="1"/>
  <c r="O164" i="18" a="1"/>
  <c r="O164" i="18" s="1"/>
  <c r="N164" i="18" a="1"/>
  <c r="N164" i="18" s="1"/>
  <c r="M164" i="18" a="1"/>
  <c r="M164" i="18" s="1"/>
  <c r="L164" i="18" a="1"/>
  <c r="L164" i="18" s="1"/>
  <c r="K164" i="18" a="1"/>
  <c r="K164" i="18" s="1"/>
  <c r="J164" i="18" a="1"/>
  <c r="J164" i="18" s="1"/>
  <c r="I164" i="18" a="1"/>
  <c r="I164" i="18" s="1"/>
  <c r="H164" i="18" a="1"/>
  <c r="H164" i="18" s="1"/>
  <c r="G164" i="18" a="1"/>
  <c r="G164" i="18" s="1"/>
  <c r="D164" i="18"/>
  <c r="BA168" i="18" a="1"/>
  <c r="BA168" i="18" s="1"/>
  <c r="AW168" i="18" a="1"/>
  <c r="AW168" i="18" s="1"/>
  <c r="AS168" i="18" a="1"/>
  <c r="AS168" i="18" s="1"/>
  <c r="AO168" i="18" a="1"/>
  <c r="AO168" i="18" s="1"/>
  <c r="AK168" i="18" a="1"/>
  <c r="AK168" i="18" s="1"/>
  <c r="AG168" i="18" a="1"/>
  <c r="AG168" i="18" s="1"/>
  <c r="BC168" i="18" a="1"/>
  <c r="BC168" i="18" s="1"/>
  <c r="AY168" i="18" a="1"/>
  <c r="AY168" i="18" s="1"/>
  <c r="AU168" i="18" a="1"/>
  <c r="AU168" i="18" s="1"/>
  <c r="AQ168" i="18" a="1"/>
  <c r="AQ168" i="18" s="1"/>
  <c r="AM168" i="18" a="1"/>
  <c r="AM168" i="18" s="1"/>
  <c r="AI168" i="18" a="1"/>
  <c r="AI168" i="18" s="1"/>
  <c r="AE168" i="18" a="1"/>
  <c r="AE168" i="18" s="1"/>
  <c r="AB168" i="18" a="1"/>
  <c r="AB168" i="18" s="1"/>
  <c r="AA168" i="18" a="1"/>
  <c r="AA168" i="18" s="1"/>
  <c r="Z168" i="18" a="1"/>
  <c r="Z168" i="18" s="1"/>
  <c r="Y168" i="18" a="1"/>
  <c r="Y168" i="18" s="1"/>
  <c r="X168" i="18" a="1"/>
  <c r="X168" i="18" s="1"/>
  <c r="W168" i="18" a="1"/>
  <c r="W168" i="18" s="1"/>
  <c r="V168" i="18" a="1"/>
  <c r="V168" i="18" s="1"/>
  <c r="U168" i="18" a="1"/>
  <c r="U168" i="18" s="1"/>
  <c r="T168" i="18" a="1"/>
  <c r="T168" i="18" s="1"/>
  <c r="S168" i="18" a="1"/>
  <c r="S168" i="18" s="1"/>
  <c r="R168" i="18" a="1"/>
  <c r="R168" i="18" s="1"/>
  <c r="Q168" i="18" a="1"/>
  <c r="Q168" i="18" s="1"/>
  <c r="P168" i="18" a="1"/>
  <c r="P168" i="18" s="1"/>
  <c r="O168" i="18" a="1"/>
  <c r="O168" i="18" s="1"/>
  <c r="N168" i="18" a="1"/>
  <c r="N168" i="18" s="1"/>
  <c r="M168" i="18" a="1"/>
  <c r="M168" i="18" s="1"/>
  <c r="L168" i="18" a="1"/>
  <c r="L168" i="18" s="1"/>
  <c r="K168" i="18" a="1"/>
  <c r="K168" i="18" s="1"/>
  <c r="J168" i="18" a="1"/>
  <c r="J168" i="18" s="1"/>
  <c r="I168" i="18" a="1"/>
  <c r="I168" i="18" s="1"/>
  <c r="H168" i="18" a="1"/>
  <c r="H168" i="18" s="1"/>
  <c r="G168" i="18" a="1"/>
  <c r="G168" i="18" s="1"/>
  <c r="D168" i="18"/>
  <c r="BA172" i="18" a="1"/>
  <c r="BA172" i="18" s="1"/>
  <c r="AW172" i="18" a="1"/>
  <c r="AW172" i="18" s="1"/>
  <c r="AS172" i="18" a="1"/>
  <c r="AS172" i="18" s="1"/>
  <c r="AO172" i="18" a="1"/>
  <c r="AO172" i="18" s="1"/>
  <c r="AK172" i="18" a="1"/>
  <c r="AK172" i="18" s="1"/>
  <c r="AG172" i="18" a="1"/>
  <c r="AG172" i="18" s="1"/>
  <c r="BC172" i="18" a="1"/>
  <c r="BC172" i="18" s="1"/>
  <c r="AY172" i="18" a="1"/>
  <c r="AY172" i="18" s="1"/>
  <c r="AU172" i="18" a="1"/>
  <c r="AU172" i="18" s="1"/>
  <c r="AQ172" i="18" a="1"/>
  <c r="AQ172" i="18" s="1"/>
  <c r="AM172" i="18" a="1"/>
  <c r="AM172" i="18" s="1"/>
  <c r="AI172" i="18" a="1"/>
  <c r="AI172" i="18" s="1"/>
  <c r="AE172" i="18" a="1"/>
  <c r="AE172" i="18" s="1"/>
  <c r="AB172" i="18" a="1"/>
  <c r="AB172" i="18" s="1"/>
  <c r="AA172" i="18" a="1"/>
  <c r="AA172" i="18" s="1"/>
  <c r="Z172" i="18" a="1"/>
  <c r="Z172" i="18" s="1"/>
  <c r="Y172" i="18" a="1"/>
  <c r="Y172" i="18" s="1"/>
  <c r="X172" i="18" a="1"/>
  <c r="X172" i="18" s="1"/>
  <c r="W172" i="18" a="1"/>
  <c r="W172" i="18" s="1"/>
  <c r="V172" i="18" a="1"/>
  <c r="V172" i="18" s="1"/>
  <c r="U172" i="18" a="1"/>
  <c r="U172" i="18" s="1"/>
  <c r="T172" i="18" a="1"/>
  <c r="T172" i="18" s="1"/>
  <c r="S172" i="18" a="1"/>
  <c r="S172" i="18" s="1"/>
  <c r="R172" i="18" a="1"/>
  <c r="R172" i="18" s="1"/>
  <c r="Q172" i="18" a="1"/>
  <c r="Q172" i="18" s="1"/>
  <c r="P172" i="18" a="1"/>
  <c r="P172" i="18" s="1"/>
  <c r="O172" i="18" a="1"/>
  <c r="O172" i="18" s="1"/>
  <c r="N172" i="18" a="1"/>
  <c r="N172" i="18" s="1"/>
  <c r="M172" i="18" a="1"/>
  <c r="M172" i="18" s="1"/>
  <c r="L172" i="18" a="1"/>
  <c r="L172" i="18" s="1"/>
  <c r="K172" i="18" a="1"/>
  <c r="K172" i="18" s="1"/>
  <c r="J172" i="18" a="1"/>
  <c r="J172" i="18" s="1"/>
  <c r="I172" i="18" a="1"/>
  <c r="I172" i="18" s="1"/>
  <c r="H172" i="18" a="1"/>
  <c r="H172" i="18" s="1"/>
  <c r="G172" i="18" a="1"/>
  <c r="G172" i="18" s="1"/>
  <c r="D172" i="18"/>
  <c r="BA176" i="18" a="1"/>
  <c r="BA176" i="18" s="1"/>
  <c r="AW176" i="18" a="1"/>
  <c r="AW176" i="18" s="1"/>
  <c r="AS176" i="18" a="1"/>
  <c r="AS176" i="18" s="1"/>
  <c r="AO176" i="18" a="1"/>
  <c r="AO176" i="18" s="1"/>
  <c r="AK176" i="18" a="1"/>
  <c r="AK176" i="18" s="1"/>
  <c r="AG176" i="18" a="1"/>
  <c r="AG176" i="18" s="1"/>
  <c r="BC176" i="18" a="1"/>
  <c r="BC176" i="18" s="1"/>
  <c r="AY176" i="18" a="1"/>
  <c r="AY176" i="18" s="1"/>
  <c r="AU176" i="18" a="1"/>
  <c r="AU176" i="18" s="1"/>
  <c r="AQ176" i="18" a="1"/>
  <c r="AQ176" i="18" s="1"/>
  <c r="AM176" i="18" a="1"/>
  <c r="AM176" i="18" s="1"/>
  <c r="AI176" i="18" a="1"/>
  <c r="AI176" i="18" s="1"/>
  <c r="AE176" i="18" a="1"/>
  <c r="AE176" i="18" s="1"/>
  <c r="AB176" i="18" a="1"/>
  <c r="AB176" i="18" s="1"/>
  <c r="AA176" i="18" a="1"/>
  <c r="AA176" i="18" s="1"/>
  <c r="Z176" i="18" a="1"/>
  <c r="Z176" i="18" s="1"/>
  <c r="Y176" i="18" a="1"/>
  <c r="Y176" i="18" s="1"/>
  <c r="X176" i="18" a="1"/>
  <c r="X176" i="18" s="1"/>
  <c r="W176" i="18" a="1"/>
  <c r="W176" i="18" s="1"/>
  <c r="V176" i="18" a="1"/>
  <c r="V176" i="18" s="1"/>
  <c r="U176" i="18" a="1"/>
  <c r="U176" i="18" s="1"/>
  <c r="T176" i="18" a="1"/>
  <c r="T176" i="18" s="1"/>
  <c r="S176" i="18" a="1"/>
  <c r="S176" i="18" s="1"/>
  <c r="R176" i="18" a="1"/>
  <c r="R176" i="18" s="1"/>
  <c r="Q176" i="18" a="1"/>
  <c r="Q176" i="18" s="1"/>
  <c r="P176" i="18" a="1"/>
  <c r="P176" i="18" s="1"/>
  <c r="O176" i="18" a="1"/>
  <c r="O176" i="18" s="1"/>
  <c r="N176" i="18" a="1"/>
  <c r="N176" i="18" s="1"/>
  <c r="M176" i="18" a="1"/>
  <c r="M176" i="18" s="1"/>
  <c r="L176" i="18" a="1"/>
  <c r="L176" i="18" s="1"/>
  <c r="K176" i="18" a="1"/>
  <c r="K176" i="18" s="1"/>
  <c r="J176" i="18" a="1"/>
  <c r="J176" i="18" s="1"/>
  <c r="I176" i="18" a="1"/>
  <c r="I176" i="18" s="1"/>
  <c r="H176" i="18" a="1"/>
  <c r="H176" i="18" s="1"/>
  <c r="G176" i="18" a="1"/>
  <c r="G176" i="18" s="1"/>
  <c r="D176" i="18"/>
  <c r="BA180" i="18" a="1"/>
  <c r="BA180" i="18" s="1"/>
  <c r="AW180" i="18" a="1"/>
  <c r="AW180" i="18" s="1"/>
  <c r="AS180" i="18" a="1"/>
  <c r="AS180" i="18" s="1"/>
  <c r="AO180" i="18" a="1"/>
  <c r="AO180" i="18" s="1"/>
  <c r="AK180" i="18" a="1"/>
  <c r="AK180" i="18" s="1"/>
  <c r="AG180" i="18" a="1"/>
  <c r="AG180" i="18" s="1"/>
  <c r="BC180" i="18" a="1"/>
  <c r="BC180" i="18" s="1"/>
  <c r="AY180" i="18" a="1"/>
  <c r="AY180" i="18" s="1"/>
  <c r="AU180" i="18" a="1"/>
  <c r="AU180" i="18" s="1"/>
  <c r="AQ180" i="18" a="1"/>
  <c r="AQ180" i="18" s="1"/>
  <c r="AM180" i="18" a="1"/>
  <c r="AM180" i="18" s="1"/>
  <c r="AI180" i="18" a="1"/>
  <c r="AI180" i="18" s="1"/>
  <c r="AE180" i="18" a="1"/>
  <c r="AE180" i="18" s="1"/>
  <c r="AB180" i="18" a="1"/>
  <c r="AB180" i="18" s="1"/>
  <c r="AA180" i="18" a="1"/>
  <c r="AA180" i="18" s="1"/>
  <c r="Z180" i="18" a="1"/>
  <c r="Z180" i="18" s="1"/>
  <c r="Y180" i="18" a="1"/>
  <c r="Y180" i="18" s="1"/>
  <c r="X180" i="18" a="1"/>
  <c r="X180" i="18" s="1"/>
  <c r="W180" i="18" a="1"/>
  <c r="W180" i="18" s="1"/>
  <c r="V180" i="18" a="1"/>
  <c r="V180" i="18" s="1"/>
  <c r="U180" i="18" a="1"/>
  <c r="U180" i="18" s="1"/>
  <c r="T180" i="18" a="1"/>
  <c r="T180" i="18" s="1"/>
  <c r="S180" i="18" a="1"/>
  <c r="S180" i="18" s="1"/>
  <c r="R180" i="18" a="1"/>
  <c r="R180" i="18" s="1"/>
  <c r="Q180" i="18" a="1"/>
  <c r="Q180" i="18" s="1"/>
  <c r="P180" i="18" a="1"/>
  <c r="P180" i="18" s="1"/>
  <c r="O180" i="18" a="1"/>
  <c r="O180" i="18" s="1"/>
  <c r="N180" i="18" a="1"/>
  <c r="N180" i="18" s="1"/>
  <c r="M180" i="18" a="1"/>
  <c r="M180" i="18" s="1"/>
  <c r="L180" i="18" a="1"/>
  <c r="L180" i="18" s="1"/>
  <c r="K180" i="18" a="1"/>
  <c r="K180" i="18" s="1"/>
  <c r="J180" i="18" a="1"/>
  <c r="J180" i="18" s="1"/>
  <c r="I180" i="18" a="1"/>
  <c r="I180" i="18" s="1"/>
  <c r="H180" i="18" a="1"/>
  <c r="H180" i="18" s="1"/>
  <c r="G180" i="18" a="1"/>
  <c r="G180" i="18" s="1"/>
  <c r="D180" i="18"/>
  <c r="BA184" i="18" a="1"/>
  <c r="BA184" i="18" s="1"/>
  <c r="AW184" i="18" a="1"/>
  <c r="AW184" i="18" s="1"/>
  <c r="AS184" i="18" a="1"/>
  <c r="AS184" i="18" s="1"/>
  <c r="AO184" i="18" a="1"/>
  <c r="AO184" i="18" s="1"/>
  <c r="AK184" i="18" a="1"/>
  <c r="AK184" i="18" s="1"/>
  <c r="AG184" i="18" a="1"/>
  <c r="AG184" i="18" s="1"/>
  <c r="BC184" i="18" a="1"/>
  <c r="BC184" i="18" s="1"/>
  <c r="AY184" i="18" a="1"/>
  <c r="AY184" i="18" s="1"/>
  <c r="AU184" i="18" a="1"/>
  <c r="AU184" i="18" s="1"/>
  <c r="AQ184" i="18" a="1"/>
  <c r="AQ184" i="18" s="1"/>
  <c r="AM184" i="18" a="1"/>
  <c r="AM184" i="18" s="1"/>
  <c r="AI184" i="18" a="1"/>
  <c r="AI184" i="18" s="1"/>
  <c r="AE184" i="18" a="1"/>
  <c r="AE184" i="18" s="1"/>
  <c r="AB184" i="18" a="1"/>
  <c r="AB184" i="18" s="1"/>
  <c r="AA184" i="18" a="1"/>
  <c r="AA184" i="18" s="1"/>
  <c r="Z184" i="18" a="1"/>
  <c r="Z184" i="18" s="1"/>
  <c r="Y184" i="18" a="1"/>
  <c r="Y184" i="18" s="1"/>
  <c r="X184" i="18" a="1"/>
  <c r="X184" i="18" s="1"/>
  <c r="W184" i="18" a="1"/>
  <c r="W184" i="18" s="1"/>
  <c r="V184" i="18" a="1"/>
  <c r="V184" i="18" s="1"/>
  <c r="U184" i="18" a="1"/>
  <c r="U184" i="18" s="1"/>
  <c r="T184" i="18" a="1"/>
  <c r="T184" i="18" s="1"/>
  <c r="S184" i="18" a="1"/>
  <c r="S184" i="18" s="1"/>
  <c r="R184" i="18" a="1"/>
  <c r="R184" i="18" s="1"/>
  <c r="Q184" i="18" a="1"/>
  <c r="Q184" i="18" s="1"/>
  <c r="P184" i="18" a="1"/>
  <c r="P184" i="18" s="1"/>
  <c r="O184" i="18" a="1"/>
  <c r="O184" i="18" s="1"/>
  <c r="N184" i="18" a="1"/>
  <c r="N184" i="18" s="1"/>
  <c r="M184" i="18" a="1"/>
  <c r="M184" i="18" s="1"/>
  <c r="L184" i="18" a="1"/>
  <c r="L184" i="18" s="1"/>
  <c r="K184" i="18" a="1"/>
  <c r="K184" i="18" s="1"/>
  <c r="J184" i="18" a="1"/>
  <c r="J184" i="18" s="1"/>
  <c r="I184" i="18" a="1"/>
  <c r="I184" i="18" s="1"/>
  <c r="H184" i="18" a="1"/>
  <c r="H184" i="18" s="1"/>
  <c r="G184" i="18" a="1"/>
  <c r="G184" i="18" s="1"/>
  <c r="D184" i="18"/>
  <c r="BA188" i="18" a="1"/>
  <c r="BA188" i="18" s="1"/>
  <c r="AW188" i="18" a="1"/>
  <c r="AW188" i="18" s="1"/>
  <c r="AS188" i="18" a="1"/>
  <c r="AS188" i="18" s="1"/>
  <c r="AO188" i="18" a="1"/>
  <c r="AO188" i="18" s="1"/>
  <c r="AK188" i="18" a="1"/>
  <c r="AK188" i="18" s="1"/>
  <c r="AG188" i="18" a="1"/>
  <c r="AG188" i="18" s="1"/>
  <c r="BC188" i="18" a="1"/>
  <c r="BC188" i="18" s="1"/>
  <c r="AY188" i="18" a="1"/>
  <c r="AY188" i="18" s="1"/>
  <c r="AU188" i="18" a="1"/>
  <c r="AU188" i="18" s="1"/>
  <c r="AQ188" i="18" a="1"/>
  <c r="AQ188" i="18" s="1"/>
  <c r="AM188" i="18" a="1"/>
  <c r="AM188" i="18" s="1"/>
  <c r="AI188" i="18" a="1"/>
  <c r="AI188" i="18" s="1"/>
  <c r="AE188" i="18" a="1"/>
  <c r="AE188" i="18" s="1"/>
  <c r="AB188" i="18" a="1"/>
  <c r="AB188" i="18" s="1"/>
  <c r="AA188" i="18" a="1"/>
  <c r="AA188" i="18" s="1"/>
  <c r="Z188" i="18" a="1"/>
  <c r="Z188" i="18" s="1"/>
  <c r="Y188" i="18" a="1"/>
  <c r="Y188" i="18" s="1"/>
  <c r="X188" i="18" a="1"/>
  <c r="X188" i="18" s="1"/>
  <c r="W188" i="18" a="1"/>
  <c r="W188" i="18" s="1"/>
  <c r="V188" i="18" a="1"/>
  <c r="V188" i="18" s="1"/>
  <c r="U188" i="18" a="1"/>
  <c r="U188" i="18" s="1"/>
  <c r="T188" i="18" a="1"/>
  <c r="T188" i="18" s="1"/>
  <c r="S188" i="18" a="1"/>
  <c r="S188" i="18" s="1"/>
  <c r="R188" i="18" a="1"/>
  <c r="R188" i="18" s="1"/>
  <c r="Q188" i="18" a="1"/>
  <c r="Q188" i="18" s="1"/>
  <c r="P188" i="18" a="1"/>
  <c r="P188" i="18" s="1"/>
  <c r="O188" i="18" a="1"/>
  <c r="O188" i="18" s="1"/>
  <c r="N188" i="18" a="1"/>
  <c r="N188" i="18" s="1"/>
  <c r="M188" i="18" a="1"/>
  <c r="M188" i="18" s="1"/>
  <c r="L188" i="18" a="1"/>
  <c r="L188" i="18" s="1"/>
  <c r="K188" i="18" a="1"/>
  <c r="K188" i="18" s="1"/>
  <c r="J188" i="18" a="1"/>
  <c r="J188" i="18" s="1"/>
  <c r="I188" i="18" a="1"/>
  <c r="I188" i="18" s="1"/>
  <c r="H188" i="18" a="1"/>
  <c r="H188" i="18" s="1"/>
  <c r="G188" i="18" a="1"/>
  <c r="G188" i="18" s="1"/>
  <c r="D188" i="18"/>
  <c r="BA192" i="18" a="1"/>
  <c r="BA192" i="18" s="1"/>
  <c r="AW192" i="18" a="1"/>
  <c r="AW192" i="18" s="1"/>
  <c r="AS192" i="18" a="1"/>
  <c r="AS192" i="18" s="1"/>
  <c r="AO192" i="18" a="1"/>
  <c r="AO192" i="18" s="1"/>
  <c r="AK192" i="18" a="1"/>
  <c r="AK192" i="18" s="1"/>
  <c r="AG192" i="18" a="1"/>
  <c r="AG192" i="18" s="1"/>
  <c r="BC192" i="18" a="1"/>
  <c r="BC192" i="18" s="1"/>
  <c r="AY192" i="18" a="1"/>
  <c r="AY192" i="18" s="1"/>
  <c r="AU192" i="18" a="1"/>
  <c r="AU192" i="18" s="1"/>
  <c r="AQ192" i="18" a="1"/>
  <c r="AQ192" i="18" s="1"/>
  <c r="AM192" i="18" a="1"/>
  <c r="AM192" i="18" s="1"/>
  <c r="AI192" i="18" a="1"/>
  <c r="AI192" i="18" s="1"/>
  <c r="AE192" i="18" a="1"/>
  <c r="AE192" i="18" s="1"/>
  <c r="AB192" i="18" a="1"/>
  <c r="AB192" i="18" s="1"/>
  <c r="AA192" i="18" a="1"/>
  <c r="AA192" i="18" s="1"/>
  <c r="Z192" i="18" a="1"/>
  <c r="Z192" i="18" s="1"/>
  <c r="Y192" i="18" a="1"/>
  <c r="Y192" i="18" s="1"/>
  <c r="X192" i="18" a="1"/>
  <c r="X192" i="18" s="1"/>
  <c r="W192" i="18" a="1"/>
  <c r="W192" i="18" s="1"/>
  <c r="V192" i="18" a="1"/>
  <c r="V192" i="18" s="1"/>
  <c r="U192" i="18" a="1"/>
  <c r="U192" i="18" s="1"/>
  <c r="T192" i="18" a="1"/>
  <c r="T192" i="18" s="1"/>
  <c r="S192" i="18" a="1"/>
  <c r="S192" i="18" s="1"/>
  <c r="R192" i="18" a="1"/>
  <c r="R192" i="18" s="1"/>
  <c r="Q192" i="18" a="1"/>
  <c r="Q192" i="18" s="1"/>
  <c r="P192" i="18" a="1"/>
  <c r="P192" i="18" s="1"/>
  <c r="O192" i="18" a="1"/>
  <c r="O192" i="18" s="1"/>
  <c r="N192" i="18" a="1"/>
  <c r="N192" i="18" s="1"/>
  <c r="M192" i="18" a="1"/>
  <c r="M192" i="18" s="1"/>
  <c r="L192" i="18" a="1"/>
  <c r="L192" i="18" s="1"/>
  <c r="K192" i="18" a="1"/>
  <c r="K192" i="18" s="1"/>
  <c r="J192" i="18" a="1"/>
  <c r="J192" i="18" s="1"/>
  <c r="I192" i="18" a="1"/>
  <c r="I192" i="18" s="1"/>
  <c r="H192" i="18" a="1"/>
  <c r="H192" i="18" s="1"/>
  <c r="G192" i="18" a="1"/>
  <c r="G192" i="18" s="1"/>
  <c r="D192" i="18"/>
  <c r="BC196" i="18" a="1"/>
  <c r="BC196" i="18" s="1"/>
  <c r="AY196" i="18" a="1"/>
  <c r="AY196" i="18" s="1"/>
  <c r="AU196" i="18" a="1"/>
  <c r="AU196" i="18" s="1"/>
  <c r="AQ196" i="18" a="1"/>
  <c r="AQ196" i="18" s="1"/>
  <c r="AM196" i="18" a="1"/>
  <c r="AM196" i="18" s="1"/>
  <c r="AI196" i="18" a="1"/>
  <c r="AI196" i="18" s="1"/>
  <c r="AE196" i="18" a="1"/>
  <c r="AE196" i="18" s="1"/>
  <c r="AB196" i="18" a="1"/>
  <c r="AB196" i="18" s="1"/>
  <c r="AA196" i="18" a="1"/>
  <c r="AA196" i="18" s="1"/>
  <c r="Z196" i="18" a="1"/>
  <c r="Z196" i="18" s="1"/>
  <c r="Y196" i="18" a="1"/>
  <c r="Y196" i="18" s="1"/>
  <c r="X196" i="18" a="1"/>
  <c r="X196" i="18" s="1"/>
  <c r="W196" i="18" a="1"/>
  <c r="W196" i="18" s="1"/>
  <c r="V196" i="18" a="1"/>
  <c r="V196" i="18" s="1"/>
  <c r="U196" i="18" a="1"/>
  <c r="U196" i="18" s="1"/>
  <c r="T196" i="18" a="1"/>
  <c r="T196" i="18" s="1"/>
  <c r="S196" i="18" a="1"/>
  <c r="S196" i="18" s="1"/>
  <c r="R196" i="18" a="1"/>
  <c r="R196" i="18" s="1"/>
  <c r="Q196" i="18" a="1"/>
  <c r="Q196" i="18" s="1"/>
  <c r="P196" i="18" a="1"/>
  <c r="P196" i="18" s="1"/>
  <c r="O196" i="18" a="1"/>
  <c r="O196" i="18" s="1"/>
  <c r="N196" i="18" a="1"/>
  <c r="N196" i="18" s="1"/>
  <c r="M196" i="18" a="1"/>
  <c r="M196" i="18" s="1"/>
  <c r="L196" i="18" a="1"/>
  <c r="L196" i="18" s="1"/>
  <c r="K196" i="18" a="1"/>
  <c r="K196" i="18" s="1"/>
  <c r="J196" i="18" a="1"/>
  <c r="J196" i="18" s="1"/>
  <c r="I196" i="18" a="1"/>
  <c r="I196" i="18" s="1"/>
  <c r="H196" i="18" a="1"/>
  <c r="H196" i="18" s="1"/>
  <c r="G196" i="18" a="1"/>
  <c r="G196" i="18" s="1"/>
  <c r="D196" i="18"/>
  <c r="BA196" i="18" a="1"/>
  <c r="BA196" i="18" s="1"/>
  <c r="BB196" i="18" s="1"/>
  <c r="AW196" i="18" a="1"/>
  <c r="AW196" i="18" s="1"/>
  <c r="AS196" i="18" a="1"/>
  <c r="AS196" i="18" s="1"/>
  <c r="AO196" i="18" a="1"/>
  <c r="AO196" i="18" s="1"/>
  <c r="AK196" i="18" a="1"/>
  <c r="AK196" i="18" s="1"/>
  <c r="AL196" i="18" s="1"/>
  <c r="AG196" i="18" a="1"/>
  <c r="AG196" i="18" s="1"/>
  <c r="BC202" i="18" a="1"/>
  <c r="BC202" i="18" s="1"/>
  <c r="AY202" i="18" a="1"/>
  <c r="AY202" i="18" s="1"/>
  <c r="AU202" i="18" a="1"/>
  <c r="AU202" i="18" s="1"/>
  <c r="AQ202" i="18" a="1"/>
  <c r="AQ202" i="18" s="1"/>
  <c r="AM202" i="18" a="1"/>
  <c r="AM202" i="18" s="1"/>
  <c r="AI202" i="18" a="1"/>
  <c r="AI202" i="18" s="1"/>
  <c r="AE202" i="18" a="1"/>
  <c r="AE202" i="18" s="1"/>
  <c r="AB202" i="18" a="1"/>
  <c r="AB202" i="18" s="1"/>
  <c r="AA202" i="18" a="1"/>
  <c r="AA202" i="18" s="1"/>
  <c r="Z202" i="18" a="1"/>
  <c r="Z202" i="18" s="1"/>
  <c r="Y202" i="18" a="1"/>
  <c r="Y202" i="18" s="1"/>
  <c r="X202" i="18" a="1"/>
  <c r="X202" i="18" s="1"/>
  <c r="W202" i="18" a="1"/>
  <c r="W202" i="18" s="1"/>
  <c r="V202" i="18" a="1"/>
  <c r="V202" i="18" s="1"/>
  <c r="U202" i="18" a="1"/>
  <c r="U202" i="18" s="1"/>
  <c r="T202" i="18" a="1"/>
  <c r="T202" i="18" s="1"/>
  <c r="S202" i="18" a="1"/>
  <c r="S202" i="18" s="1"/>
  <c r="R202" i="18" a="1"/>
  <c r="R202" i="18" s="1"/>
  <c r="Q202" i="18" a="1"/>
  <c r="Q202" i="18" s="1"/>
  <c r="P202" i="18" a="1"/>
  <c r="P202" i="18" s="1"/>
  <c r="O202" i="18" a="1"/>
  <c r="O202" i="18" s="1"/>
  <c r="N202" i="18" a="1"/>
  <c r="N202" i="18" s="1"/>
  <c r="M202" i="18" a="1"/>
  <c r="M202" i="18" s="1"/>
  <c r="L202" i="18" a="1"/>
  <c r="L202" i="18" s="1"/>
  <c r="K202" i="18" a="1"/>
  <c r="K202" i="18" s="1"/>
  <c r="J202" i="18" a="1"/>
  <c r="J202" i="18" s="1"/>
  <c r="I202" i="18" a="1"/>
  <c r="I202" i="18" s="1"/>
  <c r="H202" i="18" a="1"/>
  <c r="H202" i="18" s="1"/>
  <c r="G202" i="18" a="1"/>
  <c r="G202" i="18" s="1"/>
  <c r="D202" i="18"/>
  <c r="AW202" i="18" a="1"/>
  <c r="AW202" i="18" s="1"/>
  <c r="AO202" i="18" a="1"/>
  <c r="AO202" i="18" s="1"/>
  <c r="AG202" i="18" a="1"/>
  <c r="AG202" i="18" s="1"/>
  <c r="AH202" i="18" s="1"/>
  <c r="BA202" i="18" a="1"/>
  <c r="BA202" i="18" s="1"/>
  <c r="AS202" i="18" a="1"/>
  <c r="AS202" i="18" s="1"/>
  <c r="AT202" i="18" s="1"/>
  <c r="AK202" i="18" a="1"/>
  <c r="AK202" i="18" s="1"/>
  <c r="BC210" i="18" a="1"/>
  <c r="BC210" i="18" s="1"/>
  <c r="AY210" i="18" a="1"/>
  <c r="AY210" i="18" s="1"/>
  <c r="AU210" i="18" a="1"/>
  <c r="AU210" i="18" s="1"/>
  <c r="AQ210" i="18" a="1"/>
  <c r="AQ210" i="18" s="1"/>
  <c r="AM210" i="18" a="1"/>
  <c r="AM210" i="18" s="1"/>
  <c r="AI210" i="18" a="1"/>
  <c r="AI210" i="18" s="1"/>
  <c r="AE210" i="18" a="1"/>
  <c r="AE210" i="18" s="1"/>
  <c r="AB210" i="18" a="1"/>
  <c r="AB210" i="18" s="1"/>
  <c r="AA210" i="18" a="1"/>
  <c r="AA210" i="18" s="1"/>
  <c r="Z210" i="18" a="1"/>
  <c r="Z210" i="18" s="1"/>
  <c r="Y210" i="18" a="1"/>
  <c r="Y210" i="18" s="1"/>
  <c r="X210" i="18" a="1"/>
  <c r="X210" i="18" s="1"/>
  <c r="W210" i="18" a="1"/>
  <c r="W210" i="18" s="1"/>
  <c r="V210" i="18" a="1"/>
  <c r="V210" i="18" s="1"/>
  <c r="U210" i="18" a="1"/>
  <c r="U210" i="18" s="1"/>
  <c r="T210" i="18" a="1"/>
  <c r="T210" i="18" s="1"/>
  <c r="S210" i="18" a="1"/>
  <c r="S210" i="18" s="1"/>
  <c r="R210" i="18" a="1"/>
  <c r="R210" i="18" s="1"/>
  <c r="Q210" i="18" a="1"/>
  <c r="Q210" i="18" s="1"/>
  <c r="P210" i="18" a="1"/>
  <c r="P210" i="18" s="1"/>
  <c r="O210" i="18" a="1"/>
  <c r="O210" i="18" s="1"/>
  <c r="N210" i="18" a="1"/>
  <c r="N210" i="18" s="1"/>
  <c r="M210" i="18" a="1"/>
  <c r="M210" i="18" s="1"/>
  <c r="L210" i="18" a="1"/>
  <c r="L210" i="18" s="1"/>
  <c r="K210" i="18" a="1"/>
  <c r="K210" i="18" s="1"/>
  <c r="J210" i="18" a="1"/>
  <c r="J210" i="18" s="1"/>
  <c r="I210" i="18" a="1"/>
  <c r="I210" i="18" s="1"/>
  <c r="H210" i="18" a="1"/>
  <c r="H210" i="18" s="1"/>
  <c r="G210" i="18" a="1"/>
  <c r="G210" i="18" s="1"/>
  <c r="D210" i="18"/>
  <c r="AW210" i="18" a="1"/>
  <c r="AW210" i="18" s="1"/>
  <c r="AO210" i="18" a="1"/>
  <c r="AO210" i="18" s="1"/>
  <c r="AG210" i="18" a="1"/>
  <c r="AG210" i="18" s="1"/>
  <c r="AH210" i="18" s="1"/>
  <c r="BA210" i="18" a="1"/>
  <c r="BA210" i="18" s="1"/>
  <c r="AS210" i="18" a="1"/>
  <c r="AS210" i="18" s="1"/>
  <c r="AT210" i="18" s="1"/>
  <c r="AK210" i="18" a="1"/>
  <c r="AK210" i="18" s="1"/>
  <c r="BC218" i="18" a="1"/>
  <c r="BC218" i="18" s="1"/>
  <c r="AY218" i="18" a="1"/>
  <c r="AY218" i="18" s="1"/>
  <c r="AU218" i="18" a="1"/>
  <c r="AU218" i="18" s="1"/>
  <c r="AQ218" i="18" a="1"/>
  <c r="AQ218" i="18" s="1"/>
  <c r="AM218" i="18" a="1"/>
  <c r="AM218" i="18" s="1"/>
  <c r="AI218" i="18" a="1"/>
  <c r="AI218" i="18" s="1"/>
  <c r="AE218" i="18" a="1"/>
  <c r="AE218" i="18" s="1"/>
  <c r="AB218" i="18" a="1"/>
  <c r="AB218" i="18" s="1"/>
  <c r="AA218" i="18" a="1"/>
  <c r="AA218" i="18" s="1"/>
  <c r="Z218" i="18" a="1"/>
  <c r="Z218" i="18" s="1"/>
  <c r="Y218" i="18" a="1"/>
  <c r="Y218" i="18" s="1"/>
  <c r="X218" i="18" a="1"/>
  <c r="X218" i="18" s="1"/>
  <c r="W218" i="18" a="1"/>
  <c r="W218" i="18" s="1"/>
  <c r="V218" i="18" a="1"/>
  <c r="V218" i="18" s="1"/>
  <c r="U218" i="18" a="1"/>
  <c r="U218" i="18" s="1"/>
  <c r="T218" i="18" a="1"/>
  <c r="T218" i="18" s="1"/>
  <c r="S218" i="18" a="1"/>
  <c r="S218" i="18" s="1"/>
  <c r="R218" i="18" a="1"/>
  <c r="R218" i="18" s="1"/>
  <c r="Q218" i="18" a="1"/>
  <c r="Q218" i="18" s="1"/>
  <c r="P218" i="18" a="1"/>
  <c r="P218" i="18" s="1"/>
  <c r="O218" i="18" a="1"/>
  <c r="O218" i="18" s="1"/>
  <c r="N218" i="18" a="1"/>
  <c r="N218" i="18" s="1"/>
  <c r="M218" i="18" a="1"/>
  <c r="M218" i="18" s="1"/>
  <c r="L218" i="18" a="1"/>
  <c r="L218" i="18" s="1"/>
  <c r="K218" i="18" a="1"/>
  <c r="K218" i="18" s="1"/>
  <c r="J218" i="18" a="1"/>
  <c r="J218" i="18" s="1"/>
  <c r="I218" i="18" a="1"/>
  <c r="I218" i="18" s="1"/>
  <c r="H218" i="18" a="1"/>
  <c r="H218" i="18" s="1"/>
  <c r="G218" i="18" a="1"/>
  <c r="G218" i="18" s="1"/>
  <c r="D218" i="18"/>
  <c r="AW218" i="18" a="1"/>
  <c r="AW218" i="18" s="1"/>
  <c r="AO218" i="18" a="1"/>
  <c r="AO218" i="18" s="1"/>
  <c r="AG218" i="18" a="1"/>
  <c r="AG218" i="18" s="1"/>
  <c r="AH218" i="18" s="1"/>
  <c r="BA218" i="18" a="1"/>
  <c r="BA218" i="18" s="1"/>
  <c r="AS218" i="18" a="1"/>
  <c r="AS218" i="18" s="1"/>
  <c r="AT218" i="18" s="1"/>
  <c r="AK218" i="18" a="1"/>
  <c r="AK218" i="18" s="1"/>
  <c r="BC226" i="18" a="1"/>
  <c r="BC226" i="18" s="1"/>
  <c r="AY226" i="18" a="1"/>
  <c r="AY226" i="18" s="1"/>
  <c r="AU226" i="18" a="1"/>
  <c r="AU226" i="18" s="1"/>
  <c r="AQ226" i="18" a="1"/>
  <c r="AQ226" i="18" s="1"/>
  <c r="AM226" i="18" a="1"/>
  <c r="AM226" i="18" s="1"/>
  <c r="AI226" i="18" a="1"/>
  <c r="AI226" i="18" s="1"/>
  <c r="AE226" i="18" a="1"/>
  <c r="AE226" i="18" s="1"/>
  <c r="AB226" i="18" a="1"/>
  <c r="AB226" i="18" s="1"/>
  <c r="AA226" i="18" a="1"/>
  <c r="AA226" i="18" s="1"/>
  <c r="Z226" i="18" a="1"/>
  <c r="Z226" i="18" s="1"/>
  <c r="Y226" i="18" a="1"/>
  <c r="Y226" i="18" s="1"/>
  <c r="X226" i="18" a="1"/>
  <c r="X226" i="18" s="1"/>
  <c r="W226" i="18" a="1"/>
  <c r="W226" i="18" s="1"/>
  <c r="V226" i="18" a="1"/>
  <c r="V226" i="18" s="1"/>
  <c r="U226" i="18" a="1"/>
  <c r="U226" i="18" s="1"/>
  <c r="T226" i="18" a="1"/>
  <c r="T226" i="18" s="1"/>
  <c r="S226" i="18" a="1"/>
  <c r="S226" i="18" s="1"/>
  <c r="R226" i="18" a="1"/>
  <c r="R226" i="18" s="1"/>
  <c r="Q226" i="18" a="1"/>
  <c r="Q226" i="18" s="1"/>
  <c r="P226" i="18" a="1"/>
  <c r="P226" i="18" s="1"/>
  <c r="O226" i="18" a="1"/>
  <c r="O226" i="18" s="1"/>
  <c r="N226" i="18" a="1"/>
  <c r="N226" i="18" s="1"/>
  <c r="M226" i="18" a="1"/>
  <c r="M226" i="18" s="1"/>
  <c r="L226" i="18" a="1"/>
  <c r="L226" i="18" s="1"/>
  <c r="K226" i="18" a="1"/>
  <c r="K226" i="18" s="1"/>
  <c r="J226" i="18" a="1"/>
  <c r="J226" i="18" s="1"/>
  <c r="I226" i="18" a="1"/>
  <c r="I226" i="18" s="1"/>
  <c r="H226" i="18" a="1"/>
  <c r="H226" i="18" s="1"/>
  <c r="G226" i="18" a="1"/>
  <c r="G226" i="18" s="1"/>
  <c r="D226" i="18"/>
  <c r="AW226" i="18" a="1"/>
  <c r="AW226" i="18" s="1"/>
  <c r="AO226" i="18" a="1"/>
  <c r="AO226" i="18" s="1"/>
  <c r="AG226" i="18" a="1"/>
  <c r="AG226" i="18" s="1"/>
  <c r="AH226" i="18" s="1"/>
  <c r="BA226" i="18" a="1"/>
  <c r="BA226" i="18" s="1"/>
  <c r="AS226" i="18" a="1"/>
  <c r="AS226" i="18" s="1"/>
  <c r="AT226" i="18" s="1"/>
  <c r="AK226" i="18" a="1"/>
  <c r="AK226" i="18" s="1"/>
  <c r="BC234" i="18" a="1"/>
  <c r="BC234" i="18" s="1"/>
  <c r="AY234" i="18" a="1"/>
  <c r="AY234" i="18" s="1"/>
  <c r="AU234" i="18" a="1"/>
  <c r="AU234" i="18" s="1"/>
  <c r="AQ234" i="18" a="1"/>
  <c r="AQ234" i="18" s="1"/>
  <c r="AM234" i="18" a="1"/>
  <c r="AM234" i="18" s="1"/>
  <c r="AI234" i="18" a="1"/>
  <c r="AI234" i="18" s="1"/>
  <c r="AE234" i="18" a="1"/>
  <c r="AE234" i="18" s="1"/>
  <c r="AB234" i="18" a="1"/>
  <c r="AB234" i="18" s="1"/>
  <c r="AA234" i="18" a="1"/>
  <c r="AA234" i="18" s="1"/>
  <c r="Z234" i="18" a="1"/>
  <c r="Z234" i="18" s="1"/>
  <c r="Y234" i="18" a="1"/>
  <c r="Y234" i="18" s="1"/>
  <c r="X234" i="18" a="1"/>
  <c r="X234" i="18" s="1"/>
  <c r="W234" i="18" a="1"/>
  <c r="W234" i="18" s="1"/>
  <c r="V234" i="18" a="1"/>
  <c r="V234" i="18" s="1"/>
  <c r="U234" i="18" a="1"/>
  <c r="U234" i="18" s="1"/>
  <c r="T234" i="18" a="1"/>
  <c r="T234" i="18" s="1"/>
  <c r="S234" i="18" a="1"/>
  <c r="S234" i="18" s="1"/>
  <c r="R234" i="18" a="1"/>
  <c r="R234" i="18" s="1"/>
  <c r="Q234" i="18" a="1"/>
  <c r="Q234" i="18" s="1"/>
  <c r="P234" i="18" a="1"/>
  <c r="P234" i="18" s="1"/>
  <c r="O234" i="18" a="1"/>
  <c r="O234" i="18" s="1"/>
  <c r="N234" i="18" a="1"/>
  <c r="N234" i="18" s="1"/>
  <c r="M234" i="18" a="1"/>
  <c r="M234" i="18" s="1"/>
  <c r="L234" i="18" a="1"/>
  <c r="L234" i="18" s="1"/>
  <c r="K234" i="18" a="1"/>
  <c r="K234" i="18" s="1"/>
  <c r="J234" i="18" a="1"/>
  <c r="J234" i="18" s="1"/>
  <c r="I234" i="18" a="1"/>
  <c r="I234" i="18" s="1"/>
  <c r="H234" i="18" a="1"/>
  <c r="H234" i="18" s="1"/>
  <c r="G234" i="18" a="1"/>
  <c r="G234" i="18" s="1"/>
  <c r="D234" i="18"/>
  <c r="AW234" i="18" a="1"/>
  <c r="AW234" i="18" s="1"/>
  <c r="AO234" i="18" a="1"/>
  <c r="AO234" i="18" s="1"/>
  <c r="AG234" i="18" a="1"/>
  <c r="AG234" i="18" s="1"/>
  <c r="AH234" i="18" s="1"/>
  <c r="BA234" i="18" a="1"/>
  <c r="BA234" i="18" s="1"/>
  <c r="AS234" i="18" a="1"/>
  <c r="AS234" i="18" s="1"/>
  <c r="AT234" i="18" s="1"/>
  <c r="AK234" i="18" a="1"/>
  <c r="AK234" i="18" s="1"/>
  <c r="BC242" i="18" a="1"/>
  <c r="BC242" i="18" s="1"/>
  <c r="AY242" i="18" a="1"/>
  <c r="AY242" i="18" s="1"/>
  <c r="AU242" i="18" a="1"/>
  <c r="AU242" i="18" s="1"/>
  <c r="AQ242" i="18" a="1"/>
  <c r="AQ242" i="18" s="1"/>
  <c r="AM242" i="18" a="1"/>
  <c r="AM242" i="18" s="1"/>
  <c r="AI242" i="18" a="1"/>
  <c r="AI242" i="18" s="1"/>
  <c r="AE242" i="18" a="1"/>
  <c r="AE242" i="18" s="1"/>
  <c r="AB242" i="18" a="1"/>
  <c r="AB242" i="18" s="1"/>
  <c r="AA242" i="18" a="1"/>
  <c r="AA242" i="18" s="1"/>
  <c r="Z242" i="18" a="1"/>
  <c r="Z242" i="18" s="1"/>
  <c r="Y242" i="18" a="1"/>
  <c r="Y242" i="18" s="1"/>
  <c r="X242" i="18" a="1"/>
  <c r="X242" i="18" s="1"/>
  <c r="W242" i="18" a="1"/>
  <c r="W242" i="18" s="1"/>
  <c r="V242" i="18" a="1"/>
  <c r="V242" i="18" s="1"/>
  <c r="U242" i="18" a="1"/>
  <c r="U242" i="18" s="1"/>
  <c r="T242" i="18" a="1"/>
  <c r="T242" i="18" s="1"/>
  <c r="S242" i="18" a="1"/>
  <c r="S242" i="18" s="1"/>
  <c r="R242" i="18" a="1"/>
  <c r="R242" i="18" s="1"/>
  <c r="Q242" i="18" a="1"/>
  <c r="Q242" i="18" s="1"/>
  <c r="P242" i="18" a="1"/>
  <c r="P242" i="18" s="1"/>
  <c r="O242" i="18" a="1"/>
  <c r="O242" i="18" s="1"/>
  <c r="N242" i="18" a="1"/>
  <c r="N242" i="18" s="1"/>
  <c r="M242" i="18" a="1"/>
  <c r="M242" i="18" s="1"/>
  <c r="L242" i="18" a="1"/>
  <c r="L242" i="18" s="1"/>
  <c r="K242" i="18" a="1"/>
  <c r="K242" i="18" s="1"/>
  <c r="J242" i="18" a="1"/>
  <c r="J242" i="18" s="1"/>
  <c r="I242" i="18" a="1"/>
  <c r="I242" i="18" s="1"/>
  <c r="H242" i="18" a="1"/>
  <c r="H242" i="18" s="1"/>
  <c r="G242" i="18" a="1"/>
  <c r="G242" i="18" s="1"/>
  <c r="D242" i="18"/>
  <c r="AW242" i="18" a="1"/>
  <c r="AW242" i="18" s="1"/>
  <c r="AO242" i="18" a="1"/>
  <c r="AO242" i="18" s="1"/>
  <c r="AG242" i="18" a="1"/>
  <c r="AG242" i="18" s="1"/>
  <c r="AH242" i="18" s="1"/>
  <c r="BA242" i="18" a="1"/>
  <c r="BA242" i="18" s="1"/>
  <c r="AS242" i="18" a="1"/>
  <c r="AS242" i="18" s="1"/>
  <c r="AT242" i="18" s="1"/>
  <c r="AK242" i="18" a="1"/>
  <c r="AK242" i="18" s="1"/>
  <c r="BC250" i="18" a="1"/>
  <c r="BC250" i="18" s="1"/>
  <c r="AY250" i="18" a="1"/>
  <c r="AY250" i="18" s="1"/>
  <c r="AU250" i="18" a="1"/>
  <c r="AU250" i="18" s="1"/>
  <c r="AQ250" i="18" a="1"/>
  <c r="AQ250" i="18" s="1"/>
  <c r="AM250" i="18" a="1"/>
  <c r="AM250" i="18" s="1"/>
  <c r="AI250" i="18" a="1"/>
  <c r="AI250" i="18" s="1"/>
  <c r="AE250" i="18" a="1"/>
  <c r="AE250" i="18" s="1"/>
  <c r="AB250" i="18" a="1"/>
  <c r="AB250" i="18" s="1"/>
  <c r="AA250" i="18" a="1"/>
  <c r="AA250" i="18" s="1"/>
  <c r="Z250" i="18" a="1"/>
  <c r="Z250" i="18" s="1"/>
  <c r="Y250" i="18" a="1"/>
  <c r="Y250" i="18" s="1"/>
  <c r="X250" i="18" a="1"/>
  <c r="X250" i="18" s="1"/>
  <c r="W250" i="18" a="1"/>
  <c r="W250" i="18" s="1"/>
  <c r="V250" i="18" a="1"/>
  <c r="V250" i="18" s="1"/>
  <c r="U250" i="18" a="1"/>
  <c r="U250" i="18" s="1"/>
  <c r="T250" i="18" a="1"/>
  <c r="T250" i="18" s="1"/>
  <c r="S250" i="18" a="1"/>
  <c r="S250" i="18" s="1"/>
  <c r="R250" i="18" a="1"/>
  <c r="R250" i="18" s="1"/>
  <c r="Q250" i="18" a="1"/>
  <c r="Q250" i="18" s="1"/>
  <c r="P250" i="18" a="1"/>
  <c r="P250" i="18" s="1"/>
  <c r="O250" i="18" a="1"/>
  <c r="O250" i="18" s="1"/>
  <c r="N250" i="18" a="1"/>
  <c r="N250" i="18" s="1"/>
  <c r="M250" i="18" a="1"/>
  <c r="M250" i="18" s="1"/>
  <c r="L250" i="18" a="1"/>
  <c r="L250" i="18" s="1"/>
  <c r="K250" i="18" a="1"/>
  <c r="K250" i="18" s="1"/>
  <c r="J250" i="18" a="1"/>
  <c r="J250" i="18" s="1"/>
  <c r="I250" i="18" a="1"/>
  <c r="I250" i="18" s="1"/>
  <c r="H250" i="18" a="1"/>
  <c r="H250" i="18" s="1"/>
  <c r="G250" i="18" a="1"/>
  <c r="G250" i="18" s="1"/>
  <c r="D250" i="18"/>
  <c r="AW250" i="18" a="1"/>
  <c r="AW250" i="18" s="1"/>
  <c r="AO250" i="18" a="1"/>
  <c r="AO250" i="18" s="1"/>
  <c r="AG250" i="18" a="1"/>
  <c r="AG250" i="18" s="1"/>
  <c r="AH250" i="18" s="1"/>
  <c r="BA250" i="18" a="1"/>
  <c r="BA250" i="18" s="1"/>
  <c r="AS250" i="18" a="1"/>
  <c r="AS250" i="18" s="1"/>
  <c r="AT250" i="18" s="1"/>
  <c r="AK250" i="18" a="1"/>
  <c r="AK250" i="18" s="1"/>
  <c r="BC258" i="18" a="1"/>
  <c r="BC258" i="18" s="1"/>
  <c r="AY258" i="18" a="1"/>
  <c r="AY258" i="18" s="1"/>
  <c r="AU258" i="18" a="1"/>
  <c r="AU258" i="18" s="1"/>
  <c r="AQ258" i="18" a="1"/>
  <c r="AQ258" i="18" s="1"/>
  <c r="AM258" i="18" a="1"/>
  <c r="AM258" i="18" s="1"/>
  <c r="AI258" i="18" a="1"/>
  <c r="AI258" i="18" s="1"/>
  <c r="AE258" i="18" a="1"/>
  <c r="AE258" i="18" s="1"/>
  <c r="AB258" i="18" a="1"/>
  <c r="AB258" i="18" s="1"/>
  <c r="AA258" i="18" a="1"/>
  <c r="AA258" i="18" s="1"/>
  <c r="Z258" i="18" a="1"/>
  <c r="Z258" i="18" s="1"/>
  <c r="Y258" i="18" a="1"/>
  <c r="Y258" i="18" s="1"/>
  <c r="X258" i="18" a="1"/>
  <c r="X258" i="18" s="1"/>
  <c r="W258" i="18" a="1"/>
  <c r="W258" i="18" s="1"/>
  <c r="V258" i="18" a="1"/>
  <c r="V258" i="18" s="1"/>
  <c r="U258" i="18" a="1"/>
  <c r="U258" i="18" s="1"/>
  <c r="T258" i="18" a="1"/>
  <c r="T258" i="18" s="1"/>
  <c r="S258" i="18" a="1"/>
  <c r="S258" i="18" s="1"/>
  <c r="R258" i="18" a="1"/>
  <c r="R258" i="18" s="1"/>
  <c r="Q258" i="18" a="1"/>
  <c r="Q258" i="18" s="1"/>
  <c r="P258" i="18" a="1"/>
  <c r="P258" i="18" s="1"/>
  <c r="O258" i="18" a="1"/>
  <c r="O258" i="18" s="1"/>
  <c r="N258" i="18" a="1"/>
  <c r="N258" i="18" s="1"/>
  <c r="M258" i="18" a="1"/>
  <c r="M258" i="18" s="1"/>
  <c r="L258" i="18" a="1"/>
  <c r="L258" i="18" s="1"/>
  <c r="K258" i="18" a="1"/>
  <c r="K258" i="18" s="1"/>
  <c r="J258" i="18" a="1"/>
  <c r="J258" i="18" s="1"/>
  <c r="I258" i="18" a="1"/>
  <c r="I258" i="18" s="1"/>
  <c r="H258" i="18" a="1"/>
  <c r="H258" i="18" s="1"/>
  <c r="G258" i="18" a="1"/>
  <c r="G258" i="18" s="1"/>
  <c r="D258" i="18"/>
  <c r="AW258" i="18" a="1"/>
  <c r="AW258" i="18" s="1"/>
  <c r="AO258" i="18" a="1"/>
  <c r="AO258" i="18" s="1"/>
  <c r="AG258" i="18" a="1"/>
  <c r="AG258" i="18" s="1"/>
  <c r="AH258" i="18" s="1"/>
  <c r="BA258" i="18" a="1"/>
  <c r="BA258" i="18" s="1"/>
  <c r="AS258" i="18" a="1"/>
  <c r="AS258" i="18" s="1"/>
  <c r="AT258" i="18" s="1"/>
  <c r="AK258" i="18" a="1"/>
  <c r="AK258" i="18" s="1"/>
  <c r="BC266" i="18" a="1"/>
  <c r="BC266" i="18" s="1"/>
  <c r="AY266" i="18" a="1"/>
  <c r="AY266" i="18" s="1"/>
  <c r="AU266" i="18" a="1"/>
  <c r="AU266" i="18" s="1"/>
  <c r="AQ266" i="18" a="1"/>
  <c r="AQ266" i="18" s="1"/>
  <c r="AM266" i="18" a="1"/>
  <c r="AM266" i="18" s="1"/>
  <c r="AI266" i="18" a="1"/>
  <c r="AI266" i="18" s="1"/>
  <c r="AE266" i="18" a="1"/>
  <c r="AE266" i="18" s="1"/>
  <c r="AB266" i="18" a="1"/>
  <c r="AB266" i="18" s="1"/>
  <c r="AA266" i="18" a="1"/>
  <c r="AA266" i="18" s="1"/>
  <c r="Z266" i="18" a="1"/>
  <c r="Z266" i="18" s="1"/>
  <c r="Y266" i="18" a="1"/>
  <c r="Y266" i="18" s="1"/>
  <c r="X266" i="18" a="1"/>
  <c r="X266" i="18" s="1"/>
  <c r="W266" i="18" a="1"/>
  <c r="W266" i="18" s="1"/>
  <c r="V266" i="18" a="1"/>
  <c r="V266" i="18" s="1"/>
  <c r="U266" i="18" a="1"/>
  <c r="U266" i="18" s="1"/>
  <c r="T266" i="18" a="1"/>
  <c r="T266" i="18" s="1"/>
  <c r="S266" i="18" a="1"/>
  <c r="S266" i="18" s="1"/>
  <c r="R266" i="18" a="1"/>
  <c r="R266" i="18" s="1"/>
  <c r="Q266" i="18" a="1"/>
  <c r="Q266" i="18" s="1"/>
  <c r="P266" i="18" a="1"/>
  <c r="P266" i="18" s="1"/>
  <c r="O266" i="18" a="1"/>
  <c r="O266" i="18" s="1"/>
  <c r="N266" i="18" a="1"/>
  <c r="N266" i="18" s="1"/>
  <c r="M266" i="18" a="1"/>
  <c r="M266" i="18" s="1"/>
  <c r="L266" i="18" a="1"/>
  <c r="L266" i="18" s="1"/>
  <c r="K266" i="18" a="1"/>
  <c r="K266" i="18" s="1"/>
  <c r="J266" i="18" a="1"/>
  <c r="J266" i="18" s="1"/>
  <c r="I266" i="18" a="1"/>
  <c r="I266" i="18" s="1"/>
  <c r="H266" i="18" a="1"/>
  <c r="H266" i="18" s="1"/>
  <c r="G266" i="18" a="1"/>
  <c r="G266" i="18" s="1"/>
  <c r="D266" i="18"/>
  <c r="AW266" i="18" a="1"/>
  <c r="AW266" i="18" s="1"/>
  <c r="AO266" i="18" a="1"/>
  <c r="AO266" i="18" s="1"/>
  <c r="AG266" i="18" a="1"/>
  <c r="AG266" i="18" s="1"/>
  <c r="AH266" i="18" s="1"/>
  <c r="BA266" i="18" a="1"/>
  <c r="BA266" i="18" s="1"/>
  <c r="AS266" i="18" a="1"/>
  <c r="AS266" i="18" s="1"/>
  <c r="AT266" i="18" s="1"/>
  <c r="AK266" i="18" a="1"/>
  <c r="AK266" i="18" s="1"/>
  <c r="BC274" i="18" a="1"/>
  <c r="BC274" i="18" s="1"/>
  <c r="AY274" i="18" a="1"/>
  <c r="AY274" i="18" s="1"/>
  <c r="AU274" i="18" a="1"/>
  <c r="AU274" i="18" s="1"/>
  <c r="AQ274" i="18" a="1"/>
  <c r="AQ274" i="18" s="1"/>
  <c r="AM274" i="18" a="1"/>
  <c r="AM274" i="18" s="1"/>
  <c r="AI274" i="18" a="1"/>
  <c r="AI274" i="18" s="1"/>
  <c r="AE274" i="18" a="1"/>
  <c r="AE274" i="18" s="1"/>
  <c r="AB274" i="18" a="1"/>
  <c r="AB274" i="18" s="1"/>
  <c r="AA274" i="18" a="1"/>
  <c r="AA274" i="18" s="1"/>
  <c r="Z274" i="18" a="1"/>
  <c r="Z274" i="18" s="1"/>
  <c r="Y274" i="18" a="1"/>
  <c r="Y274" i="18" s="1"/>
  <c r="X274" i="18" a="1"/>
  <c r="X274" i="18" s="1"/>
  <c r="W274" i="18" a="1"/>
  <c r="W274" i="18" s="1"/>
  <c r="V274" i="18" a="1"/>
  <c r="V274" i="18" s="1"/>
  <c r="U274" i="18" a="1"/>
  <c r="U274" i="18" s="1"/>
  <c r="T274" i="18" a="1"/>
  <c r="T274" i="18" s="1"/>
  <c r="S274" i="18" a="1"/>
  <c r="S274" i="18" s="1"/>
  <c r="R274" i="18" a="1"/>
  <c r="R274" i="18" s="1"/>
  <c r="Q274" i="18" a="1"/>
  <c r="Q274" i="18" s="1"/>
  <c r="P274" i="18" a="1"/>
  <c r="P274" i="18" s="1"/>
  <c r="O274" i="18" a="1"/>
  <c r="O274" i="18" s="1"/>
  <c r="N274" i="18" a="1"/>
  <c r="N274" i="18" s="1"/>
  <c r="M274" i="18" a="1"/>
  <c r="M274" i="18" s="1"/>
  <c r="L274" i="18" a="1"/>
  <c r="L274" i="18" s="1"/>
  <c r="K274" i="18" a="1"/>
  <c r="K274" i="18" s="1"/>
  <c r="J274" i="18" a="1"/>
  <c r="J274" i="18" s="1"/>
  <c r="I274" i="18" a="1"/>
  <c r="I274" i="18" s="1"/>
  <c r="H274" i="18" a="1"/>
  <c r="H274" i="18" s="1"/>
  <c r="G274" i="18" a="1"/>
  <c r="G274" i="18" s="1"/>
  <c r="D274" i="18"/>
  <c r="AW274" i="18" a="1"/>
  <c r="AW274" i="18" s="1"/>
  <c r="AO274" i="18" a="1"/>
  <c r="AO274" i="18" s="1"/>
  <c r="AG274" i="18" a="1"/>
  <c r="AG274" i="18" s="1"/>
  <c r="AH274" i="18" s="1"/>
  <c r="BA274" i="18" a="1"/>
  <c r="BA274" i="18" s="1"/>
  <c r="AS274" i="18" a="1"/>
  <c r="AS274" i="18" s="1"/>
  <c r="AT274" i="18" s="1"/>
  <c r="AK274" i="18" a="1"/>
  <c r="AK274" i="18" s="1"/>
  <c r="BC282" i="18" a="1"/>
  <c r="BC282" i="18" s="1"/>
  <c r="AY282" i="18" a="1"/>
  <c r="AY282" i="18" s="1"/>
  <c r="AU282" i="18" a="1"/>
  <c r="AU282" i="18" s="1"/>
  <c r="AQ282" i="18" a="1"/>
  <c r="AQ282" i="18" s="1"/>
  <c r="AM282" i="18" a="1"/>
  <c r="AM282" i="18" s="1"/>
  <c r="AI282" i="18" a="1"/>
  <c r="AI282" i="18" s="1"/>
  <c r="AE282" i="18" a="1"/>
  <c r="AE282" i="18" s="1"/>
  <c r="AB282" i="18" a="1"/>
  <c r="AB282" i="18" s="1"/>
  <c r="AA282" i="18" a="1"/>
  <c r="AA282" i="18" s="1"/>
  <c r="Z282" i="18" a="1"/>
  <c r="Z282" i="18" s="1"/>
  <c r="Y282" i="18" a="1"/>
  <c r="Y282" i="18" s="1"/>
  <c r="X282" i="18" a="1"/>
  <c r="X282" i="18" s="1"/>
  <c r="W282" i="18" a="1"/>
  <c r="W282" i="18" s="1"/>
  <c r="V282" i="18" a="1"/>
  <c r="V282" i="18" s="1"/>
  <c r="U282" i="18" a="1"/>
  <c r="U282" i="18" s="1"/>
  <c r="T282" i="18" a="1"/>
  <c r="T282" i="18" s="1"/>
  <c r="S282" i="18" a="1"/>
  <c r="S282" i="18" s="1"/>
  <c r="R282" i="18" a="1"/>
  <c r="R282" i="18" s="1"/>
  <c r="Q282" i="18" a="1"/>
  <c r="Q282" i="18" s="1"/>
  <c r="P282" i="18" a="1"/>
  <c r="P282" i="18" s="1"/>
  <c r="O282" i="18" a="1"/>
  <c r="O282" i="18" s="1"/>
  <c r="N282" i="18" a="1"/>
  <c r="N282" i="18" s="1"/>
  <c r="M282" i="18" a="1"/>
  <c r="M282" i="18" s="1"/>
  <c r="L282" i="18" a="1"/>
  <c r="L282" i="18" s="1"/>
  <c r="K282" i="18" a="1"/>
  <c r="K282" i="18" s="1"/>
  <c r="J282" i="18" a="1"/>
  <c r="J282" i="18" s="1"/>
  <c r="I282" i="18" a="1"/>
  <c r="I282" i="18" s="1"/>
  <c r="H282" i="18" a="1"/>
  <c r="H282" i="18" s="1"/>
  <c r="G282" i="18" a="1"/>
  <c r="G282" i="18" s="1"/>
  <c r="D282" i="18"/>
  <c r="AW282" i="18" a="1"/>
  <c r="AW282" i="18" s="1"/>
  <c r="AO282" i="18" a="1"/>
  <c r="AO282" i="18" s="1"/>
  <c r="AG282" i="18" a="1"/>
  <c r="AG282" i="18" s="1"/>
  <c r="AH282" i="18" s="1"/>
  <c r="BA282" i="18" a="1"/>
  <c r="BA282" i="18" s="1"/>
  <c r="AS282" i="18" a="1"/>
  <c r="AS282" i="18" s="1"/>
  <c r="AT282" i="18" s="1"/>
  <c r="AK282" i="18" a="1"/>
  <c r="AK282" i="18" s="1"/>
  <c r="BC290" i="18" a="1"/>
  <c r="BC290" i="18" s="1"/>
  <c r="AY290" i="18" a="1"/>
  <c r="AY290" i="18" s="1"/>
  <c r="AU290" i="18" a="1"/>
  <c r="AU290" i="18" s="1"/>
  <c r="AQ290" i="18" a="1"/>
  <c r="AQ290" i="18" s="1"/>
  <c r="AM290" i="18" a="1"/>
  <c r="AM290" i="18" s="1"/>
  <c r="AI290" i="18" a="1"/>
  <c r="AI290" i="18" s="1"/>
  <c r="AE290" i="18" a="1"/>
  <c r="AE290" i="18" s="1"/>
  <c r="AB290" i="18" a="1"/>
  <c r="AB290" i="18" s="1"/>
  <c r="AA290" i="18" a="1"/>
  <c r="AA290" i="18" s="1"/>
  <c r="Z290" i="18" a="1"/>
  <c r="Z290" i="18" s="1"/>
  <c r="Y290" i="18" a="1"/>
  <c r="Y290" i="18" s="1"/>
  <c r="X290" i="18" a="1"/>
  <c r="X290" i="18" s="1"/>
  <c r="W290" i="18" a="1"/>
  <c r="W290" i="18" s="1"/>
  <c r="V290" i="18" a="1"/>
  <c r="V290" i="18" s="1"/>
  <c r="U290" i="18" a="1"/>
  <c r="U290" i="18" s="1"/>
  <c r="T290" i="18" a="1"/>
  <c r="T290" i="18" s="1"/>
  <c r="S290" i="18" a="1"/>
  <c r="S290" i="18" s="1"/>
  <c r="R290" i="18" a="1"/>
  <c r="R290" i="18" s="1"/>
  <c r="Q290" i="18" a="1"/>
  <c r="Q290" i="18" s="1"/>
  <c r="P290" i="18" a="1"/>
  <c r="P290" i="18" s="1"/>
  <c r="O290" i="18" a="1"/>
  <c r="O290" i="18" s="1"/>
  <c r="N290" i="18" a="1"/>
  <c r="N290" i="18" s="1"/>
  <c r="M290" i="18" a="1"/>
  <c r="M290" i="18" s="1"/>
  <c r="L290" i="18" a="1"/>
  <c r="L290" i="18" s="1"/>
  <c r="K290" i="18" a="1"/>
  <c r="K290" i="18" s="1"/>
  <c r="J290" i="18" a="1"/>
  <c r="J290" i="18" s="1"/>
  <c r="I290" i="18" a="1"/>
  <c r="I290" i="18" s="1"/>
  <c r="H290" i="18" a="1"/>
  <c r="H290" i="18" s="1"/>
  <c r="G290" i="18" a="1"/>
  <c r="G290" i="18" s="1"/>
  <c r="D290" i="18"/>
  <c r="AW290" i="18" a="1"/>
  <c r="AW290" i="18" s="1"/>
  <c r="AO290" i="18" a="1"/>
  <c r="AO290" i="18" s="1"/>
  <c r="AG290" i="18" a="1"/>
  <c r="AG290" i="18" s="1"/>
  <c r="AH290" i="18" s="1"/>
  <c r="BA290" i="18" a="1"/>
  <c r="BA290" i="18" s="1"/>
  <c r="AS290" i="18" a="1"/>
  <c r="AS290" i="18" s="1"/>
  <c r="AT290" i="18" s="1"/>
  <c r="AK290" i="18" a="1"/>
  <c r="AK290" i="18" s="1"/>
  <c r="BC298" i="18" a="1"/>
  <c r="BC298" i="18" s="1"/>
  <c r="AY298" i="18" a="1"/>
  <c r="AY298" i="18" s="1"/>
  <c r="AU298" i="18" a="1"/>
  <c r="AU298" i="18" s="1"/>
  <c r="AQ298" i="18" a="1"/>
  <c r="AQ298" i="18" s="1"/>
  <c r="AM298" i="18" a="1"/>
  <c r="AM298" i="18" s="1"/>
  <c r="AI298" i="18" a="1"/>
  <c r="AI298" i="18" s="1"/>
  <c r="AE298" i="18" a="1"/>
  <c r="AE298" i="18" s="1"/>
  <c r="AB298" i="18" a="1"/>
  <c r="AB298" i="18" s="1"/>
  <c r="AA298" i="18" a="1"/>
  <c r="AA298" i="18" s="1"/>
  <c r="Z298" i="18" a="1"/>
  <c r="Z298" i="18" s="1"/>
  <c r="Y298" i="18" a="1"/>
  <c r="Y298" i="18" s="1"/>
  <c r="X298" i="18" a="1"/>
  <c r="X298" i="18" s="1"/>
  <c r="W298" i="18" a="1"/>
  <c r="W298" i="18" s="1"/>
  <c r="V298" i="18" a="1"/>
  <c r="V298" i="18" s="1"/>
  <c r="U298" i="18" a="1"/>
  <c r="U298" i="18" s="1"/>
  <c r="T298" i="18" a="1"/>
  <c r="T298" i="18" s="1"/>
  <c r="S298" i="18" a="1"/>
  <c r="S298" i="18" s="1"/>
  <c r="R298" i="18" a="1"/>
  <c r="R298" i="18" s="1"/>
  <c r="Q298" i="18" a="1"/>
  <c r="Q298" i="18" s="1"/>
  <c r="P298" i="18" a="1"/>
  <c r="P298" i="18" s="1"/>
  <c r="O298" i="18" a="1"/>
  <c r="O298" i="18" s="1"/>
  <c r="N298" i="18" a="1"/>
  <c r="N298" i="18" s="1"/>
  <c r="M298" i="18" a="1"/>
  <c r="M298" i="18" s="1"/>
  <c r="L298" i="18" a="1"/>
  <c r="L298" i="18" s="1"/>
  <c r="K298" i="18" a="1"/>
  <c r="K298" i="18" s="1"/>
  <c r="J298" i="18" a="1"/>
  <c r="J298" i="18" s="1"/>
  <c r="I298" i="18" a="1"/>
  <c r="I298" i="18" s="1"/>
  <c r="H298" i="18" a="1"/>
  <c r="H298" i="18" s="1"/>
  <c r="G298" i="18" a="1"/>
  <c r="G298" i="18" s="1"/>
  <c r="D298" i="18"/>
  <c r="AW298" i="18" a="1"/>
  <c r="AW298" i="18" s="1"/>
  <c r="AO298" i="18" a="1"/>
  <c r="AO298" i="18" s="1"/>
  <c r="AG298" i="18" a="1"/>
  <c r="AG298" i="18" s="1"/>
  <c r="AH298" i="18" s="1"/>
  <c r="BA298" i="18" a="1"/>
  <c r="BA298" i="18" s="1"/>
  <c r="AS298" i="18" a="1"/>
  <c r="AS298" i="18" s="1"/>
  <c r="AT298" i="18" s="1"/>
  <c r="AK298" i="18" a="1"/>
  <c r="AK298" i="18" s="1"/>
  <c r="BC316" i="18" a="1"/>
  <c r="BC316" i="18" s="1"/>
  <c r="AY316" i="18" a="1"/>
  <c r="AY316" i="18" s="1"/>
  <c r="AU316" i="18" a="1"/>
  <c r="AU316" i="18" s="1"/>
  <c r="AQ316" i="18" a="1"/>
  <c r="AQ316" i="18" s="1"/>
  <c r="AM316" i="18" a="1"/>
  <c r="AM316" i="18" s="1"/>
  <c r="AI316" i="18" a="1"/>
  <c r="AI316" i="18" s="1"/>
  <c r="AE316" i="18" a="1"/>
  <c r="AE316" i="18" s="1"/>
  <c r="AB316" i="18" a="1"/>
  <c r="AB316" i="18" s="1"/>
  <c r="AA316" i="18" a="1"/>
  <c r="AA316" i="18" s="1"/>
  <c r="Z316" i="18" a="1"/>
  <c r="Z316" i="18" s="1"/>
  <c r="Y316" i="18" a="1"/>
  <c r="Y316" i="18" s="1"/>
  <c r="X316" i="18" a="1"/>
  <c r="X316" i="18" s="1"/>
  <c r="W316" i="18" a="1"/>
  <c r="W316" i="18" s="1"/>
  <c r="V316" i="18" a="1"/>
  <c r="V316" i="18" s="1"/>
  <c r="U316" i="18" a="1"/>
  <c r="U316" i="18" s="1"/>
  <c r="T316" i="18" a="1"/>
  <c r="T316" i="18" s="1"/>
  <c r="S316" i="18" a="1"/>
  <c r="S316" i="18" s="1"/>
  <c r="R316" i="18" a="1"/>
  <c r="R316" i="18" s="1"/>
  <c r="Q316" i="18" a="1"/>
  <c r="Q316" i="18" s="1"/>
  <c r="P316" i="18" a="1"/>
  <c r="P316" i="18" s="1"/>
  <c r="O316" i="18" a="1"/>
  <c r="O316" i="18" s="1"/>
  <c r="N316" i="18" a="1"/>
  <c r="N316" i="18" s="1"/>
  <c r="M316" i="18" a="1"/>
  <c r="M316" i="18" s="1"/>
  <c r="L316" i="18" a="1"/>
  <c r="L316" i="18" s="1"/>
  <c r="K316" i="18" a="1"/>
  <c r="K316" i="18" s="1"/>
  <c r="J316" i="18" a="1"/>
  <c r="J316" i="18" s="1"/>
  <c r="I316" i="18" a="1"/>
  <c r="I316" i="18" s="1"/>
  <c r="H316" i="18" a="1"/>
  <c r="H316" i="18" s="1"/>
  <c r="G316" i="18" a="1"/>
  <c r="G316" i="18" s="1"/>
  <c r="D316" i="18"/>
  <c r="AW316" i="18" a="1"/>
  <c r="AW316" i="18" s="1"/>
  <c r="AO316" i="18" a="1"/>
  <c r="AO316" i="18" s="1"/>
  <c r="AG316" i="18" a="1"/>
  <c r="AG316" i="18" s="1"/>
  <c r="AH316" i="18" s="1"/>
  <c r="BA316" i="18" a="1"/>
  <c r="BA316" i="18" s="1"/>
  <c r="AK316" i="18" a="1"/>
  <c r="AK316" i="18" s="1"/>
  <c r="AL316" i="18" s="1"/>
  <c r="AS316" i="18" a="1"/>
  <c r="AS316" i="18" s="1"/>
  <c r="BA195" i="18" a="1"/>
  <c r="BA195" i="18" s="1"/>
  <c r="AW195" i="18" a="1"/>
  <c r="AW195" i="18" s="1"/>
  <c r="AS195" i="18" a="1"/>
  <c r="AS195" i="18" s="1"/>
  <c r="AO195" i="18" a="1"/>
  <c r="AO195" i="18" s="1"/>
  <c r="AK195" i="18" a="1"/>
  <c r="AK195" i="18" s="1"/>
  <c r="AG195" i="18" a="1"/>
  <c r="AG195" i="18" s="1"/>
  <c r="BC195" i="18" a="1"/>
  <c r="BC195" i="18" s="1"/>
  <c r="AY195" i="18" a="1"/>
  <c r="AY195" i="18" s="1"/>
  <c r="AU195" i="18" a="1"/>
  <c r="AU195" i="18" s="1"/>
  <c r="AQ195" i="18" a="1"/>
  <c r="AQ195" i="18" s="1"/>
  <c r="AM195" i="18" a="1"/>
  <c r="AM195" i="18" s="1"/>
  <c r="AI195" i="18" a="1"/>
  <c r="AI195" i="18" s="1"/>
  <c r="AE195" i="18" a="1"/>
  <c r="AE195" i="18" s="1"/>
  <c r="AB195" i="18" a="1"/>
  <c r="AB195" i="18" s="1"/>
  <c r="AA195" i="18" a="1"/>
  <c r="AA195" i="18" s="1"/>
  <c r="Z195" i="18" a="1"/>
  <c r="Z195" i="18" s="1"/>
  <c r="Y195" i="18" a="1"/>
  <c r="Y195" i="18" s="1"/>
  <c r="X195" i="18" a="1"/>
  <c r="X195" i="18" s="1"/>
  <c r="W195" i="18" a="1"/>
  <c r="W195" i="18" s="1"/>
  <c r="V195" i="18" a="1"/>
  <c r="V195" i="18" s="1"/>
  <c r="U195" i="18" a="1"/>
  <c r="U195" i="18" s="1"/>
  <c r="T195" i="18" a="1"/>
  <c r="T195" i="18" s="1"/>
  <c r="S195" i="18" a="1"/>
  <c r="S195" i="18" s="1"/>
  <c r="R195" i="18" a="1"/>
  <c r="R195" i="18" s="1"/>
  <c r="Q195" i="18" a="1"/>
  <c r="Q195" i="18" s="1"/>
  <c r="P195" i="18" a="1"/>
  <c r="P195" i="18" s="1"/>
  <c r="O195" i="18" a="1"/>
  <c r="O195" i="18" s="1"/>
  <c r="N195" i="18" a="1"/>
  <c r="N195" i="18" s="1"/>
  <c r="M195" i="18" a="1"/>
  <c r="M195" i="18" s="1"/>
  <c r="L195" i="18" a="1"/>
  <c r="L195" i="18" s="1"/>
  <c r="K195" i="18" a="1"/>
  <c r="K195" i="18" s="1"/>
  <c r="J195" i="18" a="1"/>
  <c r="J195" i="18" s="1"/>
  <c r="I195" i="18" a="1"/>
  <c r="I195" i="18" s="1"/>
  <c r="H195" i="18" a="1"/>
  <c r="H195" i="18" s="1"/>
  <c r="G195" i="18" a="1"/>
  <c r="G195" i="18" s="1"/>
  <c r="D195" i="18"/>
  <c r="BC200" i="18" a="1"/>
  <c r="BC200" i="18" s="1"/>
  <c r="AY200" i="18" a="1"/>
  <c r="AY200" i="18" s="1"/>
  <c r="AU200" i="18" a="1"/>
  <c r="AU200" i="18" s="1"/>
  <c r="AQ200" i="18" a="1"/>
  <c r="AQ200" i="18" s="1"/>
  <c r="AM200" i="18" a="1"/>
  <c r="AM200" i="18" s="1"/>
  <c r="AI200" i="18" a="1"/>
  <c r="AI200" i="18" s="1"/>
  <c r="AE200" i="18" a="1"/>
  <c r="AE200" i="18" s="1"/>
  <c r="AB200" i="18" a="1"/>
  <c r="AB200" i="18" s="1"/>
  <c r="AA200" i="18" a="1"/>
  <c r="AA200" i="18" s="1"/>
  <c r="Z200" i="18" a="1"/>
  <c r="Z200" i="18" s="1"/>
  <c r="Y200" i="18" a="1"/>
  <c r="Y200" i="18" s="1"/>
  <c r="X200" i="18" a="1"/>
  <c r="X200" i="18" s="1"/>
  <c r="W200" i="18" a="1"/>
  <c r="W200" i="18" s="1"/>
  <c r="V200" i="18" a="1"/>
  <c r="V200" i="18" s="1"/>
  <c r="U200" i="18" a="1"/>
  <c r="U200" i="18" s="1"/>
  <c r="T200" i="18" a="1"/>
  <c r="T200" i="18" s="1"/>
  <c r="S200" i="18" a="1"/>
  <c r="S200" i="18" s="1"/>
  <c r="R200" i="18" a="1"/>
  <c r="R200" i="18" s="1"/>
  <c r="Q200" i="18" a="1"/>
  <c r="Q200" i="18" s="1"/>
  <c r="P200" i="18" a="1"/>
  <c r="P200" i="18" s="1"/>
  <c r="O200" i="18" a="1"/>
  <c r="O200" i="18" s="1"/>
  <c r="N200" i="18" a="1"/>
  <c r="N200" i="18" s="1"/>
  <c r="M200" i="18" a="1"/>
  <c r="M200" i="18" s="1"/>
  <c r="L200" i="18" a="1"/>
  <c r="L200" i="18" s="1"/>
  <c r="K200" i="18" a="1"/>
  <c r="K200" i="18" s="1"/>
  <c r="J200" i="18" a="1"/>
  <c r="J200" i="18" s="1"/>
  <c r="I200" i="18" a="1"/>
  <c r="I200" i="18" s="1"/>
  <c r="H200" i="18" a="1"/>
  <c r="H200" i="18" s="1"/>
  <c r="G200" i="18" a="1"/>
  <c r="G200" i="18" s="1"/>
  <c r="D200" i="18"/>
  <c r="BA200" i="18" a="1"/>
  <c r="BA200" i="18" s="1"/>
  <c r="BB200" i="18" s="1"/>
  <c r="AS200" i="18" a="1"/>
  <c r="AS200" i="18" s="1"/>
  <c r="AK200" i="18" a="1"/>
  <c r="AK200" i="18" s="1"/>
  <c r="AW200" i="18" a="1"/>
  <c r="AW200" i="18" s="1"/>
  <c r="AO200" i="18" a="1"/>
  <c r="AO200" i="18" s="1"/>
  <c r="AG200" i="18" a="1"/>
  <c r="AG200" i="18" s="1"/>
  <c r="BC208" i="18" a="1"/>
  <c r="BC208" i="18" s="1"/>
  <c r="AY208" i="18" a="1"/>
  <c r="AY208" i="18" s="1"/>
  <c r="AU208" i="18" a="1"/>
  <c r="AU208" i="18" s="1"/>
  <c r="AQ208" i="18" a="1"/>
  <c r="AQ208" i="18" s="1"/>
  <c r="AM208" i="18" a="1"/>
  <c r="AM208" i="18" s="1"/>
  <c r="AI208" i="18" a="1"/>
  <c r="AI208" i="18" s="1"/>
  <c r="AE208" i="18" a="1"/>
  <c r="AE208" i="18" s="1"/>
  <c r="AB208" i="18" a="1"/>
  <c r="AB208" i="18" s="1"/>
  <c r="AA208" i="18" a="1"/>
  <c r="AA208" i="18" s="1"/>
  <c r="Z208" i="18" a="1"/>
  <c r="Z208" i="18" s="1"/>
  <c r="Y208" i="18" a="1"/>
  <c r="Y208" i="18" s="1"/>
  <c r="X208" i="18" a="1"/>
  <c r="X208" i="18" s="1"/>
  <c r="W208" i="18" a="1"/>
  <c r="W208" i="18" s="1"/>
  <c r="V208" i="18" a="1"/>
  <c r="V208" i="18" s="1"/>
  <c r="U208" i="18" a="1"/>
  <c r="U208" i="18" s="1"/>
  <c r="T208" i="18" a="1"/>
  <c r="T208" i="18" s="1"/>
  <c r="S208" i="18" a="1"/>
  <c r="S208" i="18" s="1"/>
  <c r="R208" i="18" a="1"/>
  <c r="R208" i="18" s="1"/>
  <c r="Q208" i="18" a="1"/>
  <c r="Q208" i="18" s="1"/>
  <c r="P208" i="18" a="1"/>
  <c r="P208" i="18" s="1"/>
  <c r="O208" i="18" a="1"/>
  <c r="O208" i="18" s="1"/>
  <c r="N208" i="18" a="1"/>
  <c r="N208" i="18" s="1"/>
  <c r="M208" i="18" a="1"/>
  <c r="M208" i="18" s="1"/>
  <c r="L208" i="18" a="1"/>
  <c r="L208" i="18" s="1"/>
  <c r="K208" i="18" a="1"/>
  <c r="K208" i="18" s="1"/>
  <c r="J208" i="18" a="1"/>
  <c r="J208" i="18" s="1"/>
  <c r="I208" i="18" a="1"/>
  <c r="I208" i="18" s="1"/>
  <c r="H208" i="18" a="1"/>
  <c r="H208" i="18" s="1"/>
  <c r="G208" i="18" a="1"/>
  <c r="G208" i="18" s="1"/>
  <c r="D208" i="18"/>
  <c r="BA208" i="18" a="1"/>
  <c r="BA208" i="18" s="1"/>
  <c r="BB208" i="18" s="1"/>
  <c r="AS208" i="18" a="1"/>
  <c r="AS208" i="18" s="1"/>
  <c r="AK208" i="18" a="1"/>
  <c r="AK208" i="18" s="1"/>
  <c r="AW208" i="18" a="1"/>
  <c r="AW208" i="18" s="1"/>
  <c r="AO208" i="18" a="1"/>
  <c r="AO208" i="18" s="1"/>
  <c r="AG208" i="18" a="1"/>
  <c r="AG208" i="18" s="1"/>
  <c r="BC216" i="18" a="1"/>
  <c r="BC216" i="18" s="1"/>
  <c r="AY216" i="18" a="1"/>
  <c r="AY216" i="18" s="1"/>
  <c r="AU216" i="18" a="1"/>
  <c r="AU216" i="18" s="1"/>
  <c r="AQ216" i="18" a="1"/>
  <c r="AQ216" i="18" s="1"/>
  <c r="AM216" i="18" a="1"/>
  <c r="AM216" i="18" s="1"/>
  <c r="AI216" i="18" a="1"/>
  <c r="AI216" i="18" s="1"/>
  <c r="AE216" i="18" a="1"/>
  <c r="AE216" i="18" s="1"/>
  <c r="AB216" i="18" a="1"/>
  <c r="AB216" i="18" s="1"/>
  <c r="AA216" i="18" a="1"/>
  <c r="AA216" i="18" s="1"/>
  <c r="Z216" i="18" a="1"/>
  <c r="Z216" i="18" s="1"/>
  <c r="Y216" i="18" a="1"/>
  <c r="Y216" i="18" s="1"/>
  <c r="X216" i="18" a="1"/>
  <c r="X216" i="18" s="1"/>
  <c r="W216" i="18" a="1"/>
  <c r="W216" i="18" s="1"/>
  <c r="V216" i="18" a="1"/>
  <c r="V216" i="18" s="1"/>
  <c r="U216" i="18" a="1"/>
  <c r="U216" i="18" s="1"/>
  <c r="T216" i="18" a="1"/>
  <c r="T216" i="18" s="1"/>
  <c r="S216" i="18" a="1"/>
  <c r="S216" i="18" s="1"/>
  <c r="R216" i="18" a="1"/>
  <c r="R216" i="18" s="1"/>
  <c r="Q216" i="18" a="1"/>
  <c r="Q216" i="18" s="1"/>
  <c r="P216" i="18" a="1"/>
  <c r="P216" i="18" s="1"/>
  <c r="O216" i="18" a="1"/>
  <c r="O216" i="18" s="1"/>
  <c r="N216" i="18" a="1"/>
  <c r="N216" i="18" s="1"/>
  <c r="M216" i="18" a="1"/>
  <c r="M216" i="18" s="1"/>
  <c r="L216" i="18" a="1"/>
  <c r="L216" i="18" s="1"/>
  <c r="K216" i="18" a="1"/>
  <c r="K216" i="18" s="1"/>
  <c r="J216" i="18" a="1"/>
  <c r="J216" i="18" s="1"/>
  <c r="I216" i="18" a="1"/>
  <c r="I216" i="18" s="1"/>
  <c r="H216" i="18" a="1"/>
  <c r="H216" i="18" s="1"/>
  <c r="G216" i="18" a="1"/>
  <c r="G216" i="18" s="1"/>
  <c r="D216" i="18"/>
  <c r="BA216" i="18" a="1"/>
  <c r="BA216" i="18" s="1"/>
  <c r="BB216" i="18" s="1"/>
  <c r="AS216" i="18" a="1"/>
  <c r="AS216" i="18" s="1"/>
  <c r="AK216" i="18" a="1"/>
  <c r="AK216" i="18" s="1"/>
  <c r="AW216" i="18" a="1"/>
  <c r="AW216" i="18" s="1"/>
  <c r="AO216" i="18" a="1"/>
  <c r="AO216" i="18" s="1"/>
  <c r="AG216" i="18" a="1"/>
  <c r="AG216" i="18" s="1"/>
  <c r="BC224" i="18" a="1"/>
  <c r="BC224" i="18" s="1"/>
  <c r="AY224" i="18" a="1"/>
  <c r="AY224" i="18" s="1"/>
  <c r="AU224" i="18" a="1"/>
  <c r="AU224" i="18" s="1"/>
  <c r="AQ224" i="18" a="1"/>
  <c r="AQ224" i="18" s="1"/>
  <c r="AM224" i="18" a="1"/>
  <c r="AM224" i="18" s="1"/>
  <c r="AI224" i="18" a="1"/>
  <c r="AI224" i="18" s="1"/>
  <c r="AE224" i="18" a="1"/>
  <c r="AE224" i="18" s="1"/>
  <c r="AB224" i="18" a="1"/>
  <c r="AB224" i="18" s="1"/>
  <c r="AA224" i="18" a="1"/>
  <c r="AA224" i="18" s="1"/>
  <c r="Z224" i="18" a="1"/>
  <c r="Z224" i="18" s="1"/>
  <c r="Y224" i="18" a="1"/>
  <c r="Y224" i="18" s="1"/>
  <c r="X224" i="18" a="1"/>
  <c r="X224" i="18" s="1"/>
  <c r="W224" i="18" a="1"/>
  <c r="W224" i="18" s="1"/>
  <c r="V224" i="18" a="1"/>
  <c r="V224" i="18" s="1"/>
  <c r="U224" i="18" a="1"/>
  <c r="U224" i="18" s="1"/>
  <c r="T224" i="18" a="1"/>
  <c r="T224" i="18" s="1"/>
  <c r="S224" i="18" a="1"/>
  <c r="S224" i="18" s="1"/>
  <c r="R224" i="18" a="1"/>
  <c r="R224" i="18" s="1"/>
  <c r="Q224" i="18" a="1"/>
  <c r="Q224" i="18" s="1"/>
  <c r="P224" i="18" a="1"/>
  <c r="P224" i="18" s="1"/>
  <c r="O224" i="18" a="1"/>
  <c r="O224" i="18" s="1"/>
  <c r="N224" i="18" a="1"/>
  <c r="N224" i="18" s="1"/>
  <c r="M224" i="18" a="1"/>
  <c r="M224" i="18" s="1"/>
  <c r="L224" i="18" a="1"/>
  <c r="L224" i="18" s="1"/>
  <c r="K224" i="18" a="1"/>
  <c r="K224" i="18" s="1"/>
  <c r="J224" i="18" a="1"/>
  <c r="J224" i="18" s="1"/>
  <c r="I224" i="18" a="1"/>
  <c r="I224" i="18" s="1"/>
  <c r="H224" i="18" a="1"/>
  <c r="H224" i="18" s="1"/>
  <c r="G224" i="18" a="1"/>
  <c r="G224" i="18" s="1"/>
  <c r="D224" i="18"/>
  <c r="BA224" i="18" a="1"/>
  <c r="BA224" i="18" s="1"/>
  <c r="BB224" i="18" s="1"/>
  <c r="AS224" i="18" a="1"/>
  <c r="AS224" i="18" s="1"/>
  <c r="AK224" i="18" a="1"/>
  <c r="AK224" i="18" s="1"/>
  <c r="AW224" i="18" a="1"/>
  <c r="AW224" i="18" s="1"/>
  <c r="AO224" i="18" a="1"/>
  <c r="AO224" i="18" s="1"/>
  <c r="AG224" i="18" a="1"/>
  <c r="AG224" i="18" s="1"/>
  <c r="BC232" i="18" a="1"/>
  <c r="BC232" i="18" s="1"/>
  <c r="AY232" i="18" a="1"/>
  <c r="AY232" i="18" s="1"/>
  <c r="AU232" i="18" a="1"/>
  <c r="AU232" i="18" s="1"/>
  <c r="AQ232" i="18" a="1"/>
  <c r="AQ232" i="18" s="1"/>
  <c r="AM232" i="18" a="1"/>
  <c r="AM232" i="18" s="1"/>
  <c r="AI232" i="18" a="1"/>
  <c r="AI232" i="18" s="1"/>
  <c r="AE232" i="18" a="1"/>
  <c r="AE232" i="18" s="1"/>
  <c r="AB232" i="18" a="1"/>
  <c r="AB232" i="18" s="1"/>
  <c r="AA232" i="18" a="1"/>
  <c r="AA232" i="18" s="1"/>
  <c r="Z232" i="18" a="1"/>
  <c r="Z232" i="18" s="1"/>
  <c r="Y232" i="18" a="1"/>
  <c r="Y232" i="18" s="1"/>
  <c r="X232" i="18" a="1"/>
  <c r="X232" i="18" s="1"/>
  <c r="W232" i="18" a="1"/>
  <c r="W232" i="18" s="1"/>
  <c r="V232" i="18" a="1"/>
  <c r="V232" i="18" s="1"/>
  <c r="U232" i="18" a="1"/>
  <c r="U232" i="18" s="1"/>
  <c r="T232" i="18" a="1"/>
  <c r="T232" i="18" s="1"/>
  <c r="S232" i="18" a="1"/>
  <c r="S232" i="18" s="1"/>
  <c r="R232" i="18" a="1"/>
  <c r="R232" i="18" s="1"/>
  <c r="Q232" i="18" a="1"/>
  <c r="Q232" i="18" s="1"/>
  <c r="P232" i="18" a="1"/>
  <c r="P232" i="18" s="1"/>
  <c r="O232" i="18" a="1"/>
  <c r="O232" i="18" s="1"/>
  <c r="N232" i="18" a="1"/>
  <c r="N232" i="18" s="1"/>
  <c r="M232" i="18" a="1"/>
  <c r="M232" i="18" s="1"/>
  <c r="L232" i="18" a="1"/>
  <c r="L232" i="18" s="1"/>
  <c r="K232" i="18" a="1"/>
  <c r="K232" i="18" s="1"/>
  <c r="J232" i="18" a="1"/>
  <c r="J232" i="18" s="1"/>
  <c r="I232" i="18" a="1"/>
  <c r="I232" i="18" s="1"/>
  <c r="H232" i="18" a="1"/>
  <c r="H232" i="18" s="1"/>
  <c r="G232" i="18" a="1"/>
  <c r="G232" i="18" s="1"/>
  <c r="D232" i="18"/>
  <c r="BA232" i="18" a="1"/>
  <c r="BA232" i="18" s="1"/>
  <c r="BB232" i="18" s="1"/>
  <c r="AS232" i="18" a="1"/>
  <c r="AS232" i="18" s="1"/>
  <c r="AK232" i="18" a="1"/>
  <c r="AK232" i="18" s="1"/>
  <c r="AW232" i="18" a="1"/>
  <c r="AW232" i="18" s="1"/>
  <c r="AO232" i="18" a="1"/>
  <c r="AO232" i="18" s="1"/>
  <c r="AG232" i="18" a="1"/>
  <c r="AG232" i="18" s="1"/>
  <c r="BC240" i="18" a="1"/>
  <c r="BC240" i="18" s="1"/>
  <c r="AY240" i="18" a="1"/>
  <c r="AY240" i="18" s="1"/>
  <c r="AU240" i="18" a="1"/>
  <c r="AU240" i="18" s="1"/>
  <c r="AQ240" i="18" a="1"/>
  <c r="AQ240" i="18" s="1"/>
  <c r="AM240" i="18" a="1"/>
  <c r="AM240" i="18" s="1"/>
  <c r="AI240" i="18" a="1"/>
  <c r="AI240" i="18" s="1"/>
  <c r="AE240" i="18" a="1"/>
  <c r="AE240" i="18" s="1"/>
  <c r="AB240" i="18" a="1"/>
  <c r="AB240" i="18" s="1"/>
  <c r="AA240" i="18" a="1"/>
  <c r="AA240" i="18" s="1"/>
  <c r="Z240" i="18" a="1"/>
  <c r="Z240" i="18" s="1"/>
  <c r="Y240" i="18" a="1"/>
  <c r="Y240" i="18" s="1"/>
  <c r="X240" i="18" a="1"/>
  <c r="X240" i="18" s="1"/>
  <c r="W240" i="18" a="1"/>
  <c r="W240" i="18" s="1"/>
  <c r="V240" i="18" a="1"/>
  <c r="V240" i="18" s="1"/>
  <c r="U240" i="18" a="1"/>
  <c r="U240" i="18" s="1"/>
  <c r="T240" i="18" a="1"/>
  <c r="T240" i="18" s="1"/>
  <c r="S240" i="18" a="1"/>
  <c r="S240" i="18" s="1"/>
  <c r="R240" i="18" a="1"/>
  <c r="R240" i="18" s="1"/>
  <c r="Q240" i="18" a="1"/>
  <c r="Q240" i="18" s="1"/>
  <c r="P240" i="18" a="1"/>
  <c r="P240" i="18" s="1"/>
  <c r="O240" i="18" a="1"/>
  <c r="O240" i="18" s="1"/>
  <c r="N240" i="18" a="1"/>
  <c r="N240" i="18" s="1"/>
  <c r="M240" i="18" a="1"/>
  <c r="M240" i="18" s="1"/>
  <c r="L240" i="18" a="1"/>
  <c r="L240" i="18" s="1"/>
  <c r="K240" i="18" a="1"/>
  <c r="K240" i="18" s="1"/>
  <c r="J240" i="18" a="1"/>
  <c r="J240" i="18" s="1"/>
  <c r="I240" i="18" a="1"/>
  <c r="I240" i="18" s="1"/>
  <c r="H240" i="18" a="1"/>
  <c r="H240" i="18" s="1"/>
  <c r="G240" i="18" a="1"/>
  <c r="G240" i="18" s="1"/>
  <c r="D240" i="18"/>
  <c r="BA240" i="18" a="1"/>
  <c r="BA240" i="18" s="1"/>
  <c r="BB240" i="18" s="1"/>
  <c r="AS240" i="18" a="1"/>
  <c r="AS240" i="18" s="1"/>
  <c r="AK240" i="18" a="1"/>
  <c r="AK240" i="18" s="1"/>
  <c r="AW240" i="18" a="1"/>
  <c r="AW240" i="18" s="1"/>
  <c r="AO240" i="18" a="1"/>
  <c r="AO240" i="18" s="1"/>
  <c r="AG240" i="18" a="1"/>
  <c r="AG240" i="18" s="1"/>
  <c r="BC248" i="18" a="1"/>
  <c r="BC248" i="18" s="1"/>
  <c r="AY248" i="18" a="1"/>
  <c r="AY248" i="18" s="1"/>
  <c r="AU248" i="18" a="1"/>
  <c r="AU248" i="18" s="1"/>
  <c r="AQ248" i="18" a="1"/>
  <c r="AQ248" i="18" s="1"/>
  <c r="AM248" i="18" a="1"/>
  <c r="AM248" i="18" s="1"/>
  <c r="AI248" i="18" a="1"/>
  <c r="AI248" i="18" s="1"/>
  <c r="AE248" i="18" a="1"/>
  <c r="AE248" i="18" s="1"/>
  <c r="AB248" i="18" a="1"/>
  <c r="AB248" i="18" s="1"/>
  <c r="AA248" i="18" a="1"/>
  <c r="AA248" i="18" s="1"/>
  <c r="Z248" i="18" a="1"/>
  <c r="Z248" i="18" s="1"/>
  <c r="Y248" i="18" a="1"/>
  <c r="Y248" i="18" s="1"/>
  <c r="X248" i="18" a="1"/>
  <c r="X248" i="18" s="1"/>
  <c r="W248" i="18" a="1"/>
  <c r="W248" i="18" s="1"/>
  <c r="V248" i="18" a="1"/>
  <c r="V248" i="18" s="1"/>
  <c r="U248" i="18" a="1"/>
  <c r="U248" i="18" s="1"/>
  <c r="T248" i="18" a="1"/>
  <c r="T248" i="18" s="1"/>
  <c r="S248" i="18" a="1"/>
  <c r="S248" i="18" s="1"/>
  <c r="R248" i="18" a="1"/>
  <c r="R248" i="18" s="1"/>
  <c r="Q248" i="18" a="1"/>
  <c r="Q248" i="18" s="1"/>
  <c r="P248" i="18" a="1"/>
  <c r="P248" i="18" s="1"/>
  <c r="O248" i="18" a="1"/>
  <c r="O248" i="18" s="1"/>
  <c r="N248" i="18" a="1"/>
  <c r="N248" i="18" s="1"/>
  <c r="M248" i="18" a="1"/>
  <c r="M248" i="18" s="1"/>
  <c r="L248" i="18" a="1"/>
  <c r="L248" i="18" s="1"/>
  <c r="K248" i="18" a="1"/>
  <c r="K248" i="18" s="1"/>
  <c r="J248" i="18" a="1"/>
  <c r="J248" i="18" s="1"/>
  <c r="I248" i="18" a="1"/>
  <c r="I248" i="18" s="1"/>
  <c r="H248" i="18" a="1"/>
  <c r="H248" i="18" s="1"/>
  <c r="G248" i="18" a="1"/>
  <c r="G248" i="18" s="1"/>
  <c r="D248" i="18"/>
  <c r="BA248" i="18" a="1"/>
  <c r="BA248" i="18" s="1"/>
  <c r="BB248" i="18" s="1"/>
  <c r="AS248" i="18" a="1"/>
  <c r="AS248" i="18" s="1"/>
  <c r="AK248" i="18" a="1"/>
  <c r="AK248" i="18" s="1"/>
  <c r="AW248" i="18" a="1"/>
  <c r="AW248" i="18" s="1"/>
  <c r="AO248" i="18" a="1"/>
  <c r="AO248" i="18" s="1"/>
  <c r="AG248" i="18" a="1"/>
  <c r="AG248" i="18" s="1"/>
  <c r="BC256" i="18" a="1"/>
  <c r="BC256" i="18" s="1"/>
  <c r="AY256" i="18" a="1"/>
  <c r="AY256" i="18" s="1"/>
  <c r="AU256" i="18" a="1"/>
  <c r="AU256" i="18" s="1"/>
  <c r="AQ256" i="18" a="1"/>
  <c r="AQ256" i="18" s="1"/>
  <c r="AM256" i="18" a="1"/>
  <c r="AM256" i="18" s="1"/>
  <c r="AI256" i="18" a="1"/>
  <c r="AI256" i="18" s="1"/>
  <c r="AE256" i="18" a="1"/>
  <c r="AE256" i="18" s="1"/>
  <c r="AB256" i="18" a="1"/>
  <c r="AB256" i="18" s="1"/>
  <c r="AA256" i="18" a="1"/>
  <c r="AA256" i="18" s="1"/>
  <c r="Z256" i="18" a="1"/>
  <c r="Z256" i="18" s="1"/>
  <c r="Y256" i="18" a="1"/>
  <c r="Y256" i="18" s="1"/>
  <c r="X256" i="18" a="1"/>
  <c r="X256" i="18" s="1"/>
  <c r="W256" i="18" a="1"/>
  <c r="W256" i="18" s="1"/>
  <c r="V256" i="18" a="1"/>
  <c r="V256" i="18" s="1"/>
  <c r="U256" i="18" a="1"/>
  <c r="U256" i="18" s="1"/>
  <c r="T256" i="18" a="1"/>
  <c r="T256" i="18" s="1"/>
  <c r="S256" i="18" a="1"/>
  <c r="S256" i="18" s="1"/>
  <c r="R256" i="18" a="1"/>
  <c r="R256" i="18" s="1"/>
  <c r="Q256" i="18" a="1"/>
  <c r="Q256" i="18" s="1"/>
  <c r="P256" i="18" a="1"/>
  <c r="P256" i="18" s="1"/>
  <c r="O256" i="18" a="1"/>
  <c r="O256" i="18" s="1"/>
  <c r="N256" i="18" a="1"/>
  <c r="N256" i="18" s="1"/>
  <c r="M256" i="18" a="1"/>
  <c r="M256" i="18" s="1"/>
  <c r="L256" i="18" a="1"/>
  <c r="L256" i="18" s="1"/>
  <c r="K256" i="18" a="1"/>
  <c r="K256" i="18" s="1"/>
  <c r="J256" i="18" a="1"/>
  <c r="J256" i="18" s="1"/>
  <c r="I256" i="18" a="1"/>
  <c r="I256" i="18" s="1"/>
  <c r="H256" i="18" a="1"/>
  <c r="H256" i="18" s="1"/>
  <c r="G256" i="18" a="1"/>
  <c r="G256" i="18" s="1"/>
  <c r="D256" i="18"/>
  <c r="BA256" i="18" a="1"/>
  <c r="BA256" i="18" s="1"/>
  <c r="BB256" i="18" s="1"/>
  <c r="AS256" i="18" a="1"/>
  <c r="AS256" i="18" s="1"/>
  <c r="AK256" i="18" a="1"/>
  <c r="AK256" i="18" s="1"/>
  <c r="AW256" i="18" a="1"/>
  <c r="AW256" i="18" s="1"/>
  <c r="AO256" i="18" a="1"/>
  <c r="AO256" i="18" s="1"/>
  <c r="AG256" i="18" a="1"/>
  <c r="AG256" i="18" s="1"/>
  <c r="BC264" i="18" a="1"/>
  <c r="BC264" i="18" s="1"/>
  <c r="AY264" i="18" a="1"/>
  <c r="AY264" i="18" s="1"/>
  <c r="AU264" i="18" a="1"/>
  <c r="AU264" i="18" s="1"/>
  <c r="AQ264" i="18" a="1"/>
  <c r="AQ264" i="18" s="1"/>
  <c r="AM264" i="18" a="1"/>
  <c r="AM264" i="18" s="1"/>
  <c r="AI264" i="18" a="1"/>
  <c r="AI264" i="18" s="1"/>
  <c r="AE264" i="18" a="1"/>
  <c r="AE264" i="18" s="1"/>
  <c r="AB264" i="18" a="1"/>
  <c r="AB264" i="18" s="1"/>
  <c r="AA264" i="18" a="1"/>
  <c r="AA264" i="18" s="1"/>
  <c r="Z264" i="18" a="1"/>
  <c r="Z264" i="18" s="1"/>
  <c r="Y264" i="18" a="1"/>
  <c r="Y264" i="18" s="1"/>
  <c r="X264" i="18" a="1"/>
  <c r="X264" i="18" s="1"/>
  <c r="W264" i="18" a="1"/>
  <c r="W264" i="18" s="1"/>
  <c r="V264" i="18" a="1"/>
  <c r="V264" i="18" s="1"/>
  <c r="U264" i="18" a="1"/>
  <c r="U264" i="18" s="1"/>
  <c r="T264" i="18" a="1"/>
  <c r="T264" i="18" s="1"/>
  <c r="S264" i="18" a="1"/>
  <c r="S264" i="18" s="1"/>
  <c r="R264" i="18" a="1"/>
  <c r="R264" i="18" s="1"/>
  <c r="Q264" i="18" a="1"/>
  <c r="Q264" i="18" s="1"/>
  <c r="P264" i="18" a="1"/>
  <c r="P264" i="18" s="1"/>
  <c r="O264" i="18" a="1"/>
  <c r="O264" i="18" s="1"/>
  <c r="N264" i="18" a="1"/>
  <c r="N264" i="18" s="1"/>
  <c r="M264" i="18" a="1"/>
  <c r="M264" i="18" s="1"/>
  <c r="L264" i="18" a="1"/>
  <c r="L264" i="18" s="1"/>
  <c r="K264" i="18" a="1"/>
  <c r="K264" i="18" s="1"/>
  <c r="J264" i="18" a="1"/>
  <c r="J264" i="18" s="1"/>
  <c r="I264" i="18" a="1"/>
  <c r="I264" i="18" s="1"/>
  <c r="H264" i="18" a="1"/>
  <c r="H264" i="18" s="1"/>
  <c r="G264" i="18" a="1"/>
  <c r="G264" i="18" s="1"/>
  <c r="D264" i="18"/>
  <c r="BA264" i="18" a="1"/>
  <c r="BA264" i="18" s="1"/>
  <c r="BB264" i="18" s="1"/>
  <c r="AS264" i="18" a="1"/>
  <c r="AS264" i="18" s="1"/>
  <c r="AK264" i="18" a="1"/>
  <c r="AK264" i="18" s="1"/>
  <c r="AW264" i="18" a="1"/>
  <c r="AW264" i="18" s="1"/>
  <c r="AO264" i="18" a="1"/>
  <c r="AO264" i="18" s="1"/>
  <c r="AG264" i="18" a="1"/>
  <c r="AG264" i="18" s="1"/>
  <c r="BC272" i="18" a="1"/>
  <c r="BC272" i="18" s="1"/>
  <c r="AY272" i="18" a="1"/>
  <c r="AY272" i="18" s="1"/>
  <c r="AU272" i="18" a="1"/>
  <c r="AU272" i="18" s="1"/>
  <c r="AQ272" i="18" a="1"/>
  <c r="AQ272" i="18" s="1"/>
  <c r="AM272" i="18" a="1"/>
  <c r="AM272" i="18" s="1"/>
  <c r="AI272" i="18" a="1"/>
  <c r="AI272" i="18" s="1"/>
  <c r="AE272" i="18" a="1"/>
  <c r="AE272" i="18" s="1"/>
  <c r="AB272" i="18" a="1"/>
  <c r="AB272" i="18" s="1"/>
  <c r="AA272" i="18" a="1"/>
  <c r="AA272" i="18" s="1"/>
  <c r="Z272" i="18" a="1"/>
  <c r="Z272" i="18" s="1"/>
  <c r="Y272" i="18" a="1"/>
  <c r="Y272" i="18" s="1"/>
  <c r="X272" i="18" a="1"/>
  <c r="X272" i="18" s="1"/>
  <c r="W272" i="18" a="1"/>
  <c r="W272" i="18" s="1"/>
  <c r="V272" i="18" a="1"/>
  <c r="V272" i="18" s="1"/>
  <c r="U272" i="18" a="1"/>
  <c r="U272" i="18" s="1"/>
  <c r="T272" i="18" a="1"/>
  <c r="T272" i="18" s="1"/>
  <c r="S272" i="18" a="1"/>
  <c r="S272" i="18" s="1"/>
  <c r="R272" i="18" a="1"/>
  <c r="R272" i="18" s="1"/>
  <c r="Q272" i="18" a="1"/>
  <c r="Q272" i="18" s="1"/>
  <c r="P272" i="18" a="1"/>
  <c r="P272" i="18" s="1"/>
  <c r="O272" i="18" a="1"/>
  <c r="O272" i="18" s="1"/>
  <c r="N272" i="18" a="1"/>
  <c r="N272" i="18" s="1"/>
  <c r="M272" i="18" a="1"/>
  <c r="M272" i="18" s="1"/>
  <c r="L272" i="18" a="1"/>
  <c r="L272" i="18" s="1"/>
  <c r="K272" i="18" a="1"/>
  <c r="K272" i="18" s="1"/>
  <c r="J272" i="18" a="1"/>
  <c r="J272" i="18" s="1"/>
  <c r="I272" i="18" a="1"/>
  <c r="I272" i="18" s="1"/>
  <c r="H272" i="18" a="1"/>
  <c r="H272" i="18" s="1"/>
  <c r="G272" i="18" a="1"/>
  <c r="G272" i="18" s="1"/>
  <c r="D272" i="18"/>
  <c r="BA272" i="18" a="1"/>
  <c r="BA272" i="18" s="1"/>
  <c r="BB272" i="18" s="1"/>
  <c r="AS272" i="18" a="1"/>
  <c r="AS272" i="18" s="1"/>
  <c r="AK272" i="18" a="1"/>
  <c r="AK272" i="18" s="1"/>
  <c r="AW272" i="18" a="1"/>
  <c r="AW272" i="18" s="1"/>
  <c r="AO272" i="18" a="1"/>
  <c r="AO272" i="18" s="1"/>
  <c r="AG272" i="18" a="1"/>
  <c r="AG272" i="18" s="1"/>
  <c r="BC280" i="18" a="1"/>
  <c r="BC280" i="18" s="1"/>
  <c r="AY280" i="18" a="1"/>
  <c r="AY280" i="18" s="1"/>
  <c r="AU280" i="18" a="1"/>
  <c r="AU280" i="18" s="1"/>
  <c r="AQ280" i="18" a="1"/>
  <c r="AQ280" i="18" s="1"/>
  <c r="AM280" i="18" a="1"/>
  <c r="AM280" i="18" s="1"/>
  <c r="AI280" i="18" a="1"/>
  <c r="AI280" i="18" s="1"/>
  <c r="AE280" i="18" a="1"/>
  <c r="AE280" i="18" s="1"/>
  <c r="AB280" i="18" a="1"/>
  <c r="AB280" i="18" s="1"/>
  <c r="AA280" i="18" a="1"/>
  <c r="AA280" i="18" s="1"/>
  <c r="Z280" i="18" a="1"/>
  <c r="Z280" i="18" s="1"/>
  <c r="Y280" i="18" a="1"/>
  <c r="Y280" i="18" s="1"/>
  <c r="X280" i="18" a="1"/>
  <c r="X280" i="18" s="1"/>
  <c r="W280" i="18" a="1"/>
  <c r="W280" i="18" s="1"/>
  <c r="V280" i="18" a="1"/>
  <c r="V280" i="18" s="1"/>
  <c r="U280" i="18" a="1"/>
  <c r="U280" i="18" s="1"/>
  <c r="T280" i="18" a="1"/>
  <c r="T280" i="18" s="1"/>
  <c r="S280" i="18" a="1"/>
  <c r="S280" i="18" s="1"/>
  <c r="R280" i="18" a="1"/>
  <c r="R280" i="18" s="1"/>
  <c r="Q280" i="18" a="1"/>
  <c r="Q280" i="18" s="1"/>
  <c r="P280" i="18" a="1"/>
  <c r="P280" i="18" s="1"/>
  <c r="O280" i="18" a="1"/>
  <c r="O280" i="18" s="1"/>
  <c r="N280" i="18" a="1"/>
  <c r="N280" i="18" s="1"/>
  <c r="M280" i="18" a="1"/>
  <c r="M280" i="18" s="1"/>
  <c r="L280" i="18" a="1"/>
  <c r="L280" i="18" s="1"/>
  <c r="K280" i="18" a="1"/>
  <c r="K280" i="18" s="1"/>
  <c r="J280" i="18" a="1"/>
  <c r="J280" i="18" s="1"/>
  <c r="I280" i="18" a="1"/>
  <c r="I280" i="18" s="1"/>
  <c r="H280" i="18" a="1"/>
  <c r="H280" i="18" s="1"/>
  <c r="G280" i="18" a="1"/>
  <c r="G280" i="18" s="1"/>
  <c r="D280" i="18"/>
  <c r="BA280" i="18" a="1"/>
  <c r="BA280" i="18" s="1"/>
  <c r="BB280" i="18" s="1"/>
  <c r="AS280" i="18" a="1"/>
  <c r="AS280" i="18" s="1"/>
  <c r="AK280" i="18" a="1"/>
  <c r="AK280" i="18" s="1"/>
  <c r="AW280" i="18" a="1"/>
  <c r="AW280" i="18" s="1"/>
  <c r="AO280" i="18" a="1"/>
  <c r="AO280" i="18" s="1"/>
  <c r="AG280" i="18" a="1"/>
  <c r="AG280" i="18" s="1"/>
  <c r="BC288" i="18" a="1"/>
  <c r="BC288" i="18" s="1"/>
  <c r="AY288" i="18" a="1"/>
  <c r="AY288" i="18" s="1"/>
  <c r="AU288" i="18" a="1"/>
  <c r="AU288" i="18" s="1"/>
  <c r="AQ288" i="18" a="1"/>
  <c r="AQ288" i="18" s="1"/>
  <c r="AM288" i="18" a="1"/>
  <c r="AM288" i="18" s="1"/>
  <c r="AI288" i="18" a="1"/>
  <c r="AI288" i="18" s="1"/>
  <c r="AE288" i="18" a="1"/>
  <c r="AE288" i="18" s="1"/>
  <c r="AB288" i="18" a="1"/>
  <c r="AB288" i="18" s="1"/>
  <c r="AA288" i="18" a="1"/>
  <c r="AA288" i="18" s="1"/>
  <c r="Z288" i="18" a="1"/>
  <c r="Z288" i="18" s="1"/>
  <c r="Y288" i="18" a="1"/>
  <c r="Y288" i="18" s="1"/>
  <c r="X288" i="18" a="1"/>
  <c r="X288" i="18" s="1"/>
  <c r="W288" i="18" a="1"/>
  <c r="W288" i="18" s="1"/>
  <c r="V288" i="18" a="1"/>
  <c r="V288" i="18" s="1"/>
  <c r="U288" i="18" a="1"/>
  <c r="U288" i="18" s="1"/>
  <c r="T288" i="18" a="1"/>
  <c r="T288" i="18" s="1"/>
  <c r="S288" i="18" a="1"/>
  <c r="S288" i="18" s="1"/>
  <c r="R288" i="18" a="1"/>
  <c r="R288" i="18" s="1"/>
  <c r="Q288" i="18" a="1"/>
  <c r="Q288" i="18" s="1"/>
  <c r="P288" i="18" a="1"/>
  <c r="P288" i="18" s="1"/>
  <c r="O288" i="18" a="1"/>
  <c r="O288" i="18" s="1"/>
  <c r="N288" i="18" a="1"/>
  <c r="N288" i="18" s="1"/>
  <c r="M288" i="18" a="1"/>
  <c r="M288" i="18" s="1"/>
  <c r="L288" i="18" a="1"/>
  <c r="L288" i="18" s="1"/>
  <c r="K288" i="18" a="1"/>
  <c r="K288" i="18" s="1"/>
  <c r="J288" i="18" a="1"/>
  <c r="J288" i="18" s="1"/>
  <c r="I288" i="18" a="1"/>
  <c r="I288" i="18" s="1"/>
  <c r="H288" i="18" a="1"/>
  <c r="H288" i="18" s="1"/>
  <c r="G288" i="18" a="1"/>
  <c r="G288" i="18" s="1"/>
  <c r="D288" i="18"/>
  <c r="BA288" i="18" a="1"/>
  <c r="BA288" i="18" s="1"/>
  <c r="BB288" i="18" s="1"/>
  <c r="AS288" i="18" a="1"/>
  <c r="AS288" i="18" s="1"/>
  <c r="AK288" i="18" a="1"/>
  <c r="AK288" i="18" s="1"/>
  <c r="AW288" i="18" a="1"/>
  <c r="AW288" i="18" s="1"/>
  <c r="AO288" i="18" a="1"/>
  <c r="AO288" i="18" s="1"/>
  <c r="AG288" i="18" a="1"/>
  <c r="AG288" i="18" s="1"/>
  <c r="BC296" i="18" a="1"/>
  <c r="BC296" i="18" s="1"/>
  <c r="AY296" i="18" a="1"/>
  <c r="AY296" i="18" s="1"/>
  <c r="AU296" i="18" a="1"/>
  <c r="AU296" i="18" s="1"/>
  <c r="AQ296" i="18" a="1"/>
  <c r="AQ296" i="18" s="1"/>
  <c r="AM296" i="18" a="1"/>
  <c r="AM296" i="18" s="1"/>
  <c r="AI296" i="18" a="1"/>
  <c r="AI296" i="18" s="1"/>
  <c r="AE296" i="18" a="1"/>
  <c r="AE296" i="18" s="1"/>
  <c r="AB296" i="18" a="1"/>
  <c r="AB296" i="18" s="1"/>
  <c r="AA296" i="18" a="1"/>
  <c r="AA296" i="18" s="1"/>
  <c r="Z296" i="18" a="1"/>
  <c r="Z296" i="18" s="1"/>
  <c r="Y296" i="18" a="1"/>
  <c r="Y296" i="18" s="1"/>
  <c r="X296" i="18" a="1"/>
  <c r="X296" i="18" s="1"/>
  <c r="W296" i="18" a="1"/>
  <c r="W296" i="18" s="1"/>
  <c r="V296" i="18" a="1"/>
  <c r="V296" i="18" s="1"/>
  <c r="U296" i="18" a="1"/>
  <c r="U296" i="18" s="1"/>
  <c r="T296" i="18" a="1"/>
  <c r="T296" i="18" s="1"/>
  <c r="S296" i="18" a="1"/>
  <c r="S296" i="18" s="1"/>
  <c r="R296" i="18" a="1"/>
  <c r="R296" i="18" s="1"/>
  <c r="Q296" i="18" a="1"/>
  <c r="Q296" i="18" s="1"/>
  <c r="P296" i="18" a="1"/>
  <c r="P296" i="18" s="1"/>
  <c r="O296" i="18" a="1"/>
  <c r="O296" i="18" s="1"/>
  <c r="N296" i="18" a="1"/>
  <c r="N296" i="18" s="1"/>
  <c r="M296" i="18" a="1"/>
  <c r="M296" i="18" s="1"/>
  <c r="L296" i="18" a="1"/>
  <c r="L296" i="18" s="1"/>
  <c r="K296" i="18" a="1"/>
  <c r="K296" i="18" s="1"/>
  <c r="J296" i="18" a="1"/>
  <c r="J296" i="18" s="1"/>
  <c r="I296" i="18" a="1"/>
  <c r="I296" i="18" s="1"/>
  <c r="H296" i="18" a="1"/>
  <c r="H296" i="18" s="1"/>
  <c r="G296" i="18" a="1"/>
  <c r="G296" i="18" s="1"/>
  <c r="D296" i="18"/>
  <c r="BA296" i="18" a="1"/>
  <c r="BA296" i="18" s="1"/>
  <c r="BB296" i="18" s="1"/>
  <c r="AS296" i="18" a="1"/>
  <c r="AS296" i="18" s="1"/>
  <c r="AK296" i="18" a="1"/>
  <c r="AK296" i="18" s="1"/>
  <c r="AW296" i="18" a="1"/>
  <c r="AW296" i="18" s="1"/>
  <c r="AO296" i="18" a="1"/>
  <c r="AO296" i="18" s="1"/>
  <c r="AG296" i="18" a="1"/>
  <c r="AG296" i="18" s="1"/>
  <c r="BC304" i="18" a="1"/>
  <c r="BC304" i="18" s="1"/>
  <c r="AY304" i="18" a="1"/>
  <c r="AY304" i="18" s="1"/>
  <c r="AU304" i="18" a="1"/>
  <c r="AU304" i="18" s="1"/>
  <c r="AQ304" i="18" a="1"/>
  <c r="AQ304" i="18" s="1"/>
  <c r="AM304" i="18" a="1"/>
  <c r="AM304" i="18" s="1"/>
  <c r="AI304" i="18" a="1"/>
  <c r="AI304" i="18" s="1"/>
  <c r="AE304" i="18" a="1"/>
  <c r="AE304" i="18" s="1"/>
  <c r="AB304" i="18" a="1"/>
  <c r="AB304" i="18" s="1"/>
  <c r="AA304" i="18" a="1"/>
  <c r="AA304" i="18" s="1"/>
  <c r="Z304" i="18" a="1"/>
  <c r="Z304" i="18" s="1"/>
  <c r="Y304" i="18" a="1"/>
  <c r="Y304" i="18" s="1"/>
  <c r="X304" i="18" a="1"/>
  <c r="X304" i="18" s="1"/>
  <c r="W304" i="18" a="1"/>
  <c r="W304" i="18" s="1"/>
  <c r="V304" i="18" a="1"/>
  <c r="V304" i="18" s="1"/>
  <c r="U304" i="18" a="1"/>
  <c r="U304" i="18" s="1"/>
  <c r="T304" i="18" a="1"/>
  <c r="T304" i="18" s="1"/>
  <c r="S304" i="18" a="1"/>
  <c r="S304" i="18" s="1"/>
  <c r="R304" i="18" a="1"/>
  <c r="R304" i="18" s="1"/>
  <c r="Q304" i="18" a="1"/>
  <c r="Q304" i="18" s="1"/>
  <c r="P304" i="18" a="1"/>
  <c r="P304" i="18" s="1"/>
  <c r="O304" i="18" a="1"/>
  <c r="O304" i="18" s="1"/>
  <c r="N304" i="18" a="1"/>
  <c r="N304" i="18" s="1"/>
  <c r="M304" i="18" a="1"/>
  <c r="M304" i="18" s="1"/>
  <c r="L304" i="18" a="1"/>
  <c r="L304" i="18" s="1"/>
  <c r="K304" i="18" a="1"/>
  <c r="K304" i="18" s="1"/>
  <c r="J304" i="18" a="1"/>
  <c r="J304" i="18" s="1"/>
  <c r="I304" i="18" a="1"/>
  <c r="I304" i="18" s="1"/>
  <c r="H304" i="18" a="1"/>
  <c r="H304" i="18" s="1"/>
  <c r="G304" i="18" a="1"/>
  <c r="G304" i="18" s="1"/>
  <c r="D304" i="18"/>
  <c r="AW304" i="18" a="1"/>
  <c r="AW304" i="18" s="1"/>
  <c r="AO304" i="18" a="1"/>
  <c r="AO304" i="18" s="1"/>
  <c r="AG304" i="18" a="1"/>
  <c r="AG304" i="18" s="1"/>
  <c r="AH304" i="18" s="1"/>
  <c r="AS304" i="18" a="1"/>
  <c r="AS304" i="18" s="1"/>
  <c r="BA304" i="18" a="1"/>
  <c r="BA304" i="18" s="1"/>
  <c r="BB304" i="18" s="1"/>
  <c r="AK304" i="18" a="1"/>
  <c r="AK304" i="18" s="1"/>
  <c r="BC320" i="18" a="1"/>
  <c r="BC320" i="18" s="1"/>
  <c r="AY320" i="18" a="1"/>
  <c r="AY320" i="18" s="1"/>
  <c r="AU320" i="18" a="1"/>
  <c r="AU320" i="18" s="1"/>
  <c r="AQ320" i="18" a="1"/>
  <c r="AQ320" i="18" s="1"/>
  <c r="AM320" i="18" a="1"/>
  <c r="AM320" i="18" s="1"/>
  <c r="AI320" i="18" a="1"/>
  <c r="AI320" i="18" s="1"/>
  <c r="AE320" i="18" a="1"/>
  <c r="AE320" i="18" s="1"/>
  <c r="AB320" i="18" a="1"/>
  <c r="AB320" i="18" s="1"/>
  <c r="AA320" i="18" a="1"/>
  <c r="AA320" i="18" s="1"/>
  <c r="Z320" i="18" a="1"/>
  <c r="Z320" i="18" s="1"/>
  <c r="Y320" i="18" a="1"/>
  <c r="Y320" i="18" s="1"/>
  <c r="X320" i="18" a="1"/>
  <c r="X320" i="18" s="1"/>
  <c r="W320" i="18" a="1"/>
  <c r="W320" i="18" s="1"/>
  <c r="V320" i="18" a="1"/>
  <c r="V320" i="18" s="1"/>
  <c r="U320" i="18" a="1"/>
  <c r="U320" i="18" s="1"/>
  <c r="T320" i="18" a="1"/>
  <c r="T320" i="18" s="1"/>
  <c r="S320" i="18" a="1"/>
  <c r="S320" i="18" s="1"/>
  <c r="R320" i="18" a="1"/>
  <c r="R320" i="18" s="1"/>
  <c r="Q320" i="18" a="1"/>
  <c r="Q320" i="18" s="1"/>
  <c r="P320" i="18" a="1"/>
  <c r="P320" i="18" s="1"/>
  <c r="O320" i="18" a="1"/>
  <c r="O320" i="18" s="1"/>
  <c r="N320" i="18" a="1"/>
  <c r="N320" i="18" s="1"/>
  <c r="M320" i="18" a="1"/>
  <c r="M320" i="18" s="1"/>
  <c r="L320" i="18" a="1"/>
  <c r="L320" i="18" s="1"/>
  <c r="K320" i="18" a="1"/>
  <c r="K320" i="18" s="1"/>
  <c r="J320" i="18" a="1"/>
  <c r="J320" i="18" s="1"/>
  <c r="I320" i="18" a="1"/>
  <c r="I320" i="18" s="1"/>
  <c r="H320" i="18" a="1"/>
  <c r="H320" i="18" s="1"/>
  <c r="G320" i="18" a="1"/>
  <c r="G320" i="18" s="1"/>
  <c r="D320" i="18"/>
  <c r="AW320" i="18" a="1"/>
  <c r="AW320" i="18" s="1"/>
  <c r="AO320" i="18" a="1"/>
  <c r="AO320" i="18" s="1"/>
  <c r="AG320" i="18" a="1"/>
  <c r="AG320" i="18" s="1"/>
  <c r="AH320" i="18" s="1"/>
  <c r="AS320" i="18" a="1"/>
  <c r="AS320" i="18" s="1"/>
  <c r="BA320" i="18" a="1"/>
  <c r="BA320" i="18" s="1"/>
  <c r="BB320" i="18" s="1"/>
  <c r="AK320" i="18" a="1"/>
  <c r="AK320" i="18" s="1"/>
  <c r="BA199" i="18" a="1"/>
  <c r="BA199" i="18" s="1"/>
  <c r="AW199" i="18" a="1"/>
  <c r="AW199" i="18" s="1"/>
  <c r="AS199" i="18" a="1"/>
  <c r="AS199" i="18" s="1"/>
  <c r="AO199" i="18" a="1"/>
  <c r="AO199" i="18" s="1"/>
  <c r="AK199" i="18" a="1"/>
  <c r="AK199" i="18" s="1"/>
  <c r="AG199" i="18" a="1"/>
  <c r="AG199" i="18" s="1"/>
  <c r="BC199" i="18" a="1"/>
  <c r="BC199" i="18" s="1"/>
  <c r="AU199" i="18" a="1"/>
  <c r="AU199" i="18" s="1"/>
  <c r="AM199" i="18" a="1"/>
  <c r="AM199" i="18" s="1"/>
  <c r="AE199" i="18" a="1"/>
  <c r="AE199" i="18" s="1"/>
  <c r="AB199" i="18" a="1"/>
  <c r="AB199" i="18" s="1"/>
  <c r="Z199" i="18" a="1"/>
  <c r="Z199" i="18" s="1"/>
  <c r="X199" i="18" a="1"/>
  <c r="X199" i="18" s="1"/>
  <c r="V199" i="18" a="1"/>
  <c r="V199" i="18" s="1"/>
  <c r="T199" i="18" a="1"/>
  <c r="T199" i="18" s="1"/>
  <c r="R199" i="18" a="1"/>
  <c r="R199" i="18" s="1"/>
  <c r="P199" i="18" a="1"/>
  <c r="P199" i="18" s="1"/>
  <c r="N199" i="18" a="1"/>
  <c r="N199" i="18" s="1"/>
  <c r="L199" i="18" a="1"/>
  <c r="L199" i="18" s="1"/>
  <c r="J199" i="18" a="1"/>
  <c r="J199" i="18" s="1"/>
  <c r="H199" i="18" a="1"/>
  <c r="H199" i="18" s="1"/>
  <c r="D199" i="18"/>
  <c r="AY199" i="18" a="1"/>
  <c r="AY199" i="18" s="1"/>
  <c r="AQ199" i="18" a="1"/>
  <c r="AQ199" i="18" s="1"/>
  <c r="AI199" i="18" a="1"/>
  <c r="AI199" i="18" s="1"/>
  <c r="AJ199" i="18" s="1"/>
  <c r="AA199" i="18" a="1"/>
  <c r="AA199" i="18" s="1"/>
  <c r="Y199" i="18" a="1"/>
  <c r="Y199" i="18" s="1"/>
  <c r="W199" i="18" a="1"/>
  <c r="W199" i="18" s="1"/>
  <c r="U199" i="18" a="1"/>
  <c r="U199" i="18" s="1"/>
  <c r="S199" i="18" a="1"/>
  <c r="S199" i="18" s="1"/>
  <c r="Q199" i="18" a="1"/>
  <c r="Q199" i="18" s="1"/>
  <c r="O199" i="18" a="1"/>
  <c r="O199" i="18" s="1"/>
  <c r="M199" i="18" a="1"/>
  <c r="M199" i="18" s="1"/>
  <c r="K199" i="18" a="1"/>
  <c r="K199" i="18" s="1"/>
  <c r="I199" i="18" a="1"/>
  <c r="I199" i="18" s="1"/>
  <c r="G199" i="18" a="1"/>
  <c r="G199" i="18" s="1"/>
  <c r="BA203" i="18" a="1"/>
  <c r="BA203" i="18" s="1"/>
  <c r="AW203" i="18" a="1"/>
  <c r="AW203" i="18" s="1"/>
  <c r="AS203" i="18" a="1"/>
  <c r="AS203" i="18" s="1"/>
  <c r="AO203" i="18" a="1"/>
  <c r="AO203" i="18" s="1"/>
  <c r="AK203" i="18" a="1"/>
  <c r="AK203" i="18" s="1"/>
  <c r="AG203" i="18" a="1"/>
  <c r="AG203" i="18" s="1"/>
  <c r="BC203" i="18" a="1"/>
  <c r="BC203" i="18" s="1"/>
  <c r="AU203" i="18" a="1"/>
  <c r="AU203" i="18" s="1"/>
  <c r="AM203" i="18" a="1"/>
  <c r="AM203" i="18" s="1"/>
  <c r="AE203" i="18" a="1"/>
  <c r="AE203" i="18" s="1"/>
  <c r="AB203" i="18" a="1"/>
  <c r="AB203" i="18" s="1"/>
  <c r="Z203" i="18" a="1"/>
  <c r="Z203" i="18" s="1"/>
  <c r="X203" i="18" a="1"/>
  <c r="X203" i="18" s="1"/>
  <c r="V203" i="18" a="1"/>
  <c r="V203" i="18" s="1"/>
  <c r="T203" i="18" a="1"/>
  <c r="T203" i="18" s="1"/>
  <c r="R203" i="18" a="1"/>
  <c r="R203" i="18" s="1"/>
  <c r="P203" i="18" a="1"/>
  <c r="P203" i="18" s="1"/>
  <c r="N203" i="18" a="1"/>
  <c r="N203" i="18" s="1"/>
  <c r="L203" i="18" a="1"/>
  <c r="L203" i="18" s="1"/>
  <c r="J203" i="18" a="1"/>
  <c r="J203" i="18" s="1"/>
  <c r="H203" i="18" a="1"/>
  <c r="H203" i="18" s="1"/>
  <c r="D203" i="18"/>
  <c r="AY203" i="18" a="1"/>
  <c r="AY203" i="18" s="1"/>
  <c r="AQ203" i="18" a="1"/>
  <c r="AQ203" i="18" s="1"/>
  <c r="AI203" i="18" a="1"/>
  <c r="AI203" i="18" s="1"/>
  <c r="AJ203" i="18" s="1"/>
  <c r="AA203" i="18" a="1"/>
  <c r="AA203" i="18" s="1"/>
  <c r="Y203" i="18" a="1"/>
  <c r="Y203" i="18" s="1"/>
  <c r="W203" i="18" a="1"/>
  <c r="W203" i="18" s="1"/>
  <c r="U203" i="18" a="1"/>
  <c r="U203" i="18" s="1"/>
  <c r="S203" i="18" a="1"/>
  <c r="S203" i="18" s="1"/>
  <c r="Q203" i="18" a="1"/>
  <c r="Q203" i="18" s="1"/>
  <c r="O203" i="18" a="1"/>
  <c r="O203" i="18" s="1"/>
  <c r="M203" i="18" a="1"/>
  <c r="M203" i="18" s="1"/>
  <c r="K203" i="18" a="1"/>
  <c r="K203" i="18" s="1"/>
  <c r="I203" i="18" a="1"/>
  <c r="I203" i="18" s="1"/>
  <c r="G203" i="18" a="1"/>
  <c r="G203" i="18" s="1"/>
  <c r="BA207" i="18" a="1"/>
  <c r="BA207" i="18" s="1"/>
  <c r="AW207" i="18" a="1"/>
  <c r="AW207" i="18" s="1"/>
  <c r="AS207" i="18" a="1"/>
  <c r="AS207" i="18" s="1"/>
  <c r="AO207" i="18" a="1"/>
  <c r="AO207" i="18" s="1"/>
  <c r="AK207" i="18" a="1"/>
  <c r="AK207" i="18" s="1"/>
  <c r="AG207" i="18" a="1"/>
  <c r="AG207" i="18" s="1"/>
  <c r="BC207" i="18" a="1"/>
  <c r="BC207" i="18" s="1"/>
  <c r="AU207" i="18" a="1"/>
  <c r="AU207" i="18" s="1"/>
  <c r="AM207" i="18" a="1"/>
  <c r="AM207" i="18" s="1"/>
  <c r="AE207" i="18" a="1"/>
  <c r="AE207" i="18" s="1"/>
  <c r="AB207" i="18" a="1"/>
  <c r="AB207" i="18" s="1"/>
  <c r="Z207" i="18" a="1"/>
  <c r="Z207" i="18" s="1"/>
  <c r="X207" i="18" a="1"/>
  <c r="X207" i="18" s="1"/>
  <c r="V207" i="18" a="1"/>
  <c r="V207" i="18" s="1"/>
  <c r="T207" i="18" a="1"/>
  <c r="T207" i="18" s="1"/>
  <c r="R207" i="18" a="1"/>
  <c r="R207" i="18" s="1"/>
  <c r="P207" i="18" a="1"/>
  <c r="P207" i="18" s="1"/>
  <c r="N207" i="18" a="1"/>
  <c r="N207" i="18" s="1"/>
  <c r="L207" i="18" a="1"/>
  <c r="L207" i="18" s="1"/>
  <c r="J207" i="18" a="1"/>
  <c r="J207" i="18" s="1"/>
  <c r="H207" i="18" a="1"/>
  <c r="H207" i="18" s="1"/>
  <c r="D207" i="18"/>
  <c r="AY207" i="18" a="1"/>
  <c r="AY207" i="18" s="1"/>
  <c r="AQ207" i="18" a="1"/>
  <c r="AQ207" i="18" s="1"/>
  <c r="AI207" i="18" a="1"/>
  <c r="AI207" i="18" s="1"/>
  <c r="AJ207" i="18" s="1"/>
  <c r="AA207" i="18" a="1"/>
  <c r="AA207" i="18" s="1"/>
  <c r="Y207" i="18" a="1"/>
  <c r="Y207" i="18" s="1"/>
  <c r="W207" i="18" a="1"/>
  <c r="W207" i="18" s="1"/>
  <c r="U207" i="18" a="1"/>
  <c r="U207" i="18" s="1"/>
  <c r="S207" i="18" a="1"/>
  <c r="S207" i="18" s="1"/>
  <c r="Q207" i="18" a="1"/>
  <c r="Q207" i="18" s="1"/>
  <c r="O207" i="18" a="1"/>
  <c r="O207" i="18" s="1"/>
  <c r="M207" i="18" a="1"/>
  <c r="M207" i="18" s="1"/>
  <c r="K207" i="18" a="1"/>
  <c r="K207" i="18" s="1"/>
  <c r="I207" i="18" a="1"/>
  <c r="I207" i="18" s="1"/>
  <c r="G207" i="18" a="1"/>
  <c r="G207" i="18" s="1"/>
  <c r="BA211" i="18" a="1"/>
  <c r="BA211" i="18" s="1"/>
  <c r="AW211" i="18" a="1"/>
  <c r="AW211" i="18" s="1"/>
  <c r="AS211" i="18" a="1"/>
  <c r="AS211" i="18" s="1"/>
  <c r="AO211" i="18" a="1"/>
  <c r="AO211" i="18" s="1"/>
  <c r="AK211" i="18" a="1"/>
  <c r="AK211" i="18" s="1"/>
  <c r="AG211" i="18" a="1"/>
  <c r="AG211" i="18" s="1"/>
  <c r="BC211" i="18" a="1"/>
  <c r="BC211" i="18" s="1"/>
  <c r="AU211" i="18" a="1"/>
  <c r="AU211" i="18" s="1"/>
  <c r="AM211" i="18" a="1"/>
  <c r="AM211" i="18" s="1"/>
  <c r="AE211" i="18" a="1"/>
  <c r="AE211" i="18" s="1"/>
  <c r="AB211" i="18" a="1"/>
  <c r="AB211" i="18" s="1"/>
  <c r="Z211" i="18" a="1"/>
  <c r="Z211" i="18" s="1"/>
  <c r="X211" i="18" a="1"/>
  <c r="X211" i="18" s="1"/>
  <c r="V211" i="18" a="1"/>
  <c r="V211" i="18" s="1"/>
  <c r="T211" i="18" a="1"/>
  <c r="T211" i="18" s="1"/>
  <c r="R211" i="18" a="1"/>
  <c r="R211" i="18" s="1"/>
  <c r="P211" i="18" a="1"/>
  <c r="P211" i="18" s="1"/>
  <c r="N211" i="18" a="1"/>
  <c r="N211" i="18" s="1"/>
  <c r="L211" i="18" a="1"/>
  <c r="L211" i="18" s="1"/>
  <c r="J211" i="18" a="1"/>
  <c r="J211" i="18" s="1"/>
  <c r="H211" i="18" a="1"/>
  <c r="H211" i="18" s="1"/>
  <c r="D211" i="18"/>
  <c r="AY211" i="18" a="1"/>
  <c r="AY211" i="18" s="1"/>
  <c r="AQ211" i="18" a="1"/>
  <c r="AQ211" i="18" s="1"/>
  <c r="AI211" i="18" a="1"/>
  <c r="AI211" i="18" s="1"/>
  <c r="AJ211" i="18" s="1"/>
  <c r="AA211" i="18" a="1"/>
  <c r="AA211" i="18" s="1"/>
  <c r="Y211" i="18" a="1"/>
  <c r="Y211" i="18" s="1"/>
  <c r="W211" i="18" a="1"/>
  <c r="W211" i="18" s="1"/>
  <c r="U211" i="18" a="1"/>
  <c r="U211" i="18" s="1"/>
  <c r="S211" i="18" a="1"/>
  <c r="S211" i="18" s="1"/>
  <c r="Q211" i="18" a="1"/>
  <c r="Q211" i="18" s="1"/>
  <c r="O211" i="18" a="1"/>
  <c r="O211" i="18" s="1"/>
  <c r="M211" i="18" a="1"/>
  <c r="M211" i="18" s="1"/>
  <c r="K211" i="18" a="1"/>
  <c r="K211" i="18" s="1"/>
  <c r="I211" i="18" a="1"/>
  <c r="I211" i="18" s="1"/>
  <c r="G211" i="18" a="1"/>
  <c r="G211" i="18" s="1"/>
  <c r="BA215" i="18" a="1"/>
  <c r="BA215" i="18" s="1"/>
  <c r="AW215" i="18" a="1"/>
  <c r="AW215" i="18" s="1"/>
  <c r="AS215" i="18" a="1"/>
  <c r="AS215" i="18" s="1"/>
  <c r="AO215" i="18" a="1"/>
  <c r="AO215" i="18" s="1"/>
  <c r="AK215" i="18" a="1"/>
  <c r="AK215" i="18" s="1"/>
  <c r="AG215" i="18" a="1"/>
  <c r="AG215" i="18" s="1"/>
  <c r="BC215" i="18" a="1"/>
  <c r="BC215" i="18" s="1"/>
  <c r="AU215" i="18" a="1"/>
  <c r="AU215" i="18" s="1"/>
  <c r="AM215" i="18" a="1"/>
  <c r="AM215" i="18" s="1"/>
  <c r="AE215" i="18" a="1"/>
  <c r="AE215" i="18" s="1"/>
  <c r="AB215" i="18" a="1"/>
  <c r="AB215" i="18" s="1"/>
  <c r="Z215" i="18" a="1"/>
  <c r="Z215" i="18" s="1"/>
  <c r="X215" i="18" a="1"/>
  <c r="X215" i="18" s="1"/>
  <c r="V215" i="18" a="1"/>
  <c r="V215" i="18" s="1"/>
  <c r="T215" i="18" a="1"/>
  <c r="T215" i="18" s="1"/>
  <c r="R215" i="18" a="1"/>
  <c r="R215" i="18" s="1"/>
  <c r="P215" i="18" a="1"/>
  <c r="P215" i="18" s="1"/>
  <c r="N215" i="18" a="1"/>
  <c r="N215" i="18" s="1"/>
  <c r="L215" i="18" a="1"/>
  <c r="L215" i="18" s="1"/>
  <c r="J215" i="18" a="1"/>
  <c r="J215" i="18" s="1"/>
  <c r="H215" i="18" a="1"/>
  <c r="H215" i="18" s="1"/>
  <c r="D215" i="18"/>
  <c r="AY215" i="18" a="1"/>
  <c r="AY215" i="18" s="1"/>
  <c r="AQ215" i="18" a="1"/>
  <c r="AQ215" i="18" s="1"/>
  <c r="AI215" i="18" a="1"/>
  <c r="AI215" i="18" s="1"/>
  <c r="AJ215" i="18" s="1"/>
  <c r="AA215" i="18" a="1"/>
  <c r="AA215" i="18" s="1"/>
  <c r="Y215" i="18" a="1"/>
  <c r="Y215" i="18" s="1"/>
  <c r="W215" i="18" a="1"/>
  <c r="W215" i="18" s="1"/>
  <c r="U215" i="18" a="1"/>
  <c r="U215" i="18" s="1"/>
  <c r="S215" i="18" a="1"/>
  <c r="S215" i="18" s="1"/>
  <c r="Q215" i="18" a="1"/>
  <c r="Q215" i="18" s="1"/>
  <c r="O215" i="18" a="1"/>
  <c r="O215" i="18" s="1"/>
  <c r="M215" i="18" a="1"/>
  <c r="M215" i="18" s="1"/>
  <c r="K215" i="18" a="1"/>
  <c r="K215" i="18" s="1"/>
  <c r="I215" i="18" a="1"/>
  <c r="I215" i="18" s="1"/>
  <c r="G215" i="18" a="1"/>
  <c r="G215" i="18" s="1"/>
  <c r="BA219" i="18" a="1"/>
  <c r="BA219" i="18" s="1"/>
  <c r="AW219" i="18" a="1"/>
  <c r="AW219" i="18" s="1"/>
  <c r="AS219" i="18" a="1"/>
  <c r="AS219" i="18" s="1"/>
  <c r="AO219" i="18" a="1"/>
  <c r="AO219" i="18" s="1"/>
  <c r="AK219" i="18" a="1"/>
  <c r="AK219" i="18" s="1"/>
  <c r="AG219" i="18" a="1"/>
  <c r="AG219" i="18" s="1"/>
  <c r="BC219" i="18" a="1"/>
  <c r="BC219" i="18" s="1"/>
  <c r="AU219" i="18" a="1"/>
  <c r="AU219" i="18" s="1"/>
  <c r="AM219" i="18" a="1"/>
  <c r="AM219" i="18" s="1"/>
  <c r="AE219" i="18" a="1"/>
  <c r="AE219" i="18" s="1"/>
  <c r="AB219" i="18" a="1"/>
  <c r="AB219" i="18" s="1"/>
  <c r="Z219" i="18" a="1"/>
  <c r="Z219" i="18" s="1"/>
  <c r="X219" i="18" a="1"/>
  <c r="X219" i="18" s="1"/>
  <c r="V219" i="18" a="1"/>
  <c r="V219" i="18" s="1"/>
  <c r="T219" i="18" a="1"/>
  <c r="T219" i="18" s="1"/>
  <c r="R219" i="18" a="1"/>
  <c r="R219" i="18" s="1"/>
  <c r="P219" i="18" a="1"/>
  <c r="P219" i="18" s="1"/>
  <c r="N219" i="18" a="1"/>
  <c r="N219" i="18" s="1"/>
  <c r="L219" i="18" a="1"/>
  <c r="L219" i="18" s="1"/>
  <c r="J219" i="18" a="1"/>
  <c r="J219" i="18" s="1"/>
  <c r="H219" i="18" a="1"/>
  <c r="H219" i="18" s="1"/>
  <c r="D219" i="18"/>
  <c r="AY219" i="18" a="1"/>
  <c r="AY219" i="18" s="1"/>
  <c r="AQ219" i="18" a="1"/>
  <c r="AQ219" i="18" s="1"/>
  <c r="AI219" i="18" a="1"/>
  <c r="AI219" i="18" s="1"/>
  <c r="AJ219" i="18" s="1"/>
  <c r="AA219" i="18" a="1"/>
  <c r="AA219" i="18" s="1"/>
  <c r="Y219" i="18" a="1"/>
  <c r="Y219" i="18" s="1"/>
  <c r="W219" i="18" a="1"/>
  <c r="W219" i="18" s="1"/>
  <c r="U219" i="18" a="1"/>
  <c r="U219" i="18" s="1"/>
  <c r="S219" i="18" a="1"/>
  <c r="S219" i="18" s="1"/>
  <c r="Q219" i="18" a="1"/>
  <c r="Q219" i="18" s="1"/>
  <c r="O219" i="18" a="1"/>
  <c r="O219" i="18" s="1"/>
  <c r="M219" i="18" a="1"/>
  <c r="M219" i="18" s="1"/>
  <c r="K219" i="18" a="1"/>
  <c r="K219" i="18" s="1"/>
  <c r="I219" i="18" a="1"/>
  <c r="I219" i="18" s="1"/>
  <c r="G219" i="18" a="1"/>
  <c r="G219" i="18" s="1"/>
  <c r="BA223" i="18" a="1"/>
  <c r="BA223" i="18" s="1"/>
  <c r="AW223" i="18" a="1"/>
  <c r="AW223" i="18" s="1"/>
  <c r="AS223" i="18" a="1"/>
  <c r="AS223" i="18" s="1"/>
  <c r="AO223" i="18" a="1"/>
  <c r="AO223" i="18" s="1"/>
  <c r="AK223" i="18" a="1"/>
  <c r="AK223" i="18" s="1"/>
  <c r="AG223" i="18" a="1"/>
  <c r="AG223" i="18" s="1"/>
  <c r="BC223" i="18" a="1"/>
  <c r="BC223" i="18" s="1"/>
  <c r="AU223" i="18" a="1"/>
  <c r="AU223" i="18" s="1"/>
  <c r="AM223" i="18" a="1"/>
  <c r="AM223" i="18" s="1"/>
  <c r="AE223" i="18" a="1"/>
  <c r="AE223" i="18" s="1"/>
  <c r="AB223" i="18" a="1"/>
  <c r="AB223" i="18" s="1"/>
  <c r="Z223" i="18" a="1"/>
  <c r="Z223" i="18" s="1"/>
  <c r="X223" i="18" a="1"/>
  <c r="X223" i="18" s="1"/>
  <c r="V223" i="18" a="1"/>
  <c r="V223" i="18" s="1"/>
  <c r="T223" i="18" a="1"/>
  <c r="T223" i="18" s="1"/>
  <c r="R223" i="18" a="1"/>
  <c r="R223" i="18" s="1"/>
  <c r="P223" i="18" a="1"/>
  <c r="P223" i="18" s="1"/>
  <c r="N223" i="18" a="1"/>
  <c r="N223" i="18" s="1"/>
  <c r="L223" i="18" a="1"/>
  <c r="L223" i="18" s="1"/>
  <c r="J223" i="18" a="1"/>
  <c r="J223" i="18" s="1"/>
  <c r="H223" i="18" a="1"/>
  <c r="H223" i="18" s="1"/>
  <c r="D223" i="18"/>
  <c r="AY223" i="18" a="1"/>
  <c r="AY223" i="18" s="1"/>
  <c r="AQ223" i="18" a="1"/>
  <c r="AQ223" i="18" s="1"/>
  <c r="AI223" i="18" a="1"/>
  <c r="AI223" i="18" s="1"/>
  <c r="AJ223" i="18" s="1"/>
  <c r="AA223" i="18" a="1"/>
  <c r="AA223" i="18" s="1"/>
  <c r="Y223" i="18" a="1"/>
  <c r="Y223" i="18" s="1"/>
  <c r="W223" i="18" a="1"/>
  <c r="W223" i="18" s="1"/>
  <c r="U223" i="18" a="1"/>
  <c r="U223" i="18" s="1"/>
  <c r="S223" i="18" a="1"/>
  <c r="S223" i="18" s="1"/>
  <c r="Q223" i="18" a="1"/>
  <c r="Q223" i="18" s="1"/>
  <c r="O223" i="18" a="1"/>
  <c r="O223" i="18" s="1"/>
  <c r="M223" i="18" a="1"/>
  <c r="M223" i="18" s="1"/>
  <c r="K223" i="18" a="1"/>
  <c r="K223" i="18" s="1"/>
  <c r="I223" i="18" a="1"/>
  <c r="I223" i="18" s="1"/>
  <c r="G223" i="18" a="1"/>
  <c r="G223" i="18" s="1"/>
  <c r="BA227" i="18" a="1"/>
  <c r="BA227" i="18" s="1"/>
  <c r="AW227" i="18" a="1"/>
  <c r="AW227" i="18" s="1"/>
  <c r="AS227" i="18" a="1"/>
  <c r="AS227" i="18" s="1"/>
  <c r="AO227" i="18" a="1"/>
  <c r="AO227" i="18" s="1"/>
  <c r="AK227" i="18" a="1"/>
  <c r="AK227" i="18" s="1"/>
  <c r="AG227" i="18" a="1"/>
  <c r="AG227" i="18" s="1"/>
  <c r="BC227" i="18" a="1"/>
  <c r="BC227" i="18" s="1"/>
  <c r="AU227" i="18" a="1"/>
  <c r="AU227" i="18" s="1"/>
  <c r="AM227" i="18" a="1"/>
  <c r="AM227" i="18" s="1"/>
  <c r="AE227" i="18" a="1"/>
  <c r="AE227" i="18" s="1"/>
  <c r="AB227" i="18" a="1"/>
  <c r="AB227" i="18" s="1"/>
  <c r="Z227" i="18" a="1"/>
  <c r="Z227" i="18" s="1"/>
  <c r="X227" i="18" a="1"/>
  <c r="X227" i="18" s="1"/>
  <c r="V227" i="18" a="1"/>
  <c r="V227" i="18" s="1"/>
  <c r="T227" i="18" a="1"/>
  <c r="T227" i="18" s="1"/>
  <c r="R227" i="18" a="1"/>
  <c r="R227" i="18" s="1"/>
  <c r="P227" i="18" a="1"/>
  <c r="P227" i="18" s="1"/>
  <c r="N227" i="18" a="1"/>
  <c r="N227" i="18" s="1"/>
  <c r="L227" i="18" a="1"/>
  <c r="L227" i="18" s="1"/>
  <c r="J227" i="18" a="1"/>
  <c r="J227" i="18" s="1"/>
  <c r="H227" i="18" a="1"/>
  <c r="H227" i="18" s="1"/>
  <c r="D227" i="18"/>
  <c r="AY227" i="18" a="1"/>
  <c r="AY227" i="18" s="1"/>
  <c r="AQ227" i="18" a="1"/>
  <c r="AQ227" i="18" s="1"/>
  <c r="AI227" i="18" a="1"/>
  <c r="AI227" i="18" s="1"/>
  <c r="AJ227" i="18" s="1"/>
  <c r="AA227" i="18" a="1"/>
  <c r="AA227" i="18" s="1"/>
  <c r="Y227" i="18" a="1"/>
  <c r="Y227" i="18" s="1"/>
  <c r="W227" i="18" a="1"/>
  <c r="W227" i="18" s="1"/>
  <c r="U227" i="18" a="1"/>
  <c r="U227" i="18" s="1"/>
  <c r="S227" i="18" a="1"/>
  <c r="S227" i="18" s="1"/>
  <c r="Q227" i="18" a="1"/>
  <c r="Q227" i="18" s="1"/>
  <c r="O227" i="18" a="1"/>
  <c r="O227" i="18" s="1"/>
  <c r="M227" i="18" a="1"/>
  <c r="M227" i="18" s="1"/>
  <c r="K227" i="18" a="1"/>
  <c r="K227" i="18" s="1"/>
  <c r="I227" i="18" a="1"/>
  <c r="I227" i="18" s="1"/>
  <c r="G227" i="18" a="1"/>
  <c r="G227" i="18" s="1"/>
  <c r="BA231" i="18" a="1"/>
  <c r="BA231" i="18" s="1"/>
  <c r="AW231" i="18" a="1"/>
  <c r="AW231" i="18" s="1"/>
  <c r="AS231" i="18" a="1"/>
  <c r="AS231" i="18" s="1"/>
  <c r="AO231" i="18" a="1"/>
  <c r="AO231" i="18" s="1"/>
  <c r="AK231" i="18" a="1"/>
  <c r="AK231" i="18" s="1"/>
  <c r="AG231" i="18" a="1"/>
  <c r="AG231" i="18" s="1"/>
  <c r="BC231" i="18" a="1"/>
  <c r="BC231" i="18" s="1"/>
  <c r="AU231" i="18" a="1"/>
  <c r="AU231" i="18" s="1"/>
  <c r="AM231" i="18" a="1"/>
  <c r="AM231" i="18" s="1"/>
  <c r="AE231" i="18" a="1"/>
  <c r="AE231" i="18" s="1"/>
  <c r="AB231" i="18" a="1"/>
  <c r="AB231" i="18" s="1"/>
  <c r="Z231" i="18" a="1"/>
  <c r="Z231" i="18" s="1"/>
  <c r="X231" i="18" a="1"/>
  <c r="X231" i="18" s="1"/>
  <c r="V231" i="18" a="1"/>
  <c r="V231" i="18" s="1"/>
  <c r="T231" i="18" a="1"/>
  <c r="T231" i="18" s="1"/>
  <c r="R231" i="18" a="1"/>
  <c r="R231" i="18" s="1"/>
  <c r="P231" i="18" a="1"/>
  <c r="P231" i="18" s="1"/>
  <c r="N231" i="18" a="1"/>
  <c r="N231" i="18" s="1"/>
  <c r="L231" i="18" a="1"/>
  <c r="L231" i="18" s="1"/>
  <c r="J231" i="18" a="1"/>
  <c r="J231" i="18" s="1"/>
  <c r="H231" i="18" a="1"/>
  <c r="H231" i="18" s="1"/>
  <c r="D231" i="18"/>
  <c r="AY231" i="18" a="1"/>
  <c r="AY231" i="18" s="1"/>
  <c r="AQ231" i="18" a="1"/>
  <c r="AQ231" i="18" s="1"/>
  <c r="AI231" i="18" a="1"/>
  <c r="AI231" i="18" s="1"/>
  <c r="AJ231" i="18" s="1"/>
  <c r="AA231" i="18" a="1"/>
  <c r="AA231" i="18" s="1"/>
  <c r="Y231" i="18" a="1"/>
  <c r="Y231" i="18" s="1"/>
  <c r="W231" i="18" a="1"/>
  <c r="W231" i="18" s="1"/>
  <c r="U231" i="18" a="1"/>
  <c r="U231" i="18" s="1"/>
  <c r="S231" i="18" a="1"/>
  <c r="S231" i="18" s="1"/>
  <c r="Q231" i="18" a="1"/>
  <c r="Q231" i="18" s="1"/>
  <c r="O231" i="18" a="1"/>
  <c r="O231" i="18" s="1"/>
  <c r="M231" i="18" a="1"/>
  <c r="M231" i="18" s="1"/>
  <c r="K231" i="18" a="1"/>
  <c r="K231" i="18" s="1"/>
  <c r="I231" i="18" a="1"/>
  <c r="I231" i="18" s="1"/>
  <c r="G231" i="18" a="1"/>
  <c r="G231" i="18" s="1"/>
  <c r="BA235" i="18" a="1"/>
  <c r="BA235" i="18" s="1"/>
  <c r="AW235" i="18" a="1"/>
  <c r="AW235" i="18" s="1"/>
  <c r="AS235" i="18" a="1"/>
  <c r="AS235" i="18" s="1"/>
  <c r="AO235" i="18" a="1"/>
  <c r="AO235" i="18" s="1"/>
  <c r="AK235" i="18" a="1"/>
  <c r="AK235" i="18" s="1"/>
  <c r="AG235" i="18" a="1"/>
  <c r="AG235" i="18" s="1"/>
  <c r="BC235" i="18" a="1"/>
  <c r="BC235" i="18" s="1"/>
  <c r="AU235" i="18" a="1"/>
  <c r="AU235" i="18" s="1"/>
  <c r="AM235" i="18" a="1"/>
  <c r="AM235" i="18" s="1"/>
  <c r="AE235" i="18" a="1"/>
  <c r="AE235" i="18" s="1"/>
  <c r="AB235" i="18" a="1"/>
  <c r="AB235" i="18" s="1"/>
  <c r="Z235" i="18" a="1"/>
  <c r="Z235" i="18" s="1"/>
  <c r="X235" i="18" a="1"/>
  <c r="X235" i="18" s="1"/>
  <c r="V235" i="18" a="1"/>
  <c r="V235" i="18" s="1"/>
  <c r="T235" i="18" a="1"/>
  <c r="T235" i="18" s="1"/>
  <c r="R235" i="18" a="1"/>
  <c r="R235" i="18" s="1"/>
  <c r="P235" i="18" a="1"/>
  <c r="P235" i="18" s="1"/>
  <c r="N235" i="18" a="1"/>
  <c r="N235" i="18" s="1"/>
  <c r="L235" i="18" a="1"/>
  <c r="L235" i="18" s="1"/>
  <c r="J235" i="18" a="1"/>
  <c r="J235" i="18" s="1"/>
  <c r="H235" i="18" a="1"/>
  <c r="H235" i="18" s="1"/>
  <c r="D235" i="18"/>
  <c r="AY235" i="18" a="1"/>
  <c r="AY235" i="18" s="1"/>
  <c r="AQ235" i="18" a="1"/>
  <c r="AQ235" i="18" s="1"/>
  <c r="AI235" i="18" a="1"/>
  <c r="AI235" i="18" s="1"/>
  <c r="AJ235" i="18" s="1"/>
  <c r="AA235" i="18" a="1"/>
  <c r="AA235" i="18" s="1"/>
  <c r="Y235" i="18" a="1"/>
  <c r="Y235" i="18" s="1"/>
  <c r="W235" i="18" a="1"/>
  <c r="W235" i="18" s="1"/>
  <c r="U235" i="18" a="1"/>
  <c r="U235" i="18" s="1"/>
  <c r="S235" i="18" a="1"/>
  <c r="S235" i="18" s="1"/>
  <c r="Q235" i="18" a="1"/>
  <c r="Q235" i="18" s="1"/>
  <c r="O235" i="18" a="1"/>
  <c r="O235" i="18" s="1"/>
  <c r="M235" i="18" a="1"/>
  <c r="M235" i="18" s="1"/>
  <c r="K235" i="18" a="1"/>
  <c r="K235" i="18" s="1"/>
  <c r="I235" i="18" a="1"/>
  <c r="I235" i="18" s="1"/>
  <c r="G235" i="18" a="1"/>
  <c r="G235" i="18" s="1"/>
  <c r="BA239" i="18" a="1"/>
  <c r="BA239" i="18" s="1"/>
  <c r="AW239" i="18" a="1"/>
  <c r="AW239" i="18" s="1"/>
  <c r="AS239" i="18" a="1"/>
  <c r="AS239" i="18" s="1"/>
  <c r="AO239" i="18" a="1"/>
  <c r="AO239" i="18" s="1"/>
  <c r="AK239" i="18" a="1"/>
  <c r="AK239" i="18" s="1"/>
  <c r="AG239" i="18" a="1"/>
  <c r="AG239" i="18" s="1"/>
  <c r="BC239" i="18" a="1"/>
  <c r="BC239" i="18" s="1"/>
  <c r="AU239" i="18" a="1"/>
  <c r="AU239" i="18" s="1"/>
  <c r="AM239" i="18" a="1"/>
  <c r="AM239" i="18" s="1"/>
  <c r="AE239" i="18" a="1"/>
  <c r="AE239" i="18" s="1"/>
  <c r="AB239" i="18" a="1"/>
  <c r="AB239" i="18" s="1"/>
  <c r="Z239" i="18" a="1"/>
  <c r="Z239" i="18" s="1"/>
  <c r="X239" i="18" a="1"/>
  <c r="X239" i="18" s="1"/>
  <c r="V239" i="18" a="1"/>
  <c r="V239" i="18" s="1"/>
  <c r="T239" i="18" a="1"/>
  <c r="T239" i="18" s="1"/>
  <c r="R239" i="18" a="1"/>
  <c r="R239" i="18" s="1"/>
  <c r="P239" i="18" a="1"/>
  <c r="P239" i="18" s="1"/>
  <c r="N239" i="18" a="1"/>
  <c r="N239" i="18" s="1"/>
  <c r="L239" i="18" a="1"/>
  <c r="L239" i="18" s="1"/>
  <c r="J239" i="18" a="1"/>
  <c r="J239" i="18" s="1"/>
  <c r="H239" i="18" a="1"/>
  <c r="H239" i="18" s="1"/>
  <c r="D239" i="18"/>
  <c r="AY239" i="18" a="1"/>
  <c r="AY239" i="18" s="1"/>
  <c r="AQ239" i="18" a="1"/>
  <c r="AQ239" i="18" s="1"/>
  <c r="AI239" i="18" a="1"/>
  <c r="AI239" i="18" s="1"/>
  <c r="AJ239" i="18" s="1"/>
  <c r="AA239" i="18" a="1"/>
  <c r="AA239" i="18" s="1"/>
  <c r="Y239" i="18" a="1"/>
  <c r="Y239" i="18" s="1"/>
  <c r="W239" i="18" a="1"/>
  <c r="W239" i="18" s="1"/>
  <c r="U239" i="18" a="1"/>
  <c r="U239" i="18" s="1"/>
  <c r="S239" i="18" a="1"/>
  <c r="S239" i="18" s="1"/>
  <c r="Q239" i="18" a="1"/>
  <c r="Q239" i="18" s="1"/>
  <c r="O239" i="18" a="1"/>
  <c r="O239" i="18" s="1"/>
  <c r="M239" i="18" a="1"/>
  <c r="M239" i="18" s="1"/>
  <c r="K239" i="18" a="1"/>
  <c r="K239" i="18" s="1"/>
  <c r="I239" i="18" a="1"/>
  <c r="I239" i="18" s="1"/>
  <c r="G239" i="18" a="1"/>
  <c r="G239" i="18" s="1"/>
  <c r="BA243" i="18" a="1"/>
  <c r="BA243" i="18" s="1"/>
  <c r="AW243" i="18" a="1"/>
  <c r="AW243" i="18" s="1"/>
  <c r="AS243" i="18" a="1"/>
  <c r="AS243" i="18" s="1"/>
  <c r="AO243" i="18" a="1"/>
  <c r="AO243" i="18" s="1"/>
  <c r="AK243" i="18" a="1"/>
  <c r="AK243" i="18" s="1"/>
  <c r="AG243" i="18" a="1"/>
  <c r="AG243" i="18" s="1"/>
  <c r="BC243" i="18" a="1"/>
  <c r="BC243" i="18" s="1"/>
  <c r="AU243" i="18" a="1"/>
  <c r="AU243" i="18" s="1"/>
  <c r="AM243" i="18" a="1"/>
  <c r="AM243" i="18" s="1"/>
  <c r="AE243" i="18" a="1"/>
  <c r="AE243" i="18" s="1"/>
  <c r="AB243" i="18" a="1"/>
  <c r="AB243" i="18" s="1"/>
  <c r="Z243" i="18" a="1"/>
  <c r="Z243" i="18" s="1"/>
  <c r="X243" i="18" a="1"/>
  <c r="X243" i="18" s="1"/>
  <c r="V243" i="18" a="1"/>
  <c r="V243" i="18" s="1"/>
  <c r="T243" i="18" a="1"/>
  <c r="T243" i="18" s="1"/>
  <c r="R243" i="18" a="1"/>
  <c r="R243" i="18" s="1"/>
  <c r="P243" i="18" a="1"/>
  <c r="P243" i="18" s="1"/>
  <c r="N243" i="18" a="1"/>
  <c r="N243" i="18" s="1"/>
  <c r="L243" i="18" a="1"/>
  <c r="L243" i="18" s="1"/>
  <c r="J243" i="18" a="1"/>
  <c r="J243" i="18" s="1"/>
  <c r="H243" i="18" a="1"/>
  <c r="H243" i="18" s="1"/>
  <c r="D243" i="18"/>
  <c r="AY243" i="18" a="1"/>
  <c r="AY243" i="18" s="1"/>
  <c r="AQ243" i="18" a="1"/>
  <c r="AQ243" i="18" s="1"/>
  <c r="AI243" i="18" a="1"/>
  <c r="AI243" i="18" s="1"/>
  <c r="AJ243" i="18" s="1"/>
  <c r="AA243" i="18" a="1"/>
  <c r="AA243" i="18" s="1"/>
  <c r="Y243" i="18" a="1"/>
  <c r="Y243" i="18" s="1"/>
  <c r="W243" i="18" a="1"/>
  <c r="W243" i="18" s="1"/>
  <c r="U243" i="18" a="1"/>
  <c r="U243" i="18" s="1"/>
  <c r="S243" i="18" a="1"/>
  <c r="S243" i="18" s="1"/>
  <c r="Q243" i="18" a="1"/>
  <c r="Q243" i="18" s="1"/>
  <c r="O243" i="18" a="1"/>
  <c r="O243" i="18" s="1"/>
  <c r="M243" i="18" a="1"/>
  <c r="M243" i="18" s="1"/>
  <c r="K243" i="18" a="1"/>
  <c r="K243" i="18" s="1"/>
  <c r="I243" i="18" a="1"/>
  <c r="I243" i="18" s="1"/>
  <c r="G243" i="18" a="1"/>
  <c r="G243" i="18" s="1"/>
  <c r="BA247" i="18" a="1"/>
  <c r="BA247" i="18" s="1"/>
  <c r="AW247" i="18" a="1"/>
  <c r="AW247" i="18" s="1"/>
  <c r="AS247" i="18" a="1"/>
  <c r="AS247" i="18" s="1"/>
  <c r="AO247" i="18" a="1"/>
  <c r="AO247" i="18" s="1"/>
  <c r="AK247" i="18" a="1"/>
  <c r="AK247" i="18" s="1"/>
  <c r="AG247" i="18" a="1"/>
  <c r="AG247" i="18" s="1"/>
  <c r="BC247" i="18" a="1"/>
  <c r="BC247" i="18" s="1"/>
  <c r="AU247" i="18" a="1"/>
  <c r="AU247" i="18" s="1"/>
  <c r="AM247" i="18" a="1"/>
  <c r="AM247" i="18" s="1"/>
  <c r="AE247" i="18" a="1"/>
  <c r="AE247" i="18" s="1"/>
  <c r="AB247" i="18" a="1"/>
  <c r="AB247" i="18" s="1"/>
  <c r="Z247" i="18" a="1"/>
  <c r="Z247" i="18" s="1"/>
  <c r="X247" i="18" a="1"/>
  <c r="X247" i="18" s="1"/>
  <c r="V247" i="18" a="1"/>
  <c r="V247" i="18" s="1"/>
  <c r="T247" i="18" a="1"/>
  <c r="T247" i="18" s="1"/>
  <c r="R247" i="18" a="1"/>
  <c r="R247" i="18" s="1"/>
  <c r="P247" i="18" a="1"/>
  <c r="P247" i="18" s="1"/>
  <c r="N247" i="18" a="1"/>
  <c r="N247" i="18" s="1"/>
  <c r="L247" i="18" a="1"/>
  <c r="L247" i="18" s="1"/>
  <c r="J247" i="18" a="1"/>
  <c r="J247" i="18" s="1"/>
  <c r="H247" i="18" a="1"/>
  <c r="H247" i="18" s="1"/>
  <c r="D247" i="18"/>
  <c r="AY247" i="18" a="1"/>
  <c r="AY247" i="18" s="1"/>
  <c r="AQ247" i="18" a="1"/>
  <c r="AQ247" i="18" s="1"/>
  <c r="AI247" i="18" a="1"/>
  <c r="AI247" i="18" s="1"/>
  <c r="AJ247" i="18" s="1"/>
  <c r="AA247" i="18" a="1"/>
  <c r="AA247" i="18" s="1"/>
  <c r="Y247" i="18" a="1"/>
  <c r="Y247" i="18" s="1"/>
  <c r="W247" i="18" a="1"/>
  <c r="W247" i="18" s="1"/>
  <c r="U247" i="18" a="1"/>
  <c r="U247" i="18" s="1"/>
  <c r="S247" i="18" a="1"/>
  <c r="S247" i="18" s="1"/>
  <c r="Q247" i="18" a="1"/>
  <c r="Q247" i="18" s="1"/>
  <c r="O247" i="18" a="1"/>
  <c r="O247" i="18" s="1"/>
  <c r="M247" i="18" a="1"/>
  <c r="M247" i="18" s="1"/>
  <c r="K247" i="18" a="1"/>
  <c r="K247" i="18" s="1"/>
  <c r="I247" i="18" a="1"/>
  <c r="I247" i="18" s="1"/>
  <c r="G247" i="18" a="1"/>
  <c r="G247" i="18" s="1"/>
  <c r="BA251" i="18" a="1"/>
  <c r="BA251" i="18" s="1"/>
  <c r="AW251" i="18" a="1"/>
  <c r="AW251" i="18" s="1"/>
  <c r="AS251" i="18" a="1"/>
  <c r="AS251" i="18" s="1"/>
  <c r="AO251" i="18" a="1"/>
  <c r="AO251" i="18" s="1"/>
  <c r="AK251" i="18" a="1"/>
  <c r="AK251" i="18" s="1"/>
  <c r="AG251" i="18" a="1"/>
  <c r="AG251" i="18" s="1"/>
  <c r="BC251" i="18" a="1"/>
  <c r="BC251" i="18" s="1"/>
  <c r="AU251" i="18" a="1"/>
  <c r="AU251" i="18" s="1"/>
  <c r="AM251" i="18" a="1"/>
  <c r="AM251" i="18" s="1"/>
  <c r="AE251" i="18" a="1"/>
  <c r="AE251" i="18" s="1"/>
  <c r="AB251" i="18" a="1"/>
  <c r="AB251" i="18" s="1"/>
  <c r="Z251" i="18" a="1"/>
  <c r="Z251" i="18" s="1"/>
  <c r="X251" i="18" a="1"/>
  <c r="X251" i="18" s="1"/>
  <c r="V251" i="18" a="1"/>
  <c r="V251" i="18" s="1"/>
  <c r="T251" i="18" a="1"/>
  <c r="T251" i="18" s="1"/>
  <c r="R251" i="18" a="1"/>
  <c r="R251" i="18" s="1"/>
  <c r="P251" i="18" a="1"/>
  <c r="P251" i="18" s="1"/>
  <c r="N251" i="18" a="1"/>
  <c r="N251" i="18" s="1"/>
  <c r="L251" i="18" a="1"/>
  <c r="L251" i="18" s="1"/>
  <c r="J251" i="18" a="1"/>
  <c r="J251" i="18" s="1"/>
  <c r="H251" i="18" a="1"/>
  <c r="H251" i="18" s="1"/>
  <c r="D251" i="18"/>
  <c r="AY251" i="18" a="1"/>
  <c r="AY251" i="18" s="1"/>
  <c r="AQ251" i="18" a="1"/>
  <c r="AQ251" i="18" s="1"/>
  <c r="AI251" i="18" a="1"/>
  <c r="AI251" i="18" s="1"/>
  <c r="AJ251" i="18" s="1"/>
  <c r="AA251" i="18" a="1"/>
  <c r="AA251" i="18" s="1"/>
  <c r="Y251" i="18" a="1"/>
  <c r="Y251" i="18" s="1"/>
  <c r="W251" i="18" a="1"/>
  <c r="W251" i="18" s="1"/>
  <c r="U251" i="18" a="1"/>
  <c r="U251" i="18" s="1"/>
  <c r="S251" i="18" a="1"/>
  <c r="S251" i="18" s="1"/>
  <c r="Q251" i="18" a="1"/>
  <c r="Q251" i="18" s="1"/>
  <c r="O251" i="18" a="1"/>
  <c r="O251" i="18" s="1"/>
  <c r="M251" i="18" a="1"/>
  <c r="M251" i="18" s="1"/>
  <c r="K251" i="18" a="1"/>
  <c r="K251" i="18" s="1"/>
  <c r="I251" i="18" a="1"/>
  <c r="I251" i="18" s="1"/>
  <c r="G251" i="18" a="1"/>
  <c r="G251" i="18" s="1"/>
  <c r="BA255" i="18" a="1"/>
  <c r="BA255" i="18" s="1"/>
  <c r="AW255" i="18" a="1"/>
  <c r="AW255" i="18" s="1"/>
  <c r="AS255" i="18" a="1"/>
  <c r="AS255" i="18" s="1"/>
  <c r="AO255" i="18" a="1"/>
  <c r="AO255" i="18" s="1"/>
  <c r="AK255" i="18" a="1"/>
  <c r="AK255" i="18" s="1"/>
  <c r="AG255" i="18" a="1"/>
  <c r="AG255" i="18" s="1"/>
  <c r="BC255" i="18" a="1"/>
  <c r="BC255" i="18" s="1"/>
  <c r="AU255" i="18" a="1"/>
  <c r="AU255" i="18" s="1"/>
  <c r="AM255" i="18" a="1"/>
  <c r="AM255" i="18" s="1"/>
  <c r="AE255" i="18" a="1"/>
  <c r="AE255" i="18" s="1"/>
  <c r="AB255" i="18" a="1"/>
  <c r="AB255" i="18" s="1"/>
  <c r="Z255" i="18" a="1"/>
  <c r="Z255" i="18" s="1"/>
  <c r="X255" i="18" a="1"/>
  <c r="X255" i="18" s="1"/>
  <c r="V255" i="18" a="1"/>
  <c r="V255" i="18" s="1"/>
  <c r="T255" i="18" a="1"/>
  <c r="T255" i="18" s="1"/>
  <c r="R255" i="18" a="1"/>
  <c r="R255" i="18" s="1"/>
  <c r="P255" i="18" a="1"/>
  <c r="P255" i="18" s="1"/>
  <c r="N255" i="18" a="1"/>
  <c r="N255" i="18" s="1"/>
  <c r="L255" i="18" a="1"/>
  <c r="L255" i="18" s="1"/>
  <c r="J255" i="18" a="1"/>
  <c r="J255" i="18" s="1"/>
  <c r="H255" i="18" a="1"/>
  <c r="H255" i="18" s="1"/>
  <c r="D255" i="18"/>
  <c r="AY255" i="18" a="1"/>
  <c r="AY255" i="18" s="1"/>
  <c r="AQ255" i="18" a="1"/>
  <c r="AQ255" i="18" s="1"/>
  <c r="AI255" i="18" a="1"/>
  <c r="AI255" i="18" s="1"/>
  <c r="AJ255" i="18" s="1"/>
  <c r="AA255" i="18" a="1"/>
  <c r="AA255" i="18" s="1"/>
  <c r="Y255" i="18" a="1"/>
  <c r="Y255" i="18" s="1"/>
  <c r="W255" i="18" a="1"/>
  <c r="W255" i="18" s="1"/>
  <c r="U255" i="18" a="1"/>
  <c r="U255" i="18" s="1"/>
  <c r="S255" i="18" a="1"/>
  <c r="S255" i="18" s="1"/>
  <c r="Q255" i="18" a="1"/>
  <c r="Q255" i="18" s="1"/>
  <c r="O255" i="18" a="1"/>
  <c r="O255" i="18" s="1"/>
  <c r="M255" i="18" a="1"/>
  <c r="M255" i="18" s="1"/>
  <c r="K255" i="18" a="1"/>
  <c r="K255" i="18" s="1"/>
  <c r="I255" i="18" a="1"/>
  <c r="I255" i="18" s="1"/>
  <c r="G255" i="18" a="1"/>
  <c r="G255" i="18" s="1"/>
  <c r="BA259" i="18" a="1"/>
  <c r="BA259" i="18" s="1"/>
  <c r="AW259" i="18" a="1"/>
  <c r="AW259" i="18" s="1"/>
  <c r="AS259" i="18" a="1"/>
  <c r="AS259" i="18" s="1"/>
  <c r="AO259" i="18" a="1"/>
  <c r="AO259" i="18" s="1"/>
  <c r="AK259" i="18" a="1"/>
  <c r="AK259" i="18" s="1"/>
  <c r="AG259" i="18" a="1"/>
  <c r="AG259" i="18" s="1"/>
  <c r="BC259" i="18" a="1"/>
  <c r="BC259" i="18" s="1"/>
  <c r="AU259" i="18" a="1"/>
  <c r="AU259" i="18" s="1"/>
  <c r="AM259" i="18" a="1"/>
  <c r="AM259" i="18" s="1"/>
  <c r="AE259" i="18" a="1"/>
  <c r="AE259" i="18" s="1"/>
  <c r="AB259" i="18" a="1"/>
  <c r="AB259" i="18" s="1"/>
  <c r="Z259" i="18" a="1"/>
  <c r="Z259" i="18" s="1"/>
  <c r="X259" i="18" a="1"/>
  <c r="X259" i="18" s="1"/>
  <c r="V259" i="18" a="1"/>
  <c r="V259" i="18" s="1"/>
  <c r="T259" i="18" a="1"/>
  <c r="T259" i="18" s="1"/>
  <c r="R259" i="18" a="1"/>
  <c r="R259" i="18" s="1"/>
  <c r="P259" i="18" a="1"/>
  <c r="P259" i="18" s="1"/>
  <c r="N259" i="18" a="1"/>
  <c r="N259" i="18" s="1"/>
  <c r="L259" i="18" a="1"/>
  <c r="L259" i="18" s="1"/>
  <c r="J259" i="18" a="1"/>
  <c r="J259" i="18" s="1"/>
  <c r="H259" i="18" a="1"/>
  <c r="H259" i="18" s="1"/>
  <c r="D259" i="18"/>
  <c r="AY259" i="18" a="1"/>
  <c r="AY259" i="18" s="1"/>
  <c r="AQ259" i="18" a="1"/>
  <c r="AQ259" i="18" s="1"/>
  <c r="AI259" i="18" a="1"/>
  <c r="AI259" i="18" s="1"/>
  <c r="AJ259" i="18" s="1"/>
  <c r="AA259" i="18" a="1"/>
  <c r="AA259" i="18" s="1"/>
  <c r="Y259" i="18" a="1"/>
  <c r="Y259" i="18" s="1"/>
  <c r="W259" i="18" a="1"/>
  <c r="W259" i="18" s="1"/>
  <c r="U259" i="18" a="1"/>
  <c r="U259" i="18" s="1"/>
  <c r="S259" i="18" a="1"/>
  <c r="S259" i="18" s="1"/>
  <c r="Q259" i="18" a="1"/>
  <c r="Q259" i="18" s="1"/>
  <c r="O259" i="18" a="1"/>
  <c r="O259" i="18" s="1"/>
  <c r="M259" i="18" a="1"/>
  <c r="M259" i="18" s="1"/>
  <c r="K259" i="18" a="1"/>
  <c r="K259" i="18" s="1"/>
  <c r="I259" i="18" a="1"/>
  <c r="I259" i="18" s="1"/>
  <c r="G259" i="18" a="1"/>
  <c r="G259" i="18" s="1"/>
  <c r="BA263" i="18" a="1"/>
  <c r="BA263" i="18" s="1"/>
  <c r="AW263" i="18" a="1"/>
  <c r="AW263" i="18" s="1"/>
  <c r="AS263" i="18" a="1"/>
  <c r="AS263" i="18" s="1"/>
  <c r="AO263" i="18" a="1"/>
  <c r="AO263" i="18" s="1"/>
  <c r="AK263" i="18" a="1"/>
  <c r="AK263" i="18" s="1"/>
  <c r="AG263" i="18" a="1"/>
  <c r="AG263" i="18" s="1"/>
  <c r="BC263" i="18" a="1"/>
  <c r="BC263" i="18" s="1"/>
  <c r="AU263" i="18" a="1"/>
  <c r="AU263" i="18" s="1"/>
  <c r="AM263" i="18" a="1"/>
  <c r="AM263" i="18" s="1"/>
  <c r="AE263" i="18" a="1"/>
  <c r="AE263" i="18" s="1"/>
  <c r="AB263" i="18" a="1"/>
  <c r="AB263" i="18" s="1"/>
  <c r="Z263" i="18" a="1"/>
  <c r="Z263" i="18" s="1"/>
  <c r="X263" i="18" a="1"/>
  <c r="X263" i="18" s="1"/>
  <c r="V263" i="18" a="1"/>
  <c r="V263" i="18" s="1"/>
  <c r="T263" i="18" a="1"/>
  <c r="T263" i="18" s="1"/>
  <c r="R263" i="18" a="1"/>
  <c r="R263" i="18" s="1"/>
  <c r="P263" i="18" a="1"/>
  <c r="P263" i="18" s="1"/>
  <c r="N263" i="18" a="1"/>
  <c r="N263" i="18" s="1"/>
  <c r="L263" i="18" a="1"/>
  <c r="L263" i="18" s="1"/>
  <c r="J263" i="18" a="1"/>
  <c r="J263" i="18" s="1"/>
  <c r="H263" i="18" a="1"/>
  <c r="H263" i="18" s="1"/>
  <c r="D263" i="18"/>
  <c r="AY263" i="18" a="1"/>
  <c r="AY263" i="18" s="1"/>
  <c r="AQ263" i="18" a="1"/>
  <c r="AQ263" i="18" s="1"/>
  <c r="AI263" i="18" a="1"/>
  <c r="AI263" i="18" s="1"/>
  <c r="AJ263" i="18" s="1"/>
  <c r="AA263" i="18" a="1"/>
  <c r="AA263" i="18" s="1"/>
  <c r="Y263" i="18" a="1"/>
  <c r="Y263" i="18" s="1"/>
  <c r="W263" i="18" a="1"/>
  <c r="W263" i="18" s="1"/>
  <c r="U263" i="18" a="1"/>
  <c r="U263" i="18" s="1"/>
  <c r="S263" i="18" a="1"/>
  <c r="S263" i="18" s="1"/>
  <c r="Q263" i="18" a="1"/>
  <c r="Q263" i="18" s="1"/>
  <c r="O263" i="18" a="1"/>
  <c r="O263" i="18" s="1"/>
  <c r="M263" i="18" a="1"/>
  <c r="M263" i="18" s="1"/>
  <c r="K263" i="18" a="1"/>
  <c r="K263" i="18" s="1"/>
  <c r="I263" i="18" a="1"/>
  <c r="I263" i="18" s="1"/>
  <c r="G263" i="18" a="1"/>
  <c r="G263" i="18" s="1"/>
  <c r="BA267" i="18" a="1"/>
  <c r="BA267" i="18" s="1"/>
  <c r="AW267" i="18" a="1"/>
  <c r="AW267" i="18" s="1"/>
  <c r="AS267" i="18" a="1"/>
  <c r="AS267" i="18" s="1"/>
  <c r="AO267" i="18" a="1"/>
  <c r="AO267" i="18" s="1"/>
  <c r="AK267" i="18" a="1"/>
  <c r="AK267" i="18" s="1"/>
  <c r="AG267" i="18" a="1"/>
  <c r="AG267" i="18" s="1"/>
  <c r="BC267" i="18" a="1"/>
  <c r="BC267" i="18" s="1"/>
  <c r="AU267" i="18" a="1"/>
  <c r="AU267" i="18" s="1"/>
  <c r="AM267" i="18" a="1"/>
  <c r="AM267" i="18" s="1"/>
  <c r="AE267" i="18" a="1"/>
  <c r="AE267" i="18" s="1"/>
  <c r="AB267" i="18" a="1"/>
  <c r="AB267" i="18" s="1"/>
  <c r="Z267" i="18" a="1"/>
  <c r="Z267" i="18" s="1"/>
  <c r="X267" i="18" a="1"/>
  <c r="X267" i="18" s="1"/>
  <c r="V267" i="18" a="1"/>
  <c r="V267" i="18" s="1"/>
  <c r="T267" i="18" a="1"/>
  <c r="T267" i="18" s="1"/>
  <c r="R267" i="18" a="1"/>
  <c r="R267" i="18" s="1"/>
  <c r="P267" i="18" a="1"/>
  <c r="P267" i="18" s="1"/>
  <c r="N267" i="18" a="1"/>
  <c r="N267" i="18" s="1"/>
  <c r="L267" i="18" a="1"/>
  <c r="L267" i="18" s="1"/>
  <c r="J267" i="18" a="1"/>
  <c r="J267" i="18" s="1"/>
  <c r="H267" i="18" a="1"/>
  <c r="H267" i="18" s="1"/>
  <c r="D267" i="18"/>
  <c r="AY267" i="18" a="1"/>
  <c r="AY267" i="18" s="1"/>
  <c r="AQ267" i="18" a="1"/>
  <c r="AQ267" i="18" s="1"/>
  <c r="AI267" i="18" a="1"/>
  <c r="AI267" i="18" s="1"/>
  <c r="AJ267" i="18" s="1"/>
  <c r="AA267" i="18" a="1"/>
  <c r="AA267" i="18" s="1"/>
  <c r="Y267" i="18" a="1"/>
  <c r="Y267" i="18" s="1"/>
  <c r="W267" i="18" a="1"/>
  <c r="W267" i="18" s="1"/>
  <c r="U267" i="18" a="1"/>
  <c r="U267" i="18" s="1"/>
  <c r="S267" i="18" a="1"/>
  <c r="S267" i="18" s="1"/>
  <c r="Q267" i="18" a="1"/>
  <c r="Q267" i="18" s="1"/>
  <c r="O267" i="18" a="1"/>
  <c r="O267" i="18" s="1"/>
  <c r="M267" i="18" a="1"/>
  <c r="M267" i="18" s="1"/>
  <c r="K267" i="18" a="1"/>
  <c r="K267" i="18" s="1"/>
  <c r="I267" i="18" a="1"/>
  <c r="I267" i="18" s="1"/>
  <c r="G267" i="18" a="1"/>
  <c r="G267" i="18" s="1"/>
  <c r="BA271" i="18" a="1"/>
  <c r="BA271" i="18" s="1"/>
  <c r="AW271" i="18" a="1"/>
  <c r="AW271" i="18" s="1"/>
  <c r="AS271" i="18" a="1"/>
  <c r="AS271" i="18" s="1"/>
  <c r="AO271" i="18" a="1"/>
  <c r="AO271" i="18" s="1"/>
  <c r="AK271" i="18" a="1"/>
  <c r="AK271" i="18" s="1"/>
  <c r="AG271" i="18" a="1"/>
  <c r="AG271" i="18" s="1"/>
  <c r="BC271" i="18" a="1"/>
  <c r="BC271" i="18" s="1"/>
  <c r="AU271" i="18" a="1"/>
  <c r="AU271" i="18" s="1"/>
  <c r="AM271" i="18" a="1"/>
  <c r="AM271" i="18" s="1"/>
  <c r="AE271" i="18" a="1"/>
  <c r="AE271" i="18" s="1"/>
  <c r="AB271" i="18" a="1"/>
  <c r="AB271" i="18" s="1"/>
  <c r="Z271" i="18" a="1"/>
  <c r="Z271" i="18" s="1"/>
  <c r="X271" i="18" a="1"/>
  <c r="X271" i="18" s="1"/>
  <c r="V271" i="18" a="1"/>
  <c r="V271" i="18" s="1"/>
  <c r="T271" i="18" a="1"/>
  <c r="T271" i="18" s="1"/>
  <c r="R271" i="18" a="1"/>
  <c r="R271" i="18" s="1"/>
  <c r="P271" i="18" a="1"/>
  <c r="P271" i="18" s="1"/>
  <c r="N271" i="18" a="1"/>
  <c r="N271" i="18" s="1"/>
  <c r="L271" i="18" a="1"/>
  <c r="L271" i="18" s="1"/>
  <c r="J271" i="18" a="1"/>
  <c r="J271" i="18" s="1"/>
  <c r="H271" i="18" a="1"/>
  <c r="H271" i="18" s="1"/>
  <c r="D271" i="18"/>
  <c r="AY271" i="18" a="1"/>
  <c r="AY271" i="18" s="1"/>
  <c r="AQ271" i="18" a="1"/>
  <c r="AQ271" i="18" s="1"/>
  <c r="AI271" i="18" a="1"/>
  <c r="AI271" i="18" s="1"/>
  <c r="AJ271" i="18" s="1"/>
  <c r="AA271" i="18" a="1"/>
  <c r="AA271" i="18" s="1"/>
  <c r="Y271" i="18" a="1"/>
  <c r="Y271" i="18" s="1"/>
  <c r="W271" i="18" a="1"/>
  <c r="W271" i="18" s="1"/>
  <c r="U271" i="18" a="1"/>
  <c r="U271" i="18" s="1"/>
  <c r="S271" i="18" a="1"/>
  <c r="S271" i="18" s="1"/>
  <c r="Q271" i="18" a="1"/>
  <c r="Q271" i="18" s="1"/>
  <c r="O271" i="18" a="1"/>
  <c r="O271" i="18" s="1"/>
  <c r="M271" i="18" a="1"/>
  <c r="M271" i="18" s="1"/>
  <c r="K271" i="18" a="1"/>
  <c r="K271" i="18" s="1"/>
  <c r="I271" i="18" a="1"/>
  <c r="I271" i="18" s="1"/>
  <c r="G271" i="18" a="1"/>
  <c r="G271" i="18" s="1"/>
  <c r="BA275" i="18" a="1"/>
  <c r="BA275" i="18" s="1"/>
  <c r="AW275" i="18" a="1"/>
  <c r="AW275" i="18" s="1"/>
  <c r="AS275" i="18" a="1"/>
  <c r="AS275" i="18" s="1"/>
  <c r="AO275" i="18" a="1"/>
  <c r="AO275" i="18" s="1"/>
  <c r="AK275" i="18" a="1"/>
  <c r="AK275" i="18" s="1"/>
  <c r="AG275" i="18" a="1"/>
  <c r="AG275" i="18" s="1"/>
  <c r="BC275" i="18" a="1"/>
  <c r="BC275" i="18" s="1"/>
  <c r="AU275" i="18" a="1"/>
  <c r="AU275" i="18" s="1"/>
  <c r="AM275" i="18" a="1"/>
  <c r="AM275" i="18" s="1"/>
  <c r="AE275" i="18" a="1"/>
  <c r="AE275" i="18" s="1"/>
  <c r="AB275" i="18" a="1"/>
  <c r="AB275" i="18" s="1"/>
  <c r="Z275" i="18" a="1"/>
  <c r="Z275" i="18" s="1"/>
  <c r="X275" i="18" a="1"/>
  <c r="X275" i="18" s="1"/>
  <c r="V275" i="18" a="1"/>
  <c r="V275" i="18" s="1"/>
  <c r="T275" i="18" a="1"/>
  <c r="T275" i="18" s="1"/>
  <c r="R275" i="18" a="1"/>
  <c r="R275" i="18" s="1"/>
  <c r="P275" i="18" a="1"/>
  <c r="P275" i="18" s="1"/>
  <c r="N275" i="18" a="1"/>
  <c r="N275" i="18" s="1"/>
  <c r="L275" i="18" a="1"/>
  <c r="L275" i="18" s="1"/>
  <c r="J275" i="18" a="1"/>
  <c r="J275" i="18" s="1"/>
  <c r="H275" i="18" a="1"/>
  <c r="H275" i="18" s="1"/>
  <c r="D275" i="18"/>
  <c r="AY275" i="18" a="1"/>
  <c r="AY275" i="18" s="1"/>
  <c r="AQ275" i="18" a="1"/>
  <c r="AQ275" i="18" s="1"/>
  <c r="AI275" i="18" a="1"/>
  <c r="AI275" i="18" s="1"/>
  <c r="AJ275" i="18" s="1"/>
  <c r="AA275" i="18" a="1"/>
  <c r="AA275" i="18" s="1"/>
  <c r="Y275" i="18" a="1"/>
  <c r="Y275" i="18" s="1"/>
  <c r="W275" i="18" a="1"/>
  <c r="W275" i="18" s="1"/>
  <c r="U275" i="18" a="1"/>
  <c r="U275" i="18" s="1"/>
  <c r="S275" i="18" a="1"/>
  <c r="S275" i="18" s="1"/>
  <c r="Q275" i="18" a="1"/>
  <c r="Q275" i="18" s="1"/>
  <c r="O275" i="18" a="1"/>
  <c r="O275" i="18" s="1"/>
  <c r="M275" i="18" a="1"/>
  <c r="M275" i="18" s="1"/>
  <c r="K275" i="18" a="1"/>
  <c r="K275" i="18" s="1"/>
  <c r="I275" i="18" a="1"/>
  <c r="I275" i="18" s="1"/>
  <c r="G275" i="18" a="1"/>
  <c r="G275" i="18" s="1"/>
  <c r="BA279" i="18" a="1"/>
  <c r="BA279" i="18" s="1"/>
  <c r="AW279" i="18" a="1"/>
  <c r="AW279" i="18" s="1"/>
  <c r="AS279" i="18" a="1"/>
  <c r="AS279" i="18" s="1"/>
  <c r="AO279" i="18" a="1"/>
  <c r="AO279" i="18" s="1"/>
  <c r="AK279" i="18" a="1"/>
  <c r="AK279" i="18" s="1"/>
  <c r="AG279" i="18" a="1"/>
  <c r="AG279" i="18" s="1"/>
  <c r="BC279" i="18" a="1"/>
  <c r="BC279" i="18" s="1"/>
  <c r="AU279" i="18" a="1"/>
  <c r="AU279" i="18" s="1"/>
  <c r="AM279" i="18" a="1"/>
  <c r="AM279" i="18" s="1"/>
  <c r="AE279" i="18" a="1"/>
  <c r="AE279" i="18" s="1"/>
  <c r="AB279" i="18" a="1"/>
  <c r="AB279" i="18" s="1"/>
  <c r="Z279" i="18" a="1"/>
  <c r="Z279" i="18" s="1"/>
  <c r="X279" i="18" a="1"/>
  <c r="X279" i="18" s="1"/>
  <c r="V279" i="18" a="1"/>
  <c r="V279" i="18" s="1"/>
  <c r="T279" i="18" a="1"/>
  <c r="T279" i="18" s="1"/>
  <c r="R279" i="18" a="1"/>
  <c r="R279" i="18" s="1"/>
  <c r="P279" i="18" a="1"/>
  <c r="P279" i="18" s="1"/>
  <c r="N279" i="18" a="1"/>
  <c r="N279" i="18" s="1"/>
  <c r="L279" i="18" a="1"/>
  <c r="L279" i="18" s="1"/>
  <c r="J279" i="18" a="1"/>
  <c r="J279" i="18" s="1"/>
  <c r="H279" i="18" a="1"/>
  <c r="H279" i="18" s="1"/>
  <c r="D279" i="18"/>
  <c r="AY279" i="18" a="1"/>
  <c r="AY279" i="18" s="1"/>
  <c r="AQ279" i="18" a="1"/>
  <c r="AQ279" i="18" s="1"/>
  <c r="AI279" i="18" a="1"/>
  <c r="AI279" i="18" s="1"/>
  <c r="AJ279" i="18" s="1"/>
  <c r="AA279" i="18" a="1"/>
  <c r="AA279" i="18" s="1"/>
  <c r="Y279" i="18" a="1"/>
  <c r="Y279" i="18" s="1"/>
  <c r="W279" i="18" a="1"/>
  <c r="W279" i="18" s="1"/>
  <c r="U279" i="18" a="1"/>
  <c r="U279" i="18" s="1"/>
  <c r="S279" i="18" a="1"/>
  <c r="S279" i="18" s="1"/>
  <c r="Q279" i="18" a="1"/>
  <c r="Q279" i="18" s="1"/>
  <c r="O279" i="18" a="1"/>
  <c r="O279" i="18" s="1"/>
  <c r="M279" i="18" a="1"/>
  <c r="M279" i="18" s="1"/>
  <c r="K279" i="18" a="1"/>
  <c r="K279" i="18" s="1"/>
  <c r="I279" i="18" a="1"/>
  <c r="I279" i="18" s="1"/>
  <c r="G279" i="18" a="1"/>
  <c r="G279" i="18" s="1"/>
  <c r="BA283" i="18" a="1"/>
  <c r="BA283" i="18" s="1"/>
  <c r="AW283" i="18" a="1"/>
  <c r="AW283" i="18" s="1"/>
  <c r="AS283" i="18" a="1"/>
  <c r="AS283" i="18" s="1"/>
  <c r="AO283" i="18" a="1"/>
  <c r="AO283" i="18" s="1"/>
  <c r="AK283" i="18" a="1"/>
  <c r="AK283" i="18" s="1"/>
  <c r="AG283" i="18" a="1"/>
  <c r="AG283" i="18" s="1"/>
  <c r="BC283" i="18" a="1"/>
  <c r="BC283" i="18" s="1"/>
  <c r="AU283" i="18" a="1"/>
  <c r="AU283" i="18" s="1"/>
  <c r="AM283" i="18" a="1"/>
  <c r="AM283" i="18" s="1"/>
  <c r="AE283" i="18" a="1"/>
  <c r="AE283" i="18" s="1"/>
  <c r="AB283" i="18" a="1"/>
  <c r="AB283" i="18" s="1"/>
  <c r="Z283" i="18" a="1"/>
  <c r="Z283" i="18" s="1"/>
  <c r="X283" i="18" a="1"/>
  <c r="X283" i="18" s="1"/>
  <c r="V283" i="18" a="1"/>
  <c r="V283" i="18" s="1"/>
  <c r="T283" i="18" a="1"/>
  <c r="T283" i="18" s="1"/>
  <c r="R283" i="18" a="1"/>
  <c r="R283" i="18" s="1"/>
  <c r="P283" i="18" a="1"/>
  <c r="P283" i="18" s="1"/>
  <c r="N283" i="18" a="1"/>
  <c r="N283" i="18" s="1"/>
  <c r="L283" i="18" a="1"/>
  <c r="L283" i="18" s="1"/>
  <c r="J283" i="18" a="1"/>
  <c r="J283" i="18" s="1"/>
  <c r="H283" i="18" a="1"/>
  <c r="H283" i="18" s="1"/>
  <c r="D283" i="18"/>
  <c r="AY283" i="18" a="1"/>
  <c r="AY283" i="18" s="1"/>
  <c r="AQ283" i="18" a="1"/>
  <c r="AQ283" i="18" s="1"/>
  <c r="AI283" i="18" a="1"/>
  <c r="AI283" i="18" s="1"/>
  <c r="AJ283" i="18" s="1"/>
  <c r="AA283" i="18" a="1"/>
  <c r="AA283" i="18" s="1"/>
  <c r="Y283" i="18" a="1"/>
  <c r="Y283" i="18" s="1"/>
  <c r="W283" i="18" a="1"/>
  <c r="W283" i="18" s="1"/>
  <c r="U283" i="18" a="1"/>
  <c r="U283" i="18" s="1"/>
  <c r="S283" i="18" a="1"/>
  <c r="S283" i="18" s="1"/>
  <c r="Q283" i="18" a="1"/>
  <c r="Q283" i="18" s="1"/>
  <c r="O283" i="18" a="1"/>
  <c r="O283" i="18" s="1"/>
  <c r="M283" i="18" a="1"/>
  <c r="M283" i="18" s="1"/>
  <c r="K283" i="18" a="1"/>
  <c r="K283" i="18" s="1"/>
  <c r="I283" i="18" a="1"/>
  <c r="I283" i="18" s="1"/>
  <c r="G283" i="18" a="1"/>
  <c r="G283" i="18" s="1"/>
  <c r="BA287" i="18" a="1"/>
  <c r="BA287" i="18" s="1"/>
  <c r="AW287" i="18" a="1"/>
  <c r="AW287" i="18" s="1"/>
  <c r="AS287" i="18" a="1"/>
  <c r="AS287" i="18" s="1"/>
  <c r="AO287" i="18" a="1"/>
  <c r="AO287" i="18" s="1"/>
  <c r="AK287" i="18" a="1"/>
  <c r="AK287" i="18" s="1"/>
  <c r="AG287" i="18" a="1"/>
  <c r="AG287" i="18" s="1"/>
  <c r="BC287" i="18" a="1"/>
  <c r="BC287" i="18" s="1"/>
  <c r="AU287" i="18" a="1"/>
  <c r="AU287" i="18" s="1"/>
  <c r="AM287" i="18" a="1"/>
  <c r="AM287" i="18" s="1"/>
  <c r="AE287" i="18" a="1"/>
  <c r="AE287" i="18" s="1"/>
  <c r="AB287" i="18" a="1"/>
  <c r="AB287" i="18" s="1"/>
  <c r="Z287" i="18" a="1"/>
  <c r="Z287" i="18" s="1"/>
  <c r="X287" i="18" a="1"/>
  <c r="X287" i="18" s="1"/>
  <c r="V287" i="18" a="1"/>
  <c r="V287" i="18" s="1"/>
  <c r="T287" i="18" a="1"/>
  <c r="T287" i="18" s="1"/>
  <c r="R287" i="18" a="1"/>
  <c r="R287" i="18" s="1"/>
  <c r="P287" i="18" a="1"/>
  <c r="P287" i="18" s="1"/>
  <c r="N287" i="18" a="1"/>
  <c r="N287" i="18" s="1"/>
  <c r="L287" i="18" a="1"/>
  <c r="L287" i="18" s="1"/>
  <c r="J287" i="18" a="1"/>
  <c r="J287" i="18" s="1"/>
  <c r="H287" i="18" a="1"/>
  <c r="H287" i="18" s="1"/>
  <c r="D287" i="18"/>
  <c r="AY287" i="18" a="1"/>
  <c r="AY287" i="18" s="1"/>
  <c r="AQ287" i="18" a="1"/>
  <c r="AQ287" i="18" s="1"/>
  <c r="AI287" i="18" a="1"/>
  <c r="AI287" i="18" s="1"/>
  <c r="AJ287" i="18" s="1"/>
  <c r="AA287" i="18" a="1"/>
  <c r="AA287" i="18" s="1"/>
  <c r="Y287" i="18" a="1"/>
  <c r="Y287" i="18" s="1"/>
  <c r="W287" i="18" a="1"/>
  <c r="W287" i="18" s="1"/>
  <c r="U287" i="18" a="1"/>
  <c r="U287" i="18" s="1"/>
  <c r="S287" i="18" a="1"/>
  <c r="S287" i="18" s="1"/>
  <c r="Q287" i="18" a="1"/>
  <c r="Q287" i="18" s="1"/>
  <c r="O287" i="18" a="1"/>
  <c r="O287" i="18" s="1"/>
  <c r="M287" i="18" a="1"/>
  <c r="M287" i="18" s="1"/>
  <c r="K287" i="18" a="1"/>
  <c r="K287" i="18" s="1"/>
  <c r="I287" i="18" a="1"/>
  <c r="I287" i="18" s="1"/>
  <c r="G287" i="18" a="1"/>
  <c r="G287" i="18" s="1"/>
  <c r="BA291" i="18" a="1"/>
  <c r="BA291" i="18" s="1"/>
  <c r="AW291" i="18" a="1"/>
  <c r="AW291" i="18" s="1"/>
  <c r="AS291" i="18" a="1"/>
  <c r="AS291" i="18" s="1"/>
  <c r="AO291" i="18" a="1"/>
  <c r="AO291" i="18" s="1"/>
  <c r="AK291" i="18" a="1"/>
  <c r="AK291" i="18" s="1"/>
  <c r="AG291" i="18" a="1"/>
  <c r="AG291" i="18" s="1"/>
  <c r="BC291" i="18" a="1"/>
  <c r="BC291" i="18" s="1"/>
  <c r="AU291" i="18" a="1"/>
  <c r="AU291" i="18" s="1"/>
  <c r="AM291" i="18" a="1"/>
  <c r="AM291" i="18" s="1"/>
  <c r="AE291" i="18" a="1"/>
  <c r="AE291" i="18" s="1"/>
  <c r="AB291" i="18" a="1"/>
  <c r="AB291" i="18" s="1"/>
  <c r="Z291" i="18" a="1"/>
  <c r="Z291" i="18" s="1"/>
  <c r="X291" i="18" a="1"/>
  <c r="X291" i="18" s="1"/>
  <c r="V291" i="18" a="1"/>
  <c r="V291" i="18" s="1"/>
  <c r="T291" i="18" a="1"/>
  <c r="T291" i="18" s="1"/>
  <c r="R291" i="18" a="1"/>
  <c r="R291" i="18" s="1"/>
  <c r="P291" i="18" a="1"/>
  <c r="P291" i="18" s="1"/>
  <c r="N291" i="18" a="1"/>
  <c r="N291" i="18" s="1"/>
  <c r="L291" i="18" a="1"/>
  <c r="L291" i="18" s="1"/>
  <c r="J291" i="18" a="1"/>
  <c r="J291" i="18" s="1"/>
  <c r="H291" i="18" a="1"/>
  <c r="H291" i="18" s="1"/>
  <c r="D291" i="18"/>
  <c r="AY291" i="18" a="1"/>
  <c r="AY291" i="18" s="1"/>
  <c r="AQ291" i="18" a="1"/>
  <c r="AQ291" i="18" s="1"/>
  <c r="AI291" i="18" a="1"/>
  <c r="AI291" i="18" s="1"/>
  <c r="AJ291" i="18" s="1"/>
  <c r="AA291" i="18" a="1"/>
  <c r="AA291" i="18" s="1"/>
  <c r="Y291" i="18" a="1"/>
  <c r="Y291" i="18" s="1"/>
  <c r="W291" i="18" a="1"/>
  <c r="W291" i="18" s="1"/>
  <c r="U291" i="18" a="1"/>
  <c r="U291" i="18" s="1"/>
  <c r="S291" i="18" a="1"/>
  <c r="S291" i="18" s="1"/>
  <c r="Q291" i="18" a="1"/>
  <c r="Q291" i="18" s="1"/>
  <c r="O291" i="18" a="1"/>
  <c r="O291" i="18" s="1"/>
  <c r="M291" i="18" a="1"/>
  <c r="M291" i="18" s="1"/>
  <c r="K291" i="18" a="1"/>
  <c r="K291" i="18" s="1"/>
  <c r="I291" i="18" a="1"/>
  <c r="I291" i="18" s="1"/>
  <c r="G291" i="18" a="1"/>
  <c r="G291" i="18" s="1"/>
  <c r="BA295" i="18" a="1"/>
  <c r="BA295" i="18" s="1"/>
  <c r="AW295" i="18" a="1"/>
  <c r="AW295" i="18" s="1"/>
  <c r="AS295" i="18" a="1"/>
  <c r="AS295" i="18" s="1"/>
  <c r="AO295" i="18" a="1"/>
  <c r="AO295" i="18" s="1"/>
  <c r="AK295" i="18" a="1"/>
  <c r="AK295" i="18" s="1"/>
  <c r="AG295" i="18" a="1"/>
  <c r="AG295" i="18" s="1"/>
  <c r="BC295" i="18" a="1"/>
  <c r="BC295" i="18" s="1"/>
  <c r="AU295" i="18" a="1"/>
  <c r="AU295" i="18" s="1"/>
  <c r="AM295" i="18" a="1"/>
  <c r="AM295" i="18" s="1"/>
  <c r="AE295" i="18" a="1"/>
  <c r="AE295" i="18" s="1"/>
  <c r="AB295" i="18" a="1"/>
  <c r="AB295" i="18" s="1"/>
  <c r="Z295" i="18" a="1"/>
  <c r="Z295" i="18" s="1"/>
  <c r="X295" i="18" a="1"/>
  <c r="X295" i="18" s="1"/>
  <c r="V295" i="18" a="1"/>
  <c r="V295" i="18" s="1"/>
  <c r="T295" i="18" a="1"/>
  <c r="T295" i="18" s="1"/>
  <c r="R295" i="18" a="1"/>
  <c r="R295" i="18" s="1"/>
  <c r="P295" i="18" a="1"/>
  <c r="P295" i="18" s="1"/>
  <c r="N295" i="18" a="1"/>
  <c r="N295" i="18" s="1"/>
  <c r="L295" i="18" a="1"/>
  <c r="L295" i="18" s="1"/>
  <c r="J295" i="18" a="1"/>
  <c r="J295" i="18" s="1"/>
  <c r="H295" i="18" a="1"/>
  <c r="H295" i="18" s="1"/>
  <c r="D295" i="18"/>
  <c r="AY295" i="18" a="1"/>
  <c r="AY295" i="18" s="1"/>
  <c r="AQ295" i="18" a="1"/>
  <c r="AQ295" i="18" s="1"/>
  <c r="AI295" i="18" a="1"/>
  <c r="AI295" i="18" s="1"/>
  <c r="AJ295" i="18" s="1"/>
  <c r="AA295" i="18" a="1"/>
  <c r="AA295" i="18" s="1"/>
  <c r="Y295" i="18" a="1"/>
  <c r="Y295" i="18" s="1"/>
  <c r="W295" i="18" a="1"/>
  <c r="W295" i="18" s="1"/>
  <c r="U295" i="18" a="1"/>
  <c r="U295" i="18" s="1"/>
  <c r="S295" i="18" a="1"/>
  <c r="S295" i="18" s="1"/>
  <c r="Q295" i="18" a="1"/>
  <c r="Q295" i="18" s="1"/>
  <c r="O295" i="18" a="1"/>
  <c r="O295" i="18" s="1"/>
  <c r="M295" i="18" a="1"/>
  <c r="M295" i="18" s="1"/>
  <c r="K295" i="18" a="1"/>
  <c r="K295" i="18" s="1"/>
  <c r="I295" i="18" a="1"/>
  <c r="I295" i="18" s="1"/>
  <c r="G295" i="18" a="1"/>
  <c r="G295" i="18" s="1"/>
  <c r="BA299" i="18" a="1"/>
  <c r="BA299" i="18" s="1"/>
  <c r="AW299" i="18" a="1"/>
  <c r="AW299" i="18" s="1"/>
  <c r="AS299" i="18" a="1"/>
  <c r="AS299" i="18" s="1"/>
  <c r="AO299" i="18" a="1"/>
  <c r="AO299" i="18" s="1"/>
  <c r="AK299" i="18" a="1"/>
  <c r="AK299" i="18" s="1"/>
  <c r="AG299" i="18" a="1"/>
  <c r="AG299" i="18" s="1"/>
  <c r="BC299" i="18" a="1"/>
  <c r="BC299" i="18" s="1"/>
  <c r="AU299" i="18" a="1"/>
  <c r="AU299" i="18" s="1"/>
  <c r="AM299" i="18" a="1"/>
  <c r="AM299" i="18" s="1"/>
  <c r="AE299" i="18" a="1"/>
  <c r="AE299" i="18" s="1"/>
  <c r="AB299" i="18" a="1"/>
  <c r="AB299" i="18" s="1"/>
  <c r="Z299" i="18" a="1"/>
  <c r="Z299" i="18" s="1"/>
  <c r="X299" i="18" a="1"/>
  <c r="X299" i="18" s="1"/>
  <c r="V299" i="18" a="1"/>
  <c r="V299" i="18" s="1"/>
  <c r="T299" i="18" a="1"/>
  <c r="T299" i="18" s="1"/>
  <c r="R299" i="18" a="1"/>
  <c r="R299" i="18" s="1"/>
  <c r="P299" i="18" a="1"/>
  <c r="P299" i="18" s="1"/>
  <c r="N299" i="18" a="1"/>
  <c r="N299" i="18" s="1"/>
  <c r="L299" i="18" a="1"/>
  <c r="L299" i="18" s="1"/>
  <c r="J299" i="18" a="1"/>
  <c r="J299" i="18" s="1"/>
  <c r="H299" i="18" a="1"/>
  <c r="H299" i="18" s="1"/>
  <c r="D299" i="18"/>
  <c r="AY299" i="18" a="1"/>
  <c r="AY299" i="18" s="1"/>
  <c r="AQ299" i="18" a="1"/>
  <c r="AQ299" i="18" s="1"/>
  <c r="AI299" i="18" a="1"/>
  <c r="AI299" i="18" s="1"/>
  <c r="AJ299" i="18" s="1"/>
  <c r="AA299" i="18" a="1"/>
  <c r="AA299" i="18" s="1"/>
  <c r="Y299" i="18" a="1"/>
  <c r="Y299" i="18" s="1"/>
  <c r="W299" i="18" a="1"/>
  <c r="W299" i="18" s="1"/>
  <c r="U299" i="18" a="1"/>
  <c r="U299" i="18" s="1"/>
  <c r="S299" i="18" a="1"/>
  <c r="S299" i="18" s="1"/>
  <c r="Q299" i="18" a="1"/>
  <c r="Q299" i="18" s="1"/>
  <c r="O299" i="18" a="1"/>
  <c r="O299" i="18" s="1"/>
  <c r="M299" i="18" a="1"/>
  <c r="M299" i="18" s="1"/>
  <c r="K299" i="18" a="1"/>
  <c r="K299" i="18" s="1"/>
  <c r="I299" i="18" a="1"/>
  <c r="I299" i="18" s="1"/>
  <c r="G299" i="18" a="1"/>
  <c r="G299" i="18" s="1"/>
  <c r="BC302" i="18" a="1"/>
  <c r="BC302" i="18" s="1"/>
  <c r="AY302" i="18" a="1"/>
  <c r="AY302" i="18" s="1"/>
  <c r="AU302" i="18" a="1"/>
  <c r="AU302" i="18" s="1"/>
  <c r="AQ302" i="18" a="1"/>
  <c r="AQ302" i="18" s="1"/>
  <c r="AM302" i="18" a="1"/>
  <c r="AM302" i="18" s="1"/>
  <c r="AI302" i="18" a="1"/>
  <c r="AI302" i="18" s="1"/>
  <c r="AE302" i="18" a="1"/>
  <c r="AE302" i="18" s="1"/>
  <c r="AB302" i="18" a="1"/>
  <c r="AB302" i="18" s="1"/>
  <c r="AA302" i="18" a="1"/>
  <c r="AA302" i="18" s="1"/>
  <c r="Z302" i="18" a="1"/>
  <c r="Z302" i="18" s="1"/>
  <c r="Y302" i="18" a="1"/>
  <c r="Y302" i="18" s="1"/>
  <c r="X302" i="18" a="1"/>
  <c r="X302" i="18" s="1"/>
  <c r="W302" i="18" a="1"/>
  <c r="W302" i="18" s="1"/>
  <c r="V302" i="18" a="1"/>
  <c r="V302" i="18" s="1"/>
  <c r="U302" i="18" a="1"/>
  <c r="U302" i="18" s="1"/>
  <c r="T302" i="18" a="1"/>
  <c r="T302" i="18" s="1"/>
  <c r="S302" i="18" a="1"/>
  <c r="S302" i="18" s="1"/>
  <c r="R302" i="18" a="1"/>
  <c r="R302" i="18" s="1"/>
  <c r="Q302" i="18" a="1"/>
  <c r="Q302" i="18" s="1"/>
  <c r="P302" i="18" a="1"/>
  <c r="P302" i="18" s="1"/>
  <c r="O302" i="18" a="1"/>
  <c r="O302" i="18" s="1"/>
  <c r="N302" i="18" a="1"/>
  <c r="N302" i="18" s="1"/>
  <c r="M302" i="18" a="1"/>
  <c r="M302" i="18" s="1"/>
  <c r="L302" i="18" a="1"/>
  <c r="L302" i="18" s="1"/>
  <c r="K302" i="18" a="1"/>
  <c r="K302" i="18" s="1"/>
  <c r="J302" i="18" a="1"/>
  <c r="J302" i="18" s="1"/>
  <c r="I302" i="18" a="1"/>
  <c r="I302" i="18" s="1"/>
  <c r="H302" i="18" a="1"/>
  <c r="H302" i="18" s="1"/>
  <c r="BA302" i="18" a="1"/>
  <c r="BA302" i="18" s="1"/>
  <c r="AS302" i="18" a="1"/>
  <c r="AS302" i="18" s="1"/>
  <c r="AK302" i="18" a="1"/>
  <c r="AK302" i="18" s="1"/>
  <c r="AL302" i="18" s="1"/>
  <c r="G302" i="18" a="1"/>
  <c r="G302" i="18" s="1"/>
  <c r="D302" i="18"/>
  <c r="AW302" i="18" a="1"/>
  <c r="AW302" i="18" s="1"/>
  <c r="AG302" i="18" a="1"/>
  <c r="AG302" i="18" s="1"/>
  <c r="AO302" i="18" a="1"/>
  <c r="AO302" i="18" s="1"/>
  <c r="BC310" i="18" a="1"/>
  <c r="BC310" i="18" s="1"/>
  <c r="AY310" i="18" a="1"/>
  <c r="AY310" i="18" s="1"/>
  <c r="AU310" i="18" a="1"/>
  <c r="AU310" i="18" s="1"/>
  <c r="AQ310" i="18" a="1"/>
  <c r="AQ310" i="18" s="1"/>
  <c r="AM310" i="18" a="1"/>
  <c r="AM310" i="18" s="1"/>
  <c r="AI310" i="18" a="1"/>
  <c r="AI310" i="18" s="1"/>
  <c r="AE310" i="18" a="1"/>
  <c r="AE310" i="18" s="1"/>
  <c r="AB310" i="18" a="1"/>
  <c r="AB310" i="18" s="1"/>
  <c r="AA310" i="18" a="1"/>
  <c r="AA310" i="18" s="1"/>
  <c r="Z310" i="18" a="1"/>
  <c r="Z310" i="18" s="1"/>
  <c r="Y310" i="18" a="1"/>
  <c r="Y310" i="18" s="1"/>
  <c r="X310" i="18" a="1"/>
  <c r="X310" i="18" s="1"/>
  <c r="W310" i="18" a="1"/>
  <c r="W310" i="18" s="1"/>
  <c r="V310" i="18" a="1"/>
  <c r="V310" i="18" s="1"/>
  <c r="U310" i="18" a="1"/>
  <c r="U310" i="18" s="1"/>
  <c r="T310" i="18" a="1"/>
  <c r="T310" i="18" s="1"/>
  <c r="S310" i="18" a="1"/>
  <c r="S310" i="18" s="1"/>
  <c r="R310" i="18" a="1"/>
  <c r="R310" i="18" s="1"/>
  <c r="Q310" i="18" a="1"/>
  <c r="Q310" i="18" s="1"/>
  <c r="P310" i="18" a="1"/>
  <c r="P310" i="18" s="1"/>
  <c r="O310" i="18" a="1"/>
  <c r="O310" i="18" s="1"/>
  <c r="N310" i="18" a="1"/>
  <c r="N310" i="18" s="1"/>
  <c r="M310" i="18" a="1"/>
  <c r="M310" i="18" s="1"/>
  <c r="L310" i="18" a="1"/>
  <c r="L310" i="18" s="1"/>
  <c r="K310" i="18" a="1"/>
  <c r="K310" i="18" s="1"/>
  <c r="J310" i="18" a="1"/>
  <c r="J310" i="18" s="1"/>
  <c r="I310" i="18" a="1"/>
  <c r="I310" i="18" s="1"/>
  <c r="H310" i="18" a="1"/>
  <c r="H310" i="18" s="1"/>
  <c r="G310" i="18" a="1"/>
  <c r="G310" i="18" s="1"/>
  <c r="D310" i="18"/>
  <c r="BA310" i="18" a="1"/>
  <c r="BA310" i="18" s="1"/>
  <c r="BB310" i="18" s="1"/>
  <c r="AS310" i="18" a="1"/>
  <c r="AS310" i="18" s="1"/>
  <c r="AK310" i="18" a="1"/>
  <c r="AK310" i="18" s="1"/>
  <c r="AW310" i="18" a="1"/>
  <c r="AW310" i="18" s="1"/>
  <c r="AG310" i="18" a="1"/>
  <c r="AG310" i="18" s="1"/>
  <c r="AO310" i="18" a="1"/>
  <c r="AO310" i="18" s="1"/>
  <c r="BC318" i="18" a="1"/>
  <c r="BC318" i="18" s="1"/>
  <c r="AY318" i="18" a="1"/>
  <c r="AY318" i="18" s="1"/>
  <c r="AU318" i="18" a="1"/>
  <c r="AU318" i="18" s="1"/>
  <c r="AQ318" i="18" a="1"/>
  <c r="AQ318" i="18" s="1"/>
  <c r="AM318" i="18" a="1"/>
  <c r="AM318" i="18" s="1"/>
  <c r="AI318" i="18" a="1"/>
  <c r="AI318" i="18" s="1"/>
  <c r="AE318" i="18" a="1"/>
  <c r="AE318" i="18" s="1"/>
  <c r="AB318" i="18" a="1"/>
  <c r="AB318" i="18" s="1"/>
  <c r="AA318" i="18" a="1"/>
  <c r="AA318" i="18" s="1"/>
  <c r="Z318" i="18" a="1"/>
  <c r="Z318" i="18" s="1"/>
  <c r="Y318" i="18" a="1"/>
  <c r="Y318" i="18" s="1"/>
  <c r="X318" i="18" a="1"/>
  <c r="X318" i="18" s="1"/>
  <c r="W318" i="18" a="1"/>
  <c r="W318" i="18" s="1"/>
  <c r="V318" i="18" a="1"/>
  <c r="V318" i="18" s="1"/>
  <c r="U318" i="18" a="1"/>
  <c r="U318" i="18" s="1"/>
  <c r="T318" i="18" a="1"/>
  <c r="T318" i="18" s="1"/>
  <c r="S318" i="18" a="1"/>
  <c r="S318" i="18" s="1"/>
  <c r="R318" i="18" a="1"/>
  <c r="R318" i="18" s="1"/>
  <c r="Q318" i="18" a="1"/>
  <c r="Q318" i="18" s="1"/>
  <c r="P318" i="18" a="1"/>
  <c r="P318" i="18" s="1"/>
  <c r="O318" i="18" a="1"/>
  <c r="O318" i="18" s="1"/>
  <c r="N318" i="18" a="1"/>
  <c r="N318" i="18" s="1"/>
  <c r="M318" i="18" a="1"/>
  <c r="M318" i="18" s="1"/>
  <c r="L318" i="18" a="1"/>
  <c r="L318" i="18" s="1"/>
  <c r="K318" i="18" a="1"/>
  <c r="K318" i="18" s="1"/>
  <c r="J318" i="18" a="1"/>
  <c r="J318" i="18" s="1"/>
  <c r="I318" i="18" a="1"/>
  <c r="I318" i="18" s="1"/>
  <c r="H318" i="18" a="1"/>
  <c r="H318" i="18" s="1"/>
  <c r="G318" i="18" a="1"/>
  <c r="G318" i="18" s="1"/>
  <c r="D318" i="18"/>
  <c r="BA318" i="18" a="1"/>
  <c r="BA318" i="18" s="1"/>
  <c r="BB318" i="18" s="1"/>
  <c r="AS318" i="18" a="1"/>
  <c r="AS318" i="18" s="1"/>
  <c r="AK318" i="18" a="1"/>
  <c r="AK318" i="18" s="1"/>
  <c r="AW318" i="18" a="1"/>
  <c r="AW318" i="18" s="1"/>
  <c r="AG318" i="18" a="1"/>
  <c r="AG318" i="18" s="1"/>
  <c r="AO318" i="18" a="1"/>
  <c r="AO318" i="18" s="1"/>
  <c r="BC326" i="18" a="1"/>
  <c r="BC326" i="18" s="1"/>
  <c r="AY326" i="18" a="1"/>
  <c r="AY326" i="18" s="1"/>
  <c r="AU326" i="18" a="1"/>
  <c r="AU326" i="18" s="1"/>
  <c r="AQ326" i="18" a="1"/>
  <c r="AQ326" i="18" s="1"/>
  <c r="AM326" i="18" a="1"/>
  <c r="AM326" i="18" s="1"/>
  <c r="AI326" i="18" a="1"/>
  <c r="AI326" i="18" s="1"/>
  <c r="AE326" i="18" a="1"/>
  <c r="AE326" i="18" s="1"/>
  <c r="AB326" i="18" a="1"/>
  <c r="AB326" i="18" s="1"/>
  <c r="AA326" i="18" a="1"/>
  <c r="AA326" i="18" s="1"/>
  <c r="Z326" i="18" a="1"/>
  <c r="Z326" i="18" s="1"/>
  <c r="Y326" i="18" a="1"/>
  <c r="Y326" i="18" s="1"/>
  <c r="X326" i="18" a="1"/>
  <c r="X326" i="18" s="1"/>
  <c r="W326" i="18" a="1"/>
  <c r="W326" i="18" s="1"/>
  <c r="V326" i="18" a="1"/>
  <c r="V326" i="18" s="1"/>
  <c r="U326" i="18" a="1"/>
  <c r="U326" i="18" s="1"/>
  <c r="T326" i="18" a="1"/>
  <c r="T326" i="18" s="1"/>
  <c r="S326" i="18" a="1"/>
  <c r="S326" i="18" s="1"/>
  <c r="R326" i="18" a="1"/>
  <c r="R326" i="18" s="1"/>
  <c r="Q326" i="18" a="1"/>
  <c r="Q326" i="18" s="1"/>
  <c r="P326" i="18" a="1"/>
  <c r="P326" i="18" s="1"/>
  <c r="O326" i="18" a="1"/>
  <c r="O326" i="18" s="1"/>
  <c r="N326" i="18" a="1"/>
  <c r="N326" i="18" s="1"/>
  <c r="M326" i="18" a="1"/>
  <c r="M326" i="18" s="1"/>
  <c r="L326" i="18" a="1"/>
  <c r="L326" i="18" s="1"/>
  <c r="K326" i="18" a="1"/>
  <c r="K326" i="18" s="1"/>
  <c r="J326" i="18" a="1"/>
  <c r="J326" i="18" s="1"/>
  <c r="I326" i="18" a="1"/>
  <c r="I326" i="18" s="1"/>
  <c r="H326" i="18" a="1"/>
  <c r="H326" i="18" s="1"/>
  <c r="G326" i="18" a="1"/>
  <c r="G326" i="18" s="1"/>
  <c r="D326" i="18"/>
  <c r="BA326" i="18" a="1"/>
  <c r="BA326" i="18" s="1"/>
  <c r="BB326" i="18" s="1"/>
  <c r="AS326" i="18" a="1"/>
  <c r="AS326" i="18" s="1"/>
  <c r="AK326" i="18" a="1"/>
  <c r="AK326" i="18" s="1"/>
  <c r="AW326" i="18" a="1"/>
  <c r="AW326" i="18" s="1"/>
  <c r="AG326" i="18" a="1"/>
  <c r="AG326" i="18" s="1"/>
  <c r="AO326" i="18" a="1"/>
  <c r="AO326" i="18" s="1"/>
  <c r="BC334" i="18" a="1"/>
  <c r="BC334" i="18" s="1"/>
  <c r="AY334" i="18" a="1"/>
  <c r="AY334" i="18" s="1"/>
  <c r="AU334" i="18" a="1"/>
  <c r="AU334" i="18" s="1"/>
  <c r="AQ334" i="18" a="1"/>
  <c r="AQ334" i="18" s="1"/>
  <c r="AM334" i="18" a="1"/>
  <c r="AM334" i="18" s="1"/>
  <c r="AI334" i="18" a="1"/>
  <c r="AI334" i="18" s="1"/>
  <c r="AE334" i="18" a="1"/>
  <c r="AE334" i="18" s="1"/>
  <c r="AB334" i="18" a="1"/>
  <c r="AB334" i="18" s="1"/>
  <c r="AA334" i="18" a="1"/>
  <c r="AA334" i="18" s="1"/>
  <c r="Z334" i="18" a="1"/>
  <c r="Z334" i="18" s="1"/>
  <c r="Y334" i="18" a="1"/>
  <c r="Y334" i="18" s="1"/>
  <c r="X334" i="18" a="1"/>
  <c r="X334" i="18" s="1"/>
  <c r="W334" i="18" a="1"/>
  <c r="W334" i="18" s="1"/>
  <c r="V334" i="18" a="1"/>
  <c r="V334" i="18" s="1"/>
  <c r="U334" i="18" a="1"/>
  <c r="U334" i="18" s="1"/>
  <c r="T334" i="18" a="1"/>
  <c r="T334" i="18" s="1"/>
  <c r="S334" i="18" a="1"/>
  <c r="S334" i="18" s="1"/>
  <c r="R334" i="18" a="1"/>
  <c r="R334" i="18" s="1"/>
  <c r="Q334" i="18" a="1"/>
  <c r="Q334" i="18" s="1"/>
  <c r="P334" i="18" a="1"/>
  <c r="P334" i="18" s="1"/>
  <c r="O334" i="18" a="1"/>
  <c r="O334" i="18" s="1"/>
  <c r="N334" i="18" a="1"/>
  <c r="N334" i="18" s="1"/>
  <c r="M334" i="18" a="1"/>
  <c r="M334" i="18" s="1"/>
  <c r="L334" i="18" a="1"/>
  <c r="L334" i="18" s="1"/>
  <c r="K334" i="18" a="1"/>
  <c r="K334" i="18" s="1"/>
  <c r="J334" i="18" a="1"/>
  <c r="J334" i="18" s="1"/>
  <c r="I334" i="18" a="1"/>
  <c r="I334" i="18" s="1"/>
  <c r="H334" i="18" a="1"/>
  <c r="H334" i="18" s="1"/>
  <c r="G334" i="18" a="1"/>
  <c r="G334" i="18" s="1"/>
  <c r="D334" i="18"/>
  <c r="AW334" i="18" a="1"/>
  <c r="AW334" i="18" s="1"/>
  <c r="AO334" i="18" a="1"/>
  <c r="AO334" i="18" s="1"/>
  <c r="AG334" i="18" a="1"/>
  <c r="AG334" i="18" s="1"/>
  <c r="AH334" i="18" s="1"/>
  <c r="BA334" i="18" a="1"/>
  <c r="BA334" i="18" s="1"/>
  <c r="AS334" i="18" a="1"/>
  <c r="AS334" i="18" s="1"/>
  <c r="AT334" i="18" s="1"/>
  <c r="AK334" i="18" a="1"/>
  <c r="AK334" i="18" s="1"/>
  <c r="BC342" i="18" a="1"/>
  <c r="BC342" i="18" s="1"/>
  <c r="AY342" i="18" a="1"/>
  <c r="AY342" i="18" s="1"/>
  <c r="AU342" i="18" a="1"/>
  <c r="AU342" i="18" s="1"/>
  <c r="AQ342" i="18" a="1"/>
  <c r="AQ342" i="18" s="1"/>
  <c r="AM342" i="18" a="1"/>
  <c r="AM342" i="18" s="1"/>
  <c r="AI342" i="18" a="1"/>
  <c r="AI342" i="18" s="1"/>
  <c r="AE342" i="18" a="1"/>
  <c r="AE342" i="18" s="1"/>
  <c r="AB342" i="18" a="1"/>
  <c r="AB342" i="18" s="1"/>
  <c r="AA342" i="18" a="1"/>
  <c r="AA342" i="18" s="1"/>
  <c r="Z342" i="18" a="1"/>
  <c r="Z342" i="18" s="1"/>
  <c r="Y342" i="18" a="1"/>
  <c r="Y342" i="18" s="1"/>
  <c r="X342" i="18" a="1"/>
  <c r="X342" i="18" s="1"/>
  <c r="W342" i="18" a="1"/>
  <c r="W342" i="18" s="1"/>
  <c r="V342" i="18" a="1"/>
  <c r="V342" i="18" s="1"/>
  <c r="U342" i="18" a="1"/>
  <c r="U342" i="18" s="1"/>
  <c r="T342" i="18" a="1"/>
  <c r="T342" i="18" s="1"/>
  <c r="S342" i="18" a="1"/>
  <c r="S342" i="18" s="1"/>
  <c r="R342" i="18" a="1"/>
  <c r="R342" i="18" s="1"/>
  <c r="Q342" i="18" a="1"/>
  <c r="Q342" i="18" s="1"/>
  <c r="P342" i="18" a="1"/>
  <c r="P342" i="18" s="1"/>
  <c r="O342" i="18" a="1"/>
  <c r="O342" i="18" s="1"/>
  <c r="N342" i="18" a="1"/>
  <c r="N342" i="18" s="1"/>
  <c r="M342" i="18" a="1"/>
  <c r="M342" i="18" s="1"/>
  <c r="L342" i="18" a="1"/>
  <c r="L342" i="18" s="1"/>
  <c r="K342" i="18" a="1"/>
  <c r="K342" i="18" s="1"/>
  <c r="J342" i="18" a="1"/>
  <c r="J342" i="18" s="1"/>
  <c r="I342" i="18" a="1"/>
  <c r="I342" i="18" s="1"/>
  <c r="H342" i="18" a="1"/>
  <c r="H342" i="18" s="1"/>
  <c r="G342" i="18" a="1"/>
  <c r="G342" i="18" s="1"/>
  <c r="D342" i="18"/>
  <c r="AW342" i="18" a="1"/>
  <c r="AW342" i="18" s="1"/>
  <c r="AO342" i="18" a="1"/>
  <c r="AO342" i="18" s="1"/>
  <c r="AG342" i="18" a="1"/>
  <c r="AG342" i="18" s="1"/>
  <c r="AH342" i="18" s="1"/>
  <c r="BA342" i="18" a="1"/>
  <c r="BA342" i="18" s="1"/>
  <c r="AS342" i="18" a="1"/>
  <c r="AS342" i="18" s="1"/>
  <c r="AT342" i="18" s="1"/>
  <c r="AK342" i="18" a="1"/>
  <c r="AK342" i="18" s="1"/>
  <c r="BC336" i="18" a="1"/>
  <c r="BC336" i="18" s="1"/>
  <c r="AY336" i="18" a="1"/>
  <c r="AY336" i="18" s="1"/>
  <c r="AU336" i="18" a="1"/>
  <c r="AU336" i="18" s="1"/>
  <c r="AQ336" i="18" a="1"/>
  <c r="AQ336" i="18" s="1"/>
  <c r="AM336" i="18" a="1"/>
  <c r="AM336" i="18" s="1"/>
  <c r="AI336" i="18" a="1"/>
  <c r="AI336" i="18" s="1"/>
  <c r="AE336" i="18" a="1"/>
  <c r="AE336" i="18" s="1"/>
  <c r="AB336" i="18" a="1"/>
  <c r="AB336" i="18" s="1"/>
  <c r="AA336" i="18" a="1"/>
  <c r="AA336" i="18" s="1"/>
  <c r="Z336" i="18" a="1"/>
  <c r="Z336" i="18" s="1"/>
  <c r="Y336" i="18" a="1"/>
  <c r="Y336" i="18" s="1"/>
  <c r="X336" i="18" a="1"/>
  <c r="X336" i="18" s="1"/>
  <c r="W336" i="18" a="1"/>
  <c r="W336" i="18" s="1"/>
  <c r="V336" i="18" a="1"/>
  <c r="V336" i="18" s="1"/>
  <c r="U336" i="18" a="1"/>
  <c r="U336" i="18" s="1"/>
  <c r="T336" i="18" a="1"/>
  <c r="T336" i="18" s="1"/>
  <c r="S336" i="18" a="1"/>
  <c r="S336" i="18" s="1"/>
  <c r="R336" i="18" a="1"/>
  <c r="R336" i="18" s="1"/>
  <c r="Q336" i="18" a="1"/>
  <c r="Q336" i="18" s="1"/>
  <c r="P336" i="18" a="1"/>
  <c r="P336" i="18" s="1"/>
  <c r="O336" i="18" a="1"/>
  <c r="O336" i="18" s="1"/>
  <c r="N336" i="18" a="1"/>
  <c r="N336" i="18" s="1"/>
  <c r="M336" i="18" a="1"/>
  <c r="M336" i="18" s="1"/>
  <c r="L336" i="18" a="1"/>
  <c r="L336" i="18" s="1"/>
  <c r="K336" i="18" a="1"/>
  <c r="K336" i="18" s="1"/>
  <c r="J336" i="18" a="1"/>
  <c r="J336" i="18" s="1"/>
  <c r="I336" i="18" a="1"/>
  <c r="I336" i="18" s="1"/>
  <c r="H336" i="18" a="1"/>
  <c r="H336" i="18" s="1"/>
  <c r="G336" i="18" a="1"/>
  <c r="G336" i="18" s="1"/>
  <c r="D336" i="18"/>
  <c r="BA336" i="18" a="1"/>
  <c r="BA336" i="18" s="1"/>
  <c r="BB336" i="18" s="1"/>
  <c r="AS336" i="18" a="1"/>
  <c r="AS336" i="18" s="1"/>
  <c r="AK336" i="18" a="1"/>
  <c r="AK336" i="18" s="1"/>
  <c r="AW336" i="18" a="1"/>
  <c r="AW336" i="18" s="1"/>
  <c r="AO336" i="18" a="1"/>
  <c r="AO336" i="18" s="1"/>
  <c r="AG336" i="18" a="1"/>
  <c r="AG336" i="18" s="1"/>
  <c r="BA303" i="18" a="1"/>
  <c r="BA303" i="18" s="1"/>
  <c r="AW303" i="18" a="1"/>
  <c r="AW303" i="18" s="1"/>
  <c r="AS303" i="18" a="1"/>
  <c r="AS303" i="18" s="1"/>
  <c r="AO303" i="18" a="1"/>
  <c r="AO303" i="18" s="1"/>
  <c r="AK303" i="18" a="1"/>
  <c r="AK303" i="18" s="1"/>
  <c r="AG303" i="18" a="1"/>
  <c r="AG303" i="18" s="1"/>
  <c r="AY303" i="18" a="1"/>
  <c r="AY303" i="18" s="1"/>
  <c r="AQ303" i="18" a="1"/>
  <c r="AQ303" i="18" s="1"/>
  <c r="AI303" i="18" a="1"/>
  <c r="AI303" i="18" s="1"/>
  <c r="AA303" i="18" a="1"/>
  <c r="AA303" i="18" s="1"/>
  <c r="Y303" i="18" a="1"/>
  <c r="Y303" i="18" s="1"/>
  <c r="W303" i="18" a="1"/>
  <c r="W303" i="18" s="1"/>
  <c r="U303" i="18" a="1"/>
  <c r="U303" i="18" s="1"/>
  <c r="S303" i="18" a="1"/>
  <c r="S303" i="18" s="1"/>
  <c r="Q303" i="18" a="1"/>
  <c r="Q303" i="18" s="1"/>
  <c r="O303" i="18" a="1"/>
  <c r="O303" i="18" s="1"/>
  <c r="M303" i="18" a="1"/>
  <c r="M303" i="18" s="1"/>
  <c r="K303" i="18" a="1"/>
  <c r="K303" i="18" s="1"/>
  <c r="I303" i="18" a="1"/>
  <c r="I303" i="18" s="1"/>
  <c r="G303" i="18" a="1"/>
  <c r="G303" i="18" s="1"/>
  <c r="BC303" i="18" a="1"/>
  <c r="BC303" i="18" s="1"/>
  <c r="AM303" i="18" a="1"/>
  <c r="AM303" i="18" s="1"/>
  <c r="AB303" i="18" a="1"/>
  <c r="AB303" i="18" s="1"/>
  <c r="X303" i="18" a="1"/>
  <c r="X303" i="18" s="1"/>
  <c r="T303" i="18" a="1"/>
  <c r="T303" i="18" s="1"/>
  <c r="P303" i="18" a="1"/>
  <c r="P303" i="18" s="1"/>
  <c r="L303" i="18" a="1"/>
  <c r="L303" i="18" s="1"/>
  <c r="H303" i="18" a="1"/>
  <c r="H303" i="18" s="1"/>
  <c r="AU303" i="18" a="1"/>
  <c r="AU303" i="18" s="1"/>
  <c r="AE303" i="18" a="1"/>
  <c r="AE303" i="18" s="1"/>
  <c r="Z303" i="18" a="1"/>
  <c r="Z303" i="18" s="1"/>
  <c r="V303" i="18" a="1"/>
  <c r="V303" i="18" s="1"/>
  <c r="R303" i="18" a="1"/>
  <c r="R303" i="18" s="1"/>
  <c r="N303" i="18" a="1"/>
  <c r="N303" i="18" s="1"/>
  <c r="J303" i="18" a="1"/>
  <c r="J303" i="18" s="1"/>
  <c r="D303" i="18"/>
  <c r="BA307" i="18" a="1"/>
  <c r="BA307" i="18" s="1"/>
  <c r="AW307" i="18" a="1"/>
  <c r="AW307" i="18" s="1"/>
  <c r="AS307" i="18" a="1"/>
  <c r="AS307" i="18" s="1"/>
  <c r="AO307" i="18" a="1"/>
  <c r="AO307" i="18" s="1"/>
  <c r="AK307" i="18" a="1"/>
  <c r="AK307" i="18" s="1"/>
  <c r="AG307" i="18" a="1"/>
  <c r="AG307" i="18" s="1"/>
  <c r="AY307" i="18" a="1"/>
  <c r="AY307" i="18" s="1"/>
  <c r="AQ307" i="18" a="1"/>
  <c r="AQ307" i="18" s="1"/>
  <c r="AI307" i="18" a="1"/>
  <c r="AI307" i="18" s="1"/>
  <c r="AA307" i="18" a="1"/>
  <c r="AA307" i="18" s="1"/>
  <c r="Y307" i="18" a="1"/>
  <c r="Y307" i="18" s="1"/>
  <c r="W307" i="18" a="1"/>
  <c r="W307" i="18" s="1"/>
  <c r="U307" i="18" a="1"/>
  <c r="U307" i="18" s="1"/>
  <c r="S307" i="18" a="1"/>
  <c r="S307" i="18" s="1"/>
  <c r="Q307" i="18" a="1"/>
  <c r="Q307" i="18" s="1"/>
  <c r="O307" i="18" a="1"/>
  <c r="O307" i="18" s="1"/>
  <c r="M307" i="18" a="1"/>
  <c r="M307" i="18" s="1"/>
  <c r="K307" i="18" a="1"/>
  <c r="K307" i="18" s="1"/>
  <c r="I307" i="18" a="1"/>
  <c r="I307" i="18" s="1"/>
  <c r="G307" i="18" a="1"/>
  <c r="G307" i="18" s="1"/>
  <c r="AU307" i="18" a="1"/>
  <c r="AU307" i="18" s="1"/>
  <c r="AE307" i="18" a="1"/>
  <c r="AE307" i="18" s="1"/>
  <c r="Z307" i="18" a="1"/>
  <c r="Z307" i="18" s="1"/>
  <c r="V307" i="18" a="1"/>
  <c r="V307" i="18" s="1"/>
  <c r="R307" i="18" a="1"/>
  <c r="R307" i="18" s="1"/>
  <c r="N307" i="18" a="1"/>
  <c r="N307" i="18" s="1"/>
  <c r="J307" i="18" a="1"/>
  <c r="J307" i="18" s="1"/>
  <c r="D307" i="18"/>
  <c r="BC307" i="18" a="1"/>
  <c r="BC307" i="18" s="1"/>
  <c r="AM307" i="18" a="1"/>
  <c r="AM307" i="18" s="1"/>
  <c r="AB307" i="18" a="1"/>
  <c r="AB307" i="18" s="1"/>
  <c r="X307" i="18" a="1"/>
  <c r="X307" i="18" s="1"/>
  <c r="T307" i="18" a="1"/>
  <c r="T307" i="18" s="1"/>
  <c r="P307" i="18" a="1"/>
  <c r="P307" i="18" s="1"/>
  <c r="L307" i="18" a="1"/>
  <c r="L307" i="18" s="1"/>
  <c r="H307" i="18" a="1"/>
  <c r="H307" i="18" s="1"/>
  <c r="BA311" i="18" a="1"/>
  <c r="BA311" i="18" s="1"/>
  <c r="AW311" i="18" a="1"/>
  <c r="AW311" i="18" s="1"/>
  <c r="AS311" i="18" a="1"/>
  <c r="AS311" i="18" s="1"/>
  <c r="AO311" i="18" a="1"/>
  <c r="AO311" i="18" s="1"/>
  <c r="AK311" i="18" a="1"/>
  <c r="AK311" i="18" s="1"/>
  <c r="AG311" i="18" a="1"/>
  <c r="AG311" i="18" s="1"/>
  <c r="AY311" i="18" a="1"/>
  <c r="AY311" i="18" s="1"/>
  <c r="AQ311" i="18" a="1"/>
  <c r="AQ311" i="18" s="1"/>
  <c r="AI311" i="18" a="1"/>
  <c r="AI311" i="18" s="1"/>
  <c r="AA311" i="18" a="1"/>
  <c r="AA311" i="18" s="1"/>
  <c r="Y311" i="18" a="1"/>
  <c r="Y311" i="18" s="1"/>
  <c r="W311" i="18" a="1"/>
  <c r="W311" i="18" s="1"/>
  <c r="U311" i="18" a="1"/>
  <c r="U311" i="18" s="1"/>
  <c r="S311" i="18" a="1"/>
  <c r="S311" i="18" s="1"/>
  <c r="Q311" i="18" a="1"/>
  <c r="Q311" i="18" s="1"/>
  <c r="O311" i="18" a="1"/>
  <c r="O311" i="18" s="1"/>
  <c r="M311" i="18" a="1"/>
  <c r="M311" i="18" s="1"/>
  <c r="K311" i="18" a="1"/>
  <c r="K311" i="18" s="1"/>
  <c r="I311" i="18" a="1"/>
  <c r="I311" i="18" s="1"/>
  <c r="G311" i="18" a="1"/>
  <c r="G311" i="18" s="1"/>
  <c r="BC311" i="18" a="1"/>
  <c r="BC311" i="18" s="1"/>
  <c r="AM311" i="18" a="1"/>
  <c r="AM311" i="18" s="1"/>
  <c r="AB311" i="18" a="1"/>
  <c r="AB311" i="18" s="1"/>
  <c r="X311" i="18" a="1"/>
  <c r="X311" i="18" s="1"/>
  <c r="T311" i="18" a="1"/>
  <c r="T311" i="18" s="1"/>
  <c r="P311" i="18" a="1"/>
  <c r="P311" i="18" s="1"/>
  <c r="L311" i="18" a="1"/>
  <c r="L311" i="18" s="1"/>
  <c r="H311" i="18" a="1"/>
  <c r="H311" i="18" s="1"/>
  <c r="AU311" i="18" a="1"/>
  <c r="AU311" i="18" s="1"/>
  <c r="AE311" i="18" a="1"/>
  <c r="AE311" i="18" s="1"/>
  <c r="Z311" i="18" a="1"/>
  <c r="Z311" i="18" s="1"/>
  <c r="V311" i="18" a="1"/>
  <c r="V311" i="18" s="1"/>
  <c r="R311" i="18" a="1"/>
  <c r="R311" i="18" s="1"/>
  <c r="N311" i="18" a="1"/>
  <c r="N311" i="18" s="1"/>
  <c r="J311" i="18" a="1"/>
  <c r="J311" i="18" s="1"/>
  <c r="D311" i="18"/>
  <c r="BA315" i="18" a="1"/>
  <c r="BA315" i="18" s="1"/>
  <c r="AW315" i="18" a="1"/>
  <c r="AW315" i="18" s="1"/>
  <c r="AS315" i="18" a="1"/>
  <c r="AS315" i="18" s="1"/>
  <c r="AO315" i="18" a="1"/>
  <c r="AO315" i="18" s="1"/>
  <c r="AK315" i="18" a="1"/>
  <c r="AK315" i="18" s="1"/>
  <c r="AG315" i="18" a="1"/>
  <c r="AG315" i="18" s="1"/>
  <c r="AY315" i="18" a="1"/>
  <c r="AY315" i="18" s="1"/>
  <c r="AQ315" i="18" a="1"/>
  <c r="AQ315" i="18" s="1"/>
  <c r="AI315" i="18" a="1"/>
  <c r="AI315" i="18" s="1"/>
  <c r="AA315" i="18" a="1"/>
  <c r="AA315" i="18" s="1"/>
  <c r="Y315" i="18" a="1"/>
  <c r="Y315" i="18" s="1"/>
  <c r="W315" i="18" a="1"/>
  <c r="W315" i="18" s="1"/>
  <c r="U315" i="18" a="1"/>
  <c r="U315" i="18" s="1"/>
  <c r="S315" i="18" a="1"/>
  <c r="S315" i="18" s="1"/>
  <c r="Q315" i="18" a="1"/>
  <c r="Q315" i="18" s="1"/>
  <c r="O315" i="18" a="1"/>
  <c r="O315" i="18" s="1"/>
  <c r="M315" i="18" a="1"/>
  <c r="M315" i="18" s="1"/>
  <c r="K315" i="18" a="1"/>
  <c r="K315" i="18" s="1"/>
  <c r="I315" i="18" a="1"/>
  <c r="I315" i="18" s="1"/>
  <c r="G315" i="18" a="1"/>
  <c r="G315" i="18" s="1"/>
  <c r="AU315" i="18" a="1"/>
  <c r="AU315" i="18" s="1"/>
  <c r="AE315" i="18" a="1"/>
  <c r="AE315" i="18" s="1"/>
  <c r="Z315" i="18" a="1"/>
  <c r="Z315" i="18" s="1"/>
  <c r="V315" i="18" a="1"/>
  <c r="V315" i="18" s="1"/>
  <c r="R315" i="18" a="1"/>
  <c r="R315" i="18" s="1"/>
  <c r="N315" i="18" a="1"/>
  <c r="N315" i="18" s="1"/>
  <c r="J315" i="18" a="1"/>
  <c r="J315" i="18" s="1"/>
  <c r="D315" i="18"/>
  <c r="BC315" i="18" a="1"/>
  <c r="BC315" i="18" s="1"/>
  <c r="AM315" i="18" a="1"/>
  <c r="AM315" i="18" s="1"/>
  <c r="AB315" i="18" a="1"/>
  <c r="AB315" i="18" s="1"/>
  <c r="X315" i="18" a="1"/>
  <c r="X315" i="18" s="1"/>
  <c r="T315" i="18" a="1"/>
  <c r="T315" i="18" s="1"/>
  <c r="P315" i="18" a="1"/>
  <c r="P315" i="18" s="1"/>
  <c r="L315" i="18" a="1"/>
  <c r="L315" i="18" s="1"/>
  <c r="H315" i="18" a="1"/>
  <c r="H315" i="18" s="1"/>
  <c r="BA319" i="18" a="1"/>
  <c r="BA319" i="18" s="1"/>
  <c r="AW319" i="18" a="1"/>
  <c r="AW319" i="18" s="1"/>
  <c r="AS319" i="18" a="1"/>
  <c r="AS319" i="18" s="1"/>
  <c r="AO319" i="18" a="1"/>
  <c r="AO319" i="18" s="1"/>
  <c r="AK319" i="18" a="1"/>
  <c r="AK319" i="18" s="1"/>
  <c r="AG319" i="18" a="1"/>
  <c r="AG319" i="18" s="1"/>
  <c r="AY319" i="18" a="1"/>
  <c r="AY319" i="18" s="1"/>
  <c r="AQ319" i="18" a="1"/>
  <c r="AQ319" i="18" s="1"/>
  <c r="AI319" i="18" a="1"/>
  <c r="AI319" i="18" s="1"/>
  <c r="AA319" i="18" a="1"/>
  <c r="AA319" i="18" s="1"/>
  <c r="Y319" i="18" a="1"/>
  <c r="Y319" i="18" s="1"/>
  <c r="W319" i="18" a="1"/>
  <c r="W319" i="18" s="1"/>
  <c r="U319" i="18" a="1"/>
  <c r="U319" i="18" s="1"/>
  <c r="S319" i="18" a="1"/>
  <c r="S319" i="18" s="1"/>
  <c r="Q319" i="18" a="1"/>
  <c r="Q319" i="18" s="1"/>
  <c r="O319" i="18" a="1"/>
  <c r="O319" i="18" s="1"/>
  <c r="M319" i="18" a="1"/>
  <c r="M319" i="18" s="1"/>
  <c r="K319" i="18" a="1"/>
  <c r="K319" i="18" s="1"/>
  <c r="I319" i="18" a="1"/>
  <c r="I319" i="18" s="1"/>
  <c r="G319" i="18" a="1"/>
  <c r="G319" i="18" s="1"/>
  <c r="BC319" i="18" a="1"/>
  <c r="BC319" i="18" s="1"/>
  <c r="AM319" i="18" a="1"/>
  <c r="AM319" i="18" s="1"/>
  <c r="AB319" i="18" a="1"/>
  <c r="AB319" i="18" s="1"/>
  <c r="X319" i="18" a="1"/>
  <c r="X319" i="18" s="1"/>
  <c r="T319" i="18" a="1"/>
  <c r="T319" i="18" s="1"/>
  <c r="P319" i="18" a="1"/>
  <c r="P319" i="18" s="1"/>
  <c r="L319" i="18" a="1"/>
  <c r="L319" i="18" s="1"/>
  <c r="H319" i="18" a="1"/>
  <c r="H319" i="18" s="1"/>
  <c r="AU319" i="18" a="1"/>
  <c r="AU319" i="18" s="1"/>
  <c r="AE319" i="18" a="1"/>
  <c r="AE319" i="18" s="1"/>
  <c r="Z319" i="18" a="1"/>
  <c r="Z319" i="18" s="1"/>
  <c r="V319" i="18" a="1"/>
  <c r="V319" i="18" s="1"/>
  <c r="R319" i="18" a="1"/>
  <c r="R319" i="18" s="1"/>
  <c r="N319" i="18" a="1"/>
  <c r="N319" i="18" s="1"/>
  <c r="J319" i="18" a="1"/>
  <c r="J319" i="18" s="1"/>
  <c r="D319" i="18"/>
  <c r="BA323" i="18" a="1"/>
  <c r="BA323" i="18" s="1"/>
  <c r="AW323" i="18" a="1"/>
  <c r="AW323" i="18" s="1"/>
  <c r="AS323" i="18" a="1"/>
  <c r="AS323" i="18" s="1"/>
  <c r="AO323" i="18" a="1"/>
  <c r="AO323" i="18" s="1"/>
  <c r="AK323" i="18" a="1"/>
  <c r="AK323" i="18" s="1"/>
  <c r="AG323" i="18" a="1"/>
  <c r="AG323" i="18" s="1"/>
  <c r="AY323" i="18" a="1"/>
  <c r="AY323" i="18" s="1"/>
  <c r="AQ323" i="18" a="1"/>
  <c r="AQ323" i="18" s="1"/>
  <c r="AI323" i="18" a="1"/>
  <c r="AI323" i="18" s="1"/>
  <c r="AA323" i="18" a="1"/>
  <c r="AA323" i="18" s="1"/>
  <c r="Y323" i="18" a="1"/>
  <c r="Y323" i="18" s="1"/>
  <c r="W323" i="18" a="1"/>
  <c r="W323" i="18" s="1"/>
  <c r="U323" i="18" a="1"/>
  <c r="U323" i="18" s="1"/>
  <c r="S323" i="18" a="1"/>
  <c r="S323" i="18" s="1"/>
  <c r="Q323" i="18" a="1"/>
  <c r="Q323" i="18" s="1"/>
  <c r="O323" i="18" a="1"/>
  <c r="O323" i="18" s="1"/>
  <c r="M323" i="18" a="1"/>
  <c r="M323" i="18" s="1"/>
  <c r="K323" i="18" a="1"/>
  <c r="K323" i="18" s="1"/>
  <c r="I323" i="18" a="1"/>
  <c r="I323" i="18" s="1"/>
  <c r="G323" i="18" a="1"/>
  <c r="G323" i="18" s="1"/>
  <c r="AU323" i="18" a="1"/>
  <c r="AU323" i="18" s="1"/>
  <c r="AE323" i="18" a="1"/>
  <c r="AE323" i="18" s="1"/>
  <c r="Z323" i="18" a="1"/>
  <c r="Z323" i="18" s="1"/>
  <c r="V323" i="18" a="1"/>
  <c r="V323" i="18" s="1"/>
  <c r="R323" i="18" a="1"/>
  <c r="R323" i="18" s="1"/>
  <c r="N323" i="18" a="1"/>
  <c r="N323" i="18" s="1"/>
  <c r="J323" i="18" a="1"/>
  <c r="J323" i="18" s="1"/>
  <c r="D323" i="18"/>
  <c r="BC323" i="18" a="1"/>
  <c r="BC323" i="18" s="1"/>
  <c r="AM323" i="18" a="1"/>
  <c r="AM323" i="18" s="1"/>
  <c r="AB323" i="18" a="1"/>
  <c r="AB323" i="18" s="1"/>
  <c r="X323" i="18" a="1"/>
  <c r="X323" i="18" s="1"/>
  <c r="T323" i="18" a="1"/>
  <c r="T323" i="18" s="1"/>
  <c r="P323" i="18" a="1"/>
  <c r="P323" i="18" s="1"/>
  <c r="L323" i="18" a="1"/>
  <c r="L323" i="18" s="1"/>
  <c r="H323" i="18" a="1"/>
  <c r="H323" i="18" s="1"/>
  <c r="BA327" i="18" a="1"/>
  <c r="BA327" i="18" s="1"/>
  <c r="AW327" i="18" a="1"/>
  <c r="AW327" i="18" s="1"/>
  <c r="AS327" i="18" a="1"/>
  <c r="AS327" i="18" s="1"/>
  <c r="AO327" i="18" a="1"/>
  <c r="AO327" i="18" s="1"/>
  <c r="AK327" i="18" a="1"/>
  <c r="AK327" i="18" s="1"/>
  <c r="AG327" i="18" a="1"/>
  <c r="AG327" i="18" s="1"/>
  <c r="AY327" i="18" a="1"/>
  <c r="AY327" i="18" s="1"/>
  <c r="AQ327" i="18" a="1"/>
  <c r="AQ327" i="18" s="1"/>
  <c r="AI327" i="18" a="1"/>
  <c r="AI327" i="18" s="1"/>
  <c r="AA327" i="18" a="1"/>
  <c r="AA327" i="18" s="1"/>
  <c r="Y327" i="18" a="1"/>
  <c r="Y327" i="18" s="1"/>
  <c r="W327" i="18" a="1"/>
  <c r="W327" i="18" s="1"/>
  <c r="U327" i="18" a="1"/>
  <c r="U327" i="18" s="1"/>
  <c r="S327" i="18" a="1"/>
  <c r="S327" i="18" s="1"/>
  <c r="Q327" i="18" a="1"/>
  <c r="Q327" i="18" s="1"/>
  <c r="O327" i="18" a="1"/>
  <c r="O327" i="18" s="1"/>
  <c r="M327" i="18" a="1"/>
  <c r="M327" i="18" s="1"/>
  <c r="K327" i="18" a="1"/>
  <c r="K327" i="18" s="1"/>
  <c r="I327" i="18" a="1"/>
  <c r="I327" i="18" s="1"/>
  <c r="G327" i="18" a="1"/>
  <c r="G327" i="18" s="1"/>
  <c r="BC327" i="18" a="1"/>
  <c r="BC327" i="18" s="1"/>
  <c r="AM327" i="18" a="1"/>
  <c r="AM327" i="18" s="1"/>
  <c r="AB327" i="18" a="1"/>
  <c r="AB327" i="18" s="1"/>
  <c r="X327" i="18" a="1"/>
  <c r="X327" i="18" s="1"/>
  <c r="T327" i="18" a="1"/>
  <c r="T327" i="18" s="1"/>
  <c r="P327" i="18" a="1"/>
  <c r="P327" i="18" s="1"/>
  <c r="L327" i="18" a="1"/>
  <c r="L327" i="18" s="1"/>
  <c r="H327" i="18" a="1"/>
  <c r="H327" i="18" s="1"/>
  <c r="AU327" i="18" a="1"/>
  <c r="AU327" i="18" s="1"/>
  <c r="AE327" i="18" a="1"/>
  <c r="AE327" i="18" s="1"/>
  <c r="Z327" i="18" a="1"/>
  <c r="Z327" i="18" s="1"/>
  <c r="V327" i="18" a="1"/>
  <c r="V327" i="18" s="1"/>
  <c r="R327" i="18" a="1"/>
  <c r="R327" i="18" s="1"/>
  <c r="N327" i="18" a="1"/>
  <c r="N327" i="18" s="1"/>
  <c r="J327" i="18" a="1"/>
  <c r="J327" i="18" s="1"/>
  <c r="D327" i="18"/>
  <c r="BA331" i="18" a="1"/>
  <c r="BA331" i="18" s="1"/>
  <c r="AW331" i="18" a="1"/>
  <c r="AW331" i="18" s="1"/>
  <c r="AS331" i="18" a="1"/>
  <c r="AS331" i="18" s="1"/>
  <c r="AO331" i="18" a="1"/>
  <c r="AO331" i="18" s="1"/>
  <c r="AK331" i="18" a="1"/>
  <c r="AK331" i="18" s="1"/>
  <c r="AG331" i="18" a="1"/>
  <c r="AG331" i="18" s="1"/>
  <c r="BC331" i="18" a="1"/>
  <c r="BC331" i="18" s="1"/>
  <c r="AU331" i="18" a="1"/>
  <c r="AU331" i="18" s="1"/>
  <c r="AM331" i="18" a="1"/>
  <c r="AM331" i="18" s="1"/>
  <c r="AE331" i="18" a="1"/>
  <c r="AE331" i="18" s="1"/>
  <c r="AB331" i="18" a="1"/>
  <c r="AB331" i="18" s="1"/>
  <c r="Z331" i="18" a="1"/>
  <c r="Z331" i="18" s="1"/>
  <c r="X331" i="18" a="1"/>
  <c r="X331" i="18" s="1"/>
  <c r="AY331" i="18" a="1"/>
  <c r="AY331" i="18" s="1"/>
  <c r="AQ331" i="18" a="1"/>
  <c r="AQ331" i="18" s="1"/>
  <c r="AI331" i="18" a="1"/>
  <c r="AI331" i="18" s="1"/>
  <c r="AA331" i="18" a="1"/>
  <c r="AA331" i="18" s="1"/>
  <c r="Y331" i="18" a="1"/>
  <c r="Y331" i="18" s="1"/>
  <c r="W331" i="18" a="1"/>
  <c r="W331" i="18" s="1"/>
  <c r="U331" i="18" a="1"/>
  <c r="U331" i="18" s="1"/>
  <c r="S331" i="18" a="1"/>
  <c r="S331" i="18" s="1"/>
  <c r="Q331" i="18" a="1"/>
  <c r="Q331" i="18" s="1"/>
  <c r="O331" i="18" a="1"/>
  <c r="O331" i="18" s="1"/>
  <c r="M331" i="18" a="1"/>
  <c r="M331" i="18" s="1"/>
  <c r="K331" i="18" a="1"/>
  <c r="K331" i="18" s="1"/>
  <c r="I331" i="18" a="1"/>
  <c r="I331" i="18" s="1"/>
  <c r="G331" i="18" a="1"/>
  <c r="G331" i="18" s="1"/>
  <c r="V331" i="18" a="1"/>
  <c r="V331" i="18" s="1"/>
  <c r="R331" i="18" a="1"/>
  <c r="R331" i="18" s="1"/>
  <c r="N331" i="18" a="1"/>
  <c r="N331" i="18" s="1"/>
  <c r="J331" i="18" a="1"/>
  <c r="J331" i="18" s="1"/>
  <c r="D331" i="18"/>
  <c r="T331" i="18" a="1"/>
  <c r="T331" i="18" s="1"/>
  <c r="P331" i="18" a="1"/>
  <c r="P331" i="18" s="1"/>
  <c r="L331" i="18" a="1"/>
  <c r="L331" i="18" s="1"/>
  <c r="H331" i="18" a="1"/>
  <c r="H331" i="18" s="1"/>
  <c r="BA335" i="18" a="1"/>
  <c r="BA335" i="18" s="1"/>
  <c r="AW335" i="18" a="1"/>
  <c r="AW335" i="18" s="1"/>
  <c r="AS335" i="18" a="1"/>
  <c r="AS335" i="18" s="1"/>
  <c r="AO335" i="18" a="1"/>
  <c r="AO335" i="18" s="1"/>
  <c r="AK335" i="18" a="1"/>
  <c r="AK335" i="18" s="1"/>
  <c r="AG335" i="18" a="1"/>
  <c r="AG335" i="18" s="1"/>
  <c r="BC335" i="18" a="1"/>
  <c r="BC335" i="18" s="1"/>
  <c r="AU335" i="18" a="1"/>
  <c r="AU335" i="18" s="1"/>
  <c r="AM335" i="18" a="1"/>
  <c r="AM335" i="18" s="1"/>
  <c r="AE335" i="18" a="1"/>
  <c r="AE335" i="18" s="1"/>
  <c r="AB335" i="18" a="1"/>
  <c r="AB335" i="18" s="1"/>
  <c r="Z335" i="18" a="1"/>
  <c r="Z335" i="18" s="1"/>
  <c r="X335" i="18" a="1"/>
  <c r="X335" i="18" s="1"/>
  <c r="V335" i="18" a="1"/>
  <c r="V335" i="18" s="1"/>
  <c r="T335" i="18" a="1"/>
  <c r="T335" i="18" s="1"/>
  <c r="R335" i="18" a="1"/>
  <c r="R335" i="18" s="1"/>
  <c r="P335" i="18" a="1"/>
  <c r="P335" i="18" s="1"/>
  <c r="N335" i="18" a="1"/>
  <c r="N335" i="18" s="1"/>
  <c r="L335" i="18" a="1"/>
  <c r="L335" i="18" s="1"/>
  <c r="J335" i="18" a="1"/>
  <c r="J335" i="18" s="1"/>
  <c r="H335" i="18" a="1"/>
  <c r="H335" i="18" s="1"/>
  <c r="D335" i="18"/>
  <c r="AY335" i="18" a="1"/>
  <c r="AY335" i="18" s="1"/>
  <c r="AQ335" i="18" a="1"/>
  <c r="AQ335" i="18" s="1"/>
  <c r="AI335" i="18" a="1"/>
  <c r="AI335" i="18" s="1"/>
  <c r="AJ335" i="18" s="1"/>
  <c r="AA335" i="18" a="1"/>
  <c r="AA335" i="18" s="1"/>
  <c r="Y335" i="18" a="1"/>
  <c r="Y335" i="18" s="1"/>
  <c r="W335" i="18" a="1"/>
  <c r="W335" i="18" s="1"/>
  <c r="U335" i="18" a="1"/>
  <c r="U335" i="18" s="1"/>
  <c r="S335" i="18" a="1"/>
  <c r="S335" i="18" s="1"/>
  <c r="Q335" i="18" a="1"/>
  <c r="Q335" i="18" s="1"/>
  <c r="O335" i="18" a="1"/>
  <c r="O335" i="18" s="1"/>
  <c r="M335" i="18" a="1"/>
  <c r="M335" i="18" s="1"/>
  <c r="K335" i="18" a="1"/>
  <c r="K335" i="18" s="1"/>
  <c r="I335" i="18" a="1"/>
  <c r="I335" i="18" s="1"/>
  <c r="G335" i="18" a="1"/>
  <c r="G335" i="18" s="1"/>
  <c r="BA339" i="18" a="1"/>
  <c r="BA339" i="18" s="1"/>
  <c r="AW339" i="18" a="1"/>
  <c r="AW339" i="18" s="1"/>
  <c r="AS339" i="18" a="1"/>
  <c r="AS339" i="18" s="1"/>
  <c r="AO339" i="18" a="1"/>
  <c r="AO339" i="18" s="1"/>
  <c r="AK339" i="18" a="1"/>
  <c r="AK339" i="18" s="1"/>
  <c r="AG339" i="18" a="1"/>
  <c r="AG339" i="18" s="1"/>
  <c r="BC339" i="18" a="1"/>
  <c r="BC339" i="18" s="1"/>
  <c r="AU339" i="18" a="1"/>
  <c r="AU339" i="18" s="1"/>
  <c r="AM339" i="18" a="1"/>
  <c r="AM339" i="18" s="1"/>
  <c r="AE339" i="18" a="1"/>
  <c r="AE339" i="18" s="1"/>
  <c r="AB339" i="18" a="1"/>
  <c r="AB339" i="18" s="1"/>
  <c r="Z339" i="18" a="1"/>
  <c r="Z339" i="18" s="1"/>
  <c r="X339" i="18" a="1"/>
  <c r="X339" i="18" s="1"/>
  <c r="V339" i="18" a="1"/>
  <c r="V339" i="18" s="1"/>
  <c r="T339" i="18" a="1"/>
  <c r="T339" i="18" s="1"/>
  <c r="R339" i="18" a="1"/>
  <c r="R339" i="18" s="1"/>
  <c r="P339" i="18" a="1"/>
  <c r="P339" i="18" s="1"/>
  <c r="N339" i="18" a="1"/>
  <c r="N339" i="18" s="1"/>
  <c r="L339" i="18" a="1"/>
  <c r="L339" i="18" s="1"/>
  <c r="J339" i="18" a="1"/>
  <c r="J339" i="18" s="1"/>
  <c r="H339" i="18" a="1"/>
  <c r="H339" i="18" s="1"/>
  <c r="D339" i="18"/>
  <c r="AY339" i="18" a="1"/>
  <c r="AY339" i="18" s="1"/>
  <c r="AQ339" i="18" a="1"/>
  <c r="AQ339" i="18" s="1"/>
  <c r="AI339" i="18" a="1"/>
  <c r="AI339" i="18" s="1"/>
  <c r="AJ339" i="18" s="1"/>
  <c r="AA339" i="18" a="1"/>
  <c r="AA339" i="18" s="1"/>
  <c r="Y339" i="18" a="1"/>
  <c r="Y339" i="18" s="1"/>
  <c r="W339" i="18" a="1"/>
  <c r="W339" i="18" s="1"/>
  <c r="U339" i="18" a="1"/>
  <c r="U339" i="18" s="1"/>
  <c r="S339" i="18" a="1"/>
  <c r="S339" i="18" s="1"/>
  <c r="Q339" i="18" a="1"/>
  <c r="Q339" i="18" s="1"/>
  <c r="O339" i="18" a="1"/>
  <c r="O339" i="18" s="1"/>
  <c r="M339" i="18" a="1"/>
  <c r="M339" i="18" s="1"/>
  <c r="K339" i="18" a="1"/>
  <c r="K339" i="18" s="1"/>
  <c r="I339" i="18" a="1"/>
  <c r="I339" i="18" s="1"/>
  <c r="G339" i="18" a="1"/>
  <c r="G339" i="18" s="1"/>
  <c r="BA343" i="18" a="1"/>
  <c r="BA343" i="18" s="1"/>
  <c r="AW343" i="18" a="1"/>
  <c r="AW343" i="18" s="1"/>
  <c r="AS343" i="18" a="1"/>
  <c r="AS343" i="18" s="1"/>
  <c r="AO343" i="18" a="1"/>
  <c r="AO343" i="18" s="1"/>
  <c r="AK343" i="18" a="1"/>
  <c r="AK343" i="18" s="1"/>
  <c r="AG343" i="18" a="1"/>
  <c r="AG343" i="18" s="1"/>
  <c r="BC343" i="18" a="1"/>
  <c r="BC343" i="18" s="1"/>
  <c r="AU343" i="18" a="1"/>
  <c r="AU343" i="18" s="1"/>
  <c r="AM343" i="18" a="1"/>
  <c r="AM343" i="18" s="1"/>
  <c r="AE343" i="18" a="1"/>
  <c r="AE343" i="18" s="1"/>
  <c r="AB343" i="18" a="1"/>
  <c r="AB343" i="18" s="1"/>
  <c r="Z343" i="18" a="1"/>
  <c r="Z343" i="18" s="1"/>
  <c r="X343" i="18" a="1"/>
  <c r="X343" i="18" s="1"/>
  <c r="V343" i="18" a="1"/>
  <c r="V343" i="18" s="1"/>
  <c r="T343" i="18" a="1"/>
  <c r="T343" i="18" s="1"/>
  <c r="R343" i="18" a="1"/>
  <c r="R343" i="18" s="1"/>
  <c r="P343" i="18" a="1"/>
  <c r="P343" i="18" s="1"/>
  <c r="N343" i="18" a="1"/>
  <c r="N343" i="18" s="1"/>
  <c r="L343" i="18" a="1"/>
  <c r="L343" i="18" s="1"/>
  <c r="J343" i="18" a="1"/>
  <c r="J343" i="18" s="1"/>
  <c r="H343" i="18" a="1"/>
  <c r="H343" i="18" s="1"/>
  <c r="D343" i="18"/>
  <c r="AY343" i="18" a="1"/>
  <c r="AY343" i="18" s="1"/>
  <c r="AQ343" i="18" a="1"/>
  <c r="AQ343" i="18" s="1"/>
  <c r="AI343" i="18" a="1"/>
  <c r="AI343" i="18" s="1"/>
  <c r="AJ343" i="18" s="1"/>
  <c r="AA343" i="18" a="1"/>
  <c r="AA343" i="18" s="1"/>
  <c r="Y343" i="18" a="1"/>
  <c r="Y343" i="18" s="1"/>
  <c r="W343" i="18" a="1"/>
  <c r="W343" i="18" s="1"/>
  <c r="U343" i="18" a="1"/>
  <c r="U343" i="18" s="1"/>
  <c r="S343" i="18" a="1"/>
  <c r="S343" i="18" s="1"/>
  <c r="Q343" i="18" a="1"/>
  <c r="Q343" i="18" s="1"/>
  <c r="O343" i="18" a="1"/>
  <c r="O343" i="18" s="1"/>
  <c r="M343" i="18" a="1"/>
  <c r="M343" i="18" s="1"/>
  <c r="K343" i="18" a="1"/>
  <c r="K343" i="18" s="1"/>
  <c r="I343" i="18" a="1"/>
  <c r="I343" i="18" s="1"/>
  <c r="G343" i="18" a="1"/>
  <c r="G343" i="18" s="1"/>
  <c r="L9" i="17" a="1"/>
  <c r="L9" i="17" s="1"/>
  <c r="I28" i="1"/>
  <c r="J9" i="17" a="1"/>
  <c r="J9" i="17" s="1"/>
  <c r="I9" i="17" a="1"/>
  <c r="I9" i="17" s="1"/>
  <c r="H9" i="17" a="1"/>
  <c r="H9" i="17" s="1"/>
  <c r="G9" i="17" a="1"/>
  <c r="G9" i="17" s="1"/>
  <c r="F9" i="17" a="1"/>
  <c r="F9" i="17" s="1"/>
  <c r="H28" i="1" s="1"/>
  <c r="E9" i="17" a="1"/>
  <c r="E9" i="17" s="1"/>
  <c r="G28" i="1" s="1"/>
  <c r="D9" i="17" a="1"/>
  <c r="D9" i="17" s="1"/>
  <c r="F28" i="1" s="1"/>
  <c r="B9" i="17"/>
  <c r="E28" i="1" s="1"/>
  <c r="L11" i="17" a="1"/>
  <c r="L11" i="17" s="1"/>
  <c r="I30" i="1"/>
  <c r="J11" i="17" a="1"/>
  <c r="J11" i="17" s="1"/>
  <c r="I11" i="17" a="1"/>
  <c r="I11" i="17" s="1"/>
  <c r="H11" i="17" a="1"/>
  <c r="H11" i="17" s="1"/>
  <c r="G11" i="17" a="1"/>
  <c r="G11" i="17" s="1"/>
  <c r="F11" i="17" a="1"/>
  <c r="F11" i="17" s="1"/>
  <c r="H30" i="1" s="1"/>
  <c r="E11" i="17" a="1"/>
  <c r="E11" i="17" s="1"/>
  <c r="G30" i="1" s="1"/>
  <c r="D11" i="17" a="1"/>
  <c r="D11" i="17" s="1"/>
  <c r="F30" i="1" s="1"/>
  <c r="B11" i="17"/>
  <c r="E30" i="1" s="1"/>
  <c r="L13" i="17" a="1"/>
  <c r="L13" i="17" s="1"/>
  <c r="I32" i="1"/>
  <c r="J13" i="17" a="1"/>
  <c r="J13" i="17" s="1"/>
  <c r="I13" i="17" a="1"/>
  <c r="I13" i="17" s="1"/>
  <c r="H13" i="17" a="1"/>
  <c r="H13" i="17" s="1"/>
  <c r="G13" i="17" a="1"/>
  <c r="G13" i="17" s="1"/>
  <c r="F13" i="17" a="1"/>
  <c r="F13" i="17" s="1"/>
  <c r="H32" i="1" s="1"/>
  <c r="E13" i="17" a="1"/>
  <c r="E13" i="17" s="1"/>
  <c r="G32" i="1" s="1"/>
  <c r="D13" i="17" a="1"/>
  <c r="D13" i="17" s="1"/>
  <c r="F32" i="1" s="1"/>
  <c r="B13" i="17"/>
  <c r="E32" i="1" s="1"/>
  <c r="L15" i="17" a="1"/>
  <c r="L15" i="17" s="1"/>
  <c r="I34" i="1"/>
  <c r="J15" i="17" a="1"/>
  <c r="J15" i="17" s="1"/>
  <c r="I15" i="17" a="1"/>
  <c r="I15" i="17" s="1"/>
  <c r="H15" i="17" a="1"/>
  <c r="H15" i="17" s="1"/>
  <c r="G15" i="17" a="1"/>
  <c r="G15" i="17" s="1"/>
  <c r="F15" i="17" a="1"/>
  <c r="F15" i="17" s="1"/>
  <c r="H34" i="1" s="1"/>
  <c r="E15" i="17" a="1"/>
  <c r="E15" i="17" s="1"/>
  <c r="G34" i="1" s="1"/>
  <c r="D15" i="17" a="1"/>
  <c r="D15" i="17" s="1"/>
  <c r="F34" i="1" s="1"/>
  <c r="B15" i="17"/>
  <c r="E34" i="1" s="1"/>
  <c r="L17" i="17" a="1"/>
  <c r="L17" i="17" s="1"/>
  <c r="I36" i="1"/>
  <c r="J17" i="17" a="1"/>
  <c r="J17" i="17" s="1"/>
  <c r="I17" i="17" a="1"/>
  <c r="I17" i="17" s="1"/>
  <c r="H17" i="17" a="1"/>
  <c r="H17" i="17" s="1"/>
  <c r="G17" i="17" a="1"/>
  <c r="G17" i="17" s="1"/>
  <c r="F17" i="17" a="1"/>
  <c r="F17" i="17" s="1"/>
  <c r="H36" i="1" s="1"/>
  <c r="E17" i="17" a="1"/>
  <c r="E17" i="17" s="1"/>
  <c r="G36" i="1" s="1"/>
  <c r="D17" i="17" a="1"/>
  <c r="D17" i="17" s="1"/>
  <c r="F36" i="1" s="1"/>
  <c r="B17" i="17"/>
  <c r="E36" i="1" s="1"/>
  <c r="L19" i="17" a="1"/>
  <c r="L19" i="17" s="1"/>
  <c r="I38" i="1"/>
  <c r="J19" i="17" a="1"/>
  <c r="J19" i="17" s="1"/>
  <c r="I19" i="17" a="1"/>
  <c r="I19" i="17" s="1"/>
  <c r="H19" i="17" a="1"/>
  <c r="H19" i="17" s="1"/>
  <c r="G19" i="17" a="1"/>
  <c r="G19" i="17" s="1"/>
  <c r="F19" i="17" a="1"/>
  <c r="F19" i="17" s="1"/>
  <c r="H38" i="1" s="1"/>
  <c r="E19" i="17" a="1"/>
  <c r="E19" i="17" s="1"/>
  <c r="G38" i="1" s="1"/>
  <c r="D19" i="17" a="1"/>
  <c r="D19" i="17" s="1"/>
  <c r="F38" i="1" s="1"/>
  <c r="B19" i="17"/>
  <c r="E38" i="1" s="1"/>
  <c r="L21" i="17" a="1"/>
  <c r="L21" i="17" s="1"/>
  <c r="I40" i="1"/>
  <c r="J21" i="17" a="1"/>
  <c r="J21" i="17" s="1"/>
  <c r="I21" i="17" a="1"/>
  <c r="I21" i="17" s="1"/>
  <c r="H21" i="17" a="1"/>
  <c r="H21" i="17" s="1"/>
  <c r="G21" i="17" a="1"/>
  <c r="G21" i="17" s="1"/>
  <c r="F21" i="17" a="1"/>
  <c r="F21" i="17" s="1"/>
  <c r="H40" i="1" s="1"/>
  <c r="E21" i="17" a="1"/>
  <c r="E21" i="17" s="1"/>
  <c r="G40" i="1" s="1"/>
  <c r="D21" i="17" a="1"/>
  <c r="D21" i="17" s="1"/>
  <c r="F40" i="1" s="1"/>
  <c r="B21" i="17"/>
  <c r="E40" i="1" s="1"/>
  <c r="BC14" i="18" a="1"/>
  <c r="BC14" i="18" s="1"/>
  <c r="AY14" i="18" a="1"/>
  <c r="AY14" i="18" s="1"/>
  <c r="AU14" i="18" a="1"/>
  <c r="AU14" i="18" s="1"/>
  <c r="AQ14" i="18" a="1"/>
  <c r="AQ14" i="18" s="1"/>
  <c r="AM14" i="18" a="1"/>
  <c r="AM14" i="18" s="1"/>
  <c r="AI14" i="18" a="1"/>
  <c r="AI14" i="18" s="1"/>
  <c r="AE14" i="18" a="1"/>
  <c r="AE14" i="18" s="1"/>
  <c r="AB14" i="18" a="1"/>
  <c r="AB14" i="18" s="1"/>
  <c r="AA14" i="18" a="1"/>
  <c r="AA14" i="18" s="1"/>
  <c r="Z14" i="18" a="1"/>
  <c r="Z14" i="18" s="1"/>
  <c r="Y14" i="18" a="1"/>
  <c r="Y14" i="18" s="1"/>
  <c r="X14" i="18" a="1"/>
  <c r="X14" i="18" s="1"/>
  <c r="W14" i="18" a="1"/>
  <c r="W14" i="18" s="1"/>
  <c r="V14" i="18" a="1"/>
  <c r="V14" i="18" s="1"/>
  <c r="U14" i="18" a="1"/>
  <c r="U14" i="18" s="1"/>
  <c r="T14" i="18" a="1"/>
  <c r="T14" i="18" s="1"/>
  <c r="S14" i="18" a="1"/>
  <c r="S14" i="18" s="1"/>
  <c r="R14" i="18" a="1"/>
  <c r="R14" i="18" s="1"/>
  <c r="Q14" i="18" a="1"/>
  <c r="Q14" i="18" s="1"/>
  <c r="P14" i="18" a="1"/>
  <c r="P14" i="18" s="1"/>
  <c r="O14" i="18" a="1"/>
  <c r="O14" i="18" s="1"/>
  <c r="N14" i="18" a="1"/>
  <c r="N14" i="18" s="1"/>
  <c r="M14" i="18" a="1"/>
  <c r="M14" i="18" s="1"/>
  <c r="L14" i="18" a="1"/>
  <c r="L14" i="18" s="1"/>
  <c r="K14" i="18" a="1"/>
  <c r="K14" i="18" s="1"/>
  <c r="J14" i="18" a="1"/>
  <c r="J14" i="18" s="1"/>
  <c r="I14" i="18" a="1"/>
  <c r="I14" i="18" s="1"/>
  <c r="H14" i="18" a="1"/>
  <c r="H14" i="18" s="1"/>
  <c r="G14" i="18" a="1"/>
  <c r="G14" i="18" s="1"/>
  <c r="D14" i="18"/>
  <c r="BA14" i="18" a="1"/>
  <c r="BA14" i="18" s="1"/>
  <c r="BB14" i="18" s="1"/>
  <c r="AW14" i="18" a="1"/>
  <c r="AW14" i="18" s="1"/>
  <c r="AS14" i="18" a="1"/>
  <c r="AS14" i="18" s="1"/>
  <c r="AO14" i="18" a="1"/>
  <c r="AO14" i="18" s="1"/>
  <c r="AK14" i="18" a="1"/>
  <c r="AK14" i="18" s="1"/>
  <c r="AL14" i="18" s="1"/>
  <c r="AG14" i="18" a="1"/>
  <c r="AG14" i="18" s="1"/>
  <c r="BC22" i="18" a="1"/>
  <c r="BC22" i="18" s="1"/>
  <c r="AY22" i="18" a="1"/>
  <c r="AY22" i="18" s="1"/>
  <c r="AU22" i="18" a="1"/>
  <c r="AU22" i="18" s="1"/>
  <c r="AQ22" i="18" a="1"/>
  <c r="AQ22" i="18" s="1"/>
  <c r="AM22" i="18" a="1"/>
  <c r="AM22" i="18" s="1"/>
  <c r="AI22" i="18" a="1"/>
  <c r="AI22" i="18" s="1"/>
  <c r="AE22" i="18" a="1"/>
  <c r="AE22" i="18" s="1"/>
  <c r="AB22" i="18" a="1"/>
  <c r="AB22" i="18" s="1"/>
  <c r="AA22" i="18" a="1"/>
  <c r="AA22" i="18" s="1"/>
  <c r="Z22" i="18" a="1"/>
  <c r="Z22" i="18" s="1"/>
  <c r="Y22" i="18" a="1"/>
  <c r="Y22" i="18" s="1"/>
  <c r="X22" i="18" a="1"/>
  <c r="X22" i="18" s="1"/>
  <c r="W22" i="18" a="1"/>
  <c r="W22" i="18" s="1"/>
  <c r="V22" i="18" a="1"/>
  <c r="V22" i="18" s="1"/>
  <c r="U22" i="18" a="1"/>
  <c r="U22" i="18" s="1"/>
  <c r="T22" i="18" a="1"/>
  <c r="T22" i="18" s="1"/>
  <c r="S22" i="18" a="1"/>
  <c r="S22" i="18" s="1"/>
  <c r="R22" i="18" a="1"/>
  <c r="R22" i="18" s="1"/>
  <c r="Q22" i="18" a="1"/>
  <c r="Q22" i="18" s="1"/>
  <c r="P22" i="18" a="1"/>
  <c r="P22" i="18" s="1"/>
  <c r="O22" i="18" a="1"/>
  <c r="O22" i="18" s="1"/>
  <c r="N22" i="18" a="1"/>
  <c r="N22" i="18" s="1"/>
  <c r="M22" i="18" a="1"/>
  <c r="M22" i="18" s="1"/>
  <c r="L22" i="18" a="1"/>
  <c r="L22" i="18" s="1"/>
  <c r="K22" i="18" a="1"/>
  <c r="K22" i="18" s="1"/>
  <c r="J22" i="18" a="1"/>
  <c r="J22" i="18" s="1"/>
  <c r="I22" i="18" a="1"/>
  <c r="I22" i="18" s="1"/>
  <c r="H22" i="18" a="1"/>
  <c r="H22" i="18" s="1"/>
  <c r="G22" i="18" a="1"/>
  <c r="G22" i="18" s="1"/>
  <c r="D22" i="18"/>
  <c r="BA22" i="18" a="1"/>
  <c r="BA22" i="18" s="1"/>
  <c r="BB22" i="18" s="1"/>
  <c r="AW22" i="18" a="1"/>
  <c r="AW22" i="18" s="1"/>
  <c r="AS22" i="18" a="1"/>
  <c r="AS22" i="18" s="1"/>
  <c r="AO22" i="18" a="1"/>
  <c r="AO22" i="18" s="1"/>
  <c r="AK22" i="18" a="1"/>
  <c r="AK22" i="18" s="1"/>
  <c r="AL22" i="18" s="1"/>
  <c r="AG22" i="18" a="1"/>
  <c r="AG22" i="18" s="1"/>
  <c r="BC30" i="18" a="1"/>
  <c r="BC30" i="18" s="1"/>
  <c r="AY30" i="18" a="1"/>
  <c r="AY30" i="18" s="1"/>
  <c r="AU30" i="18" a="1"/>
  <c r="AU30" i="18" s="1"/>
  <c r="AQ30" i="18" a="1"/>
  <c r="AQ30" i="18" s="1"/>
  <c r="AM30" i="18" a="1"/>
  <c r="AM30" i="18" s="1"/>
  <c r="AI30" i="18" a="1"/>
  <c r="AI30" i="18" s="1"/>
  <c r="AE30" i="18" a="1"/>
  <c r="AE30" i="18" s="1"/>
  <c r="AB30" i="18" a="1"/>
  <c r="AB30" i="18" s="1"/>
  <c r="AA30" i="18" a="1"/>
  <c r="AA30" i="18" s="1"/>
  <c r="Z30" i="18" a="1"/>
  <c r="Z30" i="18" s="1"/>
  <c r="Y30" i="18" a="1"/>
  <c r="Y30" i="18" s="1"/>
  <c r="X30" i="18" a="1"/>
  <c r="X30" i="18" s="1"/>
  <c r="W30" i="18" a="1"/>
  <c r="W30" i="18" s="1"/>
  <c r="V30" i="18" a="1"/>
  <c r="V30" i="18" s="1"/>
  <c r="U30" i="18" a="1"/>
  <c r="U30" i="18" s="1"/>
  <c r="T30" i="18" a="1"/>
  <c r="T30" i="18" s="1"/>
  <c r="S30" i="18" a="1"/>
  <c r="S30" i="18" s="1"/>
  <c r="R30" i="18" a="1"/>
  <c r="R30" i="18" s="1"/>
  <c r="Q30" i="18" a="1"/>
  <c r="Q30" i="18" s="1"/>
  <c r="P30" i="18" a="1"/>
  <c r="P30" i="18" s="1"/>
  <c r="O30" i="18" a="1"/>
  <c r="O30" i="18" s="1"/>
  <c r="N30" i="18" a="1"/>
  <c r="N30" i="18" s="1"/>
  <c r="M30" i="18" a="1"/>
  <c r="M30" i="18" s="1"/>
  <c r="L30" i="18" a="1"/>
  <c r="L30" i="18" s="1"/>
  <c r="K30" i="18" a="1"/>
  <c r="K30" i="18" s="1"/>
  <c r="J30" i="18" a="1"/>
  <c r="J30" i="18" s="1"/>
  <c r="I30" i="18" a="1"/>
  <c r="I30" i="18" s="1"/>
  <c r="H30" i="18" a="1"/>
  <c r="H30" i="18" s="1"/>
  <c r="G30" i="18" a="1"/>
  <c r="G30" i="18" s="1"/>
  <c r="D30" i="18"/>
  <c r="BA30" i="18" a="1"/>
  <c r="BA30" i="18" s="1"/>
  <c r="BB30" i="18" s="1"/>
  <c r="AW30" i="18" a="1"/>
  <c r="AW30" i="18" s="1"/>
  <c r="AS30" i="18" a="1"/>
  <c r="AS30" i="18" s="1"/>
  <c r="AO30" i="18" a="1"/>
  <c r="AO30" i="18" s="1"/>
  <c r="AK30" i="18" a="1"/>
  <c r="AK30" i="18" s="1"/>
  <c r="AL30" i="18" s="1"/>
  <c r="AG30" i="18" a="1"/>
  <c r="AG30" i="18" s="1"/>
  <c r="BC38" i="18" a="1"/>
  <c r="BC38" i="18" s="1"/>
  <c r="AY38" i="18" a="1"/>
  <c r="AY38" i="18" s="1"/>
  <c r="AU38" i="18" a="1"/>
  <c r="AU38" i="18" s="1"/>
  <c r="AQ38" i="18" a="1"/>
  <c r="AQ38" i="18" s="1"/>
  <c r="AM38" i="18" a="1"/>
  <c r="AM38" i="18" s="1"/>
  <c r="AI38" i="18" a="1"/>
  <c r="AI38" i="18" s="1"/>
  <c r="AE38" i="18" a="1"/>
  <c r="AE38" i="18" s="1"/>
  <c r="AB38" i="18" a="1"/>
  <c r="AB38" i="18" s="1"/>
  <c r="AA38" i="18" a="1"/>
  <c r="AA38" i="18" s="1"/>
  <c r="Z38" i="18" a="1"/>
  <c r="Z38" i="18" s="1"/>
  <c r="Y38" i="18" a="1"/>
  <c r="Y38" i="18" s="1"/>
  <c r="X38" i="18" a="1"/>
  <c r="X38" i="18" s="1"/>
  <c r="W38" i="18" a="1"/>
  <c r="W38" i="18" s="1"/>
  <c r="V38" i="18" a="1"/>
  <c r="V38" i="18" s="1"/>
  <c r="U38" i="18" a="1"/>
  <c r="U38" i="18" s="1"/>
  <c r="T38" i="18" a="1"/>
  <c r="T38" i="18" s="1"/>
  <c r="S38" i="18" a="1"/>
  <c r="S38" i="18" s="1"/>
  <c r="R38" i="18" a="1"/>
  <c r="R38" i="18" s="1"/>
  <c r="Q38" i="18" a="1"/>
  <c r="Q38" i="18" s="1"/>
  <c r="P38" i="18" a="1"/>
  <c r="P38" i="18" s="1"/>
  <c r="O38" i="18" a="1"/>
  <c r="O38" i="18" s="1"/>
  <c r="N38" i="18" a="1"/>
  <c r="N38" i="18" s="1"/>
  <c r="M38" i="18" a="1"/>
  <c r="M38" i="18" s="1"/>
  <c r="L38" i="18" a="1"/>
  <c r="L38" i="18" s="1"/>
  <c r="K38" i="18" a="1"/>
  <c r="K38" i="18" s="1"/>
  <c r="J38" i="18" a="1"/>
  <c r="J38" i="18" s="1"/>
  <c r="I38" i="18" a="1"/>
  <c r="I38" i="18" s="1"/>
  <c r="H38" i="18" a="1"/>
  <c r="H38" i="18" s="1"/>
  <c r="G38" i="18" a="1"/>
  <c r="G38" i="18" s="1"/>
  <c r="D38" i="18"/>
  <c r="BA38" i="18" a="1"/>
  <c r="BA38" i="18" s="1"/>
  <c r="BB38" i="18" s="1"/>
  <c r="AW38" i="18" a="1"/>
  <c r="AW38" i="18" s="1"/>
  <c r="AS38" i="18" a="1"/>
  <c r="AS38" i="18" s="1"/>
  <c r="AO38" i="18" a="1"/>
  <c r="AO38" i="18" s="1"/>
  <c r="AK38" i="18" a="1"/>
  <c r="AK38" i="18" s="1"/>
  <c r="AL38" i="18" s="1"/>
  <c r="AG38" i="18" a="1"/>
  <c r="AG38" i="18" s="1"/>
  <c r="BC46" i="18" a="1"/>
  <c r="BC46" i="18" s="1"/>
  <c r="AY46" i="18" a="1"/>
  <c r="AY46" i="18" s="1"/>
  <c r="AU46" i="18" a="1"/>
  <c r="AU46" i="18" s="1"/>
  <c r="AQ46" i="18" a="1"/>
  <c r="AQ46" i="18" s="1"/>
  <c r="AM46" i="18" a="1"/>
  <c r="AM46" i="18" s="1"/>
  <c r="AI46" i="18" a="1"/>
  <c r="AI46" i="18" s="1"/>
  <c r="AE46" i="18" a="1"/>
  <c r="AE46" i="18" s="1"/>
  <c r="AB46" i="18" a="1"/>
  <c r="AB46" i="18" s="1"/>
  <c r="AA46" i="18" a="1"/>
  <c r="AA46" i="18" s="1"/>
  <c r="Z46" i="18" a="1"/>
  <c r="Z46" i="18" s="1"/>
  <c r="Y46" i="18" a="1"/>
  <c r="Y46" i="18" s="1"/>
  <c r="X46" i="18" a="1"/>
  <c r="X46" i="18" s="1"/>
  <c r="W46" i="18" a="1"/>
  <c r="W46" i="18" s="1"/>
  <c r="V46" i="18" a="1"/>
  <c r="V46" i="18" s="1"/>
  <c r="U46" i="18" a="1"/>
  <c r="U46" i="18" s="1"/>
  <c r="T46" i="18" a="1"/>
  <c r="T46" i="18" s="1"/>
  <c r="S46" i="18" a="1"/>
  <c r="S46" i="18" s="1"/>
  <c r="R46" i="18" a="1"/>
  <c r="R46" i="18" s="1"/>
  <c r="Q46" i="18" a="1"/>
  <c r="Q46" i="18" s="1"/>
  <c r="P46" i="18" a="1"/>
  <c r="P46" i="18" s="1"/>
  <c r="O46" i="18" a="1"/>
  <c r="O46" i="18" s="1"/>
  <c r="N46" i="18" a="1"/>
  <c r="N46" i="18" s="1"/>
  <c r="M46" i="18" a="1"/>
  <c r="M46" i="18" s="1"/>
  <c r="L46" i="18" a="1"/>
  <c r="L46" i="18" s="1"/>
  <c r="K46" i="18" a="1"/>
  <c r="K46" i="18" s="1"/>
  <c r="J46" i="18" a="1"/>
  <c r="J46" i="18" s="1"/>
  <c r="I46" i="18" a="1"/>
  <c r="I46" i="18" s="1"/>
  <c r="H46" i="18" a="1"/>
  <c r="H46" i="18" s="1"/>
  <c r="G46" i="18" a="1"/>
  <c r="G46" i="18" s="1"/>
  <c r="D46" i="18"/>
  <c r="BA46" i="18" a="1"/>
  <c r="BA46" i="18" s="1"/>
  <c r="BB46" i="18" s="1"/>
  <c r="AW46" i="18" a="1"/>
  <c r="AW46" i="18" s="1"/>
  <c r="AS46" i="18" a="1"/>
  <c r="AS46" i="18" s="1"/>
  <c r="AO46" i="18" a="1"/>
  <c r="AO46" i="18" s="1"/>
  <c r="AK46" i="18" a="1"/>
  <c r="AK46" i="18" s="1"/>
  <c r="AL46" i="18" s="1"/>
  <c r="AG46" i="18" a="1"/>
  <c r="AG46" i="18" s="1"/>
  <c r="BC54" i="18" a="1"/>
  <c r="BC54" i="18" s="1"/>
  <c r="AY54" i="18" a="1"/>
  <c r="AY54" i="18" s="1"/>
  <c r="AU54" i="18" a="1"/>
  <c r="AU54" i="18" s="1"/>
  <c r="AQ54" i="18" a="1"/>
  <c r="AQ54" i="18" s="1"/>
  <c r="AM54" i="18" a="1"/>
  <c r="AM54" i="18" s="1"/>
  <c r="AI54" i="18" a="1"/>
  <c r="AI54" i="18" s="1"/>
  <c r="AE54" i="18" a="1"/>
  <c r="AE54" i="18" s="1"/>
  <c r="AB54" i="18" a="1"/>
  <c r="AB54" i="18" s="1"/>
  <c r="AA54" i="18" a="1"/>
  <c r="AA54" i="18" s="1"/>
  <c r="Z54" i="18" a="1"/>
  <c r="Z54" i="18" s="1"/>
  <c r="Y54" i="18" a="1"/>
  <c r="Y54" i="18" s="1"/>
  <c r="X54" i="18" a="1"/>
  <c r="X54" i="18" s="1"/>
  <c r="W54" i="18" a="1"/>
  <c r="W54" i="18" s="1"/>
  <c r="V54" i="18" a="1"/>
  <c r="V54" i="18" s="1"/>
  <c r="U54" i="18" a="1"/>
  <c r="U54" i="18" s="1"/>
  <c r="T54" i="18" a="1"/>
  <c r="T54" i="18" s="1"/>
  <c r="S54" i="18" a="1"/>
  <c r="S54" i="18" s="1"/>
  <c r="R54" i="18" a="1"/>
  <c r="R54" i="18" s="1"/>
  <c r="Q54" i="18" a="1"/>
  <c r="Q54" i="18" s="1"/>
  <c r="P54" i="18" a="1"/>
  <c r="P54" i="18" s="1"/>
  <c r="O54" i="18" a="1"/>
  <c r="O54" i="18" s="1"/>
  <c r="N54" i="18" a="1"/>
  <c r="N54" i="18" s="1"/>
  <c r="M54" i="18" a="1"/>
  <c r="M54" i="18" s="1"/>
  <c r="L54" i="18" a="1"/>
  <c r="L54" i="18" s="1"/>
  <c r="K54" i="18" a="1"/>
  <c r="K54" i="18" s="1"/>
  <c r="J54" i="18" a="1"/>
  <c r="J54" i="18" s="1"/>
  <c r="I54" i="18" a="1"/>
  <c r="I54" i="18" s="1"/>
  <c r="H54" i="18" a="1"/>
  <c r="H54" i="18" s="1"/>
  <c r="G54" i="18" a="1"/>
  <c r="G54" i="18" s="1"/>
  <c r="D54" i="18"/>
  <c r="BA54" i="18" a="1"/>
  <c r="BA54" i="18" s="1"/>
  <c r="BB54" i="18" s="1"/>
  <c r="AW54" i="18" a="1"/>
  <c r="AW54" i="18" s="1"/>
  <c r="AS54" i="18" a="1"/>
  <c r="AS54" i="18" s="1"/>
  <c r="AO54" i="18" a="1"/>
  <c r="AO54" i="18" s="1"/>
  <c r="AK54" i="18" a="1"/>
  <c r="AK54" i="18" s="1"/>
  <c r="AL54" i="18" s="1"/>
  <c r="AG54" i="18" a="1"/>
  <c r="AG54" i="18" s="1"/>
  <c r="BC62" i="18" a="1"/>
  <c r="BC62" i="18" s="1"/>
  <c r="AY62" i="18" a="1"/>
  <c r="AY62" i="18" s="1"/>
  <c r="AU62" i="18" a="1"/>
  <c r="AU62" i="18" s="1"/>
  <c r="AQ62" i="18" a="1"/>
  <c r="AQ62" i="18" s="1"/>
  <c r="AM62" i="18" a="1"/>
  <c r="AM62" i="18" s="1"/>
  <c r="AI62" i="18" a="1"/>
  <c r="AI62" i="18" s="1"/>
  <c r="AE62" i="18" a="1"/>
  <c r="AE62" i="18" s="1"/>
  <c r="AB62" i="18" a="1"/>
  <c r="AB62" i="18" s="1"/>
  <c r="AA62" i="18" a="1"/>
  <c r="AA62" i="18" s="1"/>
  <c r="Z62" i="18" a="1"/>
  <c r="Z62" i="18" s="1"/>
  <c r="Y62" i="18" a="1"/>
  <c r="Y62" i="18" s="1"/>
  <c r="X62" i="18" a="1"/>
  <c r="X62" i="18" s="1"/>
  <c r="W62" i="18" a="1"/>
  <c r="W62" i="18" s="1"/>
  <c r="V62" i="18" a="1"/>
  <c r="V62" i="18" s="1"/>
  <c r="U62" i="18" a="1"/>
  <c r="U62" i="18" s="1"/>
  <c r="T62" i="18" a="1"/>
  <c r="T62" i="18" s="1"/>
  <c r="S62" i="18" a="1"/>
  <c r="S62" i="18" s="1"/>
  <c r="R62" i="18" a="1"/>
  <c r="R62" i="18" s="1"/>
  <c r="Q62" i="18" a="1"/>
  <c r="Q62" i="18" s="1"/>
  <c r="P62" i="18" a="1"/>
  <c r="P62" i="18" s="1"/>
  <c r="O62" i="18" a="1"/>
  <c r="O62" i="18" s="1"/>
  <c r="N62" i="18" a="1"/>
  <c r="N62" i="18" s="1"/>
  <c r="M62" i="18" a="1"/>
  <c r="M62" i="18" s="1"/>
  <c r="L62" i="18" a="1"/>
  <c r="L62" i="18" s="1"/>
  <c r="K62" i="18" a="1"/>
  <c r="K62" i="18" s="1"/>
  <c r="J62" i="18" a="1"/>
  <c r="J62" i="18" s="1"/>
  <c r="I62" i="18" a="1"/>
  <c r="I62" i="18" s="1"/>
  <c r="H62" i="18" a="1"/>
  <c r="H62" i="18" s="1"/>
  <c r="G62" i="18" a="1"/>
  <c r="G62" i="18" s="1"/>
  <c r="D62" i="18"/>
  <c r="BA62" i="18" a="1"/>
  <c r="BA62" i="18" s="1"/>
  <c r="BB62" i="18" s="1"/>
  <c r="AW62" i="18" a="1"/>
  <c r="AW62" i="18" s="1"/>
  <c r="AS62" i="18" a="1"/>
  <c r="AS62" i="18" s="1"/>
  <c r="AO62" i="18" a="1"/>
  <c r="AO62" i="18" s="1"/>
  <c r="AK62" i="18" a="1"/>
  <c r="AK62" i="18" s="1"/>
  <c r="AL62" i="18" s="1"/>
  <c r="AG62" i="18" a="1"/>
  <c r="AG62" i="18" s="1"/>
  <c r="BA9" i="18" a="1"/>
  <c r="BA9" i="18" s="1"/>
  <c r="AW9" i="18" a="1"/>
  <c r="AW9" i="18" s="1"/>
  <c r="AS9" i="18" a="1"/>
  <c r="AS9" i="18" s="1"/>
  <c r="AO9" i="18" a="1"/>
  <c r="AO9" i="18" s="1"/>
  <c r="AK9" i="18" a="1"/>
  <c r="AK9" i="18" s="1"/>
  <c r="AG9" i="18" a="1"/>
  <c r="AG9" i="18" s="1"/>
  <c r="BC9" i="18" a="1"/>
  <c r="BC9" i="18" s="1"/>
  <c r="AY9" i="18" a="1"/>
  <c r="AY9" i="18" s="1"/>
  <c r="AU9" i="18" a="1"/>
  <c r="AU9" i="18" s="1"/>
  <c r="AQ9" i="18" a="1"/>
  <c r="AQ9" i="18" s="1"/>
  <c r="AM9" i="18" a="1"/>
  <c r="AM9" i="18" s="1"/>
  <c r="AI9" i="18" a="1"/>
  <c r="AI9" i="18" s="1"/>
  <c r="AE9" i="18" a="1"/>
  <c r="AE9" i="18" s="1"/>
  <c r="AB9" i="18" a="1"/>
  <c r="AB9" i="18" s="1"/>
  <c r="AA9" i="18" a="1"/>
  <c r="AA9" i="18" s="1"/>
  <c r="Z9" i="18" a="1"/>
  <c r="Z9" i="18" s="1"/>
  <c r="Y9" i="18" a="1"/>
  <c r="Y9" i="18" s="1"/>
  <c r="X9" i="18" a="1"/>
  <c r="X9" i="18" s="1"/>
  <c r="W9" i="18" a="1"/>
  <c r="W9" i="18" s="1"/>
  <c r="V9" i="18" a="1"/>
  <c r="V9" i="18" s="1"/>
  <c r="U9" i="18" a="1"/>
  <c r="U9" i="18" s="1"/>
  <c r="T9" i="18" a="1"/>
  <c r="T9" i="18" s="1"/>
  <c r="S9" i="18" a="1"/>
  <c r="S9" i="18" s="1"/>
  <c r="R9" i="18" a="1"/>
  <c r="R9" i="18" s="1"/>
  <c r="Q9" i="18" a="1"/>
  <c r="Q9" i="18" s="1"/>
  <c r="P9" i="18" a="1"/>
  <c r="P9" i="18" s="1"/>
  <c r="O9" i="18" a="1"/>
  <c r="O9" i="18" s="1"/>
  <c r="N9" i="18" a="1"/>
  <c r="N9" i="18" s="1"/>
  <c r="M9" i="18" a="1"/>
  <c r="M9" i="18" s="1"/>
  <c r="L9" i="18" a="1"/>
  <c r="L9" i="18" s="1"/>
  <c r="K9" i="18" a="1"/>
  <c r="K9" i="18" s="1"/>
  <c r="J9" i="18" a="1"/>
  <c r="J9" i="18" s="1"/>
  <c r="I9" i="18" a="1"/>
  <c r="I9" i="18" s="1"/>
  <c r="H9" i="18" a="1"/>
  <c r="H9" i="18" s="1"/>
  <c r="G9" i="18" a="1"/>
  <c r="G9" i="18" s="1"/>
  <c r="D9" i="18"/>
  <c r="BA17" i="18" a="1"/>
  <c r="BA17" i="18" s="1"/>
  <c r="AW17" i="18" a="1"/>
  <c r="AW17" i="18" s="1"/>
  <c r="AS17" i="18" a="1"/>
  <c r="AS17" i="18" s="1"/>
  <c r="AO17" i="18" a="1"/>
  <c r="AO17" i="18" s="1"/>
  <c r="AK17" i="18" a="1"/>
  <c r="AK17" i="18" s="1"/>
  <c r="AG17" i="18" a="1"/>
  <c r="AG17" i="18" s="1"/>
  <c r="BC17" i="18" a="1"/>
  <c r="BC17" i="18" s="1"/>
  <c r="AY17" i="18" a="1"/>
  <c r="AY17" i="18" s="1"/>
  <c r="AU17" i="18" a="1"/>
  <c r="AU17" i="18" s="1"/>
  <c r="AQ17" i="18" a="1"/>
  <c r="AQ17" i="18" s="1"/>
  <c r="AM17" i="18" a="1"/>
  <c r="AM17" i="18" s="1"/>
  <c r="AI17" i="18" a="1"/>
  <c r="AI17" i="18" s="1"/>
  <c r="AE17" i="18" a="1"/>
  <c r="AE17" i="18" s="1"/>
  <c r="AB17" i="18" a="1"/>
  <c r="AB17" i="18" s="1"/>
  <c r="AA17" i="18" a="1"/>
  <c r="AA17" i="18" s="1"/>
  <c r="Z17" i="18" a="1"/>
  <c r="Z17" i="18" s="1"/>
  <c r="Y17" i="18" a="1"/>
  <c r="Y17" i="18" s="1"/>
  <c r="X17" i="18" a="1"/>
  <c r="X17" i="18" s="1"/>
  <c r="W17" i="18" a="1"/>
  <c r="W17" i="18" s="1"/>
  <c r="V17" i="18" a="1"/>
  <c r="V17" i="18" s="1"/>
  <c r="U17" i="18" a="1"/>
  <c r="U17" i="18" s="1"/>
  <c r="T17" i="18" a="1"/>
  <c r="T17" i="18" s="1"/>
  <c r="S17" i="18" a="1"/>
  <c r="S17" i="18" s="1"/>
  <c r="R17" i="18" a="1"/>
  <c r="R17" i="18" s="1"/>
  <c r="Q17" i="18" a="1"/>
  <c r="Q17" i="18" s="1"/>
  <c r="P17" i="18" a="1"/>
  <c r="P17" i="18" s="1"/>
  <c r="O17" i="18" a="1"/>
  <c r="O17" i="18" s="1"/>
  <c r="N17" i="18" a="1"/>
  <c r="N17" i="18" s="1"/>
  <c r="M17" i="18" a="1"/>
  <c r="M17" i="18" s="1"/>
  <c r="L17" i="18" a="1"/>
  <c r="L17" i="18" s="1"/>
  <c r="K17" i="18" a="1"/>
  <c r="K17" i="18" s="1"/>
  <c r="J17" i="18" a="1"/>
  <c r="J17" i="18" s="1"/>
  <c r="I17" i="18" a="1"/>
  <c r="I17" i="18" s="1"/>
  <c r="H17" i="18" a="1"/>
  <c r="H17" i="18" s="1"/>
  <c r="G17" i="18" a="1"/>
  <c r="G17" i="18" s="1"/>
  <c r="D17" i="18"/>
  <c r="BA25" i="18" a="1"/>
  <c r="BA25" i="18" s="1"/>
  <c r="AW25" i="18" a="1"/>
  <c r="AW25" i="18" s="1"/>
  <c r="AS25" i="18" a="1"/>
  <c r="AS25" i="18" s="1"/>
  <c r="AO25" i="18" a="1"/>
  <c r="AO25" i="18" s="1"/>
  <c r="AK25" i="18" a="1"/>
  <c r="AK25" i="18" s="1"/>
  <c r="AG25" i="18" a="1"/>
  <c r="AG25" i="18" s="1"/>
  <c r="BC25" i="18" a="1"/>
  <c r="BC25" i="18" s="1"/>
  <c r="AY25" i="18" a="1"/>
  <c r="AY25" i="18" s="1"/>
  <c r="AU25" i="18" a="1"/>
  <c r="AU25" i="18" s="1"/>
  <c r="AQ25" i="18" a="1"/>
  <c r="AQ25" i="18" s="1"/>
  <c r="AM25" i="18" a="1"/>
  <c r="AM25" i="18" s="1"/>
  <c r="AI25" i="18" a="1"/>
  <c r="AI25" i="18" s="1"/>
  <c r="AE25" i="18" a="1"/>
  <c r="AE25" i="18" s="1"/>
  <c r="AB25" i="18" a="1"/>
  <c r="AB25" i="18" s="1"/>
  <c r="AA25" i="18" a="1"/>
  <c r="AA25" i="18" s="1"/>
  <c r="Z25" i="18" a="1"/>
  <c r="Z25" i="18" s="1"/>
  <c r="Y25" i="18" a="1"/>
  <c r="Y25" i="18" s="1"/>
  <c r="X25" i="18" a="1"/>
  <c r="X25" i="18" s="1"/>
  <c r="W25" i="18" a="1"/>
  <c r="W25" i="18" s="1"/>
  <c r="V25" i="18" a="1"/>
  <c r="V25" i="18" s="1"/>
  <c r="U25" i="18" a="1"/>
  <c r="U25" i="18" s="1"/>
  <c r="T25" i="18" a="1"/>
  <c r="T25" i="18" s="1"/>
  <c r="S25" i="18" a="1"/>
  <c r="S25" i="18" s="1"/>
  <c r="R25" i="18" a="1"/>
  <c r="R25" i="18" s="1"/>
  <c r="Q25" i="18" a="1"/>
  <c r="Q25" i="18" s="1"/>
  <c r="P25" i="18" a="1"/>
  <c r="P25" i="18" s="1"/>
  <c r="O25" i="18" a="1"/>
  <c r="O25" i="18" s="1"/>
  <c r="N25" i="18" a="1"/>
  <c r="N25" i="18" s="1"/>
  <c r="M25" i="18" a="1"/>
  <c r="M25" i="18" s="1"/>
  <c r="L25" i="18" a="1"/>
  <c r="L25" i="18" s="1"/>
  <c r="K25" i="18" a="1"/>
  <c r="K25" i="18" s="1"/>
  <c r="J25" i="18" a="1"/>
  <c r="J25" i="18" s="1"/>
  <c r="I25" i="18" a="1"/>
  <c r="I25" i="18" s="1"/>
  <c r="H25" i="18" a="1"/>
  <c r="H25" i="18" s="1"/>
  <c r="G25" i="18" a="1"/>
  <c r="G25" i="18" s="1"/>
  <c r="D25" i="18"/>
  <c r="BA29" i="18" a="1"/>
  <c r="BA29" i="18" s="1"/>
  <c r="AW29" i="18" a="1"/>
  <c r="AW29" i="18" s="1"/>
  <c r="AS29" i="18" a="1"/>
  <c r="AS29" i="18" s="1"/>
  <c r="AO29" i="18" a="1"/>
  <c r="AO29" i="18" s="1"/>
  <c r="AK29" i="18" a="1"/>
  <c r="AK29" i="18" s="1"/>
  <c r="AG29" i="18" a="1"/>
  <c r="AG29" i="18" s="1"/>
  <c r="BC29" i="18" a="1"/>
  <c r="BC29" i="18" s="1"/>
  <c r="AY29" i="18" a="1"/>
  <c r="AY29" i="18" s="1"/>
  <c r="AU29" i="18" a="1"/>
  <c r="AU29" i="18" s="1"/>
  <c r="AQ29" i="18" a="1"/>
  <c r="AQ29" i="18" s="1"/>
  <c r="AM29" i="18" a="1"/>
  <c r="AM29" i="18" s="1"/>
  <c r="AI29" i="18" a="1"/>
  <c r="AI29" i="18" s="1"/>
  <c r="AE29" i="18" a="1"/>
  <c r="AE29" i="18" s="1"/>
  <c r="AB29" i="18" a="1"/>
  <c r="AB29" i="18" s="1"/>
  <c r="AA29" i="18" a="1"/>
  <c r="AA29" i="18" s="1"/>
  <c r="Z29" i="18" a="1"/>
  <c r="Z29" i="18" s="1"/>
  <c r="Y29" i="18" a="1"/>
  <c r="Y29" i="18" s="1"/>
  <c r="X29" i="18" a="1"/>
  <c r="X29" i="18" s="1"/>
  <c r="W29" i="18" a="1"/>
  <c r="W29" i="18" s="1"/>
  <c r="V29" i="18" a="1"/>
  <c r="V29" i="18" s="1"/>
  <c r="U29" i="18" a="1"/>
  <c r="U29" i="18" s="1"/>
  <c r="T29" i="18" a="1"/>
  <c r="T29" i="18" s="1"/>
  <c r="S29" i="18" a="1"/>
  <c r="S29" i="18" s="1"/>
  <c r="R29" i="18" a="1"/>
  <c r="R29" i="18" s="1"/>
  <c r="Q29" i="18" a="1"/>
  <c r="Q29" i="18" s="1"/>
  <c r="P29" i="18" a="1"/>
  <c r="P29" i="18" s="1"/>
  <c r="O29" i="18" a="1"/>
  <c r="O29" i="18" s="1"/>
  <c r="N29" i="18" a="1"/>
  <c r="N29" i="18" s="1"/>
  <c r="M29" i="18" a="1"/>
  <c r="M29" i="18" s="1"/>
  <c r="L29" i="18" a="1"/>
  <c r="L29" i="18" s="1"/>
  <c r="K29" i="18" a="1"/>
  <c r="K29" i="18" s="1"/>
  <c r="J29" i="18" a="1"/>
  <c r="J29" i="18" s="1"/>
  <c r="I29" i="18" a="1"/>
  <c r="I29" i="18" s="1"/>
  <c r="H29" i="18" a="1"/>
  <c r="H29" i="18" s="1"/>
  <c r="G29" i="18" a="1"/>
  <c r="G29" i="18" s="1"/>
  <c r="D29" i="18"/>
  <c r="BA37" i="18" a="1"/>
  <c r="BA37" i="18" s="1"/>
  <c r="AW37" i="18" a="1"/>
  <c r="AW37" i="18" s="1"/>
  <c r="AS37" i="18" a="1"/>
  <c r="AS37" i="18" s="1"/>
  <c r="AO37" i="18" a="1"/>
  <c r="AO37" i="18" s="1"/>
  <c r="AK37" i="18" a="1"/>
  <c r="AK37" i="18" s="1"/>
  <c r="AG37" i="18" a="1"/>
  <c r="AG37" i="18" s="1"/>
  <c r="BC37" i="18" a="1"/>
  <c r="BC37" i="18" s="1"/>
  <c r="AY37" i="18" a="1"/>
  <c r="AY37" i="18" s="1"/>
  <c r="AU37" i="18" a="1"/>
  <c r="AU37" i="18" s="1"/>
  <c r="AQ37" i="18" a="1"/>
  <c r="AQ37" i="18" s="1"/>
  <c r="AM37" i="18" a="1"/>
  <c r="AM37" i="18" s="1"/>
  <c r="AI37" i="18" a="1"/>
  <c r="AI37" i="18" s="1"/>
  <c r="AE37" i="18" a="1"/>
  <c r="AE37" i="18" s="1"/>
  <c r="AB37" i="18" a="1"/>
  <c r="AB37" i="18" s="1"/>
  <c r="AA37" i="18" a="1"/>
  <c r="AA37" i="18" s="1"/>
  <c r="Z37" i="18" a="1"/>
  <c r="Z37" i="18" s="1"/>
  <c r="Y37" i="18" a="1"/>
  <c r="Y37" i="18" s="1"/>
  <c r="X37" i="18" a="1"/>
  <c r="X37" i="18" s="1"/>
  <c r="W37" i="18" a="1"/>
  <c r="W37" i="18" s="1"/>
  <c r="V37" i="18" a="1"/>
  <c r="V37" i="18" s="1"/>
  <c r="U37" i="18" a="1"/>
  <c r="U37" i="18" s="1"/>
  <c r="T37" i="18" a="1"/>
  <c r="T37" i="18" s="1"/>
  <c r="S37" i="18" a="1"/>
  <c r="S37" i="18" s="1"/>
  <c r="R37" i="18" a="1"/>
  <c r="R37" i="18" s="1"/>
  <c r="Q37" i="18" a="1"/>
  <c r="Q37" i="18" s="1"/>
  <c r="P37" i="18" a="1"/>
  <c r="P37" i="18" s="1"/>
  <c r="O37" i="18" a="1"/>
  <c r="O37" i="18" s="1"/>
  <c r="N37" i="18" a="1"/>
  <c r="N37" i="18" s="1"/>
  <c r="M37" i="18" a="1"/>
  <c r="M37" i="18" s="1"/>
  <c r="L37" i="18" a="1"/>
  <c r="L37" i="18" s="1"/>
  <c r="K37" i="18" a="1"/>
  <c r="K37" i="18" s="1"/>
  <c r="J37" i="18" a="1"/>
  <c r="J37" i="18" s="1"/>
  <c r="I37" i="18" a="1"/>
  <c r="I37" i="18" s="1"/>
  <c r="H37" i="18" a="1"/>
  <c r="H37" i="18" s="1"/>
  <c r="G37" i="18" a="1"/>
  <c r="G37" i="18" s="1"/>
  <c r="D37" i="18"/>
  <c r="BC98" i="18" a="1"/>
  <c r="BC98" i="18" s="1"/>
  <c r="AY98" i="18" a="1"/>
  <c r="AY98" i="18" s="1"/>
  <c r="AU98" i="18" a="1"/>
  <c r="AU98" i="18" s="1"/>
  <c r="AQ98" i="18" a="1"/>
  <c r="AQ98" i="18" s="1"/>
  <c r="AM98" i="18" a="1"/>
  <c r="AM98" i="18" s="1"/>
  <c r="AI98" i="18" a="1"/>
  <c r="AI98" i="18" s="1"/>
  <c r="AE98" i="18" a="1"/>
  <c r="AE98" i="18" s="1"/>
  <c r="AB98" i="18" a="1"/>
  <c r="AB98" i="18" s="1"/>
  <c r="AA98" i="18" a="1"/>
  <c r="AA98" i="18" s="1"/>
  <c r="Z98" i="18" a="1"/>
  <c r="Z98" i="18" s="1"/>
  <c r="Y98" i="18" a="1"/>
  <c r="Y98" i="18" s="1"/>
  <c r="X98" i="18" a="1"/>
  <c r="X98" i="18" s="1"/>
  <c r="W98" i="18" a="1"/>
  <c r="W98" i="18" s="1"/>
  <c r="V98" i="18" a="1"/>
  <c r="V98" i="18" s="1"/>
  <c r="U98" i="18" a="1"/>
  <c r="U98" i="18" s="1"/>
  <c r="T98" i="18" a="1"/>
  <c r="T98" i="18" s="1"/>
  <c r="S98" i="18" a="1"/>
  <c r="S98" i="18" s="1"/>
  <c r="R98" i="18" a="1"/>
  <c r="R98" i="18" s="1"/>
  <c r="Q98" i="18" a="1"/>
  <c r="Q98" i="18" s="1"/>
  <c r="P98" i="18" a="1"/>
  <c r="P98" i="18" s="1"/>
  <c r="O98" i="18" a="1"/>
  <c r="O98" i="18" s="1"/>
  <c r="N98" i="18" a="1"/>
  <c r="N98" i="18" s="1"/>
  <c r="M98" i="18" a="1"/>
  <c r="M98" i="18" s="1"/>
  <c r="L98" i="18" a="1"/>
  <c r="L98" i="18" s="1"/>
  <c r="K98" i="18" a="1"/>
  <c r="K98" i="18" s="1"/>
  <c r="J98" i="18" a="1"/>
  <c r="J98" i="18" s="1"/>
  <c r="I98" i="18" a="1"/>
  <c r="I98" i="18" s="1"/>
  <c r="H98" i="18" a="1"/>
  <c r="H98" i="18" s="1"/>
  <c r="G98" i="18" a="1"/>
  <c r="G98" i="18" s="1"/>
  <c r="D98" i="18"/>
  <c r="BA98" i="18" a="1"/>
  <c r="BA98" i="18" s="1"/>
  <c r="BB98" i="18" s="1"/>
  <c r="AW98" i="18" a="1"/>
  <c r="AW98" i="18" s="1"/>
  <c r="AS98" i="18" a="1"/>
  <c r="AS98" i="18" s="1"/>
  <c r="AO98" i="18" a="1"/>
  <c r="AO98" i="18" s="1"/>
  <c r="AK98" i="18" a="1"/>
  <c r="AK98" i="18" s="1"/>
  <c r="AL98" i="18" s="1"/>
  <c r="AG98" i="18" a="1"/>
  <c r="AG98" i="18" s="1"/>
  <c r="BC111" i="18" a="1"/>
  <c r="BC111" i="18" s="1"/>
  <c r="AY111" i="18" a="1"/>
  <c r="AY111" i="18" s="1"/>
  <c r="AU111" i="18" a="1"/>
  <c r="AU111" i="18" s="1"/>
  <c r="AQ111" i="18" a="1"/>
  <c r="AQ111" i="18" s="1"/>
  <c r="AM111" i="18" a="1"/>
  <c r="AM111" i="18" s="1"/>
  <c r="AI111" i="18" a="1"/>
  <c r="AI111" i="18" s="1"/>
  <c r="AE111" i="18" a="1"/>
  <c r="AE111" i="18" s="1"/>
  <c r="AB111" i="18" a="1"/>
  <c r="AB111" i="18" s="1"/>
  <c r="AA111" i="18" a="1"/>
  <c r="AA111" i="18" s="1"/>
  <c r="Z111" i="18" a="1"/>
  <c r="Z111" i="18" s="1"/>
  <c r="Y111" i="18" a="1"/>
  <c r="Y111" i="18" s="1"/>
  <c r="X111" i="18" a="1"/>
  <c r="X111" i="18" s="1"/>
  <c r="W111" i="18" a="1"/>
  <c r="W111" i="18" s="1"/>
  <c r="V111" i="18" a="1"/>
  <c r="V111" i="18" s="1"/>
  <c r="U111" i="18" a="1"/>
  <c r="U111" i="18" s="1"/>
  <c r="T111" i="18" a="1"/>
  <c r="T111" i="18" s="1"/>
  <c r="S111" i="18" a="1"/>
  <c r="S111" i="18" s="1"/>
  <c r="R111" i="18" a="1"/>
  <c r="R111" i="18" s="1"/>
  <c r="Q111" i="18" a="1"/>
  <c r="Q111" i="18" s="1"/>
  <c r="P111" i="18" a="1"/>
  <c r="P111" i="18" s="1"/>
  <c r="O111" i="18" a="1"/>
  <c r="O111" i="18" s="1"/>
  <c r="N111" i="18" a="1"/>
  <c r="N111" i="18" s="1"/>
  <c r="M111" i="18" a="1"/>
  <c r="M111" i="18" s="1"/>
  <c r="L111" i="18" a="1"/>
  <c r="L111" i="18" s="1"/>
  <c r="K111" i="18" a="1"/>
  <c r="K111" i="18" s="1"/>
  <c r="J111" i="18" a="1"/>
  <c r="J111" i="18" s="1"/>
  <c r="I111" i="18" a="1"/>
  <c r="I111" i="18" s="1"/>
  <c r="H111" i="18" a="1"/>
  <c r="H111" i="18" s="1"/>
  <c r="G111" i="18" a="1"/>
  <c r="G111" i="18" s="1"/>
  <c r="D111" i="18"/>
  <c r="BA111" i="18" a="1"/>
  <c r="BA111" i="18" s="1"/>
  <c r="BB111" i="18" s="1"/>
  <c r="AW111" i="18" a="1"/>
  <c r="AW111" i="18" s="1"/>
  <c r="AS111" i="18" a="1"/>
  <c r="AS111" i="18" s="1"/>
  <c r="AO111" i="18" a="1"/>
  <c r="AO111" i="18" s="1"/>
  <c r="AK111" i="18" a="1"/>
  <c r="AK111" i="18" s="1"/>
  <c r="AL111" i="18" s="1"/>
  <c r="AG111" i="18" a="1"/>
  <c r="AG111" i="18" s="1"/>
  <c r="BC119" i="18" a="1"/>
  <c r="BC119" i="18" s="1"/>
  <c r="AY119" i="18" a="1"/>
  <c r="AY119" i="18" s="1"/>
  <c r="AU119" i="18" a="1"/>
  <c r="AU119" i="18" s="1"/>
  <c r="AQ119" i="18" a="1"/>
  <c r="AQ119" i="18" s="1"/>
  <c r="AM119" i="18" a="1"/>
  <c r="AM119" i="18" s="1"/>
  <c r="AI119" i="18" a="1"/>
  <c r="AI119" i="18" s="1"/>
  <c r="AE119" i="18" a="1"/>
  <c r="AE119" i="18" s="1"/>
  <c r="AB119" i="18" a="1"/>
  <c r="AB119" i="18" s="1"/>
  <c r="AA119" i="18" a="1"/>
  <c r="AA119" i="18" s="1"/>
  <c r="Z119" i="18" a="1"/>
  <c r="Z119" i="18" s="1"/>
  <c r="Y119" i="18" a="1"/>
  <c r="Y119" i="18" s="1"/>
  <c r="X119" i="18" a="1"/>
  <c r="X119" i="18" s="1"/>
  <c r="W119" i="18" a="1"/>
  <c r="W119" i="18" s="1"/>
  <c r="V119" i="18" a="1"/>
  <c r="V119" i="18" s="1"/>
  <c r="U119" i="18" a="1"/>
  <c r="U119" i="18" s="1"/>
  <c r="T119" i="18" a="1"/>
  <c r="T119" i="18" s="1"/>
  <c r="S119" i="18" a="1"/>
  <c r="S119" i="18" s="1"/>
  <c r="R119" i="18" a="1"/>
  <c r="R119" i="18" s="1"/>
  <c r="Q119" i="18" a="1"/>
  <c r="Q119" i="18" s="1"/>
  <c r="P119" i="18" a="1"/>
  <c r="P119" i="18" s="1"/>
  <c r="O119" i="18" a="1"/>
  <c r="O119" i="18" s="1"/>
  <c r="N119" i="18" a="1"/>
  <c r="N119" i="18" s="1"/>
  <c r="M119" i="18" a="1"/>
  <c r="M119" i="18" s="1"/>
  <c r="L119" i="18" a="1"/>
  <c r="L119" i="18" s="1"/>
  <c r="K119" i="18" a="1"/>
  <c r="K119" i="18" s="1"/>
  <c r="J119" i="18" a="1"/>
  <c r="J119" i="18" s="1"/>
  <c r="I119" i="18" a="1"/>
  <c r="I119" i="18" s="1"/>
  <c r="H119" i="18" a="1"/>
  <c r="H119" i="18" s="1"/>
  <c r="G119" i="18" a="1"/>
  <c r="G119" i="18" s="1"/>
  <c r="D119" i="18"/>
  <c r="BA119" i="18" a="1"/>
  <c r="BA119" i="18" s="1"/>
  <c r="BB119" i="18" s="1"/>
  <c r="AW119" i="18" a="1"/>
  <c r="AW119" i="18" s="1"/>
  <c r="AS119" i="18" a="1"/>
  <c r="AS119" i="18" s="1"/>
  <c r="AO119" i="18" a="1"/>
  <c r="AO119" i="18" s="1"/>
  <c r="AK119" i="18" a="1"/>
  <c r="AK119" i="18" s="1"/>
  <c r="AL119" i="18" s="1"/>
  <c r="AG119" i="18" a="1"/>
  <c r="AG119" i="18" s="1"/>
  <c r="BC123" i="18" a="1"/>
  <c r="BC123" i="18" s="1"/>
  <c r="AY123" i="18" a="1"/>
  <c r="AY123" i="18" s="1"/>
  <c r="AU123" i="18" a="1"/>
  <c r="AU123" i="18" s="1"/>
  <c r="AQ123" i="18" a="1"/>
  <c r="AQ123" i="18" s="1"/>
  <c r="AM123" i="18" a="1"/>
  <c r="AM123" i="18" s="1"/>
  <c r="AI123" i="18" a="1"/>
  <c r="AI123" i="18" s="1"/>
  <c r="AE123" i="18" a="1"/>
  <c r="AE123" i="18" s="1"/>
  <c r="AB123" i="18" a="1"/>
  <c r="AB123" i="18" s="1"/>
  <c r="AA123" i="18" a="1"/>
  <c r="AA123" i="18" s="1"/>
  <c r="Z123" i="18" a="1"/>
  <c r="Z123" i="18" s="1"/>
  <c r="Y123" i="18" a="1"/>
  <c r="Y123" i="18" s="1"/>
  <c r="X123" i="18" a="1"/>
  <c r="X123" i="18" s="1"/>
  <c r="W123" i="18" a="1"/>
  <c r="W123" i="18" s="1"/>
  <c r="V123" i="18" a="1"/>
  <c r="V123" i="18" s="1"/>
  <c r="U123" i="18" a="1"/>
  <c r="U123" i="18" s="1"/>
  <c r="T123" i="18" a="1"/>
  <c r="T123" i="18" s="1"/>
  <c r="S123" i="18" a="1"/>
  <c r="S123" i="18" s="1"/>
  <c r="R123" i="18" a="1"/>
  <c r="R123" i="18" s="1"/>
  <c r="Q123" i="18" a="1"/>
  <c r="Q123" i="18" s="1"/>
  <c r="P123" i="18" a="1"/>
  <c r="P123" i="18" s="1"/>
  <c r="O123" i="18" a="1"/>
  <c r="O123" i="18" s="1"/>
  <c r="N123" i="18" a="1"/>
  <c r="N123" i="18" s="1"/>
  <c r="M123" i="18" a="1"/>
  <c r="M123" i="18" s="1"/>
  <c r="L123" i="18" a="1"/>
  <c r="L123" i="18" s="1"/>
  <c r="K123" i="18" a="1"/>
  <c r="K123" i="18" s="1"/>
  <c r="J123" i="18" a="1"/>
  <c r="J123" i="18" s="1"/>
  <c r="I123" i="18" a="1"/>
  <c r="I123" i="18" s="1"/>
  <c r="H123" i="18" a="1"/>
  <c r="H123" i="18" s="1"/>
  <c r="G123" i="18" a="1"/>
  <c r="G123" i="18" s="1"/>
  <c r="D123" i="18"/>
  <c r="BA123" i="18" a="1"/>
  <c r="BA123" i="18" s="1"/>
  <c r="BB123" i="18" s="1"/>
  <c r="AW123" i="18" a="1"/>
  <c r="AW123" i="18" s="1"/>
  <c r="AS123" i="18" a="1"/>
  <c r="AS123" i="18" s="1"/>
  <c r="AO123" i="18" a="1"/>
  <c r="AO123" i="18" s="1"/>
  <c r="AK123" i="18" a="1"/>
  <c r="AK123" i="18" s="1"/>
  <c r="AL123" i="18" s="1"/>
  <c r="AG123" i="18" a="1"/>
  <c r="AG123" i="18" s="1"/>
  <c r="BC127" i="18" a="1"/>
  <c r="BC127" i="18" s="1"/>
  <c r="AY127" i="18" a="1"/>
  <c r="AY127" i="18" s="1"/>
  <c r="AU127" i="18" a="1"/>
  <c r="AU127" i="18" s="1"/>
  <c r="AQ127" i="18" a="1"/>
  <c r="AQ127" i="18" s="1"/>
  <c r="AM127" i="18" a="1"/>
  <c r="AM127" i="18" s="1"/>
  <c r="AI127" i="18" a="1"/>
  <c r="AI127" i="18" s="1"/>
  <c r="AE127" i="18" a="1"/>
  <c r="AE127" i="18" s="1"/>
  <c r="AB127" i="18" a="1"/>
  <c r="AB127" i="18" s="1"/>
  <c r="AA127" i="18" a="1"/>
  <c r="AA127" i="18" s="1"/>
  <c r="Z127" i="18" a="1"/>
  <c r="Z127" i="18" s="1"/>
  <c r="Y127" i="18" a="1"/>
  <c r="Y127" i="18" s="1"/>
  <c r="X127" i="18" a="1"/>
  <c r="X127" i="18" s="1"/>
  <c r="W127" i="18" a="1"/>
  <c r="W127" i="18" s="1"/>
  <c r="V127" i="18" a="1"/>
  <c r="V127" i="18" s="1"/>
  <c r="U127" i="18" a="1"/>
  <c r="U127" i="18" s="1"/>
  <c r="T127" i="18" a="1"/>
  <c r="T127" i="18" s="1"/>
  <c r="S127" i="18" a="1"/>
  <c r="S127" i="18" s="1"/>
  <c r="R127" i="18" a="1"/>
  <c r="R127" i="18" s="1"/>
  <c r="Q127" i="18" a="1"/>
  <c r="Q127" i="18" s="1"/>
  <c r="P127" i="18" a="1"/>
  <c r="P127" i="18" s="1"/>
  <c r="O127" i="18" a="1"/>
  <c r="O127" i="18" s="1"/>
  <c r="N127" i="18" a="1"/>
  <c r="N127" i="18" s="1"/>
  <c r="M127" i="18" a="1"/>
  <c r="M127" i="18" s="1"/>
  <c r="L127" i="18" a="1"/>
  <c r="L127" i="18" s="1"/>
  <c r="K127" i="18" a="1"/>
  <c r="K127" i="18" s="1"/>
  <c r="J127" i="18" a="1"/>
  <c r="J127" i="18" s="1"/>
  <c r="I127" i="18" a="1"/>
  <c r="I127" i="18" s="1"/>
  <c r="H127" i="18" a="1"/>
  <c r="H127" i="18" s="1"/>
  <c r="G127" i="18" a="1"/>
  <c r="G127" i="18" s="1"/>
  <c r="D127" i="18"/>
  <c r="BA127" i="18" a="1"/>
  <c r="BA127" i="18" s="1"/>
  <c r="BB127" i="18" s="1"/>
  <c r="AW127" i="18" a="1"/>
  <c r="AW127" i="18" s="1"/>
  <c r="AS127" i="18" a="1"/>
  <c r="AS127" i="18" s="1"/>
  <c r="AO127" i="18" a="1"/>
  <c r="AO127" i="18" s="1"/>
  <c r="AK127" i="18" a="1"/>
  <c r="AK127" i="18" s="1"/>
  <c r="AL127" i="18" s="1"/>
  <c r="AG127" i="18" a="1"/>
  <c r="AG127" i="18" s="1"/>
  <c r="BC131" i="18" a="1"/>
  <c r="BC131" i="18" s="1"/>
  <c r="AY131" i="18" a="1"/>
  <c r="AY131" i="18" s="1"/>
  <c r="AU131" i="18" a="1"/>
  <c r="AU131" i="18" s="1"/>
  <c r="AQ131" i="18" a="1"/>
  <c r="AQ131" i="18" s="1"/>
  <c r="AM131" i="18" a="1"/>
  <c r="AM131" i="18" s="1"/>
  <c r="AI131" i="18" a="1"/>
  <c r="AI131" i="18" s="1"/>
  <c r="AE131" i="18" a="1"/>
  <c r="AE131" i="18" s="1"/>
  <c r="AB131" i="18" a="1"/>
  <c r="AB131" i="18" s="1"/>
  <c r="AA131" i="18" a="1"/>
  <c r="AA131" i="18" s="1"/>
  <c r="Z131" i="18" a="1"/>
  <c r="Z131" i="18" s="1"/>
  <c r="Y131" i="18" a="1"/>
  <c r="Y131" i="18" s="1"/>
  <c r="X131" i="18" a="1"/>
  <c r="X131" i="18" s="1"/>
  <c r="W131" i="18" a="1"/>
  <c r="W131" i="18" s="1"/>
  <c r="V131" i="18" a="1"/>
  <c r="V131" i="18" s="1"/>
  <c r="U131" i="18" a="1"/>
  <c r="U131" i="18" s="1"/>
  <c r="T131" i="18" a="1"/>
  <c r="T131" i="18" s="1"/>
  <c r="S131" i="18" a="1"/>
  <c r="S131" i="18" s="1"/>
  <c r="R131" i="18" a="1"/>
  <c r="R131" i="18" s="1"/>
  <c r="Q131" i="18" a="1"/>
  <c r="Q131" i="18" s="1"/>
  <c r="P131" i="18" a="1"/>
  <c r="P131" i="18" s="1"/>
  <c r="O131" i="18" a="1"/>
  <c r="O131" i="18" s="1"/>
  <c r="N131" i="18" a="1"/>
  <c r="N131" i="18" s="1"/>
  <c r="M131" i="18" a="1"/>
  <c r="M131" i="18" s="1"/>
  <c r="L131" i="18" a="1"/>
  <c r="L131" i="18" s="1"/>
  <c r="K131" i="18" a="1"/>
  <c r="K131" i="18" s="1"/>
  <c r="J131" i="18" a="1"/>
  <c r="J131" i="18" s="1"/>
  <c r="I131" i="18" a="1"/>
  <c r="I131" i="18" s="1"/>
  <c r="H131" i="18" a="1"/>
  <c r="H131" i="18" s="1"/>
  <c r="G131" i="18" a="1"/>
  <c r="G131" i="18" s="1"/>
  <c r="D131" i="18"/>
  <c r="BA131" i="18" a="1"/>
  <c r="BA131" i="18" s="1"/>
  <c r="BB131" i="18" s="1"/>
  <c r="AW131" i="18" a="1"/>
  <c r="AW131" i="18" s="1"/>
  <c r="AS131" i="18" a="1"/>
  <c r="AS131" i="18" s="1"/>
  <c r="AO131" i="18" a="1"/>
  <c r="AO131" i="18" s="1"/>
  <c r="AK131" i="18" a="1"/>
  <c r="AK131" i="18" s="1"/>
  <c r="AL131" i="18" s="1"/>
  <c r="AG131" i="18" a="1"/>
  <c r="AG131" i="18" s="1"/>
  <c r="BC135" i="18" a="1"/>
  <c r="BC135" i="18" s="1"/>
  <c r="AY135" i="18" a="1"/>
  <c r="AY135" i="18" s="1"/>
  <c r="AU135" i="18" a="1"/>
  <c r="AU135" i="18" s="1"/>
  <c r="AQ135" i="18" a="1"/>
  <c r="AQ135" i="18" s="1"/>
  <c r="AM135" i="18" a="1"/>
  <c r="AM135" i="18" s="1"/>
  <c r="AI135" i="18" a="1"/>
  <c r="AI135" i="18" s="1"/>
  <c r="AE135" i="18" a="1"/>
  <c r="AE135" i="18" s="1"/>
  <c r="AB135" i="18" a="1"/>
  <c r="AB135" i="18" s="1"/>
  <c r="AA135" i="18" a="1"/>
  <c r="AA135" i="18" s="1"/>
  <c r="Z135" i="18" a="1"/>
  <c r="Z135" i="18" s="1"/>
  <c r="Y135" i="18" a="1"/>
  <c r="Y135" i="18" s="1"/>
  <c r="X135" i="18" a="1"/>
  <c r="X135" i="18" s="1"/>
  <c r="W135" i="18" a="1"/>
  <c r="W135" i="18" s="1"/>
  <c r="V135" i="18" a="1"/>
  <c r="V135" i="18" s="1"/>
  <c r="U135" i="18" a="1"/>
  <c r="U135" i="18" s="1"/>
  <c r="T135" i="18" a="1"/>
  <c r="T135" i="18" s="1"/>
  <c r="S135" i="18" a="1"/>
  <c r="S135" i="18" s="1"/>
  <c r="R135" i="18" a="1"/>
  <c r="R135" i="18" s="1"/>
  <c r="Q135" i="18" a="1"/>
  <c r="Q135" i="18" s="1"/>
  <c r="P135" i="18" a="1"/>
  <c r="P135" i="18" s="1"/>
  <c r="O135" i="18" a="1"/>
  <c r="O135" i="18" s="1"/>
  <c r="N135" i="18" a="1"/>
  <c r="N135" i="18" s="1"/>
  <c r="M135" i="18" a="1"/>
  <c r="M135" i="18" s="1"/>
  <c r="L135" i="18" a="1"/>
  <c r="L135" i="18" s="1"/>
  <c r="K135" i="18" a="1"/>
  <c r="K135" i="18" s="1"/>
  <c r="J135" i="18" a="1"/>
  <c r="J135" i="18" s="1"/>
  <c r="I135" i="18" a="1"/>
  <c r="I135" i="18" s="1"/>
  <c r="H135" i="18" a="1"/>
  <c r="H135" i="18" s="1"/>
  <c r="G135" i="18" a="1"/>
  <c r="G135" i="18" s="1"/>
  <c r="D135" i="18"/>
  <c r="BA135" i="18" a="1"/>
  <c r="BA135" i="18" s="1"/>
  <c r="BB135" i="18" s="1"/>
  <c r="AW135" i="18" a="1"/>
  <c r="AW135" i="18" s="1"/>
  <c r="AS135" i="18" a="1"/>
  <c r="AS135" i="18" s="1"/>
  <c r="AO135" i="18" a="1"/>
  <c r="AO135" i="18" s="1"/>
  <c r="AK135" i="18" a="1"/>
  <c r="AK135" i="18" s="1"/>
  <c r="AL135" i="18" s="1"/>
  <c r="AG135" i="18" a="1"/>
  <c r="AG135" i="18" s="1"/>
  <c r="BC139" i="18" a="1"/>
  <c r="BC139" i="18" s="1"/>
  <c r="AY139" i="18" a="1"/>
  <c r="AY139" i="18" s="1"/>
  <c r="AU139" i="18" a="1"/>
  <c r="AU139" i="18" s="1"/>
  <c r="AQ139" i="18" a="1"/>
  <c r="AQ139" i="18" s="1"/>
  <c r="AM139" i="18" a="1"/>
  <c r="AM139" i="18" s="1"/>
  <c r="AI139" i="18" a="1"/>
  <c r="AI139" i="18" s="1"/>
  <c r="AE139" i="18" a="1"/>
  <c r="AE139" i="18" s="1"/>
  <c r="AB139" i="18" a="1"/>
  <c r="AB139" i="18" s="1"/>
  <c r="AA139" i="18" a="1"/>
  <c r="AA139" i="18" s="1"/>
  <c r="Z139" i="18" a="1"/>
  <c r="Z139" i="18" s="1"/>
  <c r="Y139" i="18" a="1"/>
  <c r="Y139" i="18" s="1"/>
  <c r="X139" i="18" a="1"/>
  <c r="X139" i="18" s="1"/>
  <c r="W139" i="18" a="1"/>
  <c r="W139" i="18" s="1"/>
  <c r="V139" i="18" a="1"/>
  <c r="V139" i="18" s="1"/>
  <c r="U139" i="18" a="1"/>
  <c r="U139" i="18" s="1"/>
  <c r="T139" i="18" a="1"/>
  <c r="T139" i="18" s="1"/>
  <c r="S139" i="18" a="1"/>
  <c r="S139" i="18" s="1"/>
  <c r="R139" i="18" a="1"/>
  <c r="R139" i="18" s="1"/>
  <c r="Q139" i="18" a="1"/>
  <c r="Q139" i="18" s="1"/>
  <c r="P139" i="18" a="1"/>
  <c r="P139" i="18" s="1"/>
  <c r="O139" i="18" a="1"/>
  <c r="O139" i="18" s="1"/>
  <c r="N139" i="18" a="1"/>
  <c r="N139" i="18" s="1"/>
  <c r="M139" i="18" a="1"/>
  <c r="M139" i="18" s="1"/>
  <c r="L139" i="18" a="1"/>
  <c r="L139" i="18" s="1"/>
  <c r="K139" i="18" a="1"/>
  <c r="K139" i="18" s="1"/>
  <c r="J139" i="18" a="1"/>
  <c r="J139" i="18" s="1"/>
  <c r="I139" i="18" a="1"/>
  <c r="I139" i="18" s="1"/>
  <c r="H139" i="18" a="1"/>
  <c r="H139" i="18" s="1"/>
  <c r="G139" i="18" a="1"/>
  <c r="G139" i="18" s="1"/>
  <c r="D139" i="18"/>
  <c r="BA139" i="18" a="1"/>
  <c r="BA139" i="18" s="1"/>
  <c r="BB139" i="18" s="1"/>
  <c r="AW139" i="18" a="1"/>
  <c r="AW139" i="18" s="1"/>
  <c r="AS139" i="18" a="1"/>
  <c r="AS139" i="18" s="1"/>
  <c r="AO139" i="18" a="1"/>
  <c r="AO139" i="18" s="1"/>
  <c r="AK139" i="18" a="1"/>
  <c r="AK139" i="18" s="1"/>
  <c r="AL139" i="18" s="1"/>
  <c r="AG139" i="18" a="1"/>
  <c r="AG139" i="18" s="1"/>
  <c r="BC143" i="18" a="1"/>
  <c r="BC143" i="18" s="1"/>
  <c r="AY143" i="18" a="1"/>
  <c r="AY143" i="18" s="1"/>
  <c r="AU143" i="18" a="1"/>
  <c r="AU143" i="18" s="1"/>
  <c r="AQ143" i="18" a="1"/>
  <c r="AQ143" i="18" s="1"/>
  <c r="AM143" i="18" a="1"/>
  <c r="AM143" i="18" s="1"/>
  <c r="AI143" i="18" a="1"/>
  <c r="AI143" i="18" s="1"/>
  <c r="AE143" i="18" a="1"/>
  <c r="AE143" i="18" s="1"/>
  <c r="AB143" i="18" a="1"/>
  <c r="AB143" i="18" s="1"/>
  <c r="AA143" i="18" a="1"/>
  <c r="AA143" i="18" s="1"/>
  <c r="Z143" i="18" a="1"/>
  <c r="Z143" i="18" s="1"/>
  <c r="Y143" i="18" a="1"/>
  <c r="Y143" i="18" s="1"/>
  <c r="X143" i="18" a="1"/>
  <c r="X143" i="18" s="1"/>
  <c r="W143" i="18" a="1"/>
  <c r="W143" i="18" s="1"/>
  <c r="V143" i="18" a="1"/>
  <c r="V143" i="18" s="1"/>
  <c r="U143" i="18" a="1"/>
  <c r="U143" i="18" s="1"/>
  <c r="T143" i="18" a="1"/>
  <c r="T143" i="18" s="1"/>
  <c r="S143" i="18" a="1"/>
  <c r="S143" i="18" s="1"/>
  <c r="R143" i="18" a="1"/>
  <c r="R143" i="18" s="1"/>
  <c r="Q143" i="18" a="1"/>
  <c r="Q143" i="18" s="1"/>
  <c r="P143" i="18" a="1"/>
  <c r="P143" i="18" s="1"/>
  <c r="O143" i="18" a="1"/>
  <c r="O143" i="18" s="1"/>
  <c r="N143" i="18" a="1"/>
  <c r="N143" i="18" s="1"/>
  <c r="M143" i="18" a="1"/>
  <c r="M143" i="18" s="1"/>
  <c r="L143" i="18" a="1"/>
  <c r="L143" i="18" s="1"/>
  <c r="K143" i="18" a="1"/>
  <c r="K143" i="18" s="1"/>
  <c r="J143" i="18" a="1"/>
  <c r="J143" i="18" s="1"/>
  <c r="I143" i="18" a="1"/>
  <c r="I143" i="18" s="1"/>
  <c r="H143" i="18" a="1"/>
  <c r="H143" i="18" s="1"/>
  <c r="G143" i="18" a="1"/>
  <c r="G143" i="18" s="1"/>
  <c r="D143" i="18"/>
  <c r="BA143" i="18" a="1"/>
  <c r="BA143" i="18" s="1"/>
  <c r="BB143" i="18" s="1"/>
  <c r="AW143" i="18" a="1"/>
  <c r="AW143" i="18" s="1"/>
  <c r="AS143" i="18" a="1"/>
  <c r="AS143" i="18" s="1"/>
  <c r="AO143" i="18" a="1"/>
  <c r="AO143" i="18" s="1"/>
  <c r="AK143" i="18" a="1"/>
  <c r="AK143" i="18" s="1"/>
  <c r="AL143" i="18" s="1"/>
  <c r="AG143" i="18" a="1"/>
  <c r="AG143" i="18" s="1"/>
  <c r="BC147" i="18" a="1"/>
  <c r="BC147" i="18" s="1"/>
  <c r="AY147" i="18" a="1"/>
  <c r="AY147" i="18" s="1"/>
  <c r="AU147" i="18" a="1"/>
  <c r="AU147" i="18" s="1"/>
  <c r="AQ147" i="18" a="1"/>
  <c r="AQ147" i="18" s="1"/>
  <c r="AM147" i="18" a="1"/>
  <c r="AM147" i="18" s="1"/>
  <c r="AI147" i="18" a="1"/>
  <c r="AI147" i="18" s="1"/>
  <c r="AE147" i="18" a="1"/>
  <c r="AE147" i="18" s="1"/>
  <c r="AB147" i="18" a="1"/>
  <c r="AB147" i="18" s="1"/>
  <c r="AA147" i="18" a="1"/>
  <c r="AA147" i="18" s="1"/>
  <c r="Z147" i="18" a="1"/>
  <c r="Z147" i="18" s="1"/>
  <c r="Y147" i="18" a="1"/>
  <c r="Y147" i="18" s="1"/>
  <c r="X147" i="18" a="1"/>
  <c r="X147" i="18" s="1"/>
  <c r="W147" i="18" a="1"/>
  <c r="W147" i="18" s="1"/>
  <c r="V147" i="18" a="1"/>
  <c r="V147" i="18" s="1"/>
  <c r="U147" i="18" a="1"/>
  <c r="U147" i="18" s="1"/>
  <c r="T147" i="18" a="1"/>
  <c r="T147" i="18" s="1"/>
  <c r="S147" i="18" a="1"/>
  <c r="S147" i="18" s="1"/>
  <c r="R147" i="18" a="1"/>
  <c r="R147" i="18" s="1"/>
  <c r="Q147" i="18" a="1"/>
  <c r="Q147" i="18" s="1"/>
  <c r="P147" i="18" a="1"/>
  <c r="P147" i="18" s="1"/>
  <c r="O147" i="18" a="1"/>
  <c r="O147" i="18" s="1"/>
  <c r="N147" i="18" a="1"/>
  <c r="N147" i="18" s="1"/>
  <c r="M147" i="18" a="1"/>
  <c r="M147" i="18" s="1"/>
  <c r="L147" i="18" a="1"/>
  <c r="L147" i="18" s="1"/>
  <c r="K147" i="18" a="1"/>
  <c r="K147" i="18" s="1"/>
  <c r="J147" i="18" a="1"/>
  <c r="J147" i="18" s="1"/>
  <c r="I147" i="18" a="1"/>
  <c r="I147" i="18" s="1"/>
  <c r="H147" i="18" a="1"/>
  <c r="H147" i="18" s="1"/>
  <c r="G147" i="18" a="1"/>
  <c r="G147" i="18" s="1"/>
  <c r="D147" i="18"/>
  <c r="BA147" i="18" a="1"/>
  <c r="BA147" i="18" s="1"/>
  <c r="BB147" i="18" s="1"/>
  <c r="AW147" i="18" a="1"/>
  <c r="AW147" i="18" s="1"/>
  <c r="AS147" i="18" a="1"/>
  <c r="AS147" i="18" s="1"/>
  <c r="AO147" i="18" a="1"/>
  <c r="AO147" i="18" s="1"/>
  <c r="AK147" i="18" a="1"/>
  <c r="AK147" i="18" s="1"/>
  <c r="AL147" i="18" s="1"/>
  <c r="AG147" i="18" a="1"/>
  <c r="AG147" i="18" s="1"/>
  <c r="BC151" i="18" a="1"/>
  <c r="BC151" i="18" s="1"/>
  <c r="AY151" i="18" a="1"/>
  <c r="AY151" i="18" s="1"/>
  <c r="AU151" i="18" a="1"/>
  <c r="AU151" i="18" s="1"/>
  <c r="AQ151" i="18" a="1"/>
  <c r="AQ151" i="18" s="1"/>
  <c r="AM151" i="18" a="1"/>
  <c r="AM151" i="18" s="1"/>
  <c r="AI151" i="18" a="1"/>
  <c r="AI151" i="18" s="1"/>
  <c r="AE151" i="18" a="1"/>
  <c r="AE151" i="18" s="1"/>
  <c r="AB151" i="18" a="1"/>
  <c r="AB151" i="18" s="1"/>
  <c r="AA151" i="18" a="1"/>
  <c r="AA151" i="18" s="1"/>
  <c r="Z151" i="18" a="1"/>
  <c r="Z151" i="18" s="1"/>
  <c r="Y151" i="18" a="1"/>
  <c r="Y151" i="18" s="1"/>
  <c r="X151" i="18" a="1"/>
  <c r="X151" i="18" s="1"/>
  <c r="W151" i="18" a="1"/>
  <c r="W151" i="18" s="1"/>
  <c r="V151" i="18" a="1"/>
  <c r="V151" i="18" s="1"/>
  <c r="U151" i="18" a="1"/>
  <c r="U151" i="18" s="1"/>
  <c r="T151" i="18" a="1"/>
  <c r="T151" i="18" s="1"/>
  <c r="S151" i="18" a="1"/>
  <c r="S151" i="18" s="1"/>
  <c r="R151" i="18" a="1"/>
  <c r="R151" i="18" s="1"/>
  <c r="Q151" i="18" a="1"/>
  <c r="Q151" i="18" s="1"/>
  <c r="P151" i="18" a="1"/>
  <c r="P151" i="18" s="1"/>
  <c r="O151" i="18" a="1"/>
  <c r="O151" i="18" s="1"/>
  <c r="N151" i="18" a="1"/>
  <c r="N151" i="18" s="1"/>
  <c r="M151" i="18" a="1"/>
  <c r="M151" i="18" s="1"/>
  <c r="L151" i="18" a="1"/>
  <c r="L151" i="18" s="1"/>
  <c r="K151" i="18" a="1"/>
  <c r="K151" i="18" s="1"/>
  <c r="J151" i="18" a="1"/>
  <c r="J151" i="18" s="1"/>
  <c r="I151" i="18" a="1"/>
  <c r="I151" i="18" s="1"/>
  <c r="H151" i="18" a="1"/>
  <c r="H151" i="18" s="1"/>
  <c r="G151" i="18" a="1"/>
  <c r="G151" i="18" s="1"/>
  <c r="D151" i="18"/>
  <c r="BA151" i="18" a="1"/>
  <c r="BA151" i="18" s="1"/>
  <c r="BB151" i="18" s="1"/>
  <c r="AW151" i="18" a="1"/>
  <c r="AW151" i="18" s="1"/>
  <c r="AS151" i="18" a="1"/>
  <c r="AS151" i="18" s="1"/>
  <c r="AO151" i="18" a="1"/>
  <c r="AO151" i="18" s="1"/>
  <c r="AK151" i="18" a="1"/>
  <c r="AK151" i="18" s="1"/>
  <c r="AL151" i="18" s="1"/>
  <c r="AG151" i="18" a="1"/>
  <c r="AG151" i="18" s="1"/>
  <c r="BC8" i="18" a="1"/>
  <c r="BC8" i="18" s="1"/>
  <c r="AY8" i="18" a="1"/>
  <c r="AY8" i="18" s="1"/>
  <c r="AU8" i="18" a="1"/>
  <c r="AU8" i="18" s="1"/>
  <c r="AQ8" i="18" a="1"/>
  <c r="AQ8" i="18" s="1"/>
  <c r="AM8" i="18" a="1"/>
  <c r="AM8" i="18" s="1"/>
  <c r="AI8" i="18" a="1"/>
  <c r="AI8" i="18" s="1"/>
  <c r="AE8" i="18" a="1"/>
  <c r="AE8" i="18" s="1"/>
  <c r="AB8" i="18" a="1"/>
  <c r="AB8" i="18" s="1"/>
  <c r="AA8" i="18" a="1"/>
  <c r="AA8" i="18" s="1"/>
  <c r="Z8" i="18" a="1"/>
  <c r="Z8" i="18" s="1"/>
  <c r="Y8" i="18" a="1"/>
  <c r="Y8" i="18" s="1"/>
  <c r="X8" i="18" a="1"/>
  <c r="X8" i="18" s="1"/>
  <c r="W8" i="18" a="1"/>
  <c r="W8" i="18" s="1"/>
  <c r="V8" i="18" a="1"/>
  <c r="V8" i="18" s="1"/>
  <c r="U8" i="18" a="1"/>
  <c r="U8" i="18" s="1"/>
  <c r="T8" i="18" a="1"/>
  <c r="T8" i="18" s="1"/>
  <c r="S8" i="18" a="1"/>
  <c r="S8" i="18" s="1"/>
  <c r="R8" i="18" a="1"/>
  <c r="R8" i="18" s="1"/>
  <c r="Q8" i="18" a="1"/>
  <c r="Q8" i="18" s="1"/>
  <c r="P8" i="18" a="1"/>
  <c r="P8" i="18" s="1"/>
  <c r="O8" i="18" a="1"/>
  <c r="O8" i="18" s="1"/>
  <c r="N8" i="18" a="1"/>
  <c r="N8" i="18" s="1"/>
  <c r="M8" i="18" a="1"/>
  <c r="M8" i="18" s="1"/>
  <c r="L8" i="18" a="1"/>
  <c r="L8" i="18" s="1"/>
  <c r="K8" i="18" a="1"/>
  <c r="K8" i="18" s="1"/>
  <c r="J8" i="18" a="1"/>
  <c r="J8" i="18" s="1"/>
  <c r="I8" i="18" a="1"/>
  <c r="I8" i="18" s="1"/>
  <c r="H8" i="18" a="1"/>
  <c r="H8" i="18" s="1"/>
  <c r="G8" i="18" a="1"/>
  <c r="G8" i="18" s="1"/>
  <c r="D8" i="18"/>
  <c r="BA8" i="18" a="1"/>
  <c r="BA8" i="18" s="1"/>
  <c r="BB8" i="18" s="1"/>
  <c r="AW8" i="18" a="1"/>
  <c r="AW8" i="18" s="1"/>
  <c r="AS8" i="18" a="1"/>
  <c r="AS8" i="18" s="1"/>
  <c r="AO8" i="18" a="1"/>
  <c r="AO8" i="18" s="1"/>
  <c r="AK8" i="18" a="1"/>
  <c r="AK8" i="18" s="1"/>
  <c r="AL8" i="18" s="1"/>
  <c r="AG8" i="18" a="1"/>
  <c r="AG8" i="18" s="1"/>
  <c r="BC12" i="18" a="1"/>
  <c r="BC12" i="18" s="1"/>
  <c r="AY12" i="18" a="1"/>
  <c r="AY12" i="18" s="1"/>
  <c r="AU12" i="18" a="1"/>
  <c r="AU12" i="18" s="1"/>
  <c r="AQ12" i="18" a="1"/>
  <c r="AQ12" i="18" s="1"/>
  <c r="AM12" i="18" a="1"/>
  <c r="AM12" i="18" s="1"/>
  <c r="AI12" i="18" a="1"/>
  <c r="AI12" i="18" s="1"/>
  <c r="AE12" i="18" a="1"/>
  <c r="AE12" i="18" s="1"/>
  <c r="AB12" i="18" a="1"/>
  <c r="AB12" i="18" s="1"/>
  <c r="AA12" i="18" a="1"/>
  <c r="AA12" i="18" s="1"/>
  <c r="Z12" i="18" a="1"/>
  <c r="Z12" i="18" s="1"/>
  <c r="Y12" i="18" a="1"/>
  <c r="Y12" i="18" s="1"/>
  <c r="X12" i="18" a="1"/>
  <c r="X12" i="18" s="1"/>
  <c r="W12" i="18" a="1"/>
  <c r="W12" i="18" s="1"/>
  <c r="V12" i="18" a="1"/>
  <c r="V12" i="18" s="1"/>
  <c r="U12" i="18" a="1"/>
  <c r="U12" i="18" s="1"/>
  <c r="T12" i="18" a="1"/>
  <c r="T12" i="18" s="1"/>
  <c r="S12" i="18" a="1"/>
  <c r="S12" i="18" s="1"/>
  <c r="R12" i="18" a="1"/>
  <c r="R12" i="18" s="1"/>
  <c r="Q12" i="18" a="1"/>
  <c r="Q12" i="18" s="1"/>
  <c r="P12" i="18" a="1"/>
  <c r="P12" i="18" s="1"/>
  <c r="O12" i="18" a="1"/>
  <c r="O12" i="18" s="1"/>
  <c r="N12" i="18" a="1"/>
  <c r="N12" i="18" s="1"/>
  <c r="M12" i="18" a="1"/>
  <c r="M12" i="18" s="1"/>
  <c r="L12" i="18" a="1"/>
  <c r="L12" i="18" s="1"/>
  <c r="K12" i="18" a="1"/>
  <c r="K12" i="18" s="1"/>
  <c r="J12" i="18" a="1"/>
  <c r="J12" i="18" s="1"/>
  <c r="I12" i="18" a="1"/>
  <c r="I12" i="18" s="1"/>
  <c r="H12" i="18" a="1"/>
  <c r="H12" i="18" s="1"/>
  <c r="G12" i="18" a="1"/>
  <c r="G12" i="18" s="1"/>
  <c r="D12" i="18"/>
  <c r="BA12" i="18" a="1"/>
  <c r="BA12" i="18" s="1"/>
  <c r="BB12" i="18" s="1"/>
  <c r="AW12" i="18" a="1"/>
  <c r="AW12" i="18" s="1"/>
  <c r="AS12" i="18" a="1"/>
  <c r="AS12" i="18" s="1"/>
  <c r="AO12" i="18" a="1"/>
  <c r="AO12" i="18" s="1"/>
  <c r="AK12" i="18" a="1"/>
  <c r="AK12" i="18" s="1"/>
  <c r="AL12" i="18" s="1"/>
  <c r="AG12" i="18" a="1"/>
  <c r="AG12" i="18" s="1"/>
  <c r="BC16" i="18" a="1"/>
  <c r="BC16" i="18" s="1"/>
  <c r="AY16" i="18" a="1"/>
  <c r="AY16" i="18" s="1"/>
  <c r="AU16" i="18" a="1"/>
  <c r="AU16" i="18" s="1"/>
  <c r="AQ16" i="18" a="1"/>
  <c r="AQ16" i="18" s="1"/>
  <c r="AM16" i="18" a="1"/>
  <c r="AM16" i="18" s="1"/>
  <c r="AI16" i="18" a="1"/>
  <c r="AI16" i="18" s="1"/>
  <c r="AE16" i="18" a="1"/>
  <c r="AE16" i="18" s="1"/>
  <c r="AB16" i="18" a="1"/>
  <c r="AB16" i="18" s="1"/>
  <c r="AA16" i="18" a="1"/>
  <c r="AA16" i="18" s="1"/>
  <c r="Z16" i="18" a="1"/>
  <c r="Z16" i="18" s="1"/>
  <c r="Y16" i="18" a="1"/>
  <c r="Y16" i="18" s="1"/>
  <c r="X16" i="18" a="1"/>
  <c r="X16" i="18" s="1"/>
  <c r="W16" i="18" a="1"/>
  <c r="W16" i="18" s="1"/>
  <c r="V16" i="18" a="1"/>
  <c r="V16" i="18" s="1"/>
  <c r="U16" i="18" a="1"/>
  <c r="U16" i="18" s="1"/>
  <c r="T16" i="18" a="1"/>
  <c r="T16" i="18" s="1"/>
  <c r="S16" i="18" a="1"/>
  <c r="S16" i="18" s="1"/>
  <c r="R16" i="18" a="1"/>
  <c r="R16" i="18" s="1"/>
  <c r="Q16" i="18" a="1"/>
  <c r="Q16" i="18" s="1"/>
  <c r="P16" i="18" a="1"/>
  <c r="P16" i="18" s="1"/>
  <c r="O16" i="18" a="1"/>
  <c r="O16" i="18" s="1"/>
  <c r="N16" i="18" a="1"/>
  <c r="N16" i="18" s="1"/>
  <c r="M16" i="18" a="1"/>
  <c r="M16" i="18" s="1"/>
  <c r="L16" i="18" a="1"/>
  <c r="L16" i="18" s="1"/>
  <c r="K16" i="18" a="1"/>
  <c r="K16" i="18" s="1"/>
  <c r="J16" i="18" a="1"/>
  <c r="J16" i="18" s="1"/>
  <c r="I16" i="18" a="1"/>
  <c r="I16" i="18" s="1"/>
  <c r="H16" i="18" a="1"/>
  <c r="H16" i="18" s="1"/>
  <c r="G16" i="18" a="1"/>
  <c r="G16" i="18" s="1"/>
  <c r="D16" i="18"/>
  <c r="BA16" i="18" a="1"/>
  <c r="BA16" i="18" s="1"/>
  <c r="BB16" i="18" s="1"/>
  <c r="AW16" i="18" a="1"/>
  <c r="AW16" i="18" s="1"/>
  <c r="AS16" i="18" a="1"/>
  <c r="AS16" i="18" s="1"/>
  <c r="AO16" i="18" a="1"/>
  <c r="AO16" i="18" s="1"/>
  <c r="AK16" i="18" a="1"/>
  <c r="AK16" i="18" s="1"/>
  <c r="AL16" i="18" s="1"/>
  <c r="AG16" i="18" a="1"/>
  <c r="AG16" i="18" s="1"/>
  <c r="BC20" i="18" a="1"/>
  <c r="BC20" i="18" s="1"/>
  <c r="AY20" i="18" a="1"/>
  <c r="AY20" i="18" s="1"/>
  <c r="AU20" i="18" a="1"/>
  <c r="AU20" i="18" s="1"/>
  <c r="AQ20" i="18" a="1"/>
  <c r="AQ20" i="18" s="1"/>
  <c r="AM20" i="18" a="1"/>
  <c r="AM20" i="18" s="1"/>
  <c r="AI20" i="18" a="1"/>
  <c r="AI20" i="18" s="1"/>
  <c r="AE20" i="18" a="1"/>
  <c r="AE20" i="18" s="1"/>
  <c r="AB20" i="18" a="1"/>
  <c r="AB20" i="18" s="1"/>
  <c r="AA20" i="18" a="1"/>
  <c r="AA20" i="18" s="1"/>
  <c r="Z20" i="18" a="1"/>
  <c r="Z20" i="18" s="1"/>
  <c r="Y20" i="18" a="1"/>
  <c r="Y20" i="18" s="1"/>
  <c r="X20" i="18" a="1"/>
  <c r="X20" i="18" s="1"/>
  <c r="W20" i="18" a="1"/>
  <c r="W20" i="18" s="1"/>
  <c r="V20" i="18" a="1"/>
  <c r="V20" i="18" s="1"/>
  <c r="U20" i="18" a="1"/>
  <c r="U20" i="18" s="1"/>
  <c r="T20" i="18" a="1"/>
  <c r="T20" i="18" s="1"/>
  <c r="S20" i="18" a="1"/>
  <c r="S20" i="18" s="1"/>
  <c r="R20" i="18" a="1"/>
  <c r="R20" i="18" s="1"/>
  <c r="Q20" i="18" a="1"/>
  <c r="Q20" i="18" s="1"/>
  <c r="P20" i="18" a="1"/>
  <c r="P20" i="18" s="1"/>
  <c r="O20" i="18" a="1"/>
  <c r="O20" i="18" s="1"/>
  <c r="N20" i="18" a="1"/>
  <c r="N20" i="18" s="1"/>
  <c r="M20" i="18" a="1"/>
  <c r="M20" i="18" s="1"/>
  <c r="L20" i="18" a="1"/>
  <c r="L20" i="18" s="1"/>
  <c r="K20" i="18" a="1"/>
  <c r="K20" i="18" s="1"/>
  <c r="J20" i="18" a="1"/>
  <c r="J20" i="18" s="1"/>
  <c r="I20" i="18" a="1"/>
  <c r="I20" i="18" s="1"/>
  <c r="H20" i="18" a="1"/>
  <c r="H20" i="18" s="1"/>
  <c r="G20" i="18" a="1"/>
  <c r="G20" i="18" s="1"/>
  <c r="D20" i="18"/>
  <c r="BA20" i="18" a="1"/>
  <c r="BA20" i="18" s="1"/>
  <c r="BB20" i="18" s="1"/>
  <c r="AW20" i="18" a="1"/>
  <c r="AW20" i="18" s="1"/>
  <c r="AS20" i="18" a="1"/>
  <c r="AS20" i="18" s="1"/>
  <c r="AO20" i="18" a="1"/>
  <c r="AO20" i="18" s="1"/>
  <c r="AK20" i="18" a="1"/>
  <c r="AK20" i="18" s="1"/>
  <c r="AL20" i="18" s="1"/>
  <c r="AG20" i="18" a="1"/>
  <c r="AG20" i="18" s="1"/>
  <c r="BC24" i="18" a="1"/>
  <c r="BC24" i="18" s="1"/>
  <c r="AY24" i="18" a="1"/>
  <c r="AY24" i="18" s="1"/>
  <c r="AU24" i="18" a="1"/>
  <c r="AU24" i="18" s="1"/>
  <c r="AQ24" i="18" a="1"/>
  <c r="AQ24" i="18" s="1"/>
  <c r="AM24" i="18" a="1"/>
  <c r="AM24" i="18" s="1"/>
  <c r="AI24" i="18" a="1"/>
  <c r="AI24" i="18" s="1"/>
  <c r="AE24" i="18" a="1"/>
  <c r="AE24" i="18" s="1"/>
  <c r="AB24" i="18" a="1"/>
  <c r="AB24" i="18" s="1"/>
  <c r="AA24" i="18" a="1"/>
  <c r="AA24" i="18" s="1"/>
  <c r="Z24" i="18" a="1"/>
  <c r="Z24" i="18" s="1"/>
  <c r="Y24" i="18" a="1"/>
  <c r="Y24" i="18" s="1"/>
  <c r="X24" i="18" a="1"/>
  <c r="X24" i="18" s="1"/>
  <c r="W24" i="18" a="1"/>
  <c r="W24" i="18" s="1"/>
  <c r="V24" i="18" a="1"/>
  <c r="V24" i="18" s="1"/>
  <c r="U24" i="18" a="1"/>
  <c r="U24" i="18" s="1"/>
  <c r="T24" i="18" a="1"/>
  <c r="T24" i="18" s="1"/>
  <c r="S24" i="18" a="1"/>
  <c r="S24" i="18" s="1"/>
  <c r="R24" i="18" a="1"/>
  <c r="R24" i="18" s="1"/>
  <c r="Q24" i="18" a="1"/>
  <c r="Q24" i="18" s="1"/>
  <c r="P24" i="18" a="1"/>
  <c r="P24" i="18" s="1"/>
  <c r="O24" i="18" a="1"/>
  <c r="O24" i="18" s="1"/>
  <c r="N24" i="18" a="1"/>
  <c r="N24" i="18" s="1"/>
  <c r="M24" i="18" a="1"/>
  <c r="M24" i="18" s="1"/>
  <c r="L24" i="18" a="1"/>
  <c r="L24" i="18" s="1"/>
  <c r="K24" i="18" a="1"/>
  <c r="K24" i="18" s="1"/>
  <c r="J24" i="18" a="1"/>
  <c r="J24" i="18" s="1"/>
  <c r="I24" i="18" a="1"/>
  <c r="I24" i="18" s="1"/>
  <c r="H24" i="18" a="1"/>
  <c r="H24" i="18" s="1"/>
  <c r="G24" i="18" a="1"/>
  <c r="G24" i="18" s="1"/>
  <c r="D24" i="18"/>
  <c r="BA24" i="18" a="1"/>
  <c r="BA24" i="18" s="1"/>
  <c r="BB24" i="18" s="1"/>
  <c r="AW24" i="18" a="1"/>
  <c r="AW24" i="18" s="1"/>
  <c r="AS24" i="18" a="1"/>
  <c r="AS24" i="18" s="1"/>
  <c r="AO24" i="18" a="1"/>
  <c r="AO24" i="18" s="1"/>
  <c r="AK24" i="18" a="1"/>
  <c r="AK24" i="18" s="1"/>
  <c r="AL24" i="18" s="1"/>
  <c r="AG24" i="18" a="1"/>
  <c r="AG24" i="18" s="1"/>
  <c r="BC28" i="18" a="1"/>
  <c r="BC28" i="18" s="1"/>
  <c r="AY28" i="18" a="1"/>
  <c r="AY28" i="18" s="1"/>
  <c r="AU28" i="18" a="1"/>
  <c r="AU28" i="18" s="1"/>
  <c r="AQ28" i="18" a="1"/>
  <c r="AQ28" i="18" s="1"/>
  <c r="AM28" i="18" a="1"/>
  <c r="AM28" i="18" s="1"/>
  <c r="AI28" i="18" a="1"/>
  <c r="AI28" i="18" s="1"/>
  <c r="AE28" i="18" a="1"/>
  <c r="AE28" i="18" s="1"/>
  <c r="AB28" i="18" a="1"/>
  <c r="AB28" i="18" s="1"/>
  <c r="AA28" i="18" a="1"/>
  <c r="AA28" i="18" s="1"/>
  <c r="Z28" i="18" a="1"/>
  <c r="Z28" i="18" s="1"/>
  <c r="Y28" i="18" a="1"/>
  <c r="Y28" i="18" s="1"/>
  <c r="X28" i="18" a="1"/>
  <c r="X28" i="18" s="1"/>
  <c r="W28" i="18" a="1"/>
  <c r="W28" i="18" s="1"/>
  <c r="V28" i="18" a="1"/>
  <c r="V28" i="18" s="1"/>
  <c r="U28" i="18" a="1"/>
  <c r="U28" i="18" s="1"/>
  <c r="T28" i="18" a="1"/>
  <c r="T28" i="18" s="1"/>
  <c r="S28" i="18" a="1"/>
  <c r="S28" i="18" s="1"/>
  <c r="R28" i="18" a="1"/>
  <c r="R28" i="18" s="1"/>
  <c r="Q28" i="18" a="1"/>
  <c r="Q28" i="18" s="1"/>
  <c r="P28" i="18" a="1"/>
  <c r="P28" i="18" s="1"/>
  <c r="O28" i="18" a="1"/>
  <c r="O28" i="18" s="1"/>
  <c r="N28" i="18" a="1"/>
  <c r="N28" i="18" s="1"/>
  <c r="M28" i="18" a="1"/>
  <c r="M28" i="18" s="1"/>
  <c r="L28" i="18" a="1"/>
  <c r="L28" i="18" s="1"/>
  <c r="K28" i="18" a="1"/>
  <c r="K28" i="18" s="1"/>
  <c r="J28" i="18" a="1"/>
  <c r="J28" i="18" s="1"/>
  <c r="I28" i="18" a="1"/>
  <c r="I28" i="18" s="1"/>
  <c r="H28" i="18" a="1"/>
  <c r="H28" i="18" s="1"/>
  <c r="G28" i="18" a="1"/>
  <c r="G28" i="18" s="1"/>
  <c r="D28" i="18"/>
  <c r="BA28" i="18" a="1"/>
  <c r="BA28" i="18" s="1"/>
  <c r="BB28" i="18" s="1"/>
  <c r="AW28" i="18" a="1"/>
  <c r="AW28" i="18" s="1"/>
  <c r="AS28" i="18" a="1"/>
  <c r="AS28" i="18" s="1"/>
  <c r="AO28" i="18" a="1"/>
  <c r="AO28" i="18" s="1"/>
  <c r="AK28" i="18" a="1"/>
  <c r="AK28" i="18" s="1"/>
  <c r="AL28" i="18" s="1"/>
  <c r="AG28" i="18" a="1"/>
  <c r="AG28" i="18" s="1"/>
  <c r="BC32" i="18" a="1"/>
  <c r="BC32" i="18" s="1"/>
  <c r="AY32" i="18" a="1"/>
  <c r="AY32" i="18" s="1"/>
  <c r="AU32" i="18" a="1"/>
  <c r="AU32" i="18" s="1"/>
  <c r="AQ32" i="18" a="1"/>
  <c r="AQ32" i="18" s="1"/>
  <c r="AM32" i="18" a="1"/>
  <c r="AM32" i="18" s="1"/>
  <c r="AI32" i="18" a="1"/>
  <c r="AI32" i="18" s="1"/>
  <c r="AE32" i="18" a="1"/>
  <c r="AE32" i="18" s="1"/>
  <c r="AB32" i="18" a="1"/>
  <c r="AB32" i="18" s="1"/>
  <c r="AA32" i="18" a="1"/>
  <c r="AA32" i="18" s="1"/>
  <c r="Z32" i="18" a="1"/>
  <c r="Z32" i="18" s="1"/>
  <c r="Y32" i="18" a="1"/>
  <c r="Y32" i="18" s="1"/>
  <c r="X32" i="18" a="1"/>
  <c r="X32" i="18" s="1"/>
  <c r="W32" i="18" a="1"/>
  <c r="W32" i="18" s="1"/>
  <c r="V32" i="18" a="1"/>
  <c r="V32" i="18" s="1"/>
  <c r="U32" i="18" a="1"/>
  <c r="U32" i="18" s="1"/>
  <c r="T32" i="18" a="1"/>
  <c r="T32" i="18" s="1"/>
  <c r="S32" i="18" a="1"/>
  <c r="S32" i="18" s="1"/>
  <c r="R32" i="18" a="1"/>
  <c r="R32" i="18" s="1"/>
  <c r="Q32" i="18" a="1"/>
  <c r="Q32" i="18" s="1"/>
  <c r="P32" i="18" a="1"/>
  <c r="P32" i="18" s="1"/>
  <c r="O32" i="18" a="1"/>
  <c r="O32" i="18" s="1"/>
  <c r="N32" i="18" a="1"/>
  <c r="N32" i="18" s="1"/>
  <c r="M32" i="18" a="1"/>
  <c r="M32" i="18" s="1"/>
  <c r="L32" i="18" a="1"/>
  <c r="L32" i="18" s="1"/>
  <c r="K32" i="18" a="1"/>
  <c r="K32" i="18" s="1"/>
  <c r="J32" i="18" a="1"/>
  <c r="J32" i="18" s="1"/>
  <c r="I32" i="18" a="1"/>
  <c r="I32" i="18" s="1"/>
  <c r="H32" i="18" a="1"/>
  <c r="H32" i="18" s="1"/>
  <c r="G32" i="18" a="1"/>
  <c r="G32" i="18" s="1"/>
  <c r="D32" i="18"/>
  <c r="BA32" i="18" a="1"/>
  <c r="BA32" i="18" s="1"/>
  <c r="BB32" i="18" s="1"/>
  <c r="AW32" i="18" a="1"/>
  <c r="AW32" i="18" s="1"/>
  <c r="AS32" i="18" a="1"/>
  <c r="AS32" i="18" s="1"/>
  <c r="AO32" i="18" a="1"/>
  <c r="AO32" i="18" s="1"/>
  <c r="AK32" i="18" a="1"/>
  <c r="AK32" i="18" s="1"/>
  <c r="AL32" i="18" s="1"/>
  <c r="AG32" i="18" a="1"/>
  <c r="AG32" i="18" s="1"/>
  <c r="BC36" i="18" a="1"/>
  <c r="BC36" i="18" s="1"/>
  <c r="AY36" i="18" a="1"/>
  <c r="AY36" i="18" s="1"/>
  <c r="AU36" i="18" a="1"/>
  <c r="AU36" i="18" s="1"/>
  <c r="AQ36" i="18" a="1"/>
  <c r="AQ36" i="18" s="1"/>
  <c r="AM36" i="18" a="1"/>
  <c r="AM36" i="18" s="1"/>
  <c r="AI36" i="18" a="1"/>
  <c r="AI36" i="18" s="1"/>
  <c r="AE36" i="18" a="1"/>
  <c r="AE36" i="18" s="1"/>
  <c r="AB36" i="18" a="1"/>
  <c r="AB36" i="18" s="1"/>
  <c r="AA36" i="18" a="1"/>
  <c r="AA36" i="18" s="1"/>
  <c r="Z36" i="18" a="1"/>
  <c r="Z36" i="18" s="1"/>
  <c r="Y36" i="18" a="1"/>
  <c r="Y36" i="18" s="1"/>
  <c r="X36" i="18" a="1"/>
  <c r="X36" i="18" s="1"/>
  <c r="W36" i="18" a="1"/>
  <c r="W36" i="18" s="1"/>
  <c r="V36" i="18" a="1"/>
  <c r="V36" i="18" s="1"/>
  <c r="U36" i="18" a="1"/>
  <c r="U36" i="18" s="1"/>
  <c r="T36" i="18" a="1"/>
  <c r="T36" i="18" s="1"/>
  <c r="S36" i="18" a="1"/>
  <c r="S36" i="18" s="1"/>
  <c r="R36" i="18" a="1"/>
  <c r="R36" i="18" s="1"/>
  <c r="Q36" i="18" a="1"/>
  <c r="Q36" i="18" s="1"/>
  <c r="P36" i="18" a="1"/>
  <c r="P36" i="18" s="1"/>
  <c r="O36" i="18" a="1"/>
  <c r="O36" i="18" s="1"/>
  <c r="N36" i="18" a="1"/>
  <c r="N36" i="18" s="1"/>
  <c r="M36" i="18" a="1"/>
  <c r="M36" i="18" s="1"/>
  <c r="L36" i="18" a="1"/>
  <c r="L36" i="18" s="1"/>
  <c r="K36" i="18" a="1"/>
  <c r="K36" i="18" s="1"/>
  <c r="J36" i="18" a="1"/>
  <c r="J36" i="18" s="1"/>
  <c r="I36" i="18" a="1"/>
  <c r="I36" i="18" s="1"/>
  <c r="H36" i="18" a="1"/>
  <c r="H36" i="18" s="1"/>
  <c r="G36" i="18" a="1"/>
  <c r="G36" i="18" s="1"/>
  <c r="D36" i="18"/>
  <c r="BA36" i="18" a="1"/>
  <c r="BA36" i="18" s="1"/>
  <c r="BB36" i="18" s="1"/>
  <c r="AW36" i="18" a="1"/>
  <c r="AW36" i="18" s="1"/>
  <c r="AS36" i="18" a="1"/>
  <c r="AS36" i="18" s="1"/>
  <c r="AO36" i="18" a="1"/>
  <c r="AO36" i="18" s="1"/>
  <c r="AK36" i="18" a="1"/>
  <c r="AK36" i="18" s="1"/>
  <c r="AL36" i="18" s="1"/>
  <c r="AG36" i="18" a="1"/>
  <c r="AG36" i="18" s="1"/>
  <c r="BC40" i="18" a="1"/>
  <c r="BC40" i="18" s="1"/>
  <c r="AY40" i="18" a="1"/>
  <c r="AY40" i="18" s="1"/>
  <c r="AU40" i="18" a="1"/>
  <c r="AU40" i="18" s="1"/>
  <c r="AQ40" i="18" a="1"/>
  <c r="AQ40" i="18" s="1"/>
  <c r="AM40" i="18" a="1"/>
  <c r="AM40" i="18" s="1"/>
  <c r="AI40" i="18" a="1"/>
  <c r="AI40" i="18" s="1"/>
  <c r="AE40" i="18" a="1"/>
  <c r="AE40" i="18" s="1"/>
  <c r="AB40" i="18" a="1"/>
  <c r="AB40" i="18" s="1"/>
  <c r="AA40" i="18" a="1"/>
  <c r="AA40" i="18" s="1"/>
  <c r="Z40" i="18" a="1"/>
  <c r="Z40" i="18" s="1"/>
  <c r="Y40" i="18" a="1"/>
  <c r="Y40" i="18" s="1"/>
  <c r="X40" i="18" a="1"/>
  <c r="X40" i="18" s="1"/>
  <c r="W40" i="18" a="1"/>
  <c r="W40" i="18" s="1"/>
  <c r="V40" i="18" a="1"/>
  <c r="V40" i="18" s="1"/>
  <c r="U40" i="18" a="1"/>
  <c r="U40" i="18" s="1"/>
  <c r="T40" i="18" a="1"/>
  <c r="T40" i="18" s="1"/>
  <c r="S40" i="18" a="1"/>
  <c r="S40" i="18" s="1"/>
  <c r="R40" i="18" a="1"/>
  <c r="R40" i="18" s="1"/>
  <c r="Q40" i="18" a="1"/>
  <c r="Q40" i="18" s="1"/>
  <c r="P40" i="18" a="1"/>
  <c r="P40" i="18" s="1"/>
  <c r="O40" i="18" a="1"/>
  <c r="O40" i="18" s="1"/>
  <c r="N40" i="18" a="1"/>
  <c r="N40" i="18" s="1"/>
  <c r="M40" i="18" a="1"/>
  <c r="M40" i="18" s="1"/>
  <c r="L40" i="18" a="1"/>
  <c r="L40" i="18" s="1"/>
  <c r="K40" i="18" a="1"/>
  <c r="K40" i="18" s="1"/>
  <c r="J40" i="18" a="1"/>
  <c r="J40" i="18" s="1"/>
  <c r="I40" i="18" a="1"/>
  <c r="I40" i="18" s="1"/>
  <c r="H40" i="18" a="1"/>
  <c r="H40" i="18" s="1"/>
  <c r="G40" i="18" a="1"/>
  <c r="G40" i="18" s="1"/>
  <c r="D40" i="18"/>
  <c r="BA40" i="18" a="1"/>
  <c r="BA40" i="18" s="1"/>
  <c r="BB40" i="18" s="1"/>
  <c r="AW40" i="18" a="1"/>
  <c r="AW40" i="18" s="1"/>
  <c r="AS40" i="18" a="1"/>
  <c r="AS40" i="18" s="1"/>
  <c r="AO40" i="18" a="1"/>
  <c r="AO40" i="18" s="1"/>
  <c r="AK40" i="18" a="1"/>
  <c r="AK40" i="18" s="1"/>
  <c r="AL40" i="18" s="1"/>
  <c r="AG40" i="18" a="1"/>
  <c r="AG40" i="18" s="1"/>
  <c r="BC44" i="18" a="1"/>
  <c r="BC44" i="18" s="1"/>
  <c r="AY44" i="18" a="1"/>
  <c r="AY44" i="18" s="1"/>
  <c r="AU44" i="18" a="1"/>
  <c r="AU44" i="18" s="1"/>
  <c r="AQ44" i="18" a="1"/>
  <c r="AQ44" i="18" s="1"/>
  <c r="AM44" i="18" a="1"/>
  <c r="AM44" i="18" s="1"/>
  <c r="AI44" i="18" a="1"/>
  <c r="AI44" i="18" s="1"/>
  <c r="AE44" i="18" a="1"/>
  <c r="AE44" i="18" s="1"/>
  <c r="AB44" i="18" a="1"/>
  <c r="AB44" i="18" s="1"/>
  <c r="AA44" i="18" a="1"/>
  <c r="AA44" i="18" s="1"/>
  <c r="Z44" i="18" a="1"/>
  <c r="Z44" i="18" s="1"/>
  <c r="Y44" i="18" a="1"/>
  <c r="Y44" i="18" s="1"/>
  <c r="X44" i="18" a="1"/>
  <c r="X44" i="18" s="1"/>
  <c r="W44" i="18" a="1"/>
  <c r="W44" i="18" s="1"/>
  <c r="V44" i="18" a="1"/>
  <c r="V44" i="18" s="1"/>
  <c r="U44" i="18" a="1"/>
  <c r="U44" i="18" s="1"/>
  <c r="T44" i="18" a="1"/>
  <c r="T44" i="18" s="1"/>
  <c r="S44" i="18" a="1"/>
  <c r="S44" i="18" s="1"/>
  <c r="R44" i="18" a="1"/>
  <c r="R44" i="18" s="1"/>
  <c r="Q44" i="18" a="1"/>
  <c r="Q44" i="18" s="1"/>
  <c r="P44" i="18" a="1"/>
  <c r="P44" i="18" s="1"/>
  <c r="O44" i="18" a="1"/>
  <c r="O44" i="18" s="1"/>
  <c r="N44" i="18" a="1"/>
  <c r="N44" i="18" s="1"/>
  <c r="M44" i="18" a="1"/>
  <c r="M44" i="18" s="1"/>
  <c r="L44" i="18" a="1"/>
  <c r="L44" i="18" s="1"/>
  <c r="K44" i="18" a="1"/>
  <c r="K44" i="18" s="1"/>
  <c r="J44" i="18" a="1"/>
  <c r="J44" i="18" s="1"/>
  <c r="I44" i="18" a="1"/>
  <c r="I44" i="18" s="1"/>
  <c r="H44" i="18" a="1"/>
  <c r="H44" i="18" s="1"/>
  <c r="G44" i="18" a="1"/>
  <c r="G44" i="18" s="1"/>
  <c r="D44" i="18"/>
  <c r="BA44" i="18" a="1"/>
  <c r="BA44" i="18" s="1"/>
  <c r="BB44" i="18" s="1"/>
  <c r="AW44" i="18" a="1"/>
  <c r="AW44" i="18" s="1"/>
  <c r="AS44" i="18" a="1"/>
  <c r="AS44" i="18" s="1"/>
  <c r="AO44" i="18" a="1"/>
  <c r="AO44" i="18" s="1"/>
  <c r="AK44" i="18" a="1"/>
  <c r="AK44" i="18" s="1"/>
  <c r="AL44" i="18" s="1"/>
  <c r="AG44" i="18" a="1"/>
  <c r="AG44" i="18" s="1"/>
  <c r="BC48" i="18" a="1"/>
  <c r="BC48" i="18" s="1"/>
  <c r="AY48" i="18" a="1"/>
  <c r="AY48" i="18" s="1"/>
  <c r="AU48" i="18" a="1"/>
  <c r="AU48" i="18" s="1"/>
  <c r="AQ48" i="18" a="1"/>
  <c r="AQ48" i="18" s="1"/>
  <c r="AM48" i="18" a="1"/>
  <c r="AM48" i="18" s="1"/>
  <c r="AI48" i="18" a="1"/>
  <c r="AI48" i="18" s="1"/>
  <c r="AE48" i="18" a="1"/>
  <c r="AE48" i="18" s="1"/>
  <c r="AB48" i="18" a="1"/>
  <c r="AB48" i="18" s="1"/>
  <c r="AA48" i="18" a="1"/>
  <c r="AA48" i="18" s="1"/>
  <c r="Z48" i="18" a="1"/>
  <c r="Z48" i="18" s="1"/>
  <c r="Y48" i="18" a="1"/>
  <c r="Y48" i="18" s="1"/>
  <c r="X48" i="18" a="1"/>
  <c r="X48" i="18" s="1"/>
  <c r="W48" i="18" a="1"/>
  <c r="W48" i="18" s="1"/>
  <c r="V48" i="18" a="1"/>
  <c r="V48" i="18" s="1"/>
  <c r="U48" i="18" a="1"/>
  <c r="U48" i="18" s="1"/>
  <c r="T48" i="18" a="1"/>
  <c r="T48" i="18" s="1"/>
  <c r="S48" i="18" a="1"/>
  <c r="S48" i="18" s="1"/>
  <c r="R48" i="18" a="1"/>
  <c r="R48" i="18" s="1"/>
  <c r="Q48" i="18" a="1"/>
  <c r="Q48" i="18" s="1"/>
  <c r="P48" i="18" a="1"/>
  <c r="P48" i="18" s="1"/>
  <c r="O48" i="18" a="1"/>
  <c r="O48" i="18" s="1"/>
  <c r="N48" i="18" a="1"/>
  <c r="N48" i="18" s="1"/>
  <c r="M48" i="18" a="1"/>
  <c r="M48" i="18" s="1"/>
  <c r="L48" i="18" a="1"/>
  <c r="L48" i="18" s="1"/>
  <c r="K48" i="18" a="1"/>
  <c r="K48" i="18" s="1"/>
  <c r="J48" i="18" a="1"/>
  <c r="J48" i="18" s="1"/>
  <c r="I48" i="18" a="1"/>
  <c r="I48" i="18" s="1"/>
  <c r="H48" i="18" a="1"/>
  <c r="H48" i="18" s="1"/>
  <c r="G48" i="18" a="1"/>
  <c r="G48" i="18" s="1"/>
  <c r="D48" i="18"/>
  <c r="BA48" i="18" a="1"/>
  <c r="BA48" i="18" s="1"/>
  <c r="BB48" i="18" s="1"/>
  <c r="AW48" i="18" a="1"/>
  <c r="AW48" i="18" s="1"/>
  <c r="AS48" i="18" a="1"/>
  <c r="AS48" i="18" s="1"/>
  <c r="AO48" i="18" a="1"/>
  <c r="AO48" i="18" s="1"/>
  <c r="AK48" i="18" a="1"/>
  <c r="AK48" i="18" s="1"/>
  <c r="AL48" i="18" s="1"/>
  <c r="AG48" i="18" a="1"/>
  <c r="AG48" i="18" s="1"/>
  <c r="BC52" i="18" a="1"/>
  <c r="BC52" i="18" s="1"/>
  <c r="AY52" i="18" a="1"/>
  <c r="AY52" i="18" s="1"/>
  <c r="AU52" i="18" a="1"/>
  <c r="AU52" i="18" s="1"/>
  <c r="AQ52" i="18" a="1"/>
  <c r="AQ52" i="18" s="1"/>
  <c r="AM52" i="18" a="1"/>
  <c r="AM52" i="18" s="1"/>
  <c r="AI52" i="18" a="1"/>
  <c r="AI52" i="18" s="1"/>
  <c r="AE52" i="18" a="1"/>
  <c r="AE52" i="18" s="1"/>
  <c r="AB52" i="18" a="1"/>
  <c r="AB52" i="18" s="1"/>
  <c r="AA52" i="18" a="1"/>
  <c r="AA52" i="18" s="1"/>
  <c r="Z52" i="18" a="1"/>
  <c r="Z52" i="18" s="1"/>
  <c r="Y52" i="18" a="1"/>
  <c r="Y52" i="18" s="1"/>
  <c r="X52" i="18" a="1"/>
  <c r="X52" i="18" s="1"/>
  <c r="W52" i="18" a="1"/>
  <c r="W52" i="18" s="1"/>
  <c r="V52" i="18" a="1"/>
  <c r="V52" i="18" s="1"/>
  <c r="U52" i="18" a="1"/>
  <c r="U52" i="18" s="1"/>
  <c r="T52" i="18" a="1"/>
  <c r="T52" i="18" s="1"/>
  <c r="S52" i="18" a="1"/>
  <c r="S52" i="18" s="1"/>
  <c r="R52" i="18" a="1"/>
  <c r="R52" i="18" s="1"/>
  <c r="Q52" i="18" a="1"/>
  <c r="Q52" i="18" s="1"/>
  <c r="P52" i="18" a="1"/>
  <c r="P52" i="18" s="1"/>
  <c r="O52" i="18" a="1"/>
  <c r="O52" i="18" s="1"/>
  <c r="N52" i="18" a="1"/>
  <c r="N52" i="18" s="1"/>
  <c r="M52" i="18" a="1"/>
  <c r="M52" i="18" s="1"/>
  <c r="L52" i="18" a="1"/>
  <c r="L52" i="18" s="1"/>
  <c r="K52" i="18" a="1"/>
  <c r="K52" i="18" s="1"/>
  <c r="J52" i="18" a="1"/>
  <c r="J52" i="18" s="1"/>
  <c r="I52" i="18" a="1"/>
  <c r="I52" i="18" s="1"/>
  <c r="H52" i="18" a="1"/>
  <c r="H52" i="18" s="1"/>
  <c r="G52" i="18" a="1"/>
  <c r="G52" i="18" s="1"/>
  <c r="D52" i="18"/>
  <c r="BA52" i="18" a="1"/>
  <c r="BA52" i="18" s="1"/>
  <c r="BB52" i="18" s="1"/>
  <c r="AW52" i="18" a="1"/>
  <c r="AW52" i="18" s="1"/>
  <c r="AS52" i="18" a="1"/>
  <c r="AS52" i="18" s="1"/>
  <c r="AO52" i="18" a="1"/>
  <c r="AO52" i="18" s="1"/>
  <c r="AK52" i="18" a="1"/>
  <c r="AK52" i="18" s="1"/>
  <c r="AL52" i="18" s="1"/>
  <c r="AG52" i="18" a="1"/>
  <c r="AG52" i="18" s="1"/>
  <c r="BC56" i="18" a="1"/>
  <c r="BC56" i="18" s="1"/>
  <c r="AY56" i="18" a="1"/>
  <c r="AY56" i="18" s="1"/>
  <c r="AU56" i="18" a="1"/>
  <c r="AU56" i="18" s="1"/>
  <c r="AQ56" i="18" a="1"/>
  <c r="AQ56" i="18" s="1"/>
  <c r="AM56" i="18" a="1"/>
  <c r="AM56" i="18" s="1"/>
  <c r="AI56" i="18" a="1"/>
  <c r="AI56" i="18" s="1"/>
  <c r="AE56" i="18" a="1"/>
  <c r="AE56" i="18" s="1"/>
  <c r="AB56" i="18" a="1"/>
  <c r="AB56" i="18" s="1"/>
  <c r="AA56" i="18" a="1"/>
  <c r="AA56" i="18" s="1"/>
  <c r="Z56" i="18" a="1"/>
  <c r="Z56" i="18" s="1"/>
  <c r="Y56" i="18" a="1"/>
  <c r="Y56" i="18" s="1"/>
  <c r="X56" i="18" a="1"/>
  <c r="X56" i="18" s="1"/>
  <c r="W56" i="18" a="1"/>
  <c r="W56" i="18" s="1"/>
  <c r="V56" i="18" a="1"/>
  <c r="V56" i="18" s="1"/>
  <c r="U56" i="18" a="1"/>
  <c r="U56" i="18" s="1"/>
  <c r="T56" i="18" a="1"/>
  <c r="T56" i="18" s="1"/>
  <c r="S56" i="18" a="1"/>
  <c r="S56" i="18" s="1"/>
  <c r="R56" i="18" a="1"/>
  <c r="R56" i="18" s="1"/>
  <c r="Q56" i="18" a="1"/>
  <c r="Q56" i="18" s="1"/>
  <c r="P56" i="18" a="1"/>
  <c r="P56" i="18" s="1"/>
  <c r="O56" i="18" a="1"/>
  <c r="O56" i="18" s="1"/>
  <c r="N56" i="18" a="1"/>
  <c r="N56" i="18" s="1"/>
  <c r="M56" i="18" a="1"/>
  <c r="M56" i="18" s="1"/>
  <c r="L56" i="18" a="1"/>
  <c r="L56" i="18" s="1"/>
  <c r="K56" i="18" a="1"/>
  <c r="K56" i="18" s="1"/>
  <c r="J56" i="18" a="1"/>
  <c r="J56" i="18" s="1"/>
  <c r="I56" i="18" a="1"/>
  <c r="I56" i="18" s="1"/>
  <c r="H56" i="18" a="1"/>
  <c r="H56" i="18" s="1"/>
  <c r="G56" i="18" a="1"/>
  <c r="G56" i="18" s="1"/>
  <c r="D56" i="18"/>
  <c r="BA56" i="18" a="1"/>
  <c r="BA56" i="18" s="1"/>
  <c r="BB56" i="18" s="1"/>
  <c r="AW56" i="18" a="1"/>
  <c r="AW56" i="18" s="1"/>
  <c r="AS56" i="18" a="1"/>
  <c r="AS56" i="18" s="1"/>
  <c r="AO56" i="18" a="1"/>
  <c r="AO56" i="18" s="1"/>
  <c r="AK56" i="18" a="1"/>
  <c r="AK56" i="18" s="1"/>
  <c r="AL56" i="18" s="1"/>
  <c r="AG56" i="18" a="1"/>
  <c r="AG56" i="18" s="1"/>
  <c r="BC60" i="18" a="1"/>
  <c r="BC60" i="18" s="1"/>
  <c r="AY60" i="18" a="1"/>
  <c r="AY60" i="18" s="1"/>
  <c r="AU60" i="18" a="1"/>
  <c r="AU60" i="18" s="1"/>
  <c r="AQ60" i="18" a="1"/>
  <c r="AQ60" i="18" s="1"/>
  <c r="AM60" i="18" a="1"/>
  <c r="AM60" i="18" s="1"/>
  <c r="AI60" i="18" a="1"/>
  <c r="AI60" i="18" s="1"/>
  <c r="AE60" i="18" a="1"/>
  <c r="AE60" i="18" s="1"/>
  <c r="AB60" i="18" a="1"/>
  <c r="AB60" i="18" s="1"/>
  <c r="AA60" i="18" a="1"/>
  <c r="AA60" i="18" s="1"/>
  <c r="Z60" i="18" a="1"/>
  <c r="Z60" i="18" s="1"/>
  <c r="Y60" i="18" a="1"/>
  <c r="Y60" i="18" s="1"/>
  <c r="X60" i="18" a="1"/>
  <c r="X60" i="18" s="1"/>
  <c r="W60" i="18" a="1"/>
  <c r="W60" i="18" s="1"/>
  <c r="V60" i="18" a="1"/>
  <c r="V60" i="18" s="1"/>
  <c r="U60" i="18" a="1"/>
  <c r="U60" i="18" s="1"/>
  <c r="T60" i="18" a="1"/>
  <c r="T60" i="18" s="1"/>
  <c r="S60" i="18" a="1"/>
  <c r="S60" i="18" s="1"/>
  <c r="R60" i="18" a="1"/>
  <c r="R60" i="18" s="1"/>
  <c r="Q60" i="18" a="1"/>
  <c r="Q60" i="18" s="1"/>
  <c r="P60" i="18" a="1"/>
  <c r="P60" i="18" s="1"/>
  <c r="O60" i="18" a="1"/>
  <c r="O60" i="18" s="1"/>
  <c r="N60" i="18" a="1"/>
  <c r="N60" i="18" s="1"/>
  <c r="M60" i="18" a="1"/>
  <c r="M60" i="18" s="1"/>
  <c r="L60" i="18" a="1"/>
  <c r="L60" i="18" s="1"/>
  <c r="K60" i="18" a="1"/>
  <c r="K60" i="18" s="1"/>
  <c r="J60" i="18" a="1"/>
  <c r="J60" i="18" s="1"/>
  <c r="I60" i="18" a="1"/>
  <c r="I60" i="18" s="1"/>
  <c r="H60" i="18" a="1"/>
  <c r="H60" i="18" s="1"/>
  <c r="G60" i="18" a="1"/>
  <c r="G60" i="18" s="1"/>
  <c r="D60" i="18"/>
  <c r="BA60" i="18" a="1"/>
  <c r="BA60" i="18" s="1"/>
  <c r="BB60" i="18" s="1"/>
  <c r="AW60" i="18" a="1"/>
  <c r="AW60" i="18" s="1"/>
  <c r="AS60" i="18" a="1"/>
  <c r="AS60" i="18" s="1"/>
  <c r="AO60" i="18" a="1"/>
  <c r="AO60" i="18" s="1"/>
  <c r="AK60" i="18" a="1"/>
  <c r="AK60" i="18" s="1"/>
  <c r="AL60" i="18" s="1"/>
  <c r="AG60" i="18" a="1"/>
  <c r="AG60" i="18" s="1"/>
  <c r="BC64" i="18" a="1"/>
  <c r="BC64" i="18" s="1"/>
  <c r="AY64" i="18" a="1"/>
  <c r="AY64" i="18" s="1"/>
  <c r="AU64" i="18" a="1"/>
  <c r="AU64" i="18" s="1"/>
  <c r="AQ64" i="18" a="1"/>
  <c r="AQ64" i="18" s="1"/>
  <c r="AM64" i="18" a="1"/>
  <c r="AM64" i="18" s="1"/>
  <c r="AI64" i="18" a="1"/>
  <c r="AI64" i="18" s="1"/>
  <c r="AE64" i="18" a="1"/>
  <c r="AE64" i="18" s="1"/>
  <c r="AB64" i="18" a="1"/>
  <c r="AB64" i="18" s="1"/>
  <c r="AA64" i="18" a="1"/>
  <c r="AA64" i="18" s="1"/>
  <c r="Z64" i="18" a="1"/>
  <c r="Z64" i="18" s="1"/>
  <c r="Y64" i="18" a="1"/>
  <c r="Y64" i="18" s="1"/>
  <c r="X64" i="18" a="1"/>
  <c r="X64" i="18" s="1"/>
  <c r="W64" i="18" a="1"/>
  <c r="W64" i="18" s="1"/>
  <c r="V64" i="18" a="1"/>
  <c r="V64" i="18" s="1"/>
  <c r="U64" i="18" a="1"/>
  <c r="U64" i="18" s="1"/>
  <c r="T64" i="18" a="1"/>
  <c r="T64" i="18" s="1"/>
  <c r="S64" i="18" a="1"/>
  <c r="S64" i="18" s="1"/>
  <c r="R64" i="18" a="1"/>
  <c r="R64" i="18" s="1"/>
  <c r="Q64" i="18" a="1"/>
  <c r="Q64" i="18" s="1"/>
  <c r="P64" i="18" a="1"/>
  <c r="P64" i="18" s="1"/>
  <c r="O64" i="18" a="1"/>
  <c r="O64" i="18" s="1"/>
  <c r="N64" i="18" a="1"/>
  <c r="N64" i="18" s="1"/>
  <c r="M64" i="18" a="1"/>
  <c r="M64" i="18" s="1"/>
  <c r="L64" i="18" a="1"/>
  <c r="L64" i="18" s="1"/>
  <c r="K64" i="18" a="1"/>
  <c r="K64" i="18" s="1"/>
  <c r="J64" i="18" a="1"/>
  <c r="J64" i="18" s="1"/>
  <c r="I64" i="18" a="1"/>
  <c r="I64" i="18" s="1"/>
  <c r="H64" i="18" a="1"/>
  <c r="H64" i="18" s="1"/>
  <c r="G64" i="18" a="1"/>
  <c r="G64" i="18" s="1"/>
  <c r="D64" i="18"/>
  <c r="BA64" i="18" a="1"/>
  <c r="BA64" i="18" s="1"/>
  <c r="BB64" i="18" s="1"/>
  <c r="AW64" i="18" a="1"/>
  <c r="AW64" i="18" s="1"/>
  <c r="AS64" i="18" a="1"/>
  <c r="AS64" i="18" s="1"/>
  <c r="AO64" i="18" a="1"/>
  <c r="AO64" i="18" s="1"/>
  <c r="AK64" i="18" a="1"/>
  <c r="AK64" i="18" s="1"/>
  <c r="AL64" i="18" s="1"/>
  <c r="AG64" i="18" a="1"/>
  <c r="AG64" i="18" s="1"/>
  <c r="BC67" i="18" a="1"/>
  <c r="BC67" i="18" s="1"/>
  <c r="AY67" i="18" a="1"/>
  <c r="AY67" i="18" s="1"/>
  <c r="AU67" i="18" a="1"/>
  <c r="AU67" i="18" s="1"/>
  <c r="AQ67" i="18" a="1"/>
  <c r="AQ67" i="18" s="1"/>
  <c r="AM67" i="18" a="1"/>
  <c r="AM67" i="18" s="1"/>
  <c r="AI67" i="18" a="1"/>
  <c r="AI67" i="18" s="1"/>
  <c r="AE67" i="18" a="1"/>
  <c r="AE67" i="18" s="1"/>
  <c r="AB67" i="18" a="1"/>
  <c r="AB67" i="18" s="1"/>
  <c r="AA67" i="18" a="1"/>
  <c r="AA67" i="18" s="1"/>
  <c r="Z67" i="18" a="1"/>
  <c r="Z67" i="18" s="1"/>
  <c r="Y67" i="18" a="1"/>
  <c r="Y67" i="18" s="1"/>
  <c r="X67" i="18" a="1"/>
  <c r="X67" i="18" s="1"/>
  <c r="W67" i="18" a="1"/>
  <c r="W67" i="18" s="1"/>
  <c r="V67" i="18" a="1"/>
  <c r="V67" i="18" s="1"/>
  <c r="U67" i="18" a="1"/>
  <c r="U67" i="18" s="1"/>
  <c r="T67" i="18" a="1"/>
  <c r="T67" i="18" s="1"/>
  <c r="S67" i="18" a="1"/>
  <c r="S67" i="18" s="1"/>
  <c r="R67" i="18" a="1"/>
  <c r="R67" i="18" s="1"/>
  <c r="Q67" i="18" a="1"/>
  <c r="Q67" i="18" s="1"/>
  <c r="P67" i="18" a="1"/>
  <c r="P67" i="18" s="1"/>
  <c r="O67" i="18" a="1"/>
  <c r="O67" i="18" s="1"/>
  <c r="N67" i="18" a="1"/>
  <c r="N67" i="18" s="1"/>
  <c r="M67" i="18" a="1"/>
  <c r="M67" i="18" s="1"/>
  <c r="L67" i="18" a="1"/>
  <c r="L67" i="18" s="1"/>
  <c r="K67" i="18" a="1"/>
  <c r="K67" i="18" s="1"/>
  <c r="J67" i="18" a="1"/>
  <c r="J67" i="18" s="1"/>
  <c r="I67" i="18" a="1"/>
  <c r="I67" i="18" s="1"/>
  <c r="H67" i="18" a="1"/>
  <c r="H67" i="18" s="1"/>
  <c r="G67" i="18" a="1"/>
  <c r="G67" i="18" s="1"/>
  <c r="D67" i="18"/>
  <c r="AW67" i="18" a="1"/>
  <c r="AW67" i="18" s="1"/>
  <c r="AO67" i="18" a="1"/>
  <c r="AO67" i="18" s="1"/>
  <c r="AG67" i="18" a="1"/>
  <c r="AG67" i="18" s="1"/>
  <c r="AH67" i="18" s="1"/>
  <c r="BA67" i="18" a="1"/>
  <c r="BA67" i="18" s="1"/>
  <c r="AS67" i="18" a="1"/>
  <c r="AS67" i="18" s="1"/>
  <c r="AT67" i="18" s="1"/>
  <c r="AK67" i="18" a="1"/>
  <c r="AK67" i="18" s="1"/>
  <c r="BA11" i="18" a="1"/>
  <c r="BA11" i="18" s="1"/>
  <c r="AW11" i="18" a="1"/>
  <c r="AW11" i="18" s="1"/>
  <c r="AS11" i="18" a="1"/>
  <c r="AS11" i="18" s="1"/>
  <c r="AO11" i="18" a="1"/>
  <c r="AO11" i="18" s="1"/>
  <c r="AK11" i="18" a="1"/>
  <c r="AK11" i="18" s="1"/>
  <c r="AG11" i="18" a="1"/>
  <c r="AG11" i="18" s="1"/>
  <c r="BC11" i="18" a="1"/>
  <c r="BC11" i="18" s="1"/>
  <c r="AY11" i="18" a="1"/>
  <c r="AY11" i="18" s="1"/>
  <c r="AU11" i="18" a="1"/>
  <c r="AU11" i="18" s="1"/>
  <c r="AQ11" i="18" a="1"/>
  <c r="AQ11" i="18" s="1"/>
  <c r="AM11" i="18" a="1"/>
  <c r="AM11" i="18" s="1"/>
  <c r="AI11" i="18" a="1"/>
  <c r="AI11" i="18" s="1"/>
  <c r="AE11" i="18" a="1"/>
  <c r="AE11" i="18" s="1"/>
  <c r="AB11" i="18" a="1"/>
  <c r="AB11" i="18" s="1"/>
  <c r="AA11" i="18" a="1"/>
  <c r="AA11" i="18" s="1"/>
  <c r="Z11" i="18" a="1"/>
  <c r="Z11" i="18" s="1"/>
  <c r="Y11" i="18" a="1"/>
  <c r="Y11" i="18" s="1"/>
  <c r="X11" i="18" a="1"/>
  <c r="X11" i="18" s="1"/>
  <c r="W11" i="18" a="1"/>
  <c r="W11" i="18" s="1"/>
  <c r="V11" i="18" a="1"/>
  <c r="V11" i="18" s="1"/>
  <c r="U11" i="18" a="1"/>
  <c r="U11" i="18" s="1"/>
  <c r="T11" i="18" a="1"/>
  <c r="T11" i="18" s="1"/>
  <c r="S11" i="18" a="1"/>
  <c r="S11" i="18" s="1"/>
  <c r="R11" i="18" a="1"/>
  <c r="R11" i="18" s="1"/>
  <c r="Q11" i="18" a="1"/>
  <c r="Q11" i="18" s="1"/>
  <c r="P11" i="18" a="1"/>
  <c r="P11" i="18" s="1"/>
  <c r="O11" i="18" a="1"/>
  <c r="O11" i="18" s="1"/>
  <c r="N11" i="18" a="1"/>
  <c r="N11" i="18" s="1"/>
  <c r="M11" i="18" a="1"/>
  <c r="M11" i="18" s="1"/>
  <c r="L11" i="18" a="1"/>
  <c r="L11" i="18" s="1"/>
  <c r="K11" i="18" a="1"/>
  <c r="K11" i="18" s="1"/>
  <c r="J11" i="18" a="1"/>
  <c r="J11" i="18" s="1"/>
  <c r="I11" i="18" a="1"/>
  <c r="I11" i="18" s="1"/>
  <c r="H11" i="18" a="1"/>
  <c r="H11" i="18" s="1"/>
  <c r="G11" i="18" a="1"/>
  <c r="G11" i="18" s="1"/>
  <c r="D11" i="18"/>
  <c r="BA15" i="18" a="1"/>
  <c r="BA15" i="18" s="1"/>
  <c r="AW15" i="18" a="1"/>
  <c r="AW15" i="18" s="1"/>
  <c r="AS15" i="18" a="1"/>
  <c r="AS15" i="18" s="1"/>
  <c r="AO15" i="18" a="1"/>
  <c r="AO15" i="18" s="1"/>
  <c r="AK15" i="18" a="1"/>
  <c r="AK15" i="18" s="1"/>
  <c r="AG15" i="18" a="1"/>
  <c r="AG15" i="18" s="1"/>
  <c r="BC15" i="18" a="1"/>
  <c r="BC15" i="18" s="1"/>
  <c r="AY15" i="18" a="1"/>
  <c r="AY15" i="18" s="1"/>
  <c r="AU15" i="18" a="1"/>
  <c r="AU15" i="18" s="1"/>
  <c r="AQ15" i="18" a="1"/>
  <c r="AQ15" i="18" s="1"/>
  <c r="AM15" i="18" a="1"/>
  <c r="AM15" i="18" s="1"/>
  <c r="AI15" i="18" a="1"/>
  <c r="AI15" i="18" s="1"/>
  <c r="AE15" i="18" a="1"/>
  <c r="AE15" i="18" s="1"/>
  <c r="AB15" i="18" a="1"/>
  <c r="AB15" i="18" s="1"/>
  <c r="AA15" i="18" a="1"/>
  <c r="AA15" i="18" s="1"/>
  <c r="Z15" i="18" a="1"/>
  <c r="Z15" i="18" s="1"/>
  <c r="Y15" i="18" a="1"/>
  <c r="Y15" i="18" s="1"/>
  <c r="X15" i="18" a="1"/>
  <c r="X15" i="18" s="1"/>
  <c r="W15" i="18" a="1"/>
  <c r="W15" i="18" s="1"/>
  <c r="V15" i="18" a="1"/>
  <c r="V15" i="18" s="1"/>
  <c r="U15" i="18" a="1"/>
  <c r="U15" i="18" s="1"/>
  <c r="T15" i="18" a="1"/>
  <c r="T15" i="18" s="1"/>
  <c r="S15" i="18" a="1"/>
  <c r="S15" i="18" s="1"/>
  <c r="R15" i="18" a="1"/>
  <c r="R15" i="18" s="1"/>
  <c r="Q15" i="18" a="1"/>
  <c r="Q15" i="18" s="1"/>
  <c r="P15" i="18" a="1"/>
  <c r="P15" i="18" s="1"/>
  <c r="O15" i="18" a="1"/>
  <c r="O15" i="18" s="1"/>
  <c r="N15" i="18" a="1"/>
  <c r="N15" i="18" s="1"/>
  <c r="M15" i="18" a="1"/>
  <c r="M15" i="18" s="1"/>
  <c r="L15" i="18" a="1"/>
  <c r="L15" i="18" s="1"/>
  <c r="K15" i="18" a="1"/>
  <c r="K15" i="18" s="1"/>
  <c r="J15" i="18" a="1"/>
  <c r="J15" i="18" s="1"/>
  <c r="I15" i="18" a="1"/>
  <c r="I15" i="18" s="1"/>
  <c r="H15" i="18" a="1"/>
  <c r="H15" i="18" s="1"/>
  <c r="G15" i="18" a="1"/>
  <c r="G15" i="18" s="1"/>
  <c r="D15" i="18"/>
  <c r="BA19" i="18" a="1"/>
  <c r="BA19" i="18" s="1"/>
  <c r="AW19" i="18" a="1"/>
  <c r="AW19" i="18" s="1"/>
  <c r="AS19" i="18" a="1"/>
  <c r="AS19" i="18" s="1"/>
  <c r="AO19" i="18" a="1"/>
  <c r="AO19" i="18" s="1"/>
  <c r="AK19" i="18" a="1"/>
  <c r="AK19" i="18" s="1"/>
  <c r="AG19" i="18" a="1"/>
  <c r="AG19" i="18" s="1"/>
  <c r="BC19" i="18" a="1"/>
  <c r="BC19" i="18" s="1"/>
  <c r="AY19" i="18" a="1"/>
  <c r="AY19" i="18" s="1"/>
  <c r="AU19" i="18" a="1"/>
  <c r="AU19" i="18" s="1"/>
  <c r="AQ19" i="18" a="1"/>
  <c r="AQ19" i="18" s="1"/>
  <c r="AM19" i="18" a="1"/>
  <c r="AM19" i="18" s="1"/>
  <c r="AI19" i="18" a="1"/>
  <c r="AI19" i="18" s="1"/>
  <c r="AE19" i="18" a="1"/>
  <c r="AE19" i="18" s="1"/>
  <c r="AB19" i="18" a="1"/>
  <c r="AB19" i="18" s="1"/>
  <c r="AA19" i="18" a="1"/>
  <c r="AA19" i="18" s="1"/>
  <c r="Z19" i="18" a="1"/>
  <c r="Z19" i="18" s="1"/>
  <c r="Y19" i="18" a="1"/>
  <c r="Y19" i="18" s="1"/>
  <c r="X19" i="18" a="1"/>
  <c r="X19" i="18" s="1"/>
  <c r="W19" i="18" a="1"/>
  <c r="W19" i="18" s="1"/>
  <c r="V19" i="18" a="1"/>
  <c r="V19" i="18" s="1"/>
  <c r="U19" i="18" a="1"/>
  <c r="U19" i="18" s="1"/>
  <c r="T19" i="18" a="1"/>
  <c r="T19" i="18" s="1"/>
  <c r="S19" i="18" a="1"/>
  <c r="S19" i="18" s="1"/>
  <c r="R19" i="18" a="1"/>
  <c r="R19" i="18" s="1"/>
  <c r="Q19" i="18" a="1"/>
  <c r="Q19" i="18" s="1"/>
  <c r="P19" i="18" a="1"/>
  <c r="P19" i="18" s="1"/>
  <c r="O19" i="18" a="1"/>
  <c r="O19" i="18" s="1"/>
  <c r="N19" i="18" a="1"/>
  <c r="N19" i="18" s="1"/>
  <c r="M19" i="18" a="1"/>
  <c r="M19" i="18" s="1"/>
  <c r="L19" i="18" a="1"/>
  <c r="L19" i="18" s="1"/>
  <c r="K19" i="18" a="1"/>
  <c r="K19" i="18" s="1"/>
  <c r="J19" i="18" a="1"/>
  <c r="J19" i="18" s="1"/>
  <c r="I19" i="18" a="1"/>
  <c r="I19" i="18" s="1"/>
  <c r="H19" i="18" a="1"/>
  <c r="H19" i="18" s="1"/>
  <c r="G19" i="18" a="1"/>
  <c r="G19" i="18" s="1"/>
  <c r="D19" i="18"/>
  <c r="BA23" i="18" a="1"/>
  <c r="BA23" i="18" s="1"/>
  <c r="AW23" i="18" a="1"/>
  <c r="AW23" i="18" s="1"/>
  <c r="AS23" i="18" a="1"/>
  <c r="AS23" i="18" s="1"/>
  <c r="AO23" i="18" a="1"/>
  <c r="AO23" i="18" s="1"/>
  <c r="AK23" i="18" a="1"/>
  <c r="AK23" i="18" s="1"/>
  <c r="AG23" i="18" a="1"/>
  <c r="AG23" i="18" s="1"/>
  <c r="BC23" i="18" a="1"/>
  <c r="BC23" i="18" s="1"/>
  <c r="AY23" i="18" a="1"/>
  <c r="AY23" i="18" s="1"/>
  <c r="AU23" i="18" a="1"/>
  <c r="AU23" i="18" s="1"/>
  <c r="AQ23" i="18" a="1"/>
  <c r="AQ23" i="18" s="1"/>
  <c r="AM23" i="18" a="1"/>
  <c r="AM23" i="18" s="1"/>
  <c r="AI23" i="18" a="1"/>
  <c r="AI23" i="18" s="1"/>
  <c r="AE23" i="18" a="1"/>
  <c r="AE23" i="18" s="1"/>
  <c r="AB23" i="18" a="1"/>
  <c r="AB23" i="18" s="1"/>
  <c r="AA23" i="18" a="1"/>
  <c r="AA23" i="18" s="1"/>
  <c r="Z23" i="18" a="1"/>
  <c r="Z23" i="18" s="1"/>
  <c r="Y23" i="18" a="1"/>
  <c r="Y23" i="18" s="1"/>
  <c r="X23" i="18" a="1"/>
  <c r="X23" i="18" s="1"/>
  <c r="W23" i="18" a="1"/>
  <c r="W23" i="18" s="1"/>
  <c r="V23" i="18" a="1"/>
  <c r="V23" i="18" s="1"/>
  <c r="U23" i="18" a="1"/>
  <c r="U23" i="18" s="1"/>
  <c r="T23" i="18" a="1"/>
  <c r="T23" i="18" s="1"/>
  <c r="S23" i="18" a="1"/>
  <c r="S23" i="18" s="1"/>
  <c r="R23" i="18" a="1"/>
  <c r="R23" i="18" s="1"/>
  <c r="Q23" i="18" a="1"/>
  <c r="Q23" i="18" s="1"/>
  <c r="P23" i="18" a="1"/>
  <c r="P23" i="18" s="1"/>
  <c r="O23" i="18" a="1"/>
  <c r="O23" i="18" s="1"/>
  <c r="N23" i="18" a="1"/>
  <c r="N23" i="18" s="1"/>
  <c r="M23" i="18" a="1"/>
  <c r="M23" i="18" s="1"/>
  <c r="L23" i="18" a="1"/>
  <c r="L23" i="18" s="1"/>
  <c r="K23" i="18" a="1"/>
  <c r="K23" i="18" s="1"/>
  <c r="J23" i="18" a="1"/>
  <c r="J23" i="18" s="1"/>
  <c r="I23" i="18" a="1"/>
  <c r="I23" i="18" s="1"/>
  <c r="H23" i="18" a="1"/>
  <c r="H23" i="18" s="1"/>
  <c r="G23" i="18" a="1"/>
  <c r="G23" i="18" s="1"/>
  <c r="D23" i="18"/>
  <c r="BA27" i="18" a="1"/>
  <c r="BA27" i="18" s="1"/>
  <c r="AW27" i="18" a="1"/>
  <c r="AW27" i="18" s="1"/>
  <c r="AS27" i="18" a="1"/>
  <c r="AS27" i="18" s="1"/>
  <c r="AO27" i="18" a="1"/>
  <c r="AO27" i="18" s="1"/>
  <c r="AK27" i="18" a="1"/>
  <c r="AK27" i="18" s="1"/>
  <c r="AG27" i="18" a="1"/>
  <c r="AG27" i="18" s="1"/>
  <c r="BC27" i="18" a="1"/>
  <c r="BC27" i="18" s="1"/>
  <c r="AY27" i="18" a="1"/>
  <c r="AY27" i="18" s="1"/>
  <c r="AU27" i="18" a="1"/>
  <c r="AU27" i="18" s="1"/>
  <c r="AQ27" i="18" a="1"/>
  <c r="AQ27" i="18" s="1"/>
  <c r="AM27" i="18" a="1"/>
  <c r="AM27" i="18" s="1"/>
  <c r="AI27" i="18" a="1"/>
  <c r="AI27" i="18" s="1"/>
  <c r="AE27" i="18" a="1"/>
  <c r="AE27" i="18" s="1"/>
  <c r="AB27" i="18" a="1"/>
  <c r="AB27" i="18" s="1"/>
  <c r="AA27" i="18" a="1"/>
  <c r="AA27" i="18" s="1"/>
  <c r="Z27" i="18" a="1"/>
  <c r="Z27" i="18" s="1"/>
  <c r="Y27" i="18" a="1"/>
  <c r="Y27" i="18" s="1"/>
  <c r="X27" i="18" a="1"/>
  <c r="X27" i="18" s="1"/>
  <c r="W27" i="18" a="1"/>
  <c r="W27" i="18" s="1"/>
  <c r="V27" i="18" a="1"/>
  <c r="V27" i="18" s="1"/>
  <c r="U27" i="18" a="1"/>
  <c r="U27" i="18" s="1"/>
  <c r="T27" i="18" a="1"/>
  <c r="T27" i="18" s="1"/>
  <c r="S27" i="18" a="1"/>
  <c r="S27" i="18" s="1"/>
  <c r="R27" i="18" a="1"/>
  <c r="R27" i="18" s="1"/>
  <c r="Q27" i="18" a="1"/>
  <c r="Q27" i="18" s="1"/>
  <c r="P27" i="18" a="1"/>
  <c r="P27" i="18" s="1"/>
  <c r="O27" i="18" a="1"/>
  <c r="O27" i="18" s="1"/>
  <c r="N27" i="18" a="1"/>
  <c r="N27" i="18" s="1"/>
  <c r="M27" i="18" a="1"/>
  <c r="M27" i="18" s="1"/>
  <c r="L27" i="18" a="1"/>
  <c r="L27" i="18" s="1"/>
  <c r="K27" i="18" a="1"/>
  <c r="K27" i="18" s="1"/>
  <c r="J27" i="18" a="1"/>
  <c r="J27" i="18" s="1"/>
  <c r="I27" i="18" a="1"/>
  <c r="I27" i="18" s="1"/>
  <c r="H27" i="18" a="1"/>
  <c r="H27" i="18" s="1"/>
  <c r="G27" i="18" a="1"/>
  <c r="G27" i="18" s="1"/>
  <c r="D27" i="18"/>
  <c r="BA31" i="18" a="1"/>
  <c r="BA31" i="18" s="1"/>
  <c r="AW31" i="18" a="1"/>
  <c r="AW31" i="18" s="1"/>
  <c r="AS31" i="18" a="1"/>
  <c r="AS31" i="18" s="1"/>
  <c r="AO31" i="18" a="1"/>
  <c r="AO31" i="18" s="1"/>
  <c r="AK31" i="18" a="1"/>
  <c r="AK31" i="18" s="1"/>
  <c r="AG31" i="18" a="1"/>
  <c r="AG31" i="18" s="1"/>
  <c r="BC31" i="18" a="1"/>
  <c r="BC31" i="18" s="1"/>
  <c r="AY31" i="18" a="1"/>
  <c r="AY31" i="18" s="1"/>
  <c r="AU31" i="18" a="1"/>
  <c r="AU31" i="18" s="1"/>
  <c r="AQ31" i="18" a="1"/>
  <c r="AQ31" i="18" s="1"/>
  <c r="AM31" i="18" a="1"/>
  <c r="AM31" i="18" s="1"/>
  <c r="AI31" i="18" a="1"/>
  <c r="AI31" i="18" s="1"/>
  <c r="AE31" i="18" a="1"/>
  <c r="AE31" i="18" s="1"/>
  <c r="AB31" i="18" a="1"/>
  <c r="AB31" i="18" s="1"/>
  <c r="AA31" i="18" a="1"/>
  <c r="AA31" i="18" s="1"/>
  <c r="Z31" i="18" a="1"/>
  <c r="Z31" i="18" s="1"/>
  <c r="Y31" i="18" a="1"/>
  <c r="Y31" i="18" s="1"/>
  <c r="X31" i="18" a="1"/>
  <c r="X31" i="18" s="1"/>
  <c r="W31" i="18" a="1"/>
  <c r="W31" i="18" s="1"/>
  <c r="V31" i="18" a="1"/>
  <c r="V31" i="18" s="1"/>
  <c r="U31" i="18" a="1"/>
  <c r="U31" i="18" s="1"/>
  <c r="T31" i="18" a="1"/>
  <c r="T31" i="18" s="1"/>
  <c r="S31" i="18" a="1"/>
  <c r="S31" i="18" s="1"/>
  <c r="R31" i="18" a="1"/>
  <c r="R31" i="18" s="1"/>
  <c r="Q31" i="18" a="1"/>
  <c r="Q31" i="18" s="1"/>
  <c r="P31" i="18" a="1"/>
  <c r="P31" i="18" s="1"/>
  <c r="O31" i="18" a="1"/>
  <c r="O31" i="18" s="1"/>
  <c r="N31" i="18" a="1"/>
  <c r="N31" i="18" s="1"/>
  <c r="M31" i="18" a="1"/>
  <c r="M31" i="18" s="1"/>
  <c r="L31" i="18" a="1"/>
  <c r="L31" i="18" s="1"/>
  <c r="K31" i="18" a="1"/>
  <c r="K31" i="18" s="1"/>
  <c r="J31" i="18" a="1"/>
  <c r="J31" i="18" s="1"/>
  <c r="I31" i="18" a="1"/>
  <c r="I31" i="18" s="1"/>
  <c r="H31" i="18" a="1"/>
  <c r="H31" i="18" s="1"/>
  <c r="G31" i="18" a="1"/>
  <c r="G31" i="18" s="1"/>
  <c r="D31" i="18"/>
  <c r="BA35" i="18" a="1"/>
  <c r="BA35" i="18" s="1"/>
  <c r="AW35" i="18" a="1"/>
  <c r="AW35" i="18" s="1"/>
  <c r="AS35" i="18" a="1"/>
  <c r="AS35" i="18" s="1"/>
  <c r="AO35" i="18" a="1"/>
  <c r="AO35" i="18" s="1"/>
  <c r="AK35" i="18" a="1"/>
  <c r="AK35" i="18" s="1"/>
  <c r="AG35" i="18" a="1"/>
  <c r="AG35" i="18" s="1"/>
  <c r="BC35" i="18" a="1"/>
  <c r="BC35" i="18" s="1"/>
  <c r="AY35" i="18" a="1"/>
  <c r="AY35" i="18" s="1"/>
  <c r="AU35" i="18" a="1"/>
  <c r="AU35" i="18" s="1"/>
  <c r="AQ35" i="18" a="1"/>
  <c r="AQ35" i="18" s="1"/>
  <c r="AM35" i="18" a="1"/>
  <c r="AM35" i="18" s="1"/>
  <c r="AI35" i="18" a="1"/>
  <c r="AI35" i="18" s="1"/>
  <c r="AE35" i="18" a="1"/>
  <c r="AE35" i="18" s="1"/>
  <c r="AB35" i="18" a="1"/>
  <c r="AB35" i="18" s="1"/>
  <c r="AA35" i="18" a="1"/>
  <c r="AA35" i="18" s="1"/>
  <c r="Z35" i="18" a="1"/>
  <c r="Z35" i="18" s="1"/>
  <c r="Y35" i="18" a="1"/>
  <c r="Y35" i="18" s="1"/>
  <c r="X35" i="18" a="1"/>
  <c r="X35" i="18" s="1"/>
  <c r="W35" i="18" a="1"/>
  <c r="W35" i="18" s="1"/>
  <c r="V35" i="18" a="1"/>
  <c r="V35" i="18" s="1"/>
  <c r="U35" i="18" a="1"/>
  <c r="U35" i="18" s="1"/>
  <c r="T35" i="18" a="1"/>
  <c r="T35" i="18" s="1"/>
  <c r="S35" i="18" a="1"/>
  <c r="S35" i="18" s="1"/>
  <c r="R35" i="18" a="1"/>
  <c r="R35" i="18" s="1"/>
  <c r="Q35" i="18" a="1"/>
  <c r="Q35" i="18" s="1"/>
  <c r="P35" i="18" a="1"/>
  <c r="P35" i="18" s="1"/>
  <c r="O35" i="18" a="1"/>
  <c r="O35" i="18" s="1"/>
  <c r="N35" i="18" a="1"/>
  <c r="N35" i="18" s="1"/>
  <c r="M35" i="18" a="1"/>
  <c r="M35" i="18" s="1"/>
  <c r="L35" i="18" a="1"/>
  <c r="L35" i="18" s="1"/>
  <c r="K35" i="18" a="1"/>
  <c r="K35" i="18" s="1"/>
  <c r="J35" i="18" a="1"/>
  <c r="J35" i="18" s="1"/>
  <c r="I35" i="18" a="1"/>
  <c r="I35" i="18" s="1"/>
  <c r="H35" i="18" a="1"/>
  <c r="H35" i="18" s="1"/>
  <c r="G35" i="18" a="1"/>
  <c r="G35" i="18" s="1"/>
  <c r="D35" i="18"/>
  <c r="BA39" i="18" a="1"/>
  <c r="BA39" i="18" s="1"/>
  <c r="AW39" i="18" a="1"/>
  <c r="AW39" i="18" s="1"/>
  <c r="AS39" i="18" a="1"/>
  <c r="AS39" i="18" s="1"/>
  <c r="AO39" i="18" a="1"/>
  <c r="AO39" i="18" s="1"/>
  <c r="AK39" i="18" a="1"/>
  <c r="AK39" i="18" s="1"/>
  <c r="AG39" i="18" a="1"/>
  <c r="AG39" i="18" s="1"/>
  <c r="BC39" i="18" a="1"/>
  <c r="BC39" i="18" s="1"/>
  <c r="AY39" i="18" a="1"/>
  <c r="AY39" i="18" s="1"/>
  <c r="AU39" i="18" a="1"/>
  <c r="AU39" i="18" s="1"/>
  <c r="AQ39" i="18" a="1"/>
  <c r="AQ39" i="18" s="1"/>
  <c r="AM39" i="18" a="1"/>
  <c r="AM39" i="18" s="1"/>
  <c r="AI39" i="18" a="1"/>
  <c r="AI39" i="18" s="1"/>
  <c r="AE39" i="18" a="1"/>
  <c r="AE39" i="18" s="1"/>
  <c r="AB39" i="18" a="1"/>
  <c r="AB39" i="18" s="1"/>
  <c r="AA39" i="18" a="1"/>
  <c r="AA39" i="18" s="1"/>
  <c r="Z39" i="18" a="1"/>
  <c r="Z39" i="18" s="1"/>
  <c r="Y39" i="18" a="1"/>
  <c r="Y39" i="18" s="1"/>
  <c r="X39" i="18" a="1"/>
  <c r="X39" i="18" s="1"/>
  <c r="W39" i="18" a="1"/>
  <c r="W39" i="18" s="1"/>
  <c r="V39" i="18" a="1"/>
  <c r="V39" i="18" s="1"/>
  <c r="U39" i="18" a="1"/>
  <c r="U39" i="18" s="1"/>
  <c r="T39" i="18" a="1"/>
  <c r="T39" i="18" s="1"/>
  <c r="S39" i="18" a="1"/>
  <c r="S39" i="18" s="1"/>
  <c r="R39" i="18" a="1"/>
  <c r="R39" i="18" s="1"/>
  <c r="Q39" i="18" a="1"/>
  <c r="Q39" i="18" s="1"/>
  <c r="P39" i="18" a="1"/>
  <c r="P39" i="18" s="1"/>
  <c r="O39" i="18" a="1"/>
  <c r="O39" i="18" s="1"/>
  <c r="N39" i="18" a="1"/>
  <c r="N39" i="18" s="1"/>
  <c r="M39" i="18" a="1"/>
  <c r="M39" i="18" s="1"/>
  <c r="L39" i="18" a="1"/>
  <c r="L39" i="18" s="1"/>
  <c r="K39" i="18" a="1"/>
  <c r="K39" i="18" s="1"/>
  <c r="J39" i="18" a="1"/>
  <c r="J39" i="18" s="1"/>
  <c r="I39" i="18" a="1"/>
  <c r="I39" i="18" s="1"/>
  <c r="H39" i="18" a="1"/>
  <c r="H39" i="18" s="1"/>
  <c r="G39" i="18" a="1"/>
  <c r="G39" i="18" s="1"/>
  <c r="D39" i="18"/>
  <c r="BA43" i="18" a="1"/>
  <c r="BA43" i="18" s="1"/>
  <c r="AW43" i="18" a="1"/>
  <c r="AW43" i="18" s="1"/>
  <c r="AS43" i="18" a="1"/>
  <c r="AS43" i="18" s="1"/>
  <c r="AO43" i="18" a="1"/>
  <c r="AO43" i="18" s="1"/>
  <c r="AK43" i="18" a="1"/>
  <c r="AK43" i="18" s="1"/>
  <c r="AG43" i="18" a="1"/>
  <c r="AG43" i="18" s="1"/>
  <c r="BC43" i="18" a="1"/>
  <c r="BC43" i="18" s="1"/>
  <c r="AY43" i="18" a="1"/>
  <c r="AY43" i="18" s="1"/>
  <c r="AU43" i="18" a="1"/>
  <c r="AU43" i="18" s="1"/>
  <c r="AQ43" i="18" a="1"/>
  <c r="AQ43" i="18" s="1"/>
  <c r="AM43" i="18" a="1"/>
  <c r="AM43" i="18" s="1"/>
  <c r="AI43" i="18" a="1"/>
  <c r="AI43" i="18" s="1"/>
  <c r="AE43" i="18" a="1"/>
  <c r="AE43" i="18" s="1"/>
  <c r="AB43" i="18" a="1"/>
  <c r="AB43" i="18" s="1"/>
  <c r="AA43" i="18" a="1"/>
  <c r="AA43" i="18" s="1"/>
  <c r="Z43" i="18" a="1"/>
  <c r="Z43" i="18" s="1"/>
  <c r="Y43" i="18" a="1"/>
  <c r="Y43" i="18" s="1"/>
  <c r="X43" i="18" a="1"/>
  <c r="X43" i="18" s="1"/>
  <c r="W43" i="18" a="1"/>
  <c r="W43" i="18" s="1"/>
  <c r="V43" i="18" a="1"/>
  <c r="V43" i="18" s="1"/>
  <c r="U43" i="18" a="1"/>
  <c r="U43" i="18" s="1"/>
  <c r="T43" i="18" a="1"/>
  <c r="T43" i="18" s="1"/>
  <c r="S43" i="18" a="1"/>
  <c r="S43" i="18" s="1"/>
  <c r="R43" i="18" a="1"/>
  <c r="R43" i="18" s="1"/>
  <c r="Q43" i="18" a="1"/>
  <c r="Q43" i="18" s="1"/>
  <c r="P43" i="18" a="1"/>
  <c r="P43" i="18" s="1"/>
  <c r="O43" i="18" a="1"/>
  <c r="O43" i="18" s="1"/>
  <c r="N43" i="18" a="1"/>
  <c r="N43" i="18" s="1"/>
  <c r="M43" i="18" a="1"/>
  <c r="M43" i="18" s="1"/>
  <c r="L43" i="18" a="1"/>
  <c r="L43" i="18" s="1"/>
  <c r="K43" i="18" a="1"/>
  <c r="K43" i="18" s="1"/>
  <c r="J43" i="18" a="1"/>
  <c r="J43" i="18" s="1"/>
  <c r="I43" i="18" a="1"/>
  <c r="I43" i="18" s="1"/>
  <c r="H43" i="18" a="1"/>
  <c r="H43" i="18" s="1"/>
  <c r="G43" i="18" a="1"/>
  <c r="G43" i="18" s="1"/>
  <c r="D43" i="18"/>
  <c r="BA47" i="18" a="1"/>
  <c r="BA47" i="18" s="1"/>
  <c r="AW47" i="18" a="1"/>
  <c r="AW47" i="18" s="1"/>
  <c r="AS47" i="18" a="1"/>
  <c r="AS47" i="18" s="1"/>
  <c r="AO47" i="18" a="1"/>
  <c r="AO47" i="18" s="1"/>
  <c r="AK47" i="18" a="1"/>
  <c r="AK47" i="18" s="1"/>
  <c r="AG47" i="18" a="1"/>
  <c r="AG47" i="18" s="1"/>
  <c r="BC47" i="18" a="1"/>
  <c r="BC47" i="18" s="1"/>
  <c r="AY47" i="18" a="1"/>
  <c r="AY47" i="18" s="1"/>
  <c r="AU47" i="18" a="1"/>
  <c r="AU47" i="18" s="1"/>
  <c r="AQ47" i="18" a="1"/>
  <c r="AQ47" i="18" s="1"/>
  <c r="AM47" i="18" a="1"/>
  <c r="AM47" i="18" s="1"/>
  <c r="AI47" i="18" a="1"/>
  <c r="AI47" i="18" s="1"/>
  <c r="AE47" i="18" a="1"/>
  <c r="AE47" i="18" s="1"/>
  <c r="AB47" i="18" a="1"/>
  <c r="AB47" i="18" s="1"/>
  <c r="AA47" i="18" a="1"/>
  <c r="AA47" i="18" s="1"/>
  <c r="Z47" i="18" a="1"/>
  <c r="Z47" i="18" s="1"/>
  <c r="Y47" i="18" a="1"/>
  <c r="Y47" i="18" s="1"/>
  <c r="X47" i="18" a="1"/>
  <c r="X47" i="18" s="1"/>
  <c r="W47" i="18" a="1"/>
  <c r="W47" i="18" s="1"/>
  <c r="V47" i="18" a="1"/>
  <c r="V47" i="18" s="1"/>
  <c r="U47" i="18" a="1"/>
  <c r="U47" i="18" s="1"/>
  <c r="T47" i="18" a="1"/>
  <c r="T47" i="18" s="1"/>
  <c r="S47" i="18" a="1"/>
  <c r="S47" i="18" s="1"/>
  <c r="R47" i="18" a="1"/>
  <c r="R47" i="18" s="1"/>
  <c r="Q47" i="18" a="1"/>
  <c r="Q47" i="18" s="1"/>
  <c r="P47" i="18" a="1"/>
  <c r="P47" i="18" s="1"/>
  <c r="O47" i="18" a="1"/>
  <c r="O47" i="18" s="1"/>
  <c r="N47" i="18" a="1"/>
  <c r="N47" i="18" s="1"/>
  <c r="M47" i="18" a="1"/>
  <c r="M47" i="18" s="1"/>
  <c r="L47" i="18" a="1"/>
  <c r="L47" i="18" s="1"/>
  <c r="K47" i="18" a="1"/>
  <c r="K47" i="18" s="1"/>
  <c r="J47" i="18" a="1"/>
  <c r="J47" i="18" s="1"/>
  <c r="I47" i="18" a="1"/>
  <c r="I47" i="18" s="1"/>
  <c r="H47" i="18" a="1"/>
  <c r="H47" i="18" s="1"/>
  <c r="G47" i="18" a="1"/>
  <c r="G47" i="18" s="1"/>
  <c r="D47" i="18"/>
  <c r="BA51" i="18" a="1"/>
  <c r="BA51" i="18" s="1"/>
  <c r="AW51" i="18" a="1"/>
  <c r="AW51" i="18" s="1"/>
  <c r="AS51" i="18" a="1"/>
  <c r="AS51" i="18" s="1"/>
  <c r="AO51" i="18" a="1"/>
  <c r="AO51" i="18" s="1"/>
  <c r="AK51" i="18" a="1"/>
  <c r="AK51" i="18" s="1"/>
  <c r="AG51" i="18" a="1"/>
  <c r="AG51" i="18" s="1"/>
  <c r="BC51" i="18" a="1"/>
  <c r="BC51" i="18" s="1"/>
  <c r="AY51" i="18" a="1"/>
  <c r="AY51" i="18" s="1"/>
  <c r="AU51" i="18" a="1"/>
  <c r="AU51" i="18" s="1"/>
  <c r="AQ51" i="18" a="1"/>
  <c r="AQ51" i="18" s="1"/>
  <c r="AM51" i="18" a="1"/>
  <c r="AM51" i="18" s="1"/>
  <c r="AI51" i="18" a="1"/>
  <c r="AI51" i="18" s="1"/>
  <c r="AE51" i="18" a="1"/>
  <c r="AE51" i="18" s="1"/>
  <c r="AB51" i="18" a="1"/>
  <c r="AB51" i="18" s="1"/>
  <c r="AA51" i="18" a="1"/>
  <c r="AA51" i="18" s="1"/>
  <c r="Z51" i="18" a="1"/>
  <c r="Z51" i="18" s="1"/>
  <c r="Y51" i="18" a="1"/>
  <c r="Y51" i="18" s="1"/>
  <c r="X51" i="18" a="1"/>
  <c r="X51" i="18" s="1"/>
  <c r="W51" i="18" a="1"/>
  <c r="W51" i="18" s="1"/>
  <c r="V51" i="18" a="1"/>
  <c r="V51" i="18" s="1"/>
  <c r="U51" i="18" a="1"/>
  <c r="U51" i="18" s="1"/>
  <c r="T51" i="18" a="1"/>
  <c r="T51" i="18" s="1"/>
  <c r="S51" i="18" a="1"/>
  <c r="S51" i="18" s="1"/>
  <c r="R51" i="18" a="1"/>
  <c r="R51" i="18" s="1"/>
  <c r="Q51" i="18" a="1"/>
  <c r="Q51" i="18" s="1"/>
  <c r="P51" i="18" a="1"/>
  <c r="P51" i="18" s="1"/>
  <c r="O51" i="18" a="1"/>
  <c r="O51" i="18" s="1"/>
  <c r="N51" i="18" a="1"/>
  <c r="N51" i="18" s="1"/>
  <c r="M51" i="18" a="1"/>
  <c r="M51" i="18" s="1"/>
  <c r="L51" i="18" a="1"/>
  <c r="L51" i="18" s="1"/>
  <c r="K51" i="18" a="1"/>
  <c r="K51" i="18" s="1"/>
  <c r="J51" i="18" a="1"/>
  <c r="J51" i="18" s="1"/>
  <c r="I51" i="18" a="1"/>
  <c r="I51" i="18" s="1"/>
  <c r="H51" i="18" a="1"/>
  <c r="H51" i="18" s="1"/>
  <c r="G51" i="18" a="1"/>
  <c r="G51" i="18" s="1"/>
  <c r="D51" i="18"/>
  <c r="BA55" i="18" a="1"/>
  <c r="BA55" i="18" s="1"/>
  <c r="AW55" i="18" a="1"/>
  <c r="AW55" i="18" s="1"/>
  <c r="AS55" i="18" a="1"/>
  <c r="AS55" i="18" s="1"/>
  <c r="AO55" i="18" a="1"/>
  <c r="AO55" i="18" s="1"/>
  <c r="AK55" i="18" a="1"/>
  <c r="AK55" i="18" s="1"/>
  <c r="AG55" i="18" a="1"/>
  <c r="AG55" i="18" s="1"/>
  <c r="BC55" i="18" a="1"/>
  <c r="BC55" i="18" s="1"/>
  <c r="AY55" i="18" a="1"/>
  <c r="AY55" i="18" s="1"/>
  <c r="AU55" i="18" a="1"/>
  <c r="AU55" i="18" s="1"/>
  <c r="AQ55" i="18" a="1"/>
  <c r="AQ55" i="18" s="1"/>
  <c r="AM55" i="18" a="1"/>
  <c r="AM55" i="18" s="1"/>
  <c r="AI55" i="18" a="1"/>
  <c r="AI55" i="18" s="1"/>
  <c r="AE55" i="18" a="1"/>
  <c r="AE55" i="18" s="1"/>
  <c r="AB55" i="18" a="1"/>
  <c r="AB55" i="18" s="1"/>
  <c r="AA55" i="18" a="1"/>
  <c r="AA55" i="18" s="1"/>
  <c r="Z55" i="18" a="1"/>
  <c r="Z55" i="18" s="1"/>
  <c r="Y55" i="18" a="1"/>
  <c r="Y55" i="18" s="1"/>
  <c r="X55" i="18" a="1"/>
  <c r="X55" i="18" s="1"/>
  <c r="W55" i="18" a="1"/>
  <c r="W55" i="18" s="1"/>
  <c r="V55" i="18" a="1"/>
  <c r="V55" i="18" s="1"/>
  <c r="U55" i="18" a="1"/>
  <c r="U55" i="18" s="1"/>
  <c r="T55" i="18" a="1"/>
  <c r="T55" i="18" s="1"/>
  <c r="S55" i="18" a="1"/>
  <c r="S55" i="18" s="1"/>
  <c r="R55" i="18" a="1"/>
  <c r="R55" i="18" s="1"/>
  <c r="Q55" i="18" a="1"/>
  <c r="Q55" i="18" s="1"/>
  <c r="P55" i="18" a="1"/>
  <c r="P55" i="18" s="1"/>
  <c r="O55" i="18" a="1"/>
  <c r="O55" i="18" s="1"/>
  <c r="N55" i="18" a="1"/>
  <c r="N55" i="18" s="1"/>
  <c r="M55" i="18" a="1"/>
  <c r="M55" i="18" s="1"/>
  <c r="L55" i="18" a="1"/>
  <c r="L55" i="18" s="1"/>
  <c r="K55" i="18" a="1"/>
  <c r="K55" i="18" s="1"/>
  <c r="J55" i="18" a="1"/>
  <c r="J55" i="18" s="1"/>
  <c r="I55" i="18" a="1"/>
  <c r="I55" i="18" s="1"/>
  <c r="H55" i="18" a="1"/>
  <c r="H55" i="18" s="1"/>
  <c r="G55" i="18" a="1"/>
  <c r="G55" i="18" s="1"/>
  <c r="D55" i="18"/>
  <c r="BA59" i="18" a="1"/>
  <c r="BA59" i="18" s="1"/>
  <c r="AW59" i="18" a="1"/>
  <c r="AW59" i="18" s="1"/>
  <c r="AS59" i="18" a="1"/>
  <c r="AS59" i="18" s="1"/>
  <c r="AO59" i="18" a="1"/>
  <c r="AO59" i="18" s="1"/>
  <c r="AK59" i="18" a="1"/>
  <c r="AK59" i="18" s="1"/>
  <c r="AG59" i="18" a="1"/>
  <c r="AG59" i="18" s="1"/>
  <c r="BC59" i="18" a="1"/>
  <c r="BC59" i="18" s="1"/>
  <c r="AY59" i="18" a="1"/>
  <c r="AY59" i="18" s="1"/>
  <c r="AU59" i="18" a="1"/>
  <c r="AU59" i="18" s="1"/>
  <c r="AQ59" i="18" a="1"/>
  <c r="AQ59" i="18" s="1"/>
  <c r="AM59" i="18" a="1"/>
  <c r="AM59" i="18" s="1"/>
  <c r="AI59" i="18" a="1"/>
  <c r="AI59" i="18" s="1"/>
  <c r="AE59" i="18" a="1"/>
  <c r="AE59" i="18" s="1"/>
  <c r="AB59" i="18" a="1"/>
  <c r="AB59" i="18" s="1"/>
  <c r="AA59" i="18" a="1"/>
  <c r="AA59" i="18" s="1"/>
  <c r="Z59" i="18" a="1"/>
  <c r="Z59" i="18" s="1"/>
  <c r="Y59" i="18" a="1"/>
  <c r="Y59" i="18" s="1"/>
  <c r="X59" i="18" a="1"/>
  <c r="X59" i="18" s="1"/>
  <c r="W59" i="18" a="1"/>
  <c r="W59" i="18" s="1"/>
  <c r="V59" i="18" a="1"/>
  <c r="V59" i="18" s="1"/>
  <c r="U59" i="18" a="1"/>
  <c r="U59" i="18" s="1"/>
  <c r="T59" i="18" a="1"/>
  <c r="T59" i="18" s="1"/>
  <c r="S59" i="18" a="1"/>
  <c r="S59" i="18" s="1"/>
  <c r="R59" i="18" a="1"/>
  <c r="R59" i="18" s="1"/>
  <c r="Q59" i="18" a="1"/>
  <c r="Q59" i="18" s="1"/>
  <c r="P59" i="18" a="1"/>
  <c r="P59" i="18" s="1"/>
  <c r="O59" i="18" a="1"/>
  <c r="O59" i="18" s="1"/>
  <c r="N59" i="18" a="1"/>
  <c r="N59" i="18" s="1"/>
  <c r="M59" i="18" a="1"/>
  <c r="M59" i="18" s="1"/>
  <c r="L59" i="18" a="1"/>
  <c r="L59" i="18" s="1"/>
  <c r="K59" i="18" a="1"/>
  <c r="K59" i="18" s="1"/>
  <c r="J59" i="18" a="1"/>
  <c r="J59" i="18" s="1"/>
  <c r="I59" i="18" a="1"/>
  <c r="I59" i="18" s="1"/>
  <c r="H59" i="18" a="1"/>
  <c r="H59" i="18" s="1"/>
  <c r="G59" i="18" a="1"/>
  <c r="G59" i="18" s="1"/>
  <c r="D59" i="18"/>
  <c r="BA63" i="18" a="1"/>
  <c r="BA63" i="18" s="1"/>
  <c r="AW63" i="18" a="1"/>
  <c r="AW63" i="18" s="1"/>
  <c r="AS63" i="18" a="1"/>
  <c r="AS63" i="18" s="1"/>
  <c r="AO63" i="18" a="1"/>
  <c r="AO63" i="18" s="1"/>
  <c r="AK63" i="18" a="1"/>
  <c r="AK63" i="18" s="1"/>
  <c r="AG63" i="18" a="1"/>
  <c r="AG63" i="18" s="1"/>
  <c r="BC63" i="18" a="1"/>
  <c r="BC63" i="18" s="1"/>
  <c r="AY63" i="18" a="1"/>
  <c r="AY63" i="18" s="1"/>
  <c r="AU63" i="18" a="1"/>
  <c r="AU63" i="18" s="1"/>
  <c r="AQ63" i="18" a="1"/>
  <c r="AQ63" i="18" s="1"/>
  <c r="AM63" i="18" a="1"/>
  <c r="AM63" i="18" s="1"/>
  <c r="AI63" i="18" a="1"/>
  <c r="AI63" i="18" s="1"/>
  <c r="AE63" i="18" a="1"/>
  <c r="AE63" i="18" s="1"/>
  <c r="AB63" i="18" a="1"/>
  <c r="AB63" i="18" s="1"/>
  <c r="AA63" i="18" a="1"/>
  <c r="AA63" i="18" s="1"/>
  <c r="Z63" i="18" a="1"/>
  <c r="Z63" i="18" s="1"/>
  <c r="Y63" i="18" a="1"/>
  <c r="Y63" i="18" s="1"/>
  <c r="X63" i="18" a="1"/>
  <c r="X63" i="18" s="1"/>
  <c r="W63" i="18" a="1"/>
  <c r="W63" i="18" s="1"/>
  <c r="V63" i="18" a="1"/>
  <c r="V63" i="18" s="1"/>
  <c r="U63" i="18" a="1"/>
  <c r="U63" i="18" s="1"/>
  <c r="T63" i="18" a="1"/>
  <c r="T63" i="18" s="1"/>
  <c r="S63" i="18" a="1"/>
  <c r="S63" i="18" s="1"/>
  <c r="R63" i="18" a="1"/>
  <c r="R63" i="18" s="1"/>
  <c r="Q63" i="18" a="1"/>
  <c r="Q63" i="18" s="1"/>
  <c r="P63" i="18" a="1"/>
  <c r="P63" i="18" s="1"/>
  <c r="O63" i="18" a="1"/>
  <c r="O63" i="18" s="1"/>
  <c r="N63" i="18" a="1"/>
  <c r="N63" i="18" s="1"/>
  <c r="M63" i="18" a="1"/>
  <c r="M63" i="18" s="1"/>
  <c r="L63" i="18" a="1"/>
  <c r="L63" i="18" s="1"/>
  <c r="K63" i="18" a="1"/>
  <c r="K63" i="18" s="1"/>
  <c r="J63" i="18" a="1"/>
  <c r="J63" i="18" s="1"/>
  <c r="I63" i="18" a="1"/>
  <c r="I63" i="18" s="1"/>
  <c r="H63" i="18" a="1"/>
  <c r="H63" i="18" s="1"/>
  <c r="G63" i="18" a="1"/>
  <c r="G63" i="18" s="1"/>
  <c r="D63" i="18"/>
  <c r="BA68" i="18" a="1"/>
  <c r="BA68" i="18" s="1"/>
  <c r="AW68" i="18" a="1"/>
  <c r="AW68" i="18" s="1"/>
  <c r="AS68" i="18" a="1"/>
  <c r="AS68" i="18" s="1"/>
  <c r="AO68" i="18" a="1"/>
  <c r="AO68" i="18" s="1"/>
  <c r="AK68" i="18" a="1"/>
  <c r="AK68" i="18" s="1"/>
  <c r="AG68" i="18" a="1"/>
  <c r="AG68" i="18" s="1"/>
  <c r="BC68" i="18" a="1"/>
  <c r="BC68" i="18" s="1"/>
  <c r="AU68" i="18" a="1"/>
  <c r="AU68" i="18" s="1"/>
  <c r="AM68" i="18" a="1"/>
  <c r="AM68" i="18" s="1"/>
  <c r="AE68" i="18" a="1"/>
  <c r="AE68" i="18" s="1"/>
  <c r="AB68" i="18" a="1"/>
  <c r="AB68" i="18" s="1"/>
  <c r="Z68" i="18" a="1"/>
  <c r="Z68" i="18" s="1"/>
  <c r="X68" i="18" a="1"/>
  <c r="X68" i="18" s="1"/>
  <c r="V68" i="18" a="1"/>
  <c r="V68" i="18" s="1"/>
  <c r="T68" i="18" a="1"/>
  <c r="T68" i="18" s="1"/>
  <c r="R68" i="18" a="1"/>
  <c r="R68" i="18" s="1"/>
  <c r="P68" i="18" a="1"/>
  <c r="P68" i="18" s="1"/>
  <c r="N68" i="18" a="1"/>
  <c r="N68" i="18" s="1"/>
  <c r="L68" i="18" a="1"/>
  <c r="L68" i="18" s="1"/>
  <c r="J68" i="18" a="1"/>
  <c r="J68" i="18" s="1"/>
  <c r="H68" i="18" a="1"/>
  <c r="H68" i="18" s="1"/>
  <c r="D68" i="18"/>
  <c r="AY68" i="18" a="1"/>
  <c r="AY68" i="18" s="1"/>
  <c r="AQ68" i="18" a="1"/>
  <c r="AQ68" i="18" s="1"/>
  <c r="AI68" i="18" a="1"/>
  <c r="AI68" i="18" s="1"/>
  <c r="AJ68" i="18" s="1"/>
  <c r="AA68" i="18" a="1"/>
  <c r="AA68" i="18" s="1"/>
  <c r="Y68" i="18" a="1"/>
  <c r="Y68" i="18" s="1"/>
  <c r="W68" i="18" a="1"/>
  <c r="W68" i="18" s="1"/>
  <c r="U68" i="18" a="1"/>
  <c r="U68" i="18" s="1"/>
  <c r="S68" i="18" a="1"/>
  <c r="S68" i="18" s="1"/>
  <c r="Q68" i="18" a="1"/>
  <c r="Q68" i="18" s="1"/>
  <c r="O68" i="18" a="1"/>
  <c r="O68" i="18" s="1"/>
  <c r="M68" i="18" a="1"/>
  <c r="M68" i="18" s="1"/>
  <c r="K68" i="18" a="1"/>
  <c r="K68" i="18" s="1"/>
  <c r="I68" i="18" a="1"/>
  <c r="I68" i="18" s="1"/>
  <c r="G68" i="18" a="1"/>
  <c r="G68" i="18" s="1"/>
  <c r="BC72" i="18" a="1"/>
  <c r="BC72" i="18" s="1"/>
  <c r="AY72" i="18" a="1"/>
  <c r="AY72" i="18" s="1"/>
  <c r="AU72" i="18" a="1"/>
  <c r="AU72" i="18" s="1"/>
  <c r="AQ72" i="18" a="1"/>
  <c r="AQ72" i="18" s="1"/>
  <c r="AM72" i="18" a="1"/>
  <c r="AM72" i="18" s="1"/>
  <c r="AI72" i="18" a="1"/>
  <c r="AI72" i="18" s="1"/>
  <c r="AE72" i="18" a="1"/>
  <c r="AE72" i="18" s="1"/>
  <c r="AB72" i="18" a="1"/>
  <c r="AB72" i="18" s="1"/>
  <c r="AA72" i="18" a="1"/>
  <c r="AA72" i="18" s="1"/>
  <c r="Z72" i="18" a="1"/>
  <c r="Z72" i="18" s="1"/>
  <c r="Y72" i="18" a="1"/>
  <c r="Y72" i="18" s="1"/>
  <c r="X72" i="18" a="1"/>
  <c r="X72" i="18" s="1"/>
  <c r="W72" i="18" a="1"/>
  <c r="W72" i="18" s="1"/>
  <c r="V72" i="18" a="1"/>
  <c r="V72" i="18" s="1"/>
  <c r="U72" i="18" a="1"/>
  <c r="U72" i="18" s="1"/>
  <c r="T72" i="18" a="1"/>
  <c r="T72" i="18" s="1"/>
  <c r="S72" i="18" a="1"/>
  <c r="S72" i="18" s="1"/>
  <c r="R72" i="18" a="1"/>
  <c r="R72" i="18" s="1"/>
  <c r="Q72" i="18" a="1"/>
  <c r="Q72" i="18" s="1"/>
  <c r="P72" i="18" a="1"/>
  <c r="P72" i="18" s="1"/>
  <c r="O72" i="18" a="1"/>
  <c r="O72" i="18" s="1"/>
  <c r="N72" i="18" a="1"/>
  <c r="N72" i="18" s="1"/>
  <c r="M72" i="18" a="1"/>
  <c r="M72" i="18" s="1"/>
  <c r="L72" i="18" a="1"/>
  <c r="L72" i="18" s="1"/>
  <c r="K72" i="18" a="1"/>
  <c r="K72" i="18" s="1"/>
  <c r="J72" i="18" a="1"/>
  <c r="J72" i="18" s="1"/>
  <c r="I72" i="18" a="1"/>
  <c r="I72" i="18" s="1"/>
  <c r="H72" i="18" a="1"/>
  <c r="H72" i="18" s="1"/>
  <c r="G72" i="18" a="1"/>
  <c r="G72" i="18" s="1"/>
  <c r="D72" i="18"/>
  <c r="BA72" i="18" a="1"/>
  <c r="BA72" i="18" s="1"/>
  <c r="BB72" i="18" s="1"/>
  <c r="AW72" i="18" a="1"/>
  <c r="AW72" i="18" s="1"/>
  <c r="AS72" i="18" a="1"/>
  <c r="AS72" i="18" s="1"/>
  <c r="AO72" i="18" a="1"/>
  <c r="AO72" i="18" s="1"/>
  <c r="AK72" i="18" a="1"/>
  <c r="AK72" i="18" s="1"/>
  <c r="AL72" i="18" s="1"/>
  <c r="AG72" i="18" a="1"/>
  <c r="AG72" i="18" s="1"/>
  <c r="BC76" i="18" a="1"/>
  <c r="BC76" i="18" s="1"/>
  <c r="AY76" i="18" a="1"/>
  <c r="AY76" i="18" s="1"/>
  <c r="AU76" i="18" a="1"/>
  <c r="AU76" i="18" s="1"/>
  <c r="AQ76" i="18" a="1"/>
  <c r="AQ76" i="18" s="1"/>
  <c r="AM76" i="18" a="1"/>
  <c r="AM76" i="18" s="1"/>
  <c r="AI76" i="18" a="1"/>
  <c r="AI76" i="18" s="1"/>
  <c r="AE76" i="18" a="1"/>
  <c r="AE76" i="18" s="1"/>
  <c r="AB76" i="18" a="1"/>
  <c r="AB76" i="18" s="1"/>
  <c r="AA76" i="18" a="1"/>
  <c r="AA76" i="18" s="1"/>
  <c r="Z76" i="18" a="1"/>
  <c r="Z76" i="18" s="1"/>
  <c r="Y76" i="18" a="1"/>
  <c r="Y76" i="18" s="1"/>
  <c r="X76" i="18" a="1"/>
  <c r="X76" i="18" s="1"/>
  <c r="W76" i="18" a="1"/>
  <c r="W76" i="18" s="1"/>
  <c r="V76" i="18" a="1"/>
  <c r="V76" i="18" s="1"/>
  <c r="U76" i="18" a="1"/>
  <c r="U76" i="18" s="1"/>
  <c r="T76" i="18" a="1"/>
  <c r="T76" i="18" s="1"/>
  <c r="S76" i="18" a="1"/>
  <c r="S76" i="18" s="1"/>
  <c r="R76" i="18" a="1"/>
  <c r="R76" i="18" s="1"/>
  <c r="Q76" i="18" a="1"/>
  <c r="Q76" i="18" s="1"/>
  <c r="P76" i="18" a="1"/>
  <c r="P76" i="18" s="1"/>
  <c r="O76" i="18" a="1"/>
  <c r="O76" i="18" s="1"/>
  <c r="N76" i="18" a="1"/>
  <c r="N76" i="18" s="1"/>
  <c r="M76" i="18" a="1"/>
  <c r="M76" i="18" s="1"/>
  <c r="L76" i="18" a="1"/>
  <c r="L76" i="18" s="1"/>
  <c r="K76" i="18" a="1"/>
  <c r="K76" i="18" s="1"/>
  <c r="J76" i="18" a="1"/>
  <c r="J76" i="18" s="1"/>
  <c r="I76" i="18" a="1"/>
  <c r="I76" i="18" s="1"/>
  <c r="H76" i="18" a="1"/>
  <c r="H76" i="18" s="1"/>
  <c r="G76" i="18" a="1"/>
  <c r="G76" i="18" s="1"/>
  <c r="D76" i="18"/>
  <c r="BA76" i="18" a="1"/>
  <c r="BA76" i="18" s="1"/>
  <c r="BB76" i="18" s="1"/>
  <c r="AW76" i="18" a="1"/>
  <c r="AW76" i="18" s="1"/>
  <c r="AS76" i="18" a="1"/>
  <c r="AS76" i="18" s="1"/>
  <c r="AO76" i="18" a="1"/>
  <c r="AO76" i="18" s="1"/>
  <c r="AK76" i="18" a="1"/>
  <c r="AK76" i="18" s="1"/>
  <c r="AL76" i="18" s="1"/>
  <c r="AG76" i="18" a="1"/>
  <c r="AG76" i="18" s="1"/>
  <c r="BC80" i="18" a="1"/>
  <c r="BC80" i="18" s="1"/>
  <c r="AY80" i="18" a="1"/>
  <c r="AY80" i="18" s="1"/>
  <c r="AU80" i="18" a="1"/>
  <c r="AU80" i="18" s="1"/>
  <c r="AQ80" i="18" a="1"/>
  <c r="AQ80" i="18" s="1"/>
  <c r="AM80" i="18" a="1"/>
  <c r="AM80" i="18" s="1"/>
  <c r="AI80" i="18" a="1"/>
  <c r="AI80" i="18" s="1"/>
  <c r="AE80" i="18" a="1"/>
  <c r="AE80" i="18" s="1"/>
  <c r="AB80" i="18" a="1"/>
  <c r="AB80" i="18" s="1"/>
  <c r="AA80" i="18" a="1"/>
  <c r="AA80" i="18" s="1"/>
  <c r="Z80" i="18" a="1"/>
  <c r="Z80" i="18" s="1"/>
  <c r="Y80" i="18" a="1"/>
  <c r="Y80" i="18" s="1"/>
  <c r="X80" i="18" a="1"/>
  <c r="X80" i="18" s="1"/>
  <c r="W80" i="18" a="1"/>
  <c r="W80" i="18" s="1"/>
  <c r="V80" i="18" a="1"/>
  <c r="V80" i="18" s="1"/>
  <c r="U80" i="18" a="1"/>
  <c r="U80" i="18" s="1"/>
  <c r="T80" i="18" a="1"/>
  <c r="T80" i="18" s="1"/>
  <c r="S80" i="18" a="1"/>
  <c r="S80" i="18" s="1"/>
  <c r="R80" i="18" a="1"/>
  <c r="R80" i="18" s="1"/>
  <c r="Q80" i="18" a="1"/>
  <c r="Q80" i="18" s="1"/>
  <c r="P80" i="18" a="1"/>
  <c r="P80" i="18" s="1"/>
  <c r="O80" i="18" a="1"/>
  <c r="O80" i="18" s="1"/>
  <c r="N80" i="18" a="1"/>
  <c r="N80" i="18" s="1"/>
  <c r="M80" i="18" a="1"/>
  <c r="M80" i="18" s="1"/>
  <c r="L80" i="18" a="1"/>
  <c r="L80" i="18" s="1"/>
  <c r="K80" i="18" a="1"/>
  <c r="K80" i="18" s="1"/>
  <c r="J80" i="18" a="1"/>
  <c r="J80" i="18" s="1"/>
  <c r="I80" i="18" a="1"/>
  <c r="I80" i="18" s="1"/>
  <c r="H80" i="18" a="1"/>
  <c r="H80" i="18" s="1"/>
  <c r="G80" i="18" a="1"/>
  <c r="G80" i="18" s="1"/>
  <c r="D80" i="18"/>
  <c r="BA80" i="18" a="1"/>
  <c r="BA80" i="18" s="1"/>
  <c r="BB80" i="18" s="1"/>
  <c r="AW80" i="18" a="1"/>
  <c r="AW80" i="18" s="1"/>
  <c r="AS80" i="18" a="1"/>
  <c r="AS80" i="18" s="1"/>
  <c r="AO80" i="18" a="1"/>
  <c r="AO80" i="18" s="1"/>
  <c r="AK80" i="18" a="1"/>
  <c r="AK80" i="18" s="1"/>
  <c r="AL80" i="18" s="1"/>
  <c r="AG80" i="18" a="1"/>
  <c r="AG80" i="18" s="1"/>
  <c r="BC84" i="18" a="1"/>
  <c r="BC84" i="18" s="1"/>
  <c r="AY84" i="18" a="1"/>
  <c r="AY84" i="18" s="1"/>
  <c r="AU84" i="18" a="1"/>
  <c r="AU84" i="18" s="1"/>
  <c r="AQ84" i="18" a="1"/>
  <c r="AQ84" i="18" s="1"/>
  <c r="AM84" i="18" a="1"/>
  <c r="AM84" i="18" s="1"/>
  <c r="AI84" i="18" a="1"/>
  <c r="AI84" i="18" s="1"/>
  <c r="AE84" i="18" a="1"/>
  <c r="AE84" i="18" s="1"/>
  <c r="AB84" i="18" a="1"/>
  <c r="AB84" i="18" s="1"/>
  <c r="AA84" i="18" a="1"/>
  <c r="AA84" i="18" s="1"/>
  <c r="Z84" i="18" a="1"/>
  <c r="Z84" i="18" s="1"/>
  <c r="Y84" i="18" a="1"/>
  <c r="Y84" i="18" s="1"/>
  <c r="X84" i="18" a="1"/>
  <c r="X84" i="18" s="1"/>
  <c r="W84" i="18" a="1"/>
  <c r="W84" i="18" s="1"/>
  <c r="V84" i="18" a="1"/>
  <c r="V84" i="18" s="1"/>
  <c r="U84" i="18" a="1"/>
  <c r="U84" i="18" s="1"/>
  <c r="T84" i="18" a="1"/>
  <c r="T84" i="18" s="1"/>
  <c r="S84" i="18" a="1"/>
  <c r="S84" i="18" s="1"/>
  <c r="R84" i="18" a="1"/>
  <c r="R84" i="18" s="1"/>
  <c r="Q84" i="18" a="1"/>
  <c r="Q84" i="18" s="1"/>
  <c r="P84" i="18" a="1"/>
  <c r="P84" i="18" s="1"/>
  <c r="O84" i="18" a="1"/>
  <c r="O84" i="18" s="1"/>
  <c r="N84" i="18" a="1"/>
  <c r="N84" i="18" s="1"/>
  <c r="M84" i="18" a="1"/>
  <c r="M84" i="18" s="1"/>
  <c r="L84" i="18" a="1"/>
  <c r="L84" i="18" s="1"/>
  <c r="K84" i="18" a="1"/>
  <c r="K84" i="18" s="1"/>
  <c r="J84" i="18" a="1"/>
  <c r="J84" i="18" s="1"/>
  <c r="I84" i="18" a="1"/>
  <c r="I84" i="18" s="1"/>
  <c r="H84" i="18" a="1"/>
  <c r="H84" i="18" s="1"/>
  <c r="G84" i="18" a="1"/>
  <c r="G84" i="18" s="1"/>
  <c r="D84" i="18"/>
  <c r="BA84" i="18" a="1"/>
  <c r="BA84" i="18" s="1"/>
  <c r="BB84" i="18" s="1"/>
  <c r="AW84" i="18" a="1"/>
  <c r="AW84" i="18" s="1"/>
  <c r="AS84" i="18" a="1"/>
  <c r="AS84" i="18" s="1"/>
  <c r="AO84" i="18" a="1"/>
  <c r="AO84" i="18" s="1"/>
  <c r="AK84" i="18" a="1"/>
  <c r="AK84" i="18" s="1"/>
  <c r="AL84" i="18" s="1"/>
  <c r="AG84" i="18" a="1"/>
  <c r="AG84" i="18" s="1"/>
  <c r="BC88" i="18" a="1"/>
  <c r="BC88" i="18" s="1"/>
  <c r="AY88" i="18" a="1"/>
  <c r="AY88" i="18" s="1"/>
  <c r="AU88" i="18" a="1"/>
  <c r="AU88" i="18" s="1"/>
  <c r="AQ88" i="18" a="1"/>
  <c r="AQ88" i="18" s="1"/>
  <c r="AM88" i="18" a="1"/>
  <c r="AM88" i="18" s="1"/>
  <c r="AI88" i="18" a="1"/>
  <c r="AI88" i="18" s="1"/>
  <c r="AE88" i="18" a="1"/>
  <c r="AE88" i="18" s="1"/>
  <c r="AB88" i="18" a="1"/>
  <c r="AB88" i="18" s="1"/>
  <c r="AA88" i="18" a="1"/>
  <c r="AA88" i="18" s="1"/>
  <c r="Z88" i="18" a="1"/>
  <c r="Z88" i="18" s="1"/>
  <c r="Y88" i="18" a="1"/>
  <c r="Y88" i="18" s="1"/>
  <c r="X88" i="18" a="1"/>
  <c r="X88" i="18" s="1"/>
  <c r="W88" i="18" a="1"/>
  <c r="W88" i="18" s="1"/>
  <c r="V88" i="18" a="1"/>
  <c r="V88" i="18" s="1"/>
  <c r="U88" i="18" a="1"/>
  <c r="U88" i="18" s="1"/>
  <c r="T88" i="18" a="1"/>
  <c r="T88" i="18" s="1"/>
  <c r="S88" i="18" a="1"/>
  <c r="S88" i="18" s="1"/>
  <c r="R88" i="18" a="1"/>
  <c r="R88" i="18" s="1"/>
  <c r="Q88" i="18" a="1"/>
  <c r="Q88" i="18" s="1"/>
  <c r="P88" i="18" a="1"/>
  <c r="P88" i="18" s="1"/>
  <c r="O88" i="18" a="1"/>
  <c r="O88" i="18" s="1"/>
  <c r="N88" i="18" a="1"/>
  <c r="N88" i="18" s="1"/>
  <c r="M88" i="18" a="1"/>
  <c r="M88" i="18" s="1"/>
  <c r="L88" i="18" a="1"/>
  <c r="L88" i="18" s="1"/>
  <c r="K88" i="18" a="1"/>
  <c r="K88" i="18" s="1"/>
  <c r="J88" i="18" a="1"/>
  <c r="J88" i="18" s="1"/>
  <c r="I88" i="18" a="1"/>
  <c r="I88" i="18" s="1"/>
  <c r="H88" i="18" a="1"/>
  <c r="H88" i="18" s="1"/>
  <c r="G88" i="18" a="1"/>
  <c r="G88" i="18" s="1"/>
  <c r="D88" i="18"/>
  <c r="BA88" i="18" a="1"/>
  <c r="BA88" i="18" s="1"/>
  <c r="BB88" i="18" s="1"/>
  <c r="AW88" i="18" a="1"/>
  <c r="AW88" i="18" s="1"/>
  <c r="AS88" i="18" a="1"/>
  <c r="AS88" i="18" s="1"/>
  <c r="AO88" i="18" a="1"/>
  <c r="AO88" i="18" s="1"/>
  <c r="AK88" i="18" a="1"/>
  <c r="AK88" i="18" s="1"/>
  <c r="AL88" i="18" s="1"/>
  <c r="AG88" i="18" a="1"/>
  <c r="AG88" i="18" s="1"/>
  <c r="BC92" i="18" a="1"/>
  <c r="BC92" i="18" s="1"/>
  <c r="AY92" i="18" a="1"/>
  <c r="AY92" i="18" s="1"/>
  <c r="AU92" i="18" a="1"/>
  <c r="AU92" i="18" s="1"/>
  <c r="AQ92" i="18" a="1"/>
  <c r="AQ92" i="18" s="1"/>
  <c r="AM92" i="18" a="1"/>
  <c r="AM92" i="18" s="1"/>
  <c r="AI92" i="18" a="1"/>
  <c r="AI92" i="18" s="1"/>
  <c r="AE92" i="18" a="1"/>
  <c r="AE92" i="18" s="1"/>
  <c r="AB92" i="18" a="1"/>
  <c r="AB92" i="18" s="1"/>
  <c r="AA92" i="18" a="1"/>
  <c r="AA92" i="18" s="1"/>
  <c r="Z92" i="18" a="1"/>
  <c r="Z92" i="18" s="1"/>
  <c r="Y92" i="18" a="1"/>
  <c r="Y92" i="18" s="1"/>
  <c r="X92" i="18" a="1"/>
  <c r="X92" i="18" s="1"/>
  <c r="W92" i="18" a="1"/>
  <c r="W92" i="18" s="1"/>
  <c r="V92" i="18" a="1"/>
  <c r="V92" i="18" s="1"/>
  <c r="U92" i="18" a="1"/>
  <c r="U92" i="18" s="1"/>
  <c r="T92" i="18" a="1"/>
  <c r="T92" i="18" s="1"/>
  <c r="S92" i="18" a="1"/>
  <c r="S92" i="18" s="1"/>
  <c r="R92" i="18" a="1"/>
  <c r="R92" i="18" s="1"/>
  <c r="Q92" i="18" a="1"/>
  <c r="Q92" i="18" s="1"/>
  <c r="P92" i="18" a="1"/>
  <c r="P92" i="18" s="1"/>
  <c r="O92" i="18" a="1"/>
  <c r="O92" i="18" s="1"/>
  <c r="N92" i="18" a="1"/>
  <c r="N92" i="18" s="1"/>
  <c r="M92" i="18" a="1"/>
  <c r="M92" i="18" s="1"/>
  <c r="L92" i="18" a="1"/>
  <c r="L92" i="18" s="1"/>
  <c r="K92" i="18" a="1"/>
  <c r="K92" i="18" s="1"/>
  <c r="J92" i="18" a="1"/>
  <c r="J92" i="18" s="1"/>
  <c r="I92" i="18" a="1"/>
  <c r="I92" i="18" s="1"/>
  <c r="H92" i="18" a="1"/>
  <c r="H92" i="18" s="1"/>
  <c r="G92" i="18" a="1"/>
  <c r="G92" i="18" s="1"/>
  <c r="D92" i="18"/>
  <c r="BA92" i="18" a="1"/>
  <c r="BA92" i="18" s="1"/>
  <c r="BB92" i="18" s="1"/>
  <c r="AW92" i="18" a="1"/>
  <c r="AW92" i="18" s="1"/>
  <c r="AS92" i="18" a="1"/>
  <c r="AS92" i="18" s="1"/>
  <c r="AO92" i="18" a="1"/>
  <c r="AO92" i="18" s="1"/>
  <c r="AK92" i="18" a="1"/>
  <c r="AK92" i="18" s="1"/>
  <c r="AL92" i="18" s="1"/>
  <c r="AG92" i="18" a="1"/>
  <c r="AG92" i="18" s="1"/>
  <c r="BC96" i="18" a="1"/>
  <c r="BC96" i="18" s="1"/>
  <c r="AY96" i="18" a="1"/>
  <c r="AY96" i="18" s="1"/>
  <c r="AU96" i="18" a="1"/>
  <c r="AU96" i="18" s="1"/>
  <c r="AQ96" i="18" a="1"/>
  <c r="AQ96" i="18" s="1"/>
  <c r="AM96" i="18" a="1"/>
  <c r="AM96" i="18" s="1"/>
  <c r="AI96" i="18" a="1"/>
  <c r="AI96" i="18" s="1"/>
  <c r="AE96" i="18" a="1"/>
  <c r="AE96" i="18" s="1"/>
  <c r="AB96" i="18" a="1"/>
  <c r="AB96" i="18" s="1"/>
  <c r="AA96" i="18" a="1"/>
  <c r="AA96" i="18" s="1"/>
  <c r="Z96" i="18" a="1"/>
  <c r="Z96" i="18" s="1"/>
  <c r="Y96" i="18" a="1"/>
  <c r="Y96" i="18" s="1"/>
  <c r="X96" i="18" a="1"/>
  <c r="X96" i="18" s="1"/>
  <c r="W96" i="18" a="1"/>
  <c r="W96" i="18" s="1"/>
  <c r="V96" i="18" a="1"/>
  <c r="V96" i="18" s="1"/>
  <c r="U96" i="18" a="1"/>
  <c r="U96" i="18" s="1"/>
  <c r="T96" i="18" a="1"/>
  <c r="T96" i="18" s="1"/>
  <c r="S96" i="18" a="1"/>
  <c r="S96" i="18" s="1"/>
  <c r="R96" i="18" a="1"/>
  <c r="R96" i="18" s="1"/>
  <c r="Q96" i="18" a="1"/>
  <c r="Q96" i="18" s="1"/>
  <c r="P96" i="18" a="1"/>
  <c r="P96" i="18" s="1"/>
  <c r="O96" i="18" a="1"/>
  <c r="O96" i="18" s="1"/>
  <c r="N96" i="18" a="1"/>
  <c r="N96" i="18" s="1"/>
  <c r="M96" i="18" a="1"/>
  <c r="M96" i="18" s="1"/>
  <c r="L96" i="18" a="1"/>
  <c r="L96" i="18" s="1"/>
  <c r="K96" i="18" a="1"/>
  <c r="K96" i="18" s="1"/>
  <c r="J96" i="18" a="1"/>
  <c r="J96" i="18" s="1"/>
  <c r="I96" i="18" a="1"/>
  <c r="I96" i="18" s="1"/>
  <c r="H96" i="18" a="1"/>
  <c r="H96" i="18" s="1"/>
  <c r="G96" i="18" a="1"/>
  <c r="G96" i="18" s="1"/>
  <c r="D96" i="18"/>
  <c r="BA96" i="18" a="1"/>
  <c r="BA96" i="18" s="1"/>
  <c r="BB96" i="18" s="1"/>
  <c r="AW96" i="18" a="1"/>
  <c r="AW96" i="18" s="1"/>
  <c r="AS96" i="18" a="1"/>
  <c r="AS96" i="18" s="1"/>
  <c r="AO96" i="18" a="1"/>
  <c r="AO96" i="18" s="1"/>
  <c r="AK96" i="18" a="1"/>
  <c r="AK96" i="18" s="1"/>
  <c r="AL96" i="18" s="1"/>
  <c r="AG96" i="18" a="1"/>
  <c r="AG96" i="18" s="1"/>
  <c r="BC100" i="18" a="1"/>
  <c r="BC100" i="18" s="1"/>
  <c r="AY100" i="18" a="1"/>
  <c r="AY100" i="18" s="1"/>
  <c r="AU100" i="18" a="1"/>
  <c r="AU100" i="18" s="1"/>
  <c r="AQ100" i="18" a="1"/>
  <c r="AQ100" i="18" s="1"/>
  <c r="AM100" i="18" a="1"/>
  <c r="AM100" i="18" s="1"/>
  <c r="AI100" i="18" a="1"/>
  <c r="AI100" i="18" s="1"/>
  <c r="AE100" i="18" a="1"/>
  <c r="AE100" i="18" s="1"/>
  <c r="AB100" i="18" a="1"/>
  <c r="AB100" i="18" s="1"/>
  <c r="AA100" i="18" a="1"/>
  <c r="AA100" i="18" s="1"/>
  <c r="Z100" i="18" a="1"/>
  <c r="Z100" i="18" s="1"/>
  <c r="Y100" i="18" a="1"/>
  <c r="Y100" i="18" s="1"/>
  <c r="X100" i="18" a="1"/>
  <c r="X100" i="18" s="1"/>
  <c r="W100" i="18" a="1"/>
  <c r="W100" i="18" s="1"/>
  <c r="V100" i="18" a="1"/>
  <c r="V100" i="18" s="1"/>
  <c r="U100" i="18" a="1"/>
  <c r="U100" i="18" s="1"/>
  <c r="T100" i="18" a="1"/>
  <c r="T100" i="18" s="1"/>
  <c r="S100" i="18" a="1"/>
  <c r="S100" i="18" s="1"/>
  <c r="R100" i="18" a="1"/>
  <c r="R100" i="18" s="1"/>
  <c r="Q100" i="18" a="1"/>
  <c r="Q100" i="18" s="1"/>
  <c r="P100" i="18" a="1"/>
  <c r="P100" i="18" s="1"/>
  <c r="O100" i="18" a="1"/>
  <c r="O100" i="18" s="1"/>
  <c r="N100" i="18" a="1"/>
  <c r="N100" i="18" s="1"/>
  <c r="M100" i="18" a="1"/>
  <c r="M100" i="18" s="1"/>
  <c r="L100" i="18" a="1"/>
  <c r="L100" i="18" s="1"/>
  <c r="K100" i="18" a="1"/>
  <c r="K100" i="18" s="1"/>
  <c r="J100" i="18" a="1"/>
  <c r="J100" i="18" s="1"/>
  <c r="I100" i="18" a="1"/>
  <c r="I100" i="18" s="1"/>
  <c r="H100" i="18" a="1"/>
  <c r="H100" i="18" s="1"/>
  <c r="G100" i="18" a="1"/>
  <c r="G100" i="18" s="1"/>
  <c r="D100" i="18"/>
  <c r="BA100" i="18" a="1"/>
  <c r="BA100" i="18" s="1"/>
  <c r="BB100" i="18" s="1"/>
  <c r="AW100" i="18" a="1"/>
  <c r="AW100" i="18" s="1"/>
  <c r="AS100" i="18" a="1"/>
  <c r="AS100" i="18" s="1"/>
  <c r="AO100" i="18" a="1"/>
  <c r="AO100" i="18" s="1"/>
  <c r="AK100" i="18" a="1"/>
  <c r="AK100" i="18" s="1"/>
  <c r="AL100" i="18" s="1"/>
  <c r="AG100" i="18" a="1"/>
  <c r="AG100" i="18" s="1"/>
  <c r="BC104" i="18" a="1"/>
  <c r="BC104" i="18" s="1"/>
  <c r="AY104" i="18" a="1"/>
  <c r="AY104" i="18" s="1"/>
  <c r="AU104" i="18" a="1"/>
  <c r="AU104" i="18" s="1"/>
  <c r="AQ104" i="18" a="1"/>
  <c r="AQ104" i="18" s="1"/>
  <c r="AM104" i="18" a="1"/>
  <c r="AM104" i="18" s="1"/>
  <c r="AI104" i="18" a="1"/>
  <c r="AI104" i="18" s="1"/>
  <c r="AE104" i="18" a="1"/>
  <c r="AE104" i="18" s="1"/>
  <c r="AB104" i="18" a="1"/>
  <c r="AB104" i="18" s="1"/>
  <c r="AA104" i="18" a="1"/>
  <c r="AA104" i="18" s="1"/>
  <c r="Z104" i="18" a="1"/>
  <c r="Z104" i="18" s="1"/>
  <c r="Y104" i="18" a="1"/>
  <c r="Y104" i="18" s="1"/>
  <c r="X104" i="18" a="1"/>
  <c r="X104" i="18" s="1"/>
  <c r="W104" i="18" a="1"/>
  <c r="W104" i="18" s="1"/>
  <c r="V104" i="18" a="1"/>
  <c r="V104" i="18" s="1"/>
  <c r="U104" i="18" a="1"/>
  <c r="U104" i="18" s="1"/>
  <c r="T104" i="18" a="1"/>
  <c r="T104" i="18" s="1"/>
  <c r="S104" i="18" a="1"/>
  <c r="S104" i="18" s="1"/>
  <c r="R104" i="18" a="1"/>
  <c r="R104" i="18" s="1"/>
  <c r="Q104" i="18" a="1"/>
  <c r="Q104" i="18" s="1"/>
  <c r="P104" i="18" a="1"/>
  <c r="P104" i="18" s="1"/>
  <c r="O104" i="18" a="1"/>
  <c r="O104" i="18" s="1"/>
  <c r="N104" i="18" a="1"/>
  <c r="N104" i="18" s="1"/>
  <c r="M104" i="18" a="1"/>
  <c r="M104" i="18" s="1"/>
  <c r="L104" i="18" a="1"/>
  <c r="L104" i="18" s="1"/>
  <c r="K104" i="18" a="1"/>
  <c r="K104" i="18" s="1"/>
  <c r="J104" i="18" a="1"/>
  <c r="J104" i="18" s="1"/>
  <c r="I104" i="18" a="1"/>
  <c r="I104" i="18" s="1"/>
  <c r="H104" i="18" a="1"/>
  <c r="H104" i="18" s="1"/>
  <c r="G104" i="18" a="1"/>
  <c r="G104" i="18" s="1"/>
  <c r="D104" i="18"/>
  <c r="BA104" i="18" a="1"/>
  <c r="BA104" i="18" s="1"/>
  <c r="BB104" i="18" s="1"/>
  <c r="AW104" i="18" a="1"/>
  <c r="AW104" i="18" s="1"/>
  <c r="AS104" i="18" a="1"/>
  <c r="AS104" i="18" s="1"/>
  <c r="AO104" i="18" a="1"/>
  <c r="AO104" i="18" s="1"/>
  <c r="AK104" i="18" a="1"/>
  <c r="AK104" i="18" s="1"/>
  <c r="AL104" i="18" s="1"/>
  <c r="AG104" i="18" a="1"/>
  <c r="AG104" i="18" s="1"/>
  <c r="BC108" i="18" a="1"/>
  <c r="BC108" i="18" s="1"/>
  <c r="AY108" i="18" a="1"/>
  <c r="AY108" i="18" s="1"/>
  <c r="AU108" i="18" a="1"/>
  <c r="AU108" i="18" s="1"/>
  <c r="AQ108" i="18" a="1"/>
  <c r="AQ108" i="18" s="1"/>
  <c r="AM108" i="18" a="1"/>
  <c r="AM108" i="18" s="1"/>
  <c r="AI108" i="18" a="1"/>
  <c r="AI108" i="18" s="1"/>
  <c r="AE108" i="18" a="1"/>
  <c r="AE108" i="18" s="1"/>
  <c r="AB108" i="18" a="1"/>
  <c r="AB108" i="18" s="1"/>
  <c r="AA108" i="18" a="1"/>
  <c r="AA108" i="18" s="1"/>
  <c r="Z108" i="18" a="1"/>
  <c r="Z108" i="18" s="1"/>
  <c r="Y108" i="18" a="1"/>
  <c r="Y108" i="18" s="1"/>
  <c r="X108" i="18" a="1"/>
  <c r="X108" i="18" s="1"/>
  <c r="W108" i="18" a="1"/>
  <c r="W108" i="18" s="1"/>
  <c r="V108" i="18" a="1"/>
  <c r="V108" i="18" s="1"/>
  <c r="U108" i="18" a="1"/>
  <c r="U108" i="18" s="1"/>
  <c r="T108" i="18" a="1"/>
  <c r="T108" i="18" s="1"/>
  <c r="S108" i="18" a="1"/>
  <c r="S108" i="18" s="1"/>
  <c r="R108" i="18" a="1"/>
  <c r="R108" i="18" s="1"/>
  <c r="Q108" i="18" a="1"/>
  <c r="Q108" i="18" s="1"/>
  <c r="P108" i="18" a="1"/>
  <c r="P108" i="18" s="1"/>
  <c r="O108" i="18" a="1"/>
  <c r="O108" i="18" s="1"/>
  <c r="N108" i="18" a="1"/>
  <c r="N108" i="18" s="1"/>
  <c r="M108" i="18" a="1"/>
  <c r="M108" i="18" s="1"/>
  <c r="L108" i="18" a="1"/>
  <c r="L108" i="18" s="1"/>
  <c r="K108" i="18" a="1"/>
  <c r="K108" i="18" s="1"/>
  <c r="J108" i="18" a="1"/>
  <c r="J108" i="18" s="1"/>
  <c r="I108" i="18" a="1"/>
  <c r="I108" i="18" s="1"/>
  <c r="H108" i="18" a="1"/>
  <c r="H108" i="18" s="1"/>
  <c r="G108" i="18" a="1"/>
  <c r="G108" i="18" s="1"/>
  <c r="D108" i="18"/>
  <c r="BA108" i="18" a="1"/>
  <c r="BA108" i="18" s="1"/>
  <c r="BB108" i="18" s="1"/>
  <c r="AW108" i="18" a="1"/>
  <c r="AW108" i="18" s="1"/>
  <c r="AS108" i="18" a="1"/>
  <c r="AS108" i="18" s="1"/>
  <c r="AO108" i="18" a="1"/>
  <c r="AO108" i="18" s="1"/>
  <c r="AK108" i="18" a="1"/>
  <c r="AK108" i="18" s="1"/>
  <c r="AL108" i="18" s="1"/>
  <c r="AG108" i="18" a="1"/>
  <c r="AG108" i="18" s="1"/>
  <c r="BC113" i="18" a="1"/>
  <c r="BC113" i="18" s="1"/>
  <c r="AY113" i="18" a="1"/>
  <c r="AY113" i="18" s="1"/>
  <c r="AU113" i="18" a="1"/>
  <c r="AU113" i="18" s="1"/>
  <c r="AQ113" i="18" a="1"/>
  <c r="AQ113" i="18" s="1"/>
  <c r="AM113" i="18" a="1"/>
  <c r="AM113" i="18" s="1"/>
  <c r="AI113" i="18" a="1"/>
  <c r="AI113" i="18" s="1"/>
  <c r="AE113" i="18" a="1"/>
  <c r="AE113" i="18" s="1"/>
  <c r="AB113" i="18" a="1"/>
  <c r="AB113" i="18" s="1"/>
  <c r="AA113" i="18" a="1"/>
  <c r="AA113" i="18" s="1"/>
  <c r="Z113" i="18" a="1"/>
  <c r="Z113" i="18" s="1"/>
  <c r="Y113" i="18" a="1"/>
  <c r="Y113" i="18" s="1"/>
  <c r="X113" i="18" a="1"/>
  <c r="X113" i="18" s="1"/>
  <c r="W113" i="18" a="1"/>
  <c r="W113" i="18" s="1"/>
  <c r="V113" i="18" a="1"/>
  <c r="V113" i="18" s="1"/>
  <c r="U113" i="18" a="1"/>
  <c r="U113" i="18" s="1"/>
  <c r="T113" i="18" a="1"/>
  <c r="T113" i="18" s="1"/>
  <c r="S113" i="18" a="1"/>
  <c r="S113" i="18" s="1"/>
  <c r="R113" i="18" a="1"/>
  <c r="R113" i="18" s="1"/>
  <c r="Q113" i="18" a="1"/>
  <c r="Q113" i="18" s="1"/>
  <c r="P113" i="18" a="1"/>
  <c r="P113" i="18" s="1"/>
  <c r="O113" i="18" a="1"/>
  <c r="O113" i="18" s="1"/>
  <c r="N113" i="18" a="1"/>
  <c r="N113" i="18" s="1"/>
  <c r="M113" i="18" a="1"/>
  <c r="M113" i="18" s="1"/>
  <c r="L113" i="18" a="1"/>
  <c r="L113" i="18" s="1"/>
  <c r="K113" i="18" a="1"/>
  <c r="K113" i="18" s="1"/>
  <c r="J113" i="18" a="1"/>
  <c r="J113" i="18" s="1"/>
  <c r="I113" i="18" a="1"/>
  <c r="I113" i="18" s="1"/>
  <c r="H113" i="18" a="1"/>
  <c r="H113" i="18" s="1"/>
  <c r="G113" i="18" a="1"/>
  <c r="G113" i="18" s="1"/>
  <c r="D113" i="18"/>
  <c r="BA113" i="18" a="1"/>
  <c r="BA113" i="18" s="1"/>
  <c r="BB113" i="18" s="1"/>
  <c r="AW113" i="18" a="1"/>
  <c r="AW113" i="18" s="1"/>
  <c r="AS113" i="18" a="1"/>
  <c r="AS113" i="18" s="1"/>
  <c r="AO113" i="18" a="1"/>
  <c r="AO113" i="18" s="1"/>
  <c r="AK113" i="18" a="1"/>
  <c r="AK113" i="18" s="1"/>
  <c r="AL113" i="18" s="1"/>
  <c r="AG113" i="18" a="1"/>
  <c r="AG113" i="18" s="1"/>
  <c r="BC117" i="18" a="1"/>
  <c r="BC117" i="18" s="1"/>
  <c r="AY117" i="18" a="1"/>
  <c r="AY117" i="18" s="1"/>
  <c r="AU117" i="18" a="1"/>
  <c r="AU117" i="18" s="1"/>
  <c r="AQ117" i="18" a="1"/>
  <c r="AQ117" i="18" s="1"/>
  <c r="AM117" i="18" a="1"/>
  <c r="AM117" i="18" s="1"/>
  <c r="AI117" i="18" a="1"/>
  <c r="AI117" i="18" s="1"/>
  <c r="AE117" i="18" a="1"/>
  <c r="AE117" i="18" s="1"/>
  <c r="AB117" i="18" a="1"/>
  <c r="AB117" i="18" s="1"/>
  <c r="AA117" i="18" a="1"/>
  <c r="AA117" i="18" s="1"/>
  <c r="Z117" i="18" a="1"/>
  <c r="Z117" i="18" s="1"/>
  <c r="Y117" i="18" a="1"/>
  <c r="Y117" i="18" s="1"/>
  <c r="X117" i="18" a="1"/>
  <c r="X117" i="18" s="1"/>
  <c r="W117" i="18" a="1"/>
  <c r="W117" i="18" s="1"/>
  <c r="V117" i="18" a="1"/>
  <c r="V117" i="18" s="1"/>
  <c r="U117" i="18" a="1"/>
  <c r="U117" i="18" s="1"/>
  <c r="T117" i="18" a="1"/>
  <c r="T117" i="18" s="1"/>
  <c r="S117" i="18" a="1"/>
  <c r="S117" i="18" s="1"/>
  <c r="R117" i="18" a="1"/>
  <c r="R117" i="18" s="1"/>
  <c r="Q117" i="18" a="1"/>
  <c r="Q117" i="18" s="1"/>
  <c r="P117" i="18" a="1"/>
  <c r="P117" i="18" s="1"/>
  <c r="O117" i="18" a="1"/>
  <c r="O117" i="18" s="1"/>
  <c r="N117" i="18" a="1"/>
  <c r="N117" i="18" s="1"/>
  <c r="M117" i="18" a="1"/>
  <c r="M117" i="18" s="1"/>
  <c r="L117" i="18" a="1"/>
  <c r="L117" i="18" s="1"/>
  <c r="K117" i="18" a="1"/>
  <c r="K117" i="18" s="1"/>
  <c r="J117" i="18" a="1"/>
  <c r="J117" i="18" s="1"/>
  <c r="I117" i="18" a="1"/>
  <c r="I117" i="18" s="1"/>
  <c r="H117" i="18" a="1"/>
  <c r="H117" i="18" s="1"/>
  <c r="G117" i="18" a="1"/>
  <c r="G117" i="18" s="1"/>
  <c r="D117" i="18"/>
  <c r="BA117" i="18" a="1"/>
  <c r="BA117" i="18" s="1"/>
  <c r="BB117" i="18" s="1"/>
  <c r="AW117" i="18" a="1"/>
  <c r="AW117" i="18" s="1"/>
  <c r="AS117" i="18" a="1"/>
  <c r="AS117" i="18" s="1"/>
  <c r="AO117" i="18" a="1"/>
  <c r="AO117" i="18" s="1"/>
  <c r="AK117" i="18" a="1"/>
  <c r="AK117" i="18" s="1"/>
  <c r="AL117" i="18" s="1"/>
  <c r="AG117" i="18" a="1"/>
  <c r="AG117" i="18" s="1"/>
  <c r="BC121" i="18" a="1"/>
  <c r="BC121" i="18" s="1"/>
  <c r="AY121" i="18" a="1"/>
  <c r="AY121" i="18" s="1"/>
  <c r="AU121" i="18" a="1"/>
  <c r="AU121" i="18" s="1"/>
  <c r="AQ121" i="18" a="1"/>
  <c r="AQ121" i="18" s="1"/>
  <c r="AM121" i="18" a="1"/>
  <c r="AM121" i="18" s="1"/>
  <c r="AI121" i="18" a="1"/>
  <c r="AI121" i="18" s="1"/>
  <c r="AE121" i="18" a="1"/>
  <c r="AE121" i="18" s="1"/>
  <c r="AB121" i="18" a="1"/>
  <c r="AB121" i="18" s="1"/>
  <c r="AA121" i="18" a="1"/>
  <c r="AA121" i="18" s="1"/>
  <c r="Z121" i="18" a="1"/>
  <c r="Z121" i="18" s="1"/>
  <c r="Y121" i="18" a="1"/>
  <c r="Y121" i="18" s="1"/>
  <c r="X121" i="18" a="1"/>
  <c r="X121" i="18" s="1"/>
  <c r="W121" i="18" a="1"/>
  <c r="W121" i="18" s="1"/>
  <c r="V121" i="18" a="1"/>
  <c r="V121" i="18" s="1"/>
  <c r="U121" i="18" a="1"/>
  <c r="U121" i="18" s="1"/>
  <c r="T121" i="18" a="1"/>
  <c r="T121" i="18" s="1"/>
  <c r="S121" i="18" a="1"/>
  <c r="S121" i="18" s="1"/>
  <c r="R121" i="18" a="1"/>
  <c r="R121" i="18" s="1"/>
  <c r="Q121" i="18" a="1"/>
  <c r="Q121" i="18" s="1"/>
  <c r="P121" i="18" a="1"/>
  <c r="P121" i="18" s="1"/>
  <c r="O121" i="18" a="1"/>
  <c r="O121" i="18" s="1"/>
  <c r="N121" i="18" a="1"/>
  <c r="N121" i="18" s="1"/>
  <c r="M121" i="18" a="1"/>
  <c r="M121" i="18" s="1"/>
  <c r="L121" i="18" a="1"/>
  <c r="L121" i="18" s="1"/>
  <c r="K121" i="18" a="1"/>
  <c r="K121" i="18" s="1"/>
  <c r="J121" i="18" a="1"/>
  <c r="J121" i="18" s="1"/>
  <c r="I121" i="18" a="1"/>
  <c r="I121" i="18" s="1"/>
  <c r="H121" i="18" a="1"/>
  <c r="H121" i="18" s="1"/>
  <c r="G121" i="18" a="1"/>
  <c r="G121" i="18" s="1"/>
  <c r="D121" i="18"/>
  <c r="BA121" i="18" a="1"/>
  <c r="BA121" i="18" s="1"/>
  <c r="BB121" i="18" s="1"/>
  <c r="AW121" i="18" a="1"/>
  <c r="AW121" i="18" s="1"/>
  <c r="AS121" i="18" a="1"/>
  <c r="AS121" i="18" s="1"/>
  <c r="AO121" i="18" a="1"/>
  <c r="AO121" i="18" s="1"/>
  <c r="AK121" i="18" a="1"/>
  <c r="AK121" i="18" s="1"/>
  <c r="AL121" i="18" s="1"/>
  <c r="AG121" i="18" a="1"/>
  <c r="AG121" i="18" s="1"/>
  <c r="BC125" i="18" a="1"/>
  <c r="BC125" i="18" s="1"/>
  <c r="AY125" i="18" a="1"/>
  <c r="AY125" i="18" s="1"/>
  <c r="AU125" i="18" a="1"/>
  <c r="AU125" i="18" s="1"/>
  <c r="AQ125" i="18" a="1"/>
  <c r="AQ125" i="18" s="1"/>
  <c r="AM125" i="18" a="1"/>
  <c r="AM125" i="18" s="1"/>
  <c r="AI125" i="18" a="1"/>
  <c r="AI125" i="18" s="1"/>
  <c r="AE125" i="18" a="1"/>
  <c r="AE125" i="18" s="1"/>
  <c r="AB125" i="18" a="1"/>
  <c r="AB125" i="18" s="1"/>
  <c r="AA125" i="18" a="1"/>
  <c r="AA125" i="18" s="1"/>
  <c r="Z125" i="18" a="1"/>
  <c r="Z125" i="18" s="1"/>
  <c r="Y125" i="18" a="1"/>
  <c r="Y125" i="18" s="1"/>
  <c r="X125" i="18" a="1"/>
  <c r="X125" i="18" s="1"/>
  <c r="W125" i="18" a="1"/>
  <c r="W125" i="18" s="1"/>
  <c r="V125" i="18" a="1"/>
  <c r="V125" i="18" s="1"/>
  <c r="U125" i="18" a="1"/>
  <c r="U125" i="18" s="1"/>
  <c r="T125" i="18" a="1"/>
  <c r="T125" i="18" s="1"/>
  <c r="S125" i="18" a="1"/>
  <c r="S125" i="18" s="1"/>
  <c r="R125" i="18" a="1"/>
  <c r="R125" i="18" s="1"/>
  <c r="Q125" i="18" a="1"/>
  <c r="Q125" i="18" s="1"/>
  <c r="P125" i="18" a="1"/>
  <c r="P125" i="18" s="1"/>
  <c r="O125" i="18" a="1"/>
  <c r="O125" i="18" s="1"/>
  <c r="N125" i="18" a="1"/>
  <c r="N125" i="18" s="1"/>
  <c r="M125" i="18" a="1"/>
  <c r="M125" i="18" s="1"/>
  <c r="L125" i="18" a="1"/>
  <c r="L125" i="18" s="1"/>
  <c r="K125" i="18" a="1"/>
  <c r="K125" i="18" s="1"/>
  <c r="J125" i="18" a="1"/>
  <c r="J125" i="18" s="1"/>
  <c r="I125" i="18" a="1"/>
  <c r="I125" i="18" s="1"/>
  <c r="H125" i="18" a="1"/>
  <c r="H125" i="18" s="1"/>
  <c r="G125" i="18" a="1"/>
  <c r="G125" i="18" s="1"/>
  <c r="D125" i="18"/>
  <c r="BA125" i="18" a="1"/>
  <c r="BA125" i="18" s="1"/>
  <c r="BB125" i="18" s="1"/>
  <c r="AW125" i="18" a="1"/>
  <c r="AW125" i="18" s="1"/>
  <c r="AS125" i="18" a="1"/>
  <c r="AS125" i="18" s="1"/>
  <c r="AO125" i="18" a="1"/>
  <c r="AO125" i="18" s="1"/>
  <c r="AK125" i="18" a="1"/>
  <c r="AK125" i="18" s="1"/>
  <c r="AL125" i="18" s="1"/>
  <c r="AG125" i="18" a="1"/>
  <c r="AG125" i="18" s="1"/>
  <c r="BC129" i="18" a="1"/>
  <c r="BC129" i="18" s="1"/>
  <c r="AY129" i="18" a="1"/>
  <c r="AY129" i="18" s="1"/>
  <c r="AU129" i="18" a="1"/>
  <c r="AU129" i="18" s="1"/>
  <c r="AQ129" i="18" a="1"/>
  <c r="AQ129" i="18" s="1"/>
  <c r="AM129" i="18" a="1"/>
  <c r="AM129" i="18" s="1"/>
  <c r="AI129" i="18" a="1"/>
  <c r="AI129" i="18" s="1"/>
  <c r="AE129" i="18" a="1"/>
  <c r="AE129" i="18" s="1"/>
  <c r="AB129" i="18" a="1"/>
  <c r="AB129" i="18" s="1"/>
  <c r="AA129" i="18" a="1"/>
  <c r="AA129" i="18" s="1"/>
  <c r="Z129" i="18" a="1"/>
  <c r="Z129" i="18" s="1"/>
  <c r="Y129" i="18" a="1"/>
  <c r="Y129" i="18" s="1"/>
  <c r="X129" i="18" a="1"/>
  <c r="X129" i="18" s="1"/>
  <c r="W129" i="18" a="1"/>
  <c r="W129" i="18" s="1"/>
  <c r="V129" i="18" a="1"/>
  <c r="V129" i="18" s="1"/>
  <c r="U129" i="18" a="1"/>
  <c r="U129" i="18" s="1"/>
  <c r="T129" i="18" a="1"/>
  <c r="T129" i="18" s="1"/>
  <c r="S129" i="18" a="1"/>
  <c r="S129" i="18" s="1"/>
  <c r="R129" i="18" a="1"/>
  <c r="R129" i="18" s="1"/>
  <c r="Q129" i="18" a="1"/>
  <c r="Q129" i="18" s="1"/>
  <c r="P129" i="18" a="1"/>
  <c r="P129" i="18" s="1"/>
  <c r="O129" i="18" a="1"/>
  <c r="O129" i="18" s="1"/>
  <c r="N129" i="18" a="1"/>
  <c r="N129" i="18" s="1"/>
  <c r="M129" i="18" a="1"/>
  <c r="M129" i="18" s="1"/>
  <c r="L129" i="18" a="1"/>
  <c r="L129" i="18" s="1"/>
  <c r="K129" i="18" a="1"/>
  <c r="K129" i="18" s="1"/>
  <c r="J129" i="18" a="1"/>
  <c r="J129" i="18" s="1"/>
  <c r="I129" i="18" a="1"/>
  <c r="I129" i="18" s="1"/>
  <c r="H129" i="18" a="1"/>
  <c r="H129" i="18" s="1"/>
  <c r="G129" i="18" a="1"/>
  <c r="G129" i="18" s="1"/>
  <c r="D129" i="18"/>
  <c r="BA129" i="18" a="1"/>
  <c r="BA129" i="18" s="1"/>
  <c r="BB129" i="18" s="1"/>
  <c r="AW129" i="18" a="1"/>
  <c r="AW129" i="18" s="1"/>
  <c r="AS129" i="18" a="1"/>
  <c r="AS129" i="18" s="1"/>
  <c r="AO129" i="18" a="1"/>
  <c r="AO129" i="18" s="1"/>
  <c r="AK129" i="18" a="1"/>
  <c r="AK129" i="18" s="1"/>
  <c r="AL129" i="18" s="1"/>
  <c r="AG129" i="18" a="1"/>
  <c r="AG129" i="18" s="1"/>
  <c r="BC133" i="18" a="1"/>
  <c r="BC133" i="18" s="1"/>
  <c r="AY133" i="18" a="1"/>
  <c r="AY133" i="18" s="1"/>
  <c r="AU133" i="18" a="1"/>
  <c r="AU133" i="18" s="1"/>
  <c r="AQ133" i="18" a="1"/>
  <c r="AQ133" i="18" s="1"/>
  <c r="AM133" i="18" a="1"/>
  <c r="AM133" i="18" s="1"/>
  <c r="AI133" i="18" a="1"/>
  <c r="AI133" i="18" s="1"/>
  <c r="AE133" i="18" a="1"/>
  <c r="AE133" i="18" s="1"/>
  <c r="AB133" i="18" a="1"/>
  <c r="AB133" i="18" s="1"/>
  <c r="AA133" i="18" a="1"/>
  <c r="AA133" i="18" s="1"/>
  <c r="Z133" i="18" a="1"/>
  <c r="Z133" i="18" s="1"/>
  <c r="Y133" i="18" a="1"/>
  <c r="Y133" i="18" s="1"/>
  <c r="X133" i="18" a="1"/>
  <c r="X133" i="18" s="1"/>
  <c r="W133" i="18" a="1"/>
  <c r="W133" i="18" s="1"/>
  <c r="V133" i="18" a="1"/>
  <c r="V133" i="18" s="1"/>
  <c r="U133" i="18" a="1"/>
  <c r="U133" i="18" s="1"/>
  <c r="T133" i="18" a="1"/>
  <c r="T133" i="18" s="1"/>
  <c r="S133" i="18" a="1"/>
  <c r="S133" i="18" s="1"/>
  <c r="R133" i="18" a="1"/>
  <c r="R133" i="18" s="1"/>
  <c r="Q133" i="18" a="1"/>
  <c r="Q133" i="18" s="1"/>
  <c r="P133" i="18" a="1"/>
  <c r="P133" i="18" s="1"/>
  <c r="O133" i="18" a="1"/>
  <c r="O133" i="18" s="1"/>
  <c r="N133" i="18" a="1"/>
  <c r="N133" i="18" s="1"/>
  <c r="M133" i="18" a="1"/>
  <c r="M133" i="18" s="1"/>
  <c r="L133" i="18" a="1"/>
  <c r="L133" i="18" s="1"/>
  <c r="K133" i="18" a="1"/>
  <c r="K133" i="18" s="1"/>
  <c r="J133" i="18" a="1"/>
  <c r="J133" i="18" s="1"/>
  <c r="I133" i="18" a="1"/>
  <c r="I133" i="18" s="1"/>
  <c r="H133" i="18" a="1"/>
  <c r="H133" i="18" s="1"/>
  <c r="G133" i="18" a="1"/>
  <c r="G133" i="18" s="1"/>
  <c r="D133" i="18"/>
  <c r="BA133" i="18" a="1"/>
  <c r="BA133" i="18" s="1"/>
  <c r="BB133" i="18" s="1"/>
  <c r="AW133" i="18" a="1"/>
  <c r="AW133" i="18" s="1"/>
  <c r="AS133" i="18" a="1"/>
  <c r="AS133" i="18" s="1"/>
  <c r="AO133" i="18" a="1"/>
  <c r="AO133" i="18" s="1"/>
  <c r="AK133" i="18" a="1"/>
  <c r="AK133" i="18" s="1"/>
  <c r="AL133" i="18" s="1"/>
  <c r="AG133" i="18" a="1"/>
  <c r="AG133" i="18" s="1"/>
  <c r="BC137" i="18" a="1"/>
  <c r="BC137" i="18" s="1"/>
  <c r="AY137" i="18" a="1"/>
  <c r="AY137" i="18" s="1"/>
  <c r="AU137" i="18" a="1"/>
  <c r="AU137" i="18" s="1"/>
  <c r="AQ137" i="18" a="1"/>
  <c r="AQ137" i="18" s="1"/>
  <c r="AM137" i="18" a="1"/>
  <c r="AM137" i="18" s="1"/>
  <c r="AI137" i="18" a="1"/>
  <c r="AI137" i="18" s="1"/>
  <c r="AE137" i="18" a="1"/>
  <c r="AE137" i="18" s="1"/>
  <c r="AB137" i="18" a="1"/>
  <c r="AB137" i="18" s="1"/>
  <c r="AA137" i="18" a="1"/>
  <c r="AA137" i="18" s="1"/>
  <c r="Z137" i="18" a="1"/>
  <c r="Z137" i="18" s="1"/>
  <c r="Y137" i="18" a="1"/>
  <c r="Y137" i="18" s="1"/>
  <c r="X137" i="18" a="1"/>
  <c r="X137" i="18" s="1"/>
  <c r="W137" i="18" a="1"/>
  <c r="W137" i="18" s="1"/>
  <c r="V137" i="18" a="1"/>
  <c r="V137" i="18" s="1"/>
  <c r="U137" i="18" a="1"/>
  <c r="U137" i="18" s="1"/>
  <c r="T137" i="18" a="1"/>
  <c r="T137" i="18" s="1"/>
  <c r="S137" i="18" a="1"/>
  <c r="S137" i="18" s="1"/>
  <c r="R137" i="18" a="1"/>
  <c r="R137" i="18" s="1"/>
  <c r="Q137" i="18" a="1"/>
  <c r="Q137" i="18" s="1"/>
  <c r="P137" i="18" a="1"/>
  <c r="P137" i="18" s="1"/>
  <c r="O137" i="18" a="1"/>
  <c r="O137" i="18" s="1"/>
  <c r="N137" i="18" a="1"/>
  <c r="N137" i="18" s="1"/>
  <c r="M137" i="18" a="1"/>
  <c r="M137" i="18" s="1"/>
  <c r="L137" i="18" a="1"/>
  <c r="L137" i="18" s="1"/>
  <c r="K137" i="18" a="1"/>
  <c r="K137" i="18" s="1"/>
  <c r="J137" i="18" a="1"/>
  <c r="J137" i="18" s="1"/>
  <c r="I137" i="18" a="1"/>
  <c r="I137" i="18" s="1"/>
  <c r="H137" i="18" a="1"/>
  <c r="H137" i="18" s="1"/>
  <c r="G137" i="18" a="1"/>
  <c r="G137" i="18" s="1"/>
  <c r="D137" i="18"/>
  <c r="BA137" i="18" a="1"/>
  <c r="BA137" i="18" s="1"/>
  <c r="BB137" i="18" s="1"/>
  <c r="AW137" i="18" a="1"/>
  <c r="AW137" i="18" s="1"/>
  <c r="AS137" i="18" a="1"/>
  <c r="AS137" i="18" s="1"/>
  <c r="AO137" i="18" a="1"/>
  <c r="AO137" i="18" s="1"/>
  <c r="AK137" i="18" a="1"/>
  <c r="AK137" i="18" s="1"/>
  <c r="AL137" i="18" s="1"/>
  <c r="AG137" i="18" a="1"/>
  <c r="AG137" i="18" s="1"/>
  <c r="BC141" i="18" a="1"/>
  <c r="BC141" i="18" s="1"/>
  <c r="AY141" i="18" a="1"/>
  <c r="AY141" i="18" s="1"/>
  <c r="AU141" i="18" a="1"/>
  <c r="AU141" i="18" s="1"/>
  <c r="AQ141" i="18" a="1"/>
  <c r="AQ141" i="18" s="1"/>
  <c r="AM141" i="18" a="1"/>
  <c r="AM141" i="18" s="1"/>
  <c r="AI141" i="18" a="1"/>
  <c r="AI141" i="18" s="1"/>
  <c r="AE141" i="18" a="1"/>
  <c r="AE141" i="18" s="1"/>
  <c r="AB141" i="18" a="1"/>
  <c r="AB141" i="18" s="1"/>
  <c r="AA141" i="18" a="1"/>
  <c r="AA141" i="18" s="1"/>
  <c r="Z141" i="18" a="1"/>
  <c r="Z141" i="18" s="1"/>
  <c r="Y141" i="18" a="1"/>
  <c r="Y141" i="18" s="1"/>
  <c r="X141" i="18" a="1"/>
  <c r="X141" i="18" s="1"/>
  <c r="W141" i="18" a="1"/>
  <c r="W141" i="18" s="1"/>
  <c r="V141" i="18" a="1"/>
  <c r="V141" i="18" s="1"/>
  <c r="U141" i="18" a="1"/>
  <c r="U141" i="18" s="1"/>
  <c r="T141" i="18" a="1"/>
  <c r="T141" i="18" s="1"/>
  <c r="S141" i="18" a="1"/>
  <c r="S141" i="18" s="1"/>
  <c r="R141" i="18" a="1"/>
  <c r="R141" i="18" s="1"/>
  <c r="Q141" i="18" a="1"/>
  <c r="Q141" i="18" s="1"/>
  <c r="P141" i="18" a="1"/>
  <c r="P141" i="18" s="1"/>
  <c r="O141" i="18" a="1"/>
  <c r="O141" i="18" s="1"/>
  <c r="N141" i="18" a="1"/>
  <c r="N141" i="18" s="1"/>
  <c r="M141" i="18" a="1"/>
  <c r="M141" i="18" s="1"/>
  <c r="L141" i="18" a="1"/>
  <c r="L141" i="18" s="1"/>
  <c r="K141" i="18" a="1"/>
  <c r="K141" i="18" s="1"/>
  <c r="J141" i="18" a="1"/>
  <c r="J141" i="18" s="1"/>
  <c r="I141" i="18" a="1"/>
  <c r="I141" i="18" s="1"/>
  <c r="H141" i="18" a="1"/>
  <c r="H141" i="18" s="1"/>
  <c r="G141" i="18" a="1"/>
  <c r="G141" i="18" s="1"/>
  <c r="D141" i="18"/>
  <c r="BA141" i="18" a="1"/>
  <c r="BA141" i="18" s="1"/>
  <c r="BB141" i="18" s="1"/>
  <c r="AW141" i="18" a="1"/>
  <c r="AW141" i="18" s="1"/>
  <c r="AS141" i="18" a="1"/>
  <c r="AS141" i="18" s="1"/>
  <c r="AO141" i="18" a="1"/>
  <c r="AO141" i="18" s="1"/>
  <c r="AK141" i="18" a="1"/>
  <c r="AK141" i="18" s="1"/>
  <c r="AL141" i="18" s="1"/>
  <c r="AG141" i="18" a="1"/>
  <c r="AG141" i="18" s="1"/>
  <c r="BC145" i="18" a="1"/>
  <c r="BC145" i="18" s="1"/>
  <c r="AY145" i="18" a="1"/>
  <c r="AY145" i="18" s="1"/>
  <c r="AU145" i="18" a="1"/>
  <c r="AU145" i="18" s="1"/>
  <c r="AQ145" i="18" a="1"/>
  <c r="AQ145" i="18" s="1"/>
  <c r="AM145" i="18" a="1"/>
  <c r="AM145" i="18" s="1"/>
  <c r="AI145" i="18" a="1"/>
  <c r="AI145" i="18" s="1"/>
  <c r="AE145" i="18" a="1"/>
  <c r="AE145" i="18" s="1"/>
  <c r="AB145" i="18" a="1"/>
  <c r="AB145" i="18" s="1"/>
  <c r="AA145" i="18" a="1"/>
  <c r="AA145" i="18" s="1"/>
  <c r="Z145" i="18" a="1"/>
  <c r="Z145" i="18" s="1"/>
  <c r="Y145" i="18" a="1"/>
  <c r="Y145" i="18" s="1"/>
  <c r="X145" i="18" a="1"/>
  <c r="X145" i="18" s="1"/>
  <c r="W145" i="18" a="1"/>
  <c r="W145" i="18" s="1"/>
  <c r="V145" i="18" a="1"/>
  <c r="V145" i="18" s="1"/>
  <c r="U145" i="18" a="1"/>
  <c r="U145" i="18" s="1"/>
  <c r="T145" i="18" a="1"/>
  <c r="T145" i="18" s="1"/>
  <c r="S145" i="18" a="1"/>
  <c r="S145" i="18" s="1"/>
  <c r="R145" i="18" a="1"/>
  <c r="R145" i="18" s="1"/>
  <c r="Q145" i="18" a="1"/>
  <c r="Q145" i="18" s="1"/>
  <c r="P145" i="18" a="1"/>
  <c r="P145" i="18" s="1"/>
  <c r="O145" i="18" a="1"/>
  <c r="O145" i="18" s="1"/>
  <c r="N145" i="18" a="1"/>
  <c r="N145" i="18" s="1"/>
  <c r="M145" i="18" a="1"/>
  <c r="M145" i="18" s="1"/>
  <c r="L145" i="18" a="1"/>
  <c r="L145" i="18" s="1"/>
  <c r="K145" i="18" a="1"/>
  <c r="K145" i="18" s="1"/>
  <c r="J145" i="18" a="1"/>
  <c r="J145" i="18" s="1"/>
  <c r="I145" i="18" a="1"/>
  <c r="I145" i="18" s="1"/>
  <c r="H145" i="18" a="1"/>
  <c r="H145" i="18" s="1"/>
  <c r="G145" i="18" a="1"/>
  <c r="G145" i="18" s="1"/>
  <c r="D145" i="18"/>
  <c r="BA145" i="18" a="1"/>
  <c r="BA145" i="18" s="1"/>
  <c r="BB145" i="18" s="1"/>
  <c r="AW145" i="18" a="1"/>
  <c r="AW145" i="18" s="1"/>
  <c r="AS145" i="18" a="1"/>
  <c r="AS145" i="18" s="1"/>
  <c r="AO145" i="18" a="1"/>
  <c r="AO145" i="18" s="1"/>
  <c r="AK145" i="18" a="1"/>
  <c r="AK145" i="18" s="1"/>
  <c r="AL145" i="18" s="1"/>
  <c r="AG145" i="18" a="1"/>
  <c r="AG145" i="18" s="1"/>
  <c r="BC149" i="18" a="1"/>
  <c r="BC149" i="18" s="1"/>
  <c r="AY149" i="18" a="1"/>
  <c r="AY149" i="18" s="1"/>
  <c r="AU149" i="18" a="1"/>
  <c r="AU149" i="18" s="1"/>
  <c r="AQ149" i="18" a="1"/>
  <c r="AQ149" i="18" s="1"/>
  <c r="AM149" i="18" a="1"/>
  <c r="AM149" i="18" s="1"/>
  <c r="AI149" i="18" a="1"/>
  <c r="AI149" i="18" s="1"/>
  <c r="AE149" i="18" a="1"/>
  <c r="AE149" i="18" s="1"/>
  <c r="AB149" i="18" a="1"/>
  <c r="AB149" i="18" s="1"/>
  <c r="AA149" i="18" a="1"/>
  <c r="AA149" i="18" s="1"/>
  <c r="Z149" i="18" a="1"/>
  <c r="Z149" i="18" s="1"/>
  <c r="Y149" i="18" a="1"/>
  <c r="Y149" i="18" s="1"/>
  <c r="X149" i="18" a="1"/>
  <c r="X149" i="18" s="1"/>
  <c r="W149" i="18" a="1"/>
  <c r="W149" i="18" s="1"/>
  <c r="V149" i="18" a="1"/>
  <c r="V149" i="18" s="1"/>
  <c r="U149" i="18" a="1"/>
  <c r="U149" i="18" s="1"/>
  <c r="T149" i="18" a="1"/>
  <c r="T149" i="18" s="1"/>
  <c r="S149" i="18" a="1"/>
  <c r="S149" i="18" s="1"/>
  <c r="R149" i="18" a="1"/>
  <c r="R149" i="18" s="1"/>
  <c r="Q149" i="18" a="1"/>
  <c r="Q149" i="18" s="1"/>
  <c r="P149" i="18" a="1"/>
  <c r="P149" i="18" s="1"/>
  <c r="O149" i="18" a="1"/>
  <c r="O149" i="18" s="1"/>
  <c r="N149" i="18" a="1"/>
  <c r="N149" i="18" s="1"/>
  <c r="M149" i="18" a="1"/>
  <c r="M149" i="18" s="1"/>
  <c r="L149" i="18" a="1"/>
  <c r="L149" i="18" s="1"/>
  <c r="K149" i="18" a="1"/>
  <c r="K149" i="18" s="1"/>
  <c r="J149" i="18" a="1"/>
  <c r="J149" i="18" s="1"/>
  <c r="I149" i="18" a="1"/>
  <c r="I149" i="18" s="1"/>
  <c r="H149" i="18" a="1"/>
  <c r="H149" i="18" s="1"/>
  <c r="G149" i="18" a="1"/>
  <c r="G149" i="18" s="1"/>
  <c r="D149" i="18"/>
  <c r="BA149" i="18" a="1"/>
  <c r="BA149" i="18" s="1"/>
  <c r="BB149" i="18" s="1"/>
  <c r="AW149" i="18" a="1"/>
  <c r="AW149" i="18" s="1"/>
  <c r="AS149" i="18" a="1"/>
  <c r="AS149" i="18" s="1"/>
  <c r="AO149" i="18" a="1"/>
  <c r="AO149" i="18" s="1"/>
  <c r="AK149" i="18" a="1"/>
  <c r="AK149" i="18" s="1"/>
  <c r="AL149" i="18" s="1"/>
  <c r="AG149" i="18" a="1"/>
  <c r="AG149" i="18" s="1"/>
  <c r="BC153" i="18" a="1"/>
  <c r="BC153" i="18" s="1"/>
  <c r="AY153" i="18" a="1"/>
  <c r="AY153" i="18" s="1"/>
  <c r="AU153" i="18" a="1"/>
  <c r="AU153" i="18" s="1"/>
  <c r="AQ153" i="18" a="1"/>
  <c r="AQ153" i="18" s="1"/>
  <c r="AM153" i="18" a="1"/>
  <c r="AM153" i="18" s="1"/>
  <c r="AI153" i="18" a="1"/>
  <c r="AI153" i="18" s="1"/>
  <c r="AE153" i="18" a="1"/>
  <c r="AE153" i="18" s="1"/>
  <c r="AB153" i="18" a="1"/>
  <c r="AB153" i="18" s="1"/>
  <c r="AA153" i="18" a="1"/>
  <c r="AA153" i="18" s="1"/>
  <c r="Z153" i="18" a="1"/>
  <c r="Z153" i="18" s="1"/>
  <c r="Y153" i="18" a="1"/>
  <c r="Y153" i="18" s="1"/>
  <c r="X153" i="18" a="1"/>
  <c r="X153" i="18" s="1"/>
  <c r="W153" i="18" a="1"/>
  <c r="W153" i="18" s="1"/>
  <c r="V153" i="18" a="1"/>
  <c r="V153" i="18" s="1"/>
  <c r="U153" i="18" a="1"/>
  <c r="U153" i="18" s="1"/>
  <c r="T153" i="18" a="1"/>
  <c r="T153" i="18" s="1"/>
  <c r="S153" i="18" a="1"/>
  <c r="S153" i="18" s="1"/>
  <c r="R153" i="18" a="1"/>
  <c r="R153" i="18" s="1"/>
  <c r="Q153" i="18" a="1"/>
  <c r="Q153" i="18" s="1"/>
  <c r="P153" i="18" a="1"/>
  <c r="P153" i="18" s="1"/>
  <c r="O153" i="18" a="1"/>
  <c r="O153" i="18" s="1"/>
  <c r="N153" i="18" a="1"/>
  <c r="N153" i="18" s="1"/>
  <c r="M153" i="18" a="1"/>
  <c r="M153" i="18" s="1"/>
  <c r="L153" i="18" a="1"/>
  <c r="L153" i="18" s="1"/>
  <c r="K153" i="18" a="1"/>
  <c r="K153" i="18" s="1"/>
  <c r="J153" i="18" a="1"/>
  <c r="J153" i="18" s="1"/>
  <c r="I153" i="18" a="1"/>
  <c r="I153" i="18" s="1"/>
  <c r="H153" i="18" a="1"/>
  <c r="H153" i="18" s="1"/>
  <c r="G153" i="18" a="1"/>
  <c r="G153" i="18" s="1"/>
  <c r="D153" i="18"/>
  <c r="BA153" i="18" a="1"/>
  <c r="BA153" i="18" s="1"/>
  <c r="BB153" i="18" s="1"/>
  <c r="AW153" i="18" a="1"/>
  <c r="AW153" i="18" s="1"/>
  <c r="AS153" i="18" a="1"/>
  <c r="AS153" i="18" s="1"/>
  <c r="AO153" i="18" a="1"/>
  <c r="AO153" i="18" s="1"/>
  <c r="AK153" i="18" a="1"/>
  <c r="AK153" i="18" s="1"/>
  <c r="AL153" i="18" s="1"/>
  <c r="AG153" i="18" a="1"/>
  <c r="AG153" i="18" s="1"/>
  <c r="BC157" i="18" a="1"/>
  <c r="BC157" i="18" s="1"/>
  <c r="AY157" i="18" a="1"/>
  <c r="AY157" i="18" s="1"/>
  <c r="AU157" i="18" a="1"/>
  <c r="AU157" i="18" s="1"/>
  <c r="AQ157" i="18" a="1"/>
  <c r="AQ157" i="18" s="1"/>
  <c r="AM157" i="18" a="1"/>
  <c r="AM157" i="18" s="1"/>
  <c r="AI157" i="18" a="1"/>
  <c r="AI157" i="18" s="1"/>
  <c r="AE157" i="18" a="1"/>
  <c r="AE157" i="18" s="1"/>
  <c r="AB157" i="18" a="1"/>
  <c r="AB157" i="18" s="1"/>
  <c r="AA157" i="18" a="1"/>
  <c r="AA157" i="18" s="1"/>
  <c r="Z157" i="18" a="1"/>
  <c r="Z157" i="18" s="1"/>
  <c r="Y157" i="18" a="1"/>
  <c r="Y157" i="18" s="1"/>
  <c r="X157" i="18" a="1"/>
  <c r="X157" i="18" s="1"/>
  <c r="W157" i="18" a="1"/>
  <c r="W157" i="18" s="1"/>
  <c r="V157" i="18" a="1"/>
  <c r="V157" i="18" s="1"/>
  <c r="U157" i="18" a="1"/>
  <c r="U157" i="18" s="1"/>
  <c r="T157" i="18" a="1"/>
  <c r="T157" i="18" s="1"/>
  <c r="S157" i="18" a="1"/>
  <c r="S157" i="18" s="1"/>
  <c r="R157" i="18" a="1"/>
  <c r="R157" i="18" s="1"/>
  <c r="Q157" i="18" a="1"/>
  <c r="Q157" i="18" s="1"/>
  <c r="P157" i="18" a="1"/>
  <c r="P157" i="18" s="1"/>
  <c r="O157" i="18" a="1"/>
  <c r="O157" i="18" s="1"/>
  <c r="N157" i="18" a="1"/>
  <c r="N157" i="18" s="1"/>
  <c r="M157" i="18" a="1"/>
  <c r="M157" i="18" s="1"/>
  <c r="L157" i="18" a="1"/>
  <c r="L157" i="18" s="1"/>
  <c r="K157" i="18" a="1"/>
  <c r="K157" i="18" s="1"/>
  <c r="J157" i="18" a="1"/>
  <c r="J157" i="18" s="1"/>
  <c r="I157" i="18" a="1"/>
  <c r="I157" i="18" s="1"/>
  <c r="H157" i="18" a="1"/>
  <c r="H157" i="18" s="1"/>
  <c r="G157" i="18" a="1"/>
  <c r="G157" i="18" s="1"/>
  <c r="D157" i="18"/>
  <c r="BA157" i="18" a="1"/>
  <c r="BA157" i="18" s="1"/>
  <c r="BB157" i="18" s="1"/>
  <c r="AW157" i="18" a="1"/>
  <c r="AW157" i="18" s="1"/>
  <c r="AS157" i="18" a="1"/>
  <c r="AS157" i="18" s="1"/>
  <c r="AO157" i="18" a="1"/>
  <c r="AO157" i="18" s="1"/>
  <c r="AK157" i="18" a="1"/>
  <c r="AK157" i="18" s="1"/>
  <c r="AL157" i="18" s="1"/>
  <c r="AG157" i="18" a="1"/>
  <c r="AG157" i="18" s="1"/>
  <c r="BC161" i="18" a="1"/>
  <c r="BC161" i="18" s="1"/>
  <c r="AY161" i="18" a="1"/>
  <c r="AY161" i="18" s="1"/>
  <c r="AU161" i="18" a="1"/>
  <c r="AU161" i="18" s="1"/>
  <c r="AQ161" i="18" a="1"/>
  <c r="AQ161" i="18" s="1"/>
  <c r="AM161" i="18" a="1"/>
  <c r="AM161" i="18" s="1"/>
  <c r="AI161" i="18" a="1"/>
  <c r="AI161" i="18" s="1"/>
  <c r="AE161" i="18" a="1"/>
  <c r="AE161" i="18" s="1"/>
  <c r="AB161" i="18" a="1"/>
  <c r="AB161" i="18" s="1"/>
  <c r="AA161" i="18" a="1"/>
  <c r="AA161" i="18" s="1"/>
  <c r="Z161" i="18" a="1"/>
  <c r="Z161" i="18" s="1"/>
  <c r="Y161" i="18" a="1"/>
  <c r="Y161" i="18" s="1"/>
  <c r="X161" i="18" a="1"/>
  <c r="X161" i="18" s="1"/>
  <c r="W161" i="18" a="1"/>
  <c r="W161" i="18" s="1"/>
  <c r="V161" i="18" a="1"/>
  <c r="V161" i="18" s="1"/>
  <c r="U161" i="18" a="1"/>
  <c r="U161" i="18" s="1"/>
  <c r="T161" i="18" a="1"/>
  <c r="T161" i="18" s="1"/>
  <c r="S161" i="18" a="1"/>
  <c r="S161" i="18" s="1"/>
  <c r="R161" i="18" a="1"/>
  <c r="R161" i="18" s="1"/>
  <c r="Q161" i="18" a="1"/>
  <c r="Q161" i="18" s="1"/>
  <c r="P161" i="18" a="1"/>
  <c r="P161" i="18" s="1"/>
  <c r="O161" i="18" a="1"/>
  <c r="O161" i="18" s="1"/>
  <c r="N161" i="18" a="1"/>
  <c r="N161" i="18" s="1"/>
  <c r="M161" i="18" a="1"/>
  <c r="M161" i="18" s="1"/>
  <c r="L161" i="18" a="1"/>
  <c r="L161" i="18" s="1"/>
  <c r="K161" i="18" a="1"/>
  <c r="K161" i="18" s="1"/>
  <c r="J161" i="18" a="1"/>
  <c r="J161" i="18" s="1"/>
  <c r="I161" i="18" a="1"/>
  <c r="I161" i="18" s="1"/>
  <c r="H161" i="18" a="1"/>
  <c r="H161" i="18" s="1"/>
  <c r="G161" i="18" a="1"/>
  <c r="G161" i="18" s="1"/>
  <c r="D161" i="18"/>
  <c r="BA161" i="18" a="1"/>
  <c r="BA161" i="18" s="1"/>
  <c r="BB161" i="18" s="1"/>
  <c r="AW161" i="18" a="1"/>
  <c r="AW161" i="18" s="1"/>
  <c r="AS161" i="18" a="1"/>
  <c r="AS161" i="18" s="1"/>
  <c r="AO161" i="18" a="1"/>
  <c r="AO161" i="18" s="1"/>
  <c r="AK161" i="18" a="1"/>
  <c r="AK161" i="18" s="1"/>
  <c r="AL161" i="18" s="1"/>
  <c r="AG161" i="18" a="1"/>
  <c r="AG161" i="18" s="1"/>
  <c r="BC165" i="18" a="1"/>
  <c r="BC165" i="18" s="1"/>
  <c r="AY165" i="18" a="1"/>
  <c r="AY165" i="18" s="1"/>
  <c r="AU165" i="18" a="1"/>
  <c r="AU165" i="18" s="1"/>
  <c r="AQ165" i="18" a="1"/>
  <c r="AQ165" i="18" s="1"/>
  <c r="AM165" i="18" a="1"/>
  <c r="AM165" i="18" s="1"/>
  <c r="AI165" i="18" a="1"/>
  <c r="AI165" i="18" s="1"/>
  <c r="AE165" i="18" a="1"/>
  <c r="AE165" i="18" s="1"/>
  <c r="AB165" i="18" a="1"/>
  <c r="AB165" i="18" s="1"/>
  <c r="AA165" i="18" a="1"/>
  <c r="AA165" i="18" s="1"/>
  <c r="Z165" i="18" a="1"/>
  <c r="Z165" i="18" s="1"/>
  <c r="Y165" i="18" a="1"/>
  <c r="Y165" i="18" s="1"/>
  <c r="X165" i="18" a="1"/>
  <c r="X165" i="18" s="1"/>
  <c r="W165" i="18" a="1"/>
  <c r="W165" i="18" s="1"/>
  <c r="V165" i="18" a="1"/>
  <c r="V165" i="18" s="1"/>
  <c r="U165" i="18" a="1"/>
  <c r="U165" i="18" s="1"/>
  <c r="T165" i="18" a="1"/>
  <c r="T165" i="18" s="1"/>
  <c r="S165" i="18" a="1"/>
  <c r="S165" i="18" s="1"/>
  <c r="R165" i="18" a="1"/>
  <c r="R165" i="18" s="1"/>
  <c r="Q165" i="18" a="1"/>
  <c r="Q165" i="18" s="1"/>
  <c r="P165" i="18" a="1"/>
  <c r="P165" i="18" s="1"/>
  <c r="O165" i="18" a="1"/>
  <c r="O165" i="18" s="1"/>
  <c r="N165" i="18" a="1"/>
  <c r="N165" i="18" s="1"/>
  <c r="M165" i="18" a="1"/>
  <c r="M165" i="18" s="1"/>
  <c r="L165" i="18" a="1"/>
  <c r="L165" i="18" s="1"/>
  <c r="K165" i="18" a="1"/>
  <c r="K165" i="18" s="1"/>
  <c r="J165" i="18" a="1"/>
  <c r="J165" i="18" s="1"/>
  <c r="I165" i="18" a="1"/>
  <c r="I165" i="18" s="1"/>
  <c r="H165" i="18" a="1"/>
  <c r="H165" i="18" s="1"/>
  <c r="G165" i="18" a="1"/>
  <c r="G165" i="18" s="1"/>
  <c r="D165" i="18"/>
  <c r="BA165" i="18" a="1"/>
  <c r="BA165" i="18" s="1"/>
  <c r="BB165" i="18" s="1"/>
  <c r="AW165" i="18" a="1"/>
  <c r="AW165" i="18" s="1"/>
  <c r="AS165" i="18" a="1"/>
  <c r="AS165" i="18" s="1"/>
  <c r="AO165" i="18" a="1"/>
  <c r="AO165" i="18" s="1"/>
  <c r="AK165" i="18" a="1"/>
  <c r="AK165" i="18" s="1"/>
  <c r="AL165" i="18" s="1"/>
  <c r="AG165" i="18" a="1"/>
  <c r="AG165" i="18" s="1"/>
  <c r="BC169" i="18" a="1"/>
  <c r="BC169" i="18" s="1"/>
  <c r="AY169" i="18" a="1"/>
  <c r="AY169" i="18" s="1"/>
  <c r="AU169" i="18" a="1"/>
  <c r="AU169" i="18" s="1"/>
  <c r="AQ169" i="18" a="1"/>
  <c r="AQ169" i="18" s="1"/>
  <c r="AM169" i="18" a="1"/>
  <c r="AM169" i="18" s="1"/>
  <c r="AI169" i="18" a="1"/>
  <c r="AI169" i="18" s="1"/>
  <c r="AE169" i="18" a="1"/>
  <c r="AE169" i="18" s="1"/>
  <c r="AB169" i="18" a="1"/>
  <c r="AB169" i="18" s="1"/>
  <c r="AA169" i="18" a="1"/>
  <c r="AA169" i="18" s="1"/>
  <c r="Z169" i="18" a="1"/>
  <c r="Z169" i="18" s="1"/>
  <c r="Y169" i="18" a="1"/>
  <c r="Y169" i="18" s="1"/>
  <c r="X169" i="18" a="1"/>
  <c r="X169" i="18" s="1"/>
  <c r="W169" i="18" a="1"/>
  <c r="W169" i="18" s="1"/>
  <c r="V169" i="18" a="1"/>
  <c r="V169" i="18" s="1"/>
  <c r="U169" i="18" a="1"/>
  <c r="U169" i="18" s="1"/>
  <c r="T169" i="18" a="1"/>
  <c r="T169" i="18" s="1"/>
  <c r="S169" i="18" a="1"/>
  <c r="S169" i="18" s="1"/>
  <c r="R169" i="18" a="1"/>
  <c r="R169" i="18" s="1"/>
  <c r="Q169" i="18" a="1"/>
  <c r="Q169" i="18" s="1"/>
  <c r="P169" i="18" a="1"/>
  <c r="P169" i="18" s="1"/>
  <c r="O169" i="18" a="1"/>
  <c r="O169" i="18" s="1"/>
  <c r="N169" i="18" a="1"/>
  <c r="N169" i="18" s="1"/>
  <c r="M169" i="18" a="1"/>
  <c r="M169" i="18" s="1"/>
  <c r="L169" i="18" a="1"/>
  <c r="L169" i="18" s="1"/>
  <c r="K169" i="18" a="1"/>
  <c r="K169" i="18" s="1"/>
  <c r="J169" i="18" a="1"/>
  <c r="J169" i="18" s="1"/>
  <c r="I169" i="18" a="1"/>
  <c r="I169" i="18" s="1"/>
  <c r="H169" i="18" a="1"/>
  <c r="H169" i="18" s="1"/>
  <c r="G169" i="18" a="1"/>
  <c r="G169" i="18" s="1"/>
  <c r="D169" i="18"/>
  <c r="BA169" i="18" a="1"/>
  <c r="BA169" i="18" s="1"/>
  <c r="BB169" i="18" s="1"/>
  <c r="AW169" i="18" a="1"/>
  <c r="AW169" i="18" s="1"/>
  <c r="AS169" i="18" a="1"/>
  <c r="AS169" i="18" s="1"/>
  <c r="AO169" i="18" a="1"/>
  <c r="AO169" i="18" s="1"/>
  <c r="AK169" i="18" a="1"/>
  <c r="AK169" i="18" s="1"/>
  <c r="AL169" i="18" s="1"/>
  <c r="AG169" i="18" a="1"/>
  <c r="AG169" i="18" s="1"/>
  <c r="BC173" i="18" a="1"/>
  <c r="BC173" i="18" s="1"/>
  <c r="AY173" i="18" a="1"/>
  <c r="AY173" i="18" s="1"/>
  <c r="AU173" i="18" a="1"/>
  <c r="AU173" i="18" s="1"/>
  <c r="AQ173" i="18" a="1"/>
  <c r="AQ173" i="18" s="1"/>
  <c r="AM173" i="18" a="1"/>
  <c r="AM173" i="18" s="1"/>
  <c r="AI173" i="18" a="1"/>
  <c r="AI173" i="18" s="1"/>
  <c r="AE173" i="18" a="1"/>
  <c r="AE173" i="18" s="1"/>
  <c r="AB173" i="18" a="1"/>
  <c r="AB173" i="18" s="1"/>
  <c r="AA173" i="18" a="1"/>
  <c r="AA173" i="18" s="1"/>
  <c r="Z173" i="18" a="1"/>
  <c r="Z173" i="18" s="1"/>
  <c r="Y173" i="18" a="1"/>
  <c r="Y173" i="18" s="1"/>
  <c r="X173" i="18" a="1"/>
  <c r="X173" i="18" s="1"/>
  <c r="W173" i="18" a="1"/>
  <c r="W173" i="18" s="1"/>
  <c r="V173" i="18" a="1"/>
  <c r="V173" i="18" s="1"/>
  <c r="U173" i="18" a="1"/>
  <c r="U173" i="18" s="1"/>
  <c r="T173" i="18" a="1"/>
  <c r="T173" i="18" s="1"/>
  <c r="S173" i="18" a="1"/>
  <c r="S173" i="18" s="1"/>
  <c r="R173" i="18" a="1"/>
  <c r="R173" i="18" s="1"/>
  <c r="Q173" i="18" a="1"/>
  <c r="Q173" i="18" s="1"/>
  <c r="P173" i="18" a="1"/>
  <c r="P173" i="18" s="1"/>
  <c r="O173" i="18" a="1"/>
  <c r="O173" i="18" s="1"/>
  <c r="N173" i="18" a="1"/>
  <c r="N173" i="18" s="1"/>
  <c r="M173" i="18" a="1"/>
  <c r="M173" i="18" s="1"/>
  <c r="L173" i="18" a="1"/>
  <c r="L173" i="18" s="1"/>
  <c r="K173" i="18" a="1"/>
  <c r="K173" i="18" s="1"/>
  <c r="J173" i="18" a="1"/>
  <c r="J173" i="18" s="1"/>
  <c r="I173" i="18" a="1"/>
  <c r="I173" i="18" s="1"/>
  <c r="H173" i="18" a="1"/>
  <c r="H173" i="18" s="1"/>
  <c r="G173" i="18" a="1"/>
  <c r="G173" i="18" s="1"/>
  <c r="D173" i="18"/>
  <c r="BA173" i="18" a="1"/>
  <c r="BA173" i="18" s="1"/>
  <c r="BB173" i="18" s="1"/>
  <c r="AW173" i="18" a="1"/>
  <c r="AW173" i="18" s="1"/>
  <c r="AS173" i="18" a="1"/>
  <c r="AS173" i="18" s="1"/>
  <c r="AO173" i="18" a="1"/>
  <c r="AO173" i="18" s="1"/>
  <c r="AK173" i="18" a="1"/>
  <c r="AK173" i="18" s="1"/>
  <c r="AL173" i="18" s="1"/>
  <c r="AG173" i="18" a="1"/>
  <c r="AG173" i="18" s="1"/>
  <c r="BC177" i="18" a="1"/>
  <c r="BC177" i="18" s="1"/>
  <c r="AY177" i="18" a="1"/>
  <c r="AY177" i="18" s="1"/>
  <c r="AU177" i="18" a="1"/>
  <c r="AU177" i="18" s="1"/>
  <c r="AQ177" i="18" a="1"/>
  <c r="AQ177" i="18" s="1"/>
  <c r="AM177" i="18" a="1"/>
  <c r="AM177" i="18" s="1"/>
  <c r="AI177" i="18" a="1"/>
  <c r="AI177" i="18" s="1"/>
  <c r="AE177" i="18" a="1"/>
  <c r="AE177" i="18" s="1"/>
  <c r="AB177" i="18" a="1"/>
  <c r="AB177" i="18" s="1"/>
  <c r="AA177" i="18" a="1"/>
  <c r="AA177" i="18" s="1"/>
  <c r="Z177" i="18" a="1"/>
  <c r="Z177" i="18" s="1"/>
  <c r="Y177" i="18" a="1"/>
  <c r="Y177" i="18" s="1"/>
  <c r="X177" i="18" a="1"/>
  <c r="X177" i="18" s="1"/>
  <c r="W177" i="18" a="1"/>
  <c r="W177" i="18" s="1"/>
  <c r="V177" i="18" a="1"/>
  <c r="V177" i="18" s="1"/>
  <c r="U177" i="18" a="1"/>
  <c r="U177" i="18" s="1"/>
  <c r="T177" i="18" a="1"/>
  <c r="T177" i="18" s="1"/>
  <c r="S177" i="18" a="1"/>
  <c r="S177" i="18" s="1"/>
  <c r="R177" i="18" a="1"/>
  <c r="R177" i="18" s="1"/>
  <c r="Q177" i="18" a="1"/>
  <c r="Q177" i="18" s="1"/>
  <c r="P177" i="18" a="1"/>
  <c r="P177" i="18" s="1"/>
  <c r="O177" i="18" a="1"/>
  <c r="O177" i="18" s="1"/>
  <c r="N177" i="18" a="1"/>
  <c r="N177" i="18" s="1"/>
  <c r="M177" i="18" a="1"/>
  <c r="M177" i="18" s="1"/>
  <c r="L177" i="18" a="1"/>
  <c r="L177" i="18" s="1"/>
  <c r="K177" i="18" a="1"/>
  <c r="K177" i="18" s="1"/>
  <c r="J177" i="18" a="1"/>
  <c r="J177" i="18" s="1"/>
  <c r="I177" i="18" a="1"/>
  <c r="I177" i="18" s="1"/>
  <c r="H177" i="18" a="1"/>
  <c r="H177" i="18" s="1"/>
  <c r="G177" i="18" a="1"/>
  <c r="G177" i="18" s="1"/>
  <c r="D177" i="18"/>
  <c r="BA177" i="18" a="1"/>
  <c r="BA177" i="18" s="1"/>
  <c r="BB177" i="18" s="1"/>
  <c r="AW177" i="18" a="1"/>
  <c r="AW177" i="18" s="1"/>
  <c r="AS177" i="18" a="1"/>
  <c r="AS177" i="18" s="1"/>
  <c r="AO177" i="18" a="1"/>
  <c r="AO177" i="18" s="1"/>
  <c r="AK177" i="18" a="1"/>
  <c r="AK177" i="18" s="1"/>
  <c r="AL177" i="18" s="1"/>
  <c r="AG177" i="18" a="1"/>
  <c r="AG177" i="18" s="1"/>
  <c r="BC181" i="18" a="1"/>
  <c r="BC181" i="18" s="1"/>
  <c r="AY181" i="18" a="1"/>
  <c r="AY181" i="18" s="1"/>
  <c r="AU181" i="18" a="1"/>
  <c r="AU181" i="18" s="1"/>
  <c r="AQ181" i="18" a="1"/>
  <c r="AQ181" i="18" s="1"/>
  <c r="AM181" i="18" a="1"/>
  <c r="AM181" i="18" s="1"/>
  <c r="AI181" i="18" a="1"/>
  <c r="AI181" i="18" s="1"/>
  <c r="AE181" i="18" a="1"/>
  <c r="AE181" i="18" s="1"/>
  <c r="AB181" i="18" a="1"/>
  <c r="AB181" i="18" s="1"/>
  <c r="AA181" i="18" a="1"/>
  <c r="AA181" i="18" s="1"/>
  <c r="Z181" i="18" a="1"/>
  <c r="Z181" i="18" s="1"/>
  <c r="Y181" i="18" a="1"/>
  <c r="Y181" i="18" s="1"/>
  <c r="X181" i="18" a="1"/>
  <c r="X181" i="18" s="1"/>
  <c r="W181" i="18" a="1"/>
  <c r="W181" i="18" s="1"/>
  <c r="V181" i="18" a="1"/>
  <c r="V181" i="18" s="1"/>
  <c r="U181" i="18" a="1"/>
  <c r="U181" i="18" s="1"/>
  <c r="T181" i="18" a="1"/>
  <c r="T181" i="18" s="1"/>
  <c r="S181" i="18" a="1"/>
  <c r="S181" i="18" s="1"/>
  <c r="R181" i="18" a="1"/>
  <c r="R181" i="18" s="1"/>
  <c r="Q181" i="18" a="1"/>
  <c r="Q181" i="18" s="1"/>
  <c r="P181" i="18" a="1"/>
  <c r="P181" i="18" s="1"/>
  <c r="O181" i="18" a="1"/>
  <c r="O181" i="18" s="1"/>
  <c r="N181" i="18" a="1"/>
  <c r="N181" i="18" s="1"/>
  <c r="M181" i="18" a="1"/>
  <c r="M181" i="18" s="1"/>
  <c r="L181" i="18" a="1"/>
  <c r="L181" i="18" s="1"/>
  <c r="K181" i="18" a="1"/>
  <c r="K181" i="18" s="1"/>
  <c r="J181" i="18" a="1"/>
  <c r="J181" i="18" s="1"/>
  <c r="I181" i="18" a="1"/>
  <c r="I181" i="18" s="1"/>
  <c r="H181" i="18" a="1"/>
  <c r="H181" i="18" s="1"/>
  <c r="G181" i="18" a="1"/>
  <c r="G181" i="18" s="1"/>
  <c r="D181" i="18"/>
  <c r="BA181" i="18" a="1"/>
  <c r="BA181" i="18" s="1"/>
  <c r="BB181" i="18" s="1"/>
  <c r="AW181" i="18" a="1"/>
  <c r="AW181" i="18" s="1"/>
  <c r="AS181" i="18" a="1"/>
  <c r="AS181" i="18" s="1"/>
  <c r="AO181" i="18" a="1"/>
  <c r="AO181" i="18" s="1"/>
  <c r="AK181" i="18" a="1"/>
  <c r="AK181" i="18" s="1"/>
  <c r="AL181" i="18" s="1"/>
  <c r="AG181" i="18" a="1"/>
  <c r="AG181" i="18" s="1"/>
  <c r="BC185" i="18" a="1"/>
  <c r="BC185" i="18" s="1"/>
  <c r="AY185" i="18" a="1"/>
  <c r="AY185" i="18" s="1"/>
  <c r="AU185" i="18" a="1"/>
  <c r="AU185" i="18" s="1"/>
  <c r="AQ185" i="18" a="1"/>
  <c r="AQ185" i="18" s="1"/>
  <c r="AM185" i="18" a="1"/>
  <c r="AM185" i="18" s="1"/>
  <c r="AI185" i="18" a="1"/>
  <c r="AI185" i="18" s="1"/>
  <c r="AE185" i="18" a="1"/>
  <c r="AE185" i="18" s="1"/>
  <c r="AB185" i="18" a="1"/>
  <c r="AB185" i="18" s="1"/>
  <c r="AA185" i="18" a="1"/>
  <c r="AA185" i="18" s="1"/>
  <c r="Z185" i="18" a="1"/>
  <c r="Z185" i="18" s="1"/>
  <c r="Y185" i="18" a="1"/>
  <c r="Y185" i="18" s="1"/>
  <c r="X185" i="18" a="1"/>
  <c r="X185" i="18" s="1"/>
  <c r="W185" i="18" a="1"/>
  <c r="W185" i="18" s="1"/>
  <c r="V185" i="18" a="1"/>
  <c r="V185" i="18" s="1"/>
  <c r="U185" i="18" a="1"/>
  <c r="U185" i="18" s="1"/>
  <c r="T185" i="18" a="1"/>
  <c r="T185" i="18" s="1"/>
  <c r="S185" i="18" a="1"/>
  <c r="S185" i="18" s="1"/>
  <c r="R185" i="18" a="1"/>
  <c r="R185" i="18" s="1"/>
  <c r="Q185" i="18" a="1"/>
  <c r="Q185" i="18" s="1"/>
  <c r="P185" i="18" a="1"/>
  <c r="P185" i="18" s="1"/>
  <c r="O185" i="18" a="1"/>
  <c r="O185" i="18" s="1"/>
  <c r="N185" i="18" a="1"/>
  <c r="N185" i="18" s="1"/>
  <c r="M185" i="18" a="1"/>
  <c r="M185" i="18" s="1"/>
  <c r="L185" i="18" a="1"/>
  <c r="L185" i="18" s="1"/>
  <c r="K185" i="18" a="1"/>
  <c r="K185" i="18" s="1"/>
  <c r="J185" i="18" a="1"/>
  <c r="J185" i="18" s="1"/>
  <c r="I185" i="18" a="1"/>
  <c r="I185" i="18" s="1"/>
  <c r="H185" i="18" a="1"/>
  <c r="H185" i="18" s="1"/>
  <c r="G185" i="18" a="1"/>
  <c r="G185" i="18" s="1"/>
  <c r="D185" i="18"/>
  <c r="BA185" i="18" a="1"/>
  <c r="BA185" i="18" s="1"/>
  <c r="BB185" i="18" s="1"/>
  <c r="AW185" i="18" a="1"/>
  <c r="AW185" i="18" s="1"/>
  <c r="AS185" i="18" a="1"/>
  <c r="AS185" i="18" s="1"/>
  <c r="AO185" i="18" a="1"/>
  <c r="AO185" i="18" s="1"/>
  <c r="AK185" i="18" a="1"/>
  <c r="AK185" i="18" s="1"/>
  <c r="AL185" i="18" s="1"/>
  <c r="AG185" i="18" a="1"/>
  <c r="AG185" i="18" s="1"/>
  <c r="BC189" i="18" a="1"/>
  <c r="BC189" i="18" s="1"/>
  <c r="AY189" i="18" a="1"/>
  <c r="AY189" i="18" s="1"/>
  <c r="AU189" i="18" a="1"/>
  <c r="AU189" i="18" s="1"/>
  <c r="AQ189" i="18" a="1"/>
  <c r="AQ189" i="18" s="1"/>
  <c r="AM189" i="18" a="1"/>
  <c r="AM189" i="18" s="1"/>
  <c r="AI189" i="18" a="1"/>
  <c r="AI189" i="18" s="1"/>
  <c r="AE189" i="18" a="1"/>
  <c r="AE189" i="18" s="1"/>
  <c r="AB189" i="18" a="1"/>
  <c r="AB189" i="18" s="1"/>
  <c r="AA189" i="18" a="1"/>
  <c r="AA189" i="18" s="1"/>
  <c r="Z189" i="18" a="1"/>
  <c r="Z189" i="18" s="1"/>
  <c r="Y189" i="18" a="1"/>
  <c r="Y189" i="18" s="1"/>
  <c r="X189" i="18" a="1"/>
  <c r="X189" i="18" s="1"/>
  <c r="W189" i="18" a="1"/>
  <c r="W189" i="18" s="1"/>
  <c r="V189" i="18" a="1"/>
  <c r="V189" i="18" s="1"/>
  <c r="U189" i="18" a="1"/>
  <c r="U189" i="18" s="1"/>
  <c r="T189" i="18" a="1"/>
  <c r="T189" i="18" s="1"/>
  <c r="S189" i="18" a="1"/>
  <c r="S189" i="18" s="1"/>
  <c r="R189" i="18" a="1"/>
  <c r="R189" i="18" s="1"/>
  <c r="Q189" i="18" a="1"/>
  <c r="Q189" i="18" s="1"/>
  <c r="P189" i="18" a="1"/>
  <c r="P189" i="18" s="1"/>
  <c r="O189" i="18" a="1"/>
  <c r="O189" i="18" s="1"/>
  <c r="N189" i="18" a="1"/>
  <c r="N189" i="18" s="1"/>
  <c r="M189" i="18" a="1"/>
  <c r="M189" i="18" s="1"/>
  <c r="L189" i="18" a="1"/>
  <c r="L189" i="18" s="1"/>
  <c r="K189" i="18" a="1"/>
  <c r="K189" i="18" s="1"/>
  <c r="J189" i="18" a="1"/>
  <c r="J189" i="18" s="1"/>
  <c r="I189" i="18" a="1"/>
  <c r="I189" i="18" s="1"/>
  <c r="H189" i="18" a="1"/>
  <c r="H189" i="18" s="1"/>
  <c r="G189" i="18" a="1"/>
  <c r="G189" i="18" s="1"/>
  <c r="D189" i="18"/>
  <c r="BA189" i="18" a="1"/>
  <c r="BA189" i="18" s="1"/>
  <c r="BB189" i="18" s="1"/>
  <c r="AW189" i="18" a="1"/>
  <c r="AW189" i="18" s="1"/>
  <c r="AS189" i="18" a="1"/>
  <c r="AS189" i="18" s="1"/>
  <c r="AO189" i="18" a="1"/>
  <c r="AO189" i="18" s="1"/>
  <c r="AK189" i="18" a="1"/>
  <c r="AK189" i="18" s="1"/>
  <c r="AL189" i="18" s="1"/>
  <c r="AG189" i="18" a="1"/>
  <c r="AG189" i="18" s="1"/>
  <c r="BC193" i="18" a="1"/>
  <c r="BC193" i="18" s="1"/>
  <c r="AY193" i="18" a="1"/>
  <c r="AY193" i="18" s="1"/>
  <c r="AU193" i="18" a="1"/>
  <c r="AU193" i="18" s="1"/>
  <c r="AQ193" i="18" a="1"/>
  <c r="AQ193" i="18" s="1"/>
  <c r="AM193" i="18" a="1"/>
  <c r="AM193" i="18" s="1"/>
  <c r="AI193" i="18" a="1"/>
  <c r="AI193" i="18" s="1"/>
  <c r="AE193" i="18" a="1"/>
  <c r="AE193" i="18" s="1"/>
  <c r="AB193" i="18" a="1"/>
  <c r="AB193" i="18" s="1"/>
  <c r="AA193" i="18" a="1"/>
  <c r="AA193" i="18" s="1"/>
  <c r="Z193" i="18" a="1"/>
  <c r="Z193" i="18" s="1"/>
  <c r="Y193" i="18" a="1"/>
  <c r="Y193" i="18" s="1"/>
  <c r="X193" i="18" a="1"/>
  <c r="X193" i="18" s="1"/>
  <c r="W193" i="18" a="1"/>
  <c r="W193" i="18" s="1"/>
  <c r="V193" i="18" a="1"/>
  <c r="V193" i="18" s="1"/>
  <c r="U193" i="18" a="1"/>
  <c r="U193" i="18" s="1"/>
  <c r="T193" i="18" a="1"/>
  <c r="T193" i="18" s="1"/>
  <c r="S193" i="18" a="1"/>
  <c r="S193" i="18" s="1"/>
  <c r="R193" i="18" a="1"/>
  <c r="R193" i="18" s="1"/>
  <c r="Q193" i="18" a="1"/>
  <c r="Q193" i="18" s="1"/>
  <c r="P193" i="18" a="1"/>
  <c r="P193" i="18" s="1"/>
  <c r="O193" i="18" a="1"/>
  <c r="O193" i="18" s="1"/>
  <c r="N193" i="18" a="1"/>
  <c r="N193" i="18" s="1"/>
  <c r="M193" i="18" a="1"/>
  <c r="M193" i="18" s="1"/>
  <c r="L193" i="18" a="1"/>
  <c r="L193" i="18" s="1"/>
  <c r="K193" i="18" a="1"/>
  <c r="K193" i="18" s="1"/>
  <c r="J193" i="18" a="1"/>
  <c r="J193" i="18" s="1"/>
  <c r="I193" i="18" a="1"/>
  <c r="I193" i="18" s="1"/>
  <c r="H193" i="18" a="1"/>
  <c r="H193" i="18" s="1"/>
  <c r="G193" i="18" a="1"/>
  <c r="G193" i="18" s="1"/>
  <c r="D193" i="18"/>
  <c r="BA193" i="18" a="1"/>
  <c r="BA193" i="18" s="1"/>
  <c r="BB193" i="18" s="1"/>
  <c r="AW193" i="18" a="1"/>
  <c r="AW193" i="18" s="1"/>
  <c r="AS193" i="18" a="1"/>
  <c r="AS193" i="18" s="1"/>
  <c r="AO193" i="18" a="1"/>
  <c r="AO193" i="18" s="1"/>
  <c r="AK193" i="18" a="1"/>
  <c r="AK193" i="18" s="1"/>
  <c r="AL193" i="18" s="1"/>
  <c r="AG193" i="18" a="1"/>
  <c r="AG193" i="18" s="1"/>
  <c r="BA71" i="18" a="1"/>
  <c r="BA71" i="18" s="1"/>
  <c r="AW71" i="18" a="1"/>
  <c r="AW71" i="18" s="1"/>
  <c r="AS71" i="18" a="1"/>
  <c r="AS71" i="18" s="1"/>
  <c r="AO71" i="18" a="1"/>
  <c r="AO71" i="18" s="1"/>
  <c r="AK71" i="18" a="1"/>
  <c r="AK71" i="18" s="1"/>
  <c r="AG71" i="18" a="1"/>
  <c r="AG71" i="18" s="1"/>
  <c r="BC71" i="18" a="1"/>
  <c r="BC71" i="18" s="1"/>
  <c r="AY71" i="18" a="1"/>
  <c r="AY71" i="18" s="1"/>
  <c r="AU71" i="18" a="1"/>
  <c r="AU71" i="18" s="1"/>
  <c r="AQ71" i="18" a="1"/>
  <c r="AQ71" i="18" s="1"/>
  <c r="AM71" i="18" a="1"/>
  <c r="AM71" i="18" s="1"/>
  <c r="AI71" i="18" a="1"/>
  <c r="AI71" i="18" s="1"/>
  <c r="AE71" i="18" a="1"/>
  <c r="AE71" i="18" s="1"/>
  <c r="AB71" i="18" a="1"/>
  <c r="AB71" i="18" s="1"/>
  <c r="AA71" i="18" a="1"/>
  <c r="AA71" i="18" s="1"/>
  <c r="Z71" i="18" a="1"/>
  <c r="Z71" i="18" s="1"/>
  <c r="Y71" i="18" a="1"/>
  <c r="Y71" i="18" s="1"/>
  <c r="X71" i="18" a="1"/>
  <c r="X71" i="18" s="1"/>
  <c r="W71" i="18" a="1"/>
  <c r="W71" i="18" s="1"/>
  <c r="V71" i="18" a="1"/>
  <c r="V71" i="18" s="1"/>
  <c r="U71" i="18" a="1"/>
  <c r="U71" i="18" s="1"/>
  <c r="T71" i="18" a="1"/>
  <c r="T71" i="18" s="1"/>
  <c r="S71" i="18" a="1"/>
  <c r="S71" i="18" s="1"/>
  <c r="R71" i="18" a="1"/>
  <c r="R71" i="18" s="1"/>
  <c r="Q71" i="18" a="1"/>
  <c r="Q71" i="18" s="1"/>
  <c r="P71" i="18" a="1"/>
  <c r="P71" i="18" s="1"/>
  <c r="O71" i="18" a="1"/>
  <c r="O71" i="18" s="1"/>
  <c r="N71" i="18" a="1"/>
  <c r="N71" i="18" s="1"/>
  <c r="M71" i="18" a="1"/>
  <c r="M71" i="18" s="1"/>
  <c r="L71" i="18" a="1"/>
  <c r="L71" i="18" s="1"/>
  <c r="K71" i="18" a="1"/>
  <c r="K71" i="18" s="1"/>
  <c r="J71" i="18" a="1"/>
  <c r="J71" i="18" s="1"/>
  <c r="I71" i="18" a="1"/>
  <c r="I71" i="18" s="1"/>
  <c r="H71" i="18" a="1"/>
  <c r="H71" i="18" s="1"/>
  <c r="G71" i="18" a="1"/>
  <c r="G71" i="18" s="1"/>
  <c r="D71" i="18"/>
  <c r="BA75" i="18" a="1"/>
  <c r="BA75" i="18" s="1"/>
  <c r="AW75" i="18" a="1"/>
  <c r="AW75" i="18" s="1"/>
  <c r="AS75" i="18" a="1"/>
  <c r="AS75" i="18" s="1"/>
  <c r="AO75" i="18" a="1"/>
  <c r="AO75" i="18" s="1"/>
  <c r="AK75" i="18" a="1"/>
  <c r="AK75" i="18" s="1"/>
  <c r="AG75" i="18" a="1"/>
  <c r="AG75" i="18" s="1"/>
  <c r="BC75" i="18" a="1"/>
  <c r="BC75" i="18" s="1"/>
  <c r="AY75" i="18" a="1"/>
  <c r="AY75" i="18" s="1"/>
  <c r="AU75" i="18" a="1"/>
  <c r="AU75" i="18" s="1"/>
  <c r="AQ75" i="18" a="1"/>
  <c r="AQ75" i="18" s="1"/>
  <c r="AM75" i="18" a="1"/>
  <c r="AM75" i="18" s="1"/>
  <c r="AI75" i="18" a="1"/>
  <c r="AI75" i="18" s="1"/>
  <c r="AE75" i="18" a="1"/>
  <c r="AE75" i="18" s="1"/>
  <c r="AB75" i="18" a="1"/>
  <c r="AB75" i="18" s="1"/>
  <c r="AA75" i="18" a="1"/>
  <c r="AA75" i="18" s="1"/>
  <c r="Z75" i="18" a="1"/>
  <c r="Z75" i="18" s="1"/>
  <c r="Y75" i="18" a="1"/>
  <c r="Y75" i="18" s="1"/>
  <c r="X75" i="18" a="1"/>
  <c r="X75" i="18" s="1"/>
  <c r="W75" i="18" a="1"/>
  <c r="W75" i="18" s="1"/>
  <c r="V75" i="18" a="1"/>
  <c r="V75" i="18" s="1"/>
  <c r="U75" i="18" a="1"/>
  <c r="U75" i="18" s="1"/>
  <c r="T75" i="18" a="1"/>
  <c r="T75" i="18" s="1"/>
  <c r="S75" i="18" a="1"/>
  <c r="S75" i="18" s="1"/>
  <c r="R75" i="18" a="1"/>
  <c r="R75" i="18" s="1"/>
  <c r="Q75" i="18" a="1"/>
  <c r="Q75" i="18" s="1"/>
  <c r="P75" i="18" a="1"/>
  <c r="P75" i="18" s="1"/>
  <c r="O75" i="18" a="1"/>
  <c r="O75" i="18" s="1"/>
  <c r="N75" i="18" a="1"/>
  <c r="N75" i="18" s="1"/>
  <c r="M75" i="18" a="1"/>
  <c r="M75" i="18" s="1"/>
  <c r="L75" i="18" a="1"/>
  <c r="L75" i="18" s="1"/>
  <c r="K75" i="18" a="1"/>
  <c r="K75" i="18" s="1"/>
  <c r="J75" i="18" a="1"/>
  <c r="J75" i="18" s="1"/>
  <c r="I75" i="18" a="1"/>
  <c r="I75" i="18" s="1"/>
  <c r="H75" i="18" a="1"/>
  <c r="H75" i="18" s="1"/>
  <c r="G75" i="18" a="1"/>
  <c r="G75" i="18" s="1"/>
  <c r="D75" i="18"/>
  <c r="BA79" i="18" a="1"/>
  <c r="BA79" i="18" s="1"/>
  <c r="AW79" i="18" a="1"/>
  <c r="AW79" i="18" s="1"/>
  <c r="AS79" i="18" a="1"/>
  <c r="AS79" i="18" s="1"/>
  <c r="AO79" i="18" a="1"/>
  <c r="AO79" i="18" s="1"/>
  <c r="AK79" i="18" a="1"/>
  <c r="AK79" i="18" s="1"/>
  <c r="AG79" i="18" a="1"/>
  <c r="AG79" i="18" s="1"/>
  <c r="BC79" i="18" a="1"/>
  <c r="BC79" i="18" s="1"/>
  <c r="AY79" i="18" a="1"/>
  <c r="AY79" i="18" s="1"/>
  <c r="AU79" i="18" a="1"/>
  <c r="AU79" i="18" s="1"/>
  <c r="AQ79" i="18" a="1"/>
  <c r="AQ79" i="18" s="1"/>
  <c r="AM79" i="18" a="1"/>
  <c r="AM79" i="18" s="1"/>
  <c r="AI79" i="18" a="1"/>
  <c r="AI79" i="18" s="1"/>
  <c r="AE79" i="18" a="1"/>
  <c r="AE79" i="18" s="1"/>
  <c r="AB79" i="18" a="1"/>
  <c r="AB79" i="18" s="1"/>
  <c r="AA79" i="18" a="1"/>
  <c r="AA79" i="18" s="1"/>
  <c r="Z79" i="18" a="1"/>
  <c r="Z79" i="18" s="1"/>
  <c r="Y79" i="18" a="1"/>
  <c r="Y79" i="18" s="1"/>
  <c r="X79" i="18" a="1"/>
  <c r="X79" i="18" s="1"/>
  <c r="W79" i="18" a="1"/>
  <c r="W79" i="18" s="1"/>
  <c r="V79" i="18" a="1"/>
  <c r="V79" i="18" s="1"/>
  <c r="U79" i="18" a="1"/>
  <c r="U79" i="18" s="1"/>
  <c r="T79" i="18" a="1"/>
  <c r="T79" i="18" s="1"/>
  <c r="S79" i="18" a="1"/>
  <c r="S79" i="18" s="1"/>
  <c r="R79" i="18" a="1"/>
  <c r="R79" i="18" s="1"/>
  <c r="Q79" i="18" a="1"/>
  <c r="Q79" i="18" s="1"/>
  <c r="P79" i="18" a="1"/>
  <c r="P79" i="18" s="1"/>
  <c r="O79" i="18" a="1"/>
  <c r="O79" i="18" s="1"/>
  <c r="N79" i="18" a="1"/>
  <c r="N79" i="18" s="1"/>
  <c r="M79" i="18" a="1"/>
  <c r="M79" i="18" s="1"/>
  <c r="L79" i="18" a="1"/>
  <c r="L79" i="18" s="1"/>
  <c r="K79" i="18" a="1"/>
  <c r="K79" i="18" s="1"/>
  <c r="J79" i="18" a="1"/>
  <c r="J79" i="18" s="1"/>
  <c r="I79" i="18" a="1"/>
  <c r="I79" i="18" s="1"/>
  <c r="H79" i="18" a="1"/>
  <c r="H79" i="18" s="1"/>
  <c r="G79" i="18" a="1"/>
  <c r="G79" i="18" s="1"/>
  <c r="D79" i="18"/>
  <c r="BA83" i="18" a="1"/>
  <c r="BA83" i="18" s="1"/>
  <c r="AW83" i="18" a="1"/>
  <c r="AW83" i="18" s="1"/>
  <c r="AS83" i="18" a="1"/>
  <c r="AS83" i="18" s="1"/>
  <c r="AO83" i="18" a="1"/>
  <c r="AO83" i="18" s="1"/>
  <c r="AK83" i="18" a="1"/>
  <c r="AK83" i="18" s="1"/>
  <c r="AG83" i="18" a="1"/>
  <c r="AG83" i="18" s="1"/>
  <c r="BC83" i="18" a="1"/>
  <c r="BC83" i="18" s="1"/>
  <c r="AY83" i="18" a="1"/>
  <c r="AY83" i="18" s="1"/>
  <c r="AU83" i="18" a="1"/>
  <c r="AU83" i="18" s="1"/>
  <c r="AQ83" i="18" a="1"/>
  <c r="AQ83" i="18" s="1"/>
  <c r="AM83" i="18" a="1"/>
  <c r="AM83" i="18" s="1"/>
  <c r="AI83" i="18" a="1"/>
  <c r="AI83" i="18" s="1"/>
  <c r="AE83" i="18" a="1"/>
  <c r="AE83" i="18" s="1"/>
  <c r="AB83" i="18" a="1"/>
  <c r="AB83" i="18" s="1"/>
  <c r="AA83" i="18" a="1"/>
  <c r="AA83" i="18" s="1"/>
  <c r="Z83" i="18" a="1"/>
  <c r="Z83" i="18" s="1"/>
  <c r="Y83" i="18" a="1"/>
  <c r="Y83" i="18" s="1"/>
  <c r="X83" i="18" a="1"/>
  <c r="X83" i="18" s="1"/>
  <c r="W83" i="18" a="1"/>
  <c r="W83" i="18" s="1"/>
  <c r="V83" i="18" a="1"/>
  <c r="V83" i="18" s="1"/>
  <c r="U83" i="18" a="1"/>
  <c r="U83" i="18" s="1"/>
  <c r="T83" i="18" a="1"/>
  <c r="T83" i="18" s="1"/>
  <c r="S83" i="18" a="1"/>
  <c r="S83" i="18" s="1"/>
  <c r="R83" i="18" a="1"/>
  <c r="R83" i="18" s="1"/>
  <c r="Q83" i="18" a="1"/>
  <c r="Q83" i="18" s="1"/>
  <c r="P83" i="18" a="1"/>
  <c r="P83" i="18" s="1"/>
  <c r="O83" i="18" a="1"/>
  <c r="O83" i="18" s="1"/>
  <c r="N83" i="18" a="1"/>
  <c r="N83" i="18" s="1"/>
  <c r="M83" i="18" a="1"/>
  <c r="M83" i="18" s="1"/>
  <c r="L83" i="18" a="1"/>
  <c r="L83" i="18" s="1"/>
  <c r="K83" i="18" a="1"/>
  <c r="K83" i="18" s="1"/>
  <c r="J83" i="18" a="1"/>
  <c r="J83" i="18" s="1"/>
  <c r="I83" i="18" a="1"/>
  <c r="I83" i="18" s="1"/>
  <c r="H83" i="18" a="1"/>
  <c r="H83" i="18" s="1"/>
  <c r="G83" i="18" a="1"/>
  <c r="G83" i="18" s="1"/>
  <c r="D83" i="18"/>
  <c r="BA87" i="18" a="1"/>
  <c r="BA87" i="18" s="1"/>
  <c r="AW87" i="18" a="1"/>
  <c r="AW87" i="18" s="1"/>
  <c r="AS87" i="18" a="1"/>
  <c r="AS87" i="18" s="1"/>
  <c r="AO87" i="18" a="1"/>
  <c r="AO87" i="18" s="1"/>
  <c r="AK87" i="18" a="1"/>
  <c r="AK87" i="18" s="1"/>
  <c r="AG87" i="18" a="1"/>
  <c r="AG87" i="18" s="1"/>
  <c r="BC87" i="18" a="1"/>
  <c r="BC87" i="18" s="1"/>
  <c r="AY87" i="18" a="1"/>
  <c r="AY87" i="18" s="1"/>
  <c r="AU87" i="18" a="1"/>
  <c r="AU87" i="18" s="1"/>
  <c r="AQ87" i="18" a="1"/>
  <c r="AQ87" i="18" s="1"/>
  <c r="AM87" i="18" a="1"/>
  <c r="AM87" i="18" s="1"/>
  <c r="AI87" i="18" a="1"/>
  <c r="AI87" i="18" s="1"/>
  <c r="AE87" i="18" a="1"/>
  <c r="AE87" i="18" s="1"/>
  <c r="AB87" i="18" a="1"/>
  <c r="AB87" i="18" s="1"/>
  <c r="AA87" i="18" a="1"/>
  <c r="AA87" i="18" s="1"/>
  <c r="Z87" i="18" a="1"/>
  <c r="Z87" i="18" s="1"/>
  <c r="Y87" i="18" a="1"/>
  <c r="Y87" i="18" s="1"/>
  <c r="X87" i="18" a="1"/>
  <c r="X87" i="18" s="1"/>
  <c r="W87" i="18" a="1"/>
  <c r="W87" i="18" s="1"/>
  <c r="V87" i="18" a="1"/>
  <c r="V87" i="18" s="1"/>
  <c r="U87" i="18" a="1"/>
  <c r="U87" i="18" s="1"/>
  <c r="T87" i="18" a="1"/>
  <c r="T87" i="18" s="1"/>
  <c r="S87" i="18" a="1"/>
  <c r="S87" i="18" s="1"/>
  <c r="R87" i="18" a="1"/>
  <c r="R87" i="18" s="1"/>
  <c r="Q87" i="18" a="1"/>
  <c r="Q87" i="18" s="1"/>
  <c r="P87" i="18" a="1"/>
  <c r="P87" i="18" s="1"/>
  <c r="O87" i="18" a="1"/>
  <c r="O87" i="18" s="1"/>
  <c r="N87" i="18" a="1"/>
  <c r="N87" i="18" s="1"/>
  <c r="M87" i="18" a="1"/>
  <c r="M87" i="18" s="1"/>
  <c r="L87" i="18" a="1"/>
  <c r="L87" i="18" s="1"/>
  <c r="K87" i="18" a="1"/>
  <c r="K87" i="18" s="1"/>
  <c r="J87" i="18" a="1"/>
  <c r="J87" i="18" s="1"/>
  <c r="I87" i="18" a="1"/>
  <c r="I87" i="18" s="1"/>
  <c r="H87" i="18" a="1"/>
  <c r="H87" i="18" s="1"/>
  <c r="G87" i="18" a="1"/>
  <c r="G87" i="18" s="1"/>
  <c r="D87" i="18"/>
  <c r="BA91" i="18" a="1"/>
  <c r="BA91" i="18" s="1"/>
  <c r="AW91" i="18" a="1"/>
  <c r="AW91" i="18" s="1"/>
  <c r="AS91" i="18" a="1"/>
  <c r="AS91" i="18" s="1"/>
  <c r="AO91" i="18" a="1"/>
  <c r="AO91" i="18" s="1"/>
  <c r="AK91" i="18" a="1"/>
  <c r="AK91" i="18" s="1"/>
  <c r="AG91" i="18" a="1"/>
  <c r="AG91" i="18" s="1"/>
  <c r="BC91" i="18" a="1"/>
  <c r="BC91" i="18" s="1"/>
  <c r="AY91" i="18" a="1"/>
  <c r="AY91" i="18" s="1"/>
  <c r="AU91" i="18" a="1"/>
  <c r="AU91" i="18" s="1"/>
  <c r="AQ91" i="18" a="1"/>
  <c r="AQ91" i="18" s="1"/>
  <c r="AM91" i="18" a="1"/>
  <c r="AM91" i="18" s="1"/>
  <c r="AI91" i="18" a="1"/>
  <c r="AI91" i="18" s="1"/>
  <c r="AE91" i="18" a="1"/>
  <c r="AE91" i="18" s="1"/>
  <c r="AB91" i="18" a="1"/>
  <c r="AB91" i="18" s="1"/>
  <c r="AA91" i="18" a="1"/>
  <c r="AA91" i="18" s="1"/>
  <c r="Z91" i="18" a="1"/>
  <c r="Z91" i="18" s="1"/>
  <c r="Y91" i="18" a="1"/>
  <c r="Y91" i="18" s="1"/>
  <c r="X91" i="18" a="1"/>
  <c r="X91" i="18" s="1"/>
  <c r="W91" i="18" a="1"/>
  <c r="W91" i="18" s="1"/>
  <c r="V91" i="18" a="1"/>
  <c r="V91" i="18" s="1"/>
  <c r="U91" i="18" a="1"/>
  <c r="U91" i="18" s="1"/>
  <c r="T91" i="18" a="1"/>
  <c r="T91" i="18" s="1"/>
  <c r="S91" i="18" a="1"/>
  <c r="S91" i="18" s="1"/>
  <c r="R91" i="18" a="1"/>
  <c r="R91" i="18" s="1"/>
  <c r="Q91" i="18" a="1"/>
  <c r="Q91" i="18" s="1"/>
  <c r="P91" i="18" a="1"/>
  <c r="P91" i="18" s="1"/>
  <c r="O91" i="18" a="1"/>
  <c r="O91" i="18" s="1"/>
  <c r="N91" i="18" a="1"/>
  <c r="N91" i="18" s="1"/>
  <c r="M91" i="18" a="1"/>
  <c r="M91" i="18" s="1"/>
  <c r="L91" i="18" a="1"/>
  <c r="L91" i="18" s="1"/>
  <c r="K91" i="18" a="1"/>
  <c r="K91" i="18" s="1"/>
  <c r="J91" i="18" a="1"/>
  <c r="J91" i="18" s="1"/>
  <c r="I91" i="18" a="1"/>
  <c r="I91" i="18" s="1"/>
  <c r="H91" i="18" a="1"/>
  <c r="H91" i="18" s="1"/>
  <c r="G91" i="18" a="1"/>
  <c r="G91" i="18" s="1"/>
  <c r="D91" i="18"/>
  <c r="BA95" i="18" a="1"/>
  <c r="BA95" i="18" s="1"/>
  <c r="AW95" i="18" a="1"/>
  <c r="AW95" i="18" s="1"/>
  <c r="AS95" i="18" a="1"/>
  <c r="AS95" i="18" s="1"/>
  <c r="AO95" i="18" a="1"/>
  <c r="AO95" i="18" s="1"/>
  <c r="AK95" i="18" a="1"/>
  <c r="AK95" i="18" s="1"/>
  <c r="AG95" i="18" a="1"/>
  <c r="AG95" i="18" s="1"/>
  <c r="BC95" i="18" a="1"/>
  <c r="BC95" i="18" s="1"/>
  <c r="AY95" i="18" a="1"/>
  <c r="AY95" i="18" s="1"/>
  <c r="AU95" i="18" a="1"/>
  <c r="AU95" i="18" s="1"/>
  <c r="AQ95" i="18" a="1"/>
  <c r="AQ95" i="18" s="1"/>
  <c r="AM95" i="18" a="1"/>
  <c r="AM95" i="18" s="1"/>
  <c r="AI95" i="18" a="1"/>
  <c r="AI95" i="18" s="1"/>
  <c r="AE95" i="18" a="1"/>
  <c r="AE95" i="18" s="1"/>
  <c r="AB95" i="18" a="1"/>
  <c r="AB95" i="18" s="1"/>
  <c r="AA95" i="18" a="1"/>
  <c r="AA95" i="18" s="1"/>
  <c r="Z95" i="18" a="1"/>
  <c r="Z95" i="18" s="1"/>
  <c r="Y95" i="18" a="1"/>
  <c r="Y95" i="18" s="1"/>
  <c r="X95" i="18" a="1"/>
  <c r="X95" i="18" s="1"/>
  <c r="W95" i="18" a="1"/>
  <c r="W95" i="18" s="1"/>
  <c r="V95" i="18" a="1"/>
  <c r="V95" i="18" s="1"/>
  <c r="U95" i="18" a="1"/>
  <c r="U95" i="18" s="1"/>
  <c r="T95" i="18" a="1"/>
  <c r="T95" i="18" s="1"/>
  <c r="S95" i="18" a="1"/>
  <c r="S95" i="18" s="1"/>
  <c r="R95" i="18" a="1"/>
  <c r="R95" i="18" s="1"/>
  <c r="Q95" i="18" a="1"/>
  <c r="Q95" i="18" s="1"/>
  <c r="P95" i="18" a="1"/>
  <c r="P95" i="18" s="1"/>
  <c r="O95" i="18" a="1"/>
  <c r="O95" i="18" s="1"/>
  <c r="N95" i="18" a="1"/>
  <c r="N95" i="18" s="1"/>
  <c r="M95" i="18" a="1"/>
  <c r="M95" i="18" s="1"/>
  <c r="L95" i="18" a="1"/>
  <c r="L95" i="18" s="1"/>
  <c r="K95" i="18" a="1"/>
  <c r="K95" i="18" s="1"/>
  <c r="J95" i="18" a="1"/>
  <c r="J95" i="18" s="1"/>
  <c r="I95" i="18" a="1"/>
  <c r="I95" i="18" s="1"/>
  <c r="H95" i="18" a="1"/>
  <c r="H95" i="18" s="1"/>
  <c r="G95" i="18" a="1"/>
  <c r="G95" i="18" s="1"/>
  <c r="D95" i="18"/>
  <c r="BA99" i="18" a="1"/>
  <c r="BA99" i="18" s="1"/>
  <c r="AW99" i="18" a="1"/>
  <c r="AW99" i="18" s="1"/>
  <c r="AS99" i="18" a="1"/>
  <c r="AS99" i="18" s="1"/>
  <c r="AO99" i="18" a="1"/>
  <c r="AO99" i="18" s="1"/>
  <c r="AK99" i="18" a="1"/>
  <c r="AK99" i="18" s="1"/>
  <c r="AG99" i="18" a="1"/>
  <c r="AG99" i="18" s="1"/>
  <c r="BC99" i="18" a="1"/>
  <c r="BC99" i="18" s="1"/>
  <c r="AY99" i="18" a="1"/>
  <c r="AY99" i="18" s="1"/>
  <c r="AU99" i="18" a="1"/>
  <c r="AU99" i="18" s="1"/>
  <c r="AQ99" i="18" a="1"/>
  <c r="AQ99" i="18" s="1"/>
  <c r="AM99" i="18" a="1"/>
  <c r="AM99" i="18" s="1"/>
  <c r="AI99" i="18" a="1"/>
  <c r="AI99" i="18" s="1"/>
  <c r="AE99" i="18" a="1"/>
  <c r="AE99" i="18" s="1"/>
  <c r="AB99" i="18" a="1"/>
  <c r="AB99" i="18" s="1"/>
  <c r="AA99" i="18" a="1"/>
  <c r="AA99" i="18" s="1"/>
  <c r="Z99" i="18" a="1"/>
  <c r="Z99" i="18" s="1"/>
  <c r="Y99" i="18" a="1"/>
  <c r="Y99" i="18" s="1"/>
  <c r="X99" i="18" a="1"/>
  <c r="X99" i="18" s="1"/>
  <c r="W99" i="18" a="1"/>
  <c r="W99" i="18" s="1"/>
  <c r="V99" i="18" a="1"/>
  <c r="V99" i="18" s="1"/>
  <c r="U99" i="18" a="1"/>
  <c r="U99" i="18" s="1"/>
  <c r="T99" i="18" a="1"/>
  <c r="T99" i="18" s="1"/>
  <c r="S99" i="18" a="1"/>
  <c r="S99" i="18" s="1"/>
  <c r="R99" i="18" a="1"/>
  <c r="R99" i="18" s="1"/>
  <c r="Q99" i="18" a="1"/>
  <c r="Q99" i="18" s="1"/>
  <c r="P99" i="18" a="1"/>
  <c r="P99" i="18" s="1"/>
  <c r="O99" i="18" a="1"/>
  <c r="O99" i="18" s="1"/>
  <c r="N99" i="18" a="1"/>
  <c r="N99" i="18" s="1"/>
  <c r="M99" i="18" a="1"/>
  <c r="M99" i="18" s="1"/>
  <c r="L99" i="18" a="1"/>
  <c r="L99" i="18" s="1"/>
  <c r="K99" i="18" a="1"/>
  <c r="K99" i="18" s="1"/>
  <c r="J99" i="18" a="1"/>
  <c r="J99" i="18" s="1"/>
  <c r="I99" i="18" a="1"/>
  <c r="I99" i="18" s="1"/>
  <c r="H99" i="18" a="1"/>
  <c r="H99" i="18" s="1"/>
  <c r="G99" i="18" a="1"/>
  <c r="G99" i="18" s="1"/>
  <c r="D99" i="18"/>
  <c r="BA103" i="18" a="1"/>
  <c r="BA103" i="18" s="1"/>
  <c r="AW103" i="18" a="1"/>
  <c r="AW103" i="18" s="1"/>
  <c r="AS103" i="18" a="1"/>
  <c r="AS103" i="18" s="1"/>
  <c r="AO103" i="18" a="1"/>
  <c r="AO103" i="18" s="1"/>
  <c r="AK103" i="18" a="1"/>
  <c r="AK103" i="18" s="1"/>
  <c r="AG103" i="18" a="1"/>
  <c r="AG103" i="18" s="1"/>
  <c r="BC103" i="18" a="1"/>
  <c r="BC103" i="18" s="1"/>
  <c r="AY103" i="18" a="1"/>
  <c r="AY103" i="18" s="1"/>
  <c r="AU103" i="18" a="1"/>
  <c r="AU103" i="18" s="1"/>
  <c r="AQ103" i="18" a="1"/>
  <c r="AQ103" i="18" s="1"/>
  <c r="AM103" i="18" a="1"/>
  <c r="AM103" i="18" s="1"/>
  <c r="AI103" i="18" a="1"/>
  <c r="AI103" i="18" s="1"/>
  <c r="AE103" i="18" a="1"/>
  <c r="AE103" i="18" s="1"/>
  <c r="AB103" i="18" a="1"/>
  <c r="AB103" i="18" s="1"/>
  <c r="AA103" i="18" a="1"/>
  <c r="AA103" i="18" s="1"/>
  <c r="Z103" i="18" a="1"/>
  <c r="Z103" i="18" s="1"/>
  <c r="Y103" i="18" a="1"/>
  <c r="Y103" i="18" s="1"/>
  <c r="X103" i="18" a="1"/>
  <c r="X103" i="18" s="1"/>
  <c r="W103" i="18" a="1"/>
  <c r="W103" i="18" s="1"/>
  <c r="V103" i="18" a="1"/>
  <c r="V103" i="18" s="1"/>
  <c r="U103" i="18" a="1"/>
  <c r="U103" i="18" s="1"/>
  <c r="T103" i="18" a="1"/>
  <c r="T103" i="18" s="1"/>
  <c r="S103" i="18" a="1"/>
  <c r="S103" i="18" s="1"/>
  <c r="R103" i="18" a="1"/>
  <c r="R103" i="18" s="1"/>
  <c r="Q103" i="18" a="1"/>
  <c r="Q103" i="18" s="1"/>
  <c r="P103" i="18" a="1"/>
  <c r="P103" i="18" s="1"/>
  <c r="O103" i="18" a="1"/>
  <c r="O103" i="18" s="1"/>
  <c r="N103" i="18" a="1"/>
  <c r="N103" i="18" s="1"/>
  <c r="M103" i="18" a="1"/>
  <c r="M103" i="18" s="1"/>
  <c r="L103" i="18" a="1"/>
  <c r="L103" i="18" s="1"/>
  <c r="K103" i="18" a="1"/>
  <c r="K103" i="18" s="1"/>
  <c r="J103" i="18" a="1"/>
  <c r="J103" i="18" s="1"/>
  <c r="I103" i="18" a="1"/>
  <c r="I103" i="18" s="1"/>
  <c r="H103" i="18" a="1"/>
  <c r="H103" i="18" s="1"/>
  <c r="G103" i="18" a="1"/>
  <c r="G103" i="18" s="1"/>
  <c r="D103" i="18"/>
  <c r="BA107" i="18" a="1"/>
  <c r="BA107" i="18" s="1"/>
  <c r="AW107" i="18" a="1"/>
  <c r="AW107" i="18" s="1"/>
  <c r="AS107" i="18" a="1"/>
  <c r="AS107" i="18" s="1"/>
  <c r="AO107" i="18" a="1"/>
  <c r="AO107" i="18" s="1"/>
  <c r="AK107" i="18" a="1"/>
  <c r="AK107" i="18" s="1"/>
  <c r="AG107" i="18" a="1"/>
  <c r="AG107" i="18" s="1"/>
  <c r="BC107" i="18" a="1"/>
  <c r="BC107" i="18" s="1"/>
  <c r="AY107" i="18" a="1"/>
  <c r="AY107" i="18" s="1"/>
  <c r="AU107" i="18" a="1"/>
  <c r="AU107" i="18" s="1"/>
  <c r="AQ107" i="18" a="1"/>
  <c r="AQ107" i="18" s="1"/>
  <c r="AM107" i="18" a="1"/>
  <c r="AM107" i="18" s="1"/>
  <c r="AI107" i="18" a="1"/>
  <c r="AI107" i="18" s="1"/>
  <c r="AE107" i="18" a="1"/>
  <c r="AE107" i="18" s="1"/>
  <c r="AB107" i="18" a="1"/>
  <c r="AB107" i="18" s="1"/>
  <c r="AA107" i="18" a="1"/>
  <c r="AA107" i="18" s="1"/>
  <c r="Z107" i="18" a="1"/>
  <c r="Z107" i="18" s="1"/>
  <c r="Y107" i="18" a="1"/>
  <c r="Y107" i="18" s="1"/>
  <c r="X107" i="18" a="1"/>
  <c r="X107" i="18" s="1"/>
  <c r="W107" i="18" a="1"/>
  <c r="W107" i="18" s="1"/>
  <c r="V107" i="18" a="1"/>
  <c r="V107" i="18" s="1"/>
  <c r="U107" i="18" a="1"/>
  <c r="U107" i="18" s="1"/>
  <c r="T107" i="18" a="1"/>
  <c r="T107" i="18" s="1"/>
  <c r="S107" i="18" a="1"/>
  <c r="S107" i="18" s="1"/>
  <c r="R107" i="18" a="1"/>
  <c r="R107" i="18" s="1"/>
  <c r="Q107" i="18" a="1"/>
  <c r="Q107" i="18" s="1"/>
  <c r="P107" i="18" a="1"/>
  <c r="P107" i="18" s="1"/>
  <c r="O107" i="18" a="1"/>
  <c r="O107" i="18" s="1"/>
  <c r="N107" i="18" a="1"/>
  <c r="N107" i="18" s="1"/>
  <c r="M107" i="18" a="1"/>
  <c r="M107" i="18" s="1"/>
  <c r="L107" i="18" a="1"/>
  <c r="L107" i="18" s="1"/>
  <c r="K107" i="18" a="1"/>
  <c r="K107" i="18" s="1"/>
  <c r="J107" i="18" a="1"/>
  <c r="J107" i="18" s="1"/>
  <c r="I107" i="18" a="1"/>
  <c r="I107" i="18" s="1"/>
  <c r="H107" i="18" a="1"/>
  <c r="H107" i="18" s="1"/>
  <c r="G107" i="18" a="1"/>
  <c r="G107" i="18" s="1"/>
  <c r="D107" i="18"/>
  <c r="BA110" i="18" a="1"/>
  <c r="BA110" i="18" s="1"/>
  <c r="AW110" i="18" a="1"/>
  <c r="AW110" i="18" s="1"/>
  <c r="AS110" i="18" a="1"/>
  <c r="AS110" i="18" s="1"/>
  <c r="AO110" i="18" a="1"/>
  <c r="AO110" i="18" s="1"/>
  <c r="AK110" i="18" a="1"/>
  <c r="AK110" i="18" s="1"/>
  <c r="AG110" i="18" a="1"/>
  <c r="AG110" i="18" s="1"/>
  <c r="BC110" i="18" a="1"/>
  <c r="BC110" i="18" s="1"/>
  <c r="AY110" i="18" a="1"/>
  <c r="AY110" i="18" s="1"/>
  <c r="AU110" i="18" a="1"/>
  <c r="AU110" i="18" s="1"/>
  <c r="AQ110" i="18" a="1"/>
  <c r="AQ110" i="18" s="1"/>
  <c r="AM110" i="18" a="1"/>
  <c r="AM110" i="18" s="1"/>
  <c r="AI110" i="18" a="1"/>
  <c r="AI110" i="18" s="1"/>
  <c r="AE110" i="18" a="1"/>
  <c r="AE110" i="18" s="1"/>
  <c r="AB110" i="18" a="1"/>
  <c r="AB110" i="18" s="1"/>
  <c r="AA110" i="18" a="1"/>
  <c r="AA110" i="18" s="1"/>
  <c r="Z110" i="18" a="1"/>
  <c r="Z110" i="18" s="1"/>
  <c r="Y110" i="18" a="1"/>
  <c r="Y110" i="18" s="1"/>
  <c r="X110" i="18" a="1"/>
  <c r="X110" i="18" s="1"/>
  <c r="W110" i="18" a="1"/>
  <c r="W110" i="18" s="1"/>
  <c r="V110" i="18" a="1"/>
  <c r="V110" i="18" s="1"/>
  <c r="U110" i="18" a="1"/>
  <c r="U110" i="18" s="1"/>
  <c r="T110" i="18" a="1"/>
  <c r="T110" i="18" s="1"/>
  <c r="S110" i="18" a="1"/>
  <c r="S110" i="18" s="1"/>
  <c r="R110" i="18" a="1"/>
  <c r="R110" i="18" s="1"/>
  <c r="Q110" i="18" a="1"/>
  <c r="Q110" i="18" s="1"/>
  <c r="P110" i="18" a="1"/>
  <c r="P110" i="18" s="1"/>
  <c r="O110" i="18" a="1"/>
  <c r="O110" i="18" s="1"/>
  <c r="N110" i="18" a="1"/>
  <c r="N110" i="18" s="1"/>
  <c r="M110" i="18" a="1"/>
  <c r="M110" i="18" s="1"/>
  <c r="L110" i="18" a="1"/>
  <c r="L110" i="18" s="1"/>
  <c r="K110" i="18" a="1"/>
  <c r="K110" i="18" s="1"/>
  <c r="J110" i="18" a="1"/>
  <c r="J110" i="18" s="1"/>
  <c r="I110" i="18" a="1"/>
  <c r="I110" i="18" s="1"/>
  <c r="H110" i="18" a="1"/>
  <c r="H110" i="18" s="1"/>
  <c r="G110" i="18" a="1"/>
  <c r="G110" i="18" s="1"/>
  <c r="D110" i="18"/>
  <c r="BA114" i="18" a="1"/>
  <c r="BA114" i="18" s="1"/>
  <c r="AW114" i="18" a="1"/>
  <c r="AW114" i="18" s="1"/>
  <c r="AS114" i="18" a="1"/>
  <c r="AS114" i="18" s="1"/>
  <c r="AO114" i="18" a="1"/>
  <c r="AO114" i="18" s="1"/>
  <c r="AK114" i="18" a="1"/>
  <c r="AK114" i="18" s="1"/>
  <c r="AG114" i="18" a="1"/>
  <c r="AG114" i="18" s="1"/>
  <c r="BC114" i="18" a="1"/>
  <c r="BC114" i="18" s="1"/>
  <c r="AY114" i="18" a="1"/>
  <c r="AY114" i="18" s="1"/>
  <c r="AU114" i="18" a="1"/>
  <c r="AU114" i="18" s="1"/>
  <c r="AQ114" i="18" a="1"/>
  <c r="AQ114" i="18" s="1"/>
  <c r="AM114" i="18" a="1"/>
  <c r="AM114" i="18" s="1"/>
  <c r="AI114" i="18" a="1"/>
  <c r="AI114" i="18" s="1"/>
  <c r="AE114" i="18" a="1"/>
  <c r="AE114" i="18" s="1"/>
  <c r="AB114" i="18" a="1"/>
  <c r="AB114" i="18" s="1"/>
  <c r="AA114" i="18" a="1"/>
  <c r="AA114" i="18" s="1"/>
  <c r="Z114" i="18" a="1"/>
  <c r="Z114" i="18" s="1"/>
  <c r="Y114" i="18" a="1"/>
  <c r="Y114" i="18" s="1"/>
  <c r="X114" i="18" a="1"/>
  <c r="X114" i="18" s="1"/>
  <c r="W114" i="18" a="1"/>
  <c r="W114" i="18" s="1"/>
  <c r="V114" i="18" a="1"/>
  <c r="V114" i="18" s="1"/>
  <c r="U114" i="18" a="1"/>
  <c r="U114" i="18" s="1"/>
  <c r="T114" i="18" a="1"/>
  <c r="T114" i="18" s="1"/>
  <c r="S114" i="18" a="1"/>
  <c r="S114" i="18" s="1"/>
  <c r="R114" i="18" a="1"/>
  <c r="R114" i="18" s="1"/>
  <c r="Q114" i="18" a="1"/>
  <c r="Q114" i="18" s="1"/>
  <c r="P114" i="18" a="1"/>
  <c r="P114" i="18" s="1"/>
  <c r="O114" i="18" a="1"/>
  <c r="O114" i="18" s="1"/>
  <c r="N114" i="18" a="1"/>
  <c r="N114" i="18" s="1"/>
  <c r="M114" i="18" a="1"/>
  <c r="M114" i="18" s="1"/>
  <c r="L114" i="18" a="1"/>
  <c r="L114" i="18" s="1"/>
  <c r="K114" i="18" a="1"/>
  <c r="K114" i="18" s="1"/>
  <c r="J114" i="18" a="1"/>
  <c r="J114" i="18" s="1"/>
  <c r="I114" i="18" a="1"/>
  <c r="I114" i="18" s="1"/>
  <c r="H114" i="18" a="1"/>
  <c r="H114" i="18" s="1"/>
  <c r="G114" i="18" a="1"/>
  <c r="G114" i="18" s="1"/>
  <c r="D114" i="18"/>
  <c r="BA118" i="18" a="1"/>
  <c r="BA118" i="18" s="1"/>
  <c r="AW118" i="18" a="1"/>
  <c r="AW118" i="18" s="1"/>
  <c r="AS118" i="18" a="1"/>
  <c r="AS118" i="18" s="1"/>
  <c r="AO118" i="18" a="1"/>
  <c r="AO118" i="18" s="1"/>
  <c r="AK118" i="18" a="1"/>
  <c r="AK118" i="18" s="1"/>
  <c r="AG118" i="18" a="1"/>
  <c r="AG118" i="18" s="1"/>
  <c r="BC118" i="18" a="1"/>
  <c r="BC118" i="18" s="1"/>
  <c r="AY118" i="18" a="1"/>
  <c r="AY118" i="18" s="1"/>
  <c r="AU118" i="18" a="1"/>
  <c r="AU118" i="18" s="1"/>
  <c r="AQ118" i="18" a="1"/>
  <c r="AQ118" i="18" s="1"/>
  <c r="AM118" i="18" a="1"/>
  <c r="AM118" i="18" s="1"/>
  <c r="AI118" i="18" a="1"/>
  <c r="AI118" i="18" s="1"/>
  <c r="AE118" i="18" a="1"/>
  <c r="AE118" i="18" s="1"/>
  <c r="AB118" i="18" a="1"/>
  <c r="AB118" i="18" s="1"/>
  <c r="AA118" i="18" a="1"/>
  <c r="AA118" i="18" s="1"/>
  <c r="Z118" i="18" a="1"/>
  <c r="Z118" i="18" s="1"/>
  <c r="Y118" i="18" a="1"/>
  <c r="Y118" i="18" s="1"/>
  <c r="X118" i="18" a="1"/>
  <c r="X118" i="18" s="1"/>
  <c r="W118" i="18" a="1"/>
  <c r="W118" i="18" s="1"/>
  <c r="V118" i="18" a="1"/>
  <c r="V118" i="18" s="1"/>
  <c r="U118" i="18" a="1"/>
  <c r="U118" i="18" s="1"/>
  <c r="T118" i="18" a="1"/>
  <c r="T118" i="18" s="1"/>
  <c r="S118" i="18" a="1"/>
  <c r="S118" i="18" s="1"/>
  <c r="R118" i="18" a="1"/>
  <c r="R118" i="18" s="1"/>
  <c r="Q118" i="18" a="1"/>
  <c r="Q118" i="18" s="1"/>
  <c r="P118" i="18" a="1"/>
  <c r="P118" i="18" s="1"/>
  <c r="O118" i="18" a="1"/>
  <c r="O118" i="18" s="1"/>
  <c r="N118" i="18" a="1"/>
  <c r="N118" i="18" s="1"/>
  <c r="M118" i="18" a="1"/>
  <c r="M118" i="18" s="1"/>
  <c r="L118" i="18" a="1"/>
  <c r="L118" i="18" s="1"/>
  <c r="K118" i="18" a="1"/>
  <c r="K118" i="18" s="1"/>
  <c r="J118" i="18" a="1"/>
  <c r="J118" i="18" s="1"/>
  <c r="I118" i="18" a="1"/>
  <c r="I118" i="18" s="1"/>
  <c r="H118" i="18" a="1"/>
  <c r="H118" i="18" s="1"/>
  <c r="G118" i="18" a="1"/>
  <c r="G118" i="18" s="1"/>
  <c r="D118" i="18"/>
  <c r="BA122" i="18" a="1"/>
  <c r="BA122" i="18" s="1"/>
  <c r="AW122" i="18" a="1"/>
  <c r="AW122" i="18" s="1"/>
  <c r="AS122" i="18" a="1"/>
  <c r="AS122" i="18" s="1"/>
  <c r="AO122" i="18" a="1"/>
  <c r="AO122" i="18" s="1"/>
  <c r="AK122" i="18" a="1"/>
  <c r="AK122" i="18" s="1"/>
  <c r="AG122" i="18" a="1"/>
  <c r="AG122" i="18" s="1"/>
  <c r="BC122" i="18" a="1"/>
  <c r="BC122" i="18" s="1"/>
  <c r="AY122" i="18" a="1"/>
  <c r="AY122" i="18" s="1"/>
  <c r="AU122" i="18" a="1"/>
  <c r="AU122" i="18" s="1"/>
  <c r="AQ122" i="18" a="1"/>
  <c r="AQ122" i="18" s="1"/>
  <c r="AM122" i="18" a="1"/>
  <c r="AM122" i="18" s="1"/>
  <c r="AI122" i="18" a="1"/>
  <c r="AI122" i="18" s="1"/>
  <c r="AE122" i="18" a="1"/>
  <c r="AE122" i="18" s="1"/>
  <c r="AB122" i="18" a="1"/>
  <c r="AB122" i="18" s="1"/>
  <c r="AA122" i="18" a="1"/>
  <c r="AA122" i="18" s="1"/>
  <c r="Z122" i="18" a="1"/>
  <c r="Z122" i="18" s="1"/>
  <c r="Y122" i="18" a="1"/>
  <c r="Y122" i="18" s="1"/>
  <c r="X122" i="18" a="1"/>
  <c r="X122" i="18" s="1"/>
  <c r="W122" i="18" a="1"/>
  <c r="W122" i="18" s="1"/>
  <c r="V122" i="18" a="1"/>
  <c r="V122" i="18" s="1"/>
  <c r="U122" i="18" a="1"/>
  <c r="U122" i="18" s="1"/>
  <c r="T122" i="18" a="1"/>
  <c r="T122" i="18" s="1"/>
  <c r="S122" i="18" a="1"/>
  <c r="S122" i="18" s="1"/>
  <c r="R122" i="18" a="1"/>
  <c r="R122" i="18" s="1"/>
  <c r="Q122" i="18" a="1"/>
  <c r="Q122" i="18" s="1"/>
  <c r="P122" i="18" a="1"/>
  <c r="P122" i="18" s="1"/>
  <c r="O122" i="18" a="1"/>
  <c r="O122" i="18" s="1"/>
  <c r="N122" i="18" a="1"/>
  <c r="N122" i="18" s="1"/>
  <c r="M122" i="18" a="1"/>
  <c r="M122" i="18" s="1"/>
  <c r="L122" i="18" a="1"/>
  <c r="L122" i="18" s="1"/>
  <c r="K122" i="18" a="1"/>
  <c r="K122" i="18" s="1"/>
  <c r="J122" i="18" a="1"/>
  <c r="J122" i="18" s="1"/>
  <c r="I122" i="18" a="1"/>
  <c r="I122" i="18" s="1"/>
  <c r="H122" i="18" a="1"/>
  <c r="H122" i="18" s="1"/>
  <c r="G122" i="18" a="1"/>
  <c r="G122" i="18" s="1"/>
  <c r="D122" i="18"/>
  <c r="BA126" i="18" a="1"/>
  <c r="BA126" i="18" s="1"/>
  <c r="AW126" i="18" a="1"/>
  <c r="AW126" i="18" s="1"/>
  <c r="AS126" i="18" a="1"/>
  <c r="AS126" i="18" s="1"/>
  <c r="AO126" i="18" a="1"/>
  <c r="AO126" i="18" s="1"/>
  <c r="AK126" i="18" a="1"/>
  <c r="AK126" i="18" s="1"/>
  <c r="AG126" i="18" a="1"/>
  <c r="AG126" i="18" s="1"/>
  <c r="BC126" i="18" a="1"/>
  <c r="BC126" i="18" s="1"/>
  <c r="AY126" i="18" a="1"/>
  <c r="AY126" i="18" s="1"/>
  <c r="AU126" i="18" a="1"/>
  <c r="AU126" i="18" s="1"/>
  <c r="AQ126" i="18" a="1"/>
  <c r="AQ126" i="18" s="1"/>
  <c r="AM126" i="18" a="1"/>
  <c r="AM126" i="18" s="1"/>
  <c r="AI126" i="18" a="1"/>
  <c r="AI126" i="18" s="1"/>
  <c r="AE126" i="18" a="1"/>
  <c r="AE126" i="18" s="1"/>
  <c r="AB126" i="18" a="1"/>
  <c r="AB126" i="18" s="1"/>
  <c r="AA126" i="18" a="1"/>
  <c r="AA126" i="18" s="1"/>
  <c r="Z126" i="18" a="1"/>
  <c r="Z126" i="18" s="1"/>
  <c r="Y126" i="18" a="1"/>
  <c r="Y126" i="18" s="1"/>
  <c r="X126" i="18" a="1"/>
  <c r="X126" i="18" s="1"/>
  <c r="W126" i="18" a="1"/>
  <c r="W126" i="18" s="1"/>
  <c r="V126" i="18" a="1"/>
  <c r="V126" i="18" s="1"/>
  <c r="U126" i="18" a="1"/>
  <c r="U126" i="18" s="1"/>
  <c r="T126" i="18" a="1"/>
  <c r="T126" i="18" s="1"/>
  <c r="S126" i="18" a="1"/>
  <c r="S126" i="18" s="1"/>
  <c r="R126" i="18" a="1"/>
  <c r="R126" i="18" s="1"/>
  <c r="Q126" i="18" a="1"/>
  <c r="Q126" i="18" s="1"/>
  <c r="P126" i="18" a="1"/>
  <c r="P126" i="18" s="1"/>
  <c r="O126" i="18" a="1"/>
  <c r="O126" i="18" s="1"/>
  <c r="N126" i="18" a="1"/>
  <c r="N126" i="18" s="1"/>
  <c r="M126" i="18" a="1"/>
  <c r="M126" i="18" s="1"/>
  <c r="L126" i="18" a="1"/>
  <c r="L126" i="18" s="1"/>
  <c r="K126" i="18" a="1"/>
  <c r="K126" i="18" s="1"/>
  <c r="J126" i="18" a="1"/>
  <c r="J126" i="18" s="1"/>
  <c r="I126" i="18" a="1"/>
  <c r="I126" i="18" s="1"/>
  <c r="H126" i="18" a="1"/>
  <c r="H126" i="18" s="1"/>
  <c r="G126" i="18" a="1"/>
  <c r="G126" i="18" s="1"/>
  <c r="D126" i="18"/>
  <c r="BA130" i="18" a="1"/>
  <c r="BA130" i="18" s="1"/>
  <c r="AW130" i="18" a="1"/>
  <c r="AW130" i="18" s="1"/>
  <c r="AS130" i="18" a="1"/>
  <c r="AS130" i="18" s="1"/>
  <c r="AO130" i="18" a="1"/>
  <c r="AO130" i="18" s="1"/>
  <c r="AK130" i="18" a="1"/>
  <c r="AK130" i="18" s="1"/>
  <c r="AG130" i="18" a="1"/>
  <c r="AG130" i="18" s="1"/>
  <c r="BC130" i="18" a="1"/>
  <c r="BC130" i="18" s="1"/>
  <c r="AY130" i="18" a="1"/>
  <c r="AY130" i="18" s="1"/>
  <c r="AU130" i="18" a="1"/>
  <c r="AU130" i="18" s="1"/>
  <c r="AQ130" i="18" a="1"/>
  <c r="AQ130" i="18" s="1"/>
  <c r="AM130" i="18" a="1"/>
  <c r="AM130" i="18" s="1"/>
  <c r="AI130" i="18" a="1"/>
  <c r="AI130" i="18" s="1"/>
  <c r="AE130" i="18" a="1"/>
  <c r="AE130" i="18" s="1"/>
  <c r="AB130" i="18" a="1"/>
  <c r="AB130" i="18" s="1"/>
  <c r="AA130" i="18" a="1"/>
  <c r="AA130" i="18" s="1"/>
  <c r="Z130" i="18" a="1"/>
  <c r="Z130" i="18" s="1"/>
  <c r="Y130" i="18" a="1"/>
  <c r="Y130" i="18" s="1"/>
  <c r="X130" i="18" a="1"/>
  <c r="X130" i="18" s="1"/>
  <c r="W130" i="18" a="1"/>
  <c r="W130" i="18" s="1"/>
  <c r="V130" i="18" a="1"/>
  <c r="V130" i="18" s="1"/>
  <c r="U130" i="18" a="1"/>
  <c r="U130" i="18" s="1"/>
  <c r="T130" i="18" a="1"/>
  <c r="T130" i="18" s="1"/>
  <c r="S130" i="18" a="1"/>
  <c r="S130" i="18" s="1"/>
  <c r="R130" i="18" a="1"/>
  <c r="R130" i="18" s="1"/>
  <c r="Q130" i="18" a="1"/>
  <c r="Q130" i="18" s="1"/>
  <c r="P130" i="18" a="1"/>
  <c r="P130" i="18" s="1"/>
  <c r="O130" i="18" a="1"/>
  <c r="O130" i="18" s="1"/>
  <c r="N130" i="18" a="1"/>
  <c r="N130" i="18" s="1"/>
  <c r="M130" i="18" a="1"/>
  <c r="M130" i="18" s="1"/>
  <c r="L130" i="18" a="1"/>
  <c r="L130" i="18" s="1"/>
  <c r="K130" i="18" a="1"/>
  <c r="K130" i="18" s="1"/>
  <c r="J130" i="18" a="1"/>
  <c r="J130" i="18" s="1"/>
  <c r="I130" i="18" a="1"/>
  <c r="I130" i="18" s="1"/>
  <c r="H130" i="18" a="1"/>
  <c r="H130" i="18" s="1"/>
  <c r="G130" i="18" a="1"/>
  <c r="G130" i="18" s="1"/>
  <c r="D130" i="18"/>
  <c r="BA134" i="18" a="1"/>
  <c r="BA134" i="18" s="1"/>
  <c r="AW134" i="18" a="1"/>
  <c r="AW134" i="18" s="1"/>
  <c r="AS134" i="18" a="1"/>
  <c r="AS134" i="18" s="1"/>
  <c r="AO134" i="18" a="1"/>
  <c r="AO134" i="18" s="1"/>
  <c r="AK134" i="18" a="1"/>
  <c r="AK134" i="18" s="1"/>
  <c r="AG134" i="18" a="1"/>
  <c r="AG134" i="18" s="1"/>
  <c r="BC134" i="18" a="1"/>
  <c r="BC134" i="18" s="1"/>
  <c r="AY134" i="18" a="1"/>
  <c r="AY134" i="18" s="1"/>
  <c r="AU134" i="18" a="1"/>
  <c r="AU134" i="18" s="1"/>
  <c r="AQ134" i="18" a="1"/>
  <c r="AQ134" i="18" s="1"/>
  <c r="AM134" i="18" a="1"/>
  <c r="AM134" i="18" s="1"/>
  <c r="AI134" i="18" a="1"/>
  <c r="AI134" i="18" s="1"/>
  <c r="AE134" i="18" a="1"/>
  <c r="AE134" i="18" s="1"/>
  <c r="AB134" i="18" a="1"/>
  <c r="AB134" i="18" s="1"/>
  <c r="AA134" i="18" a="1"/>
  <c r="AA134" i="18" s="1"/>
  <c r="Z134" i="18" a="1"/>
  <c r="Z134" i="18" s="1"/>
  <c r="Y134" i="18" a="1"/>
  <c r="Y134" i="18" s="1"/>
  <c r="X134" i="18" a="1"/>
  <c r="X134" i="18" s="1"/>
  <c r="W134" i="18" a="1"/>
  <c r="W134" i="18" s="1"/>
  <c r="V134" i="18" a="1"/>
  <c r="V134" i="18" s="1"/>
  <c r="U134" i="18" a="1"/>
  <c r="U134" i="18" s="1"/>
  <c r="T134" i="18" a="1"/>
  <c r="T134" i="18" s="1"/>
  <c r="S134" i="18" a="1"/>
  <c r="S134" i="18" s="1"/>
  <c r="R134" i="18" a="1"/>
  <c r="R134" i="18" s="1"/>
  <c r="Q134" i="18" a="1"/>
  <c r="Q134" i="18" s="1"/>
  <c r="P134" i="18" a="1"/>
  <c r="P134" i="18" s="1"/>
  <c r="O134" i="18" a="1"/>
  <c r="O134" i="18" s="1"/>
  <c r="N134" i="18" a="1"/>
  <c r="N134" i="18" s="1"/>
  <c r="M134" i="18" a="1"/>
  <c r="M134" i="18" s="1"/>
  <c r="L134" i="18" a="1"/>
  <c r="L134" i="18" s="1"/>
  <c r="K134" i="18" a="1"/>
  <c r="K134" i="18" s="1"/>
  <c r="J134" i="18" a="1"/>
  <c r="J134" i="18" s="1"/>
  <c r="I134" i="18" a="1"/>
  <c r="I134" i="18" s="1"/>
  <c r="H134" i="18" a="1"/>
  <c r="H134" i="18" s="1"/>
  <c r="G134" i="18" a="1"/>
  <c r="G134" i="18" s="1"/>
  <c r="D134" i="18"/>
  <c r="BA138" i="18" a="1"/>
  <c r="BA138" i="18" s="1"/>
  <c r="AW138" i="18" a="1"/>
  <c r="AW138" i="18" s="1"/>
  <c r="AS138" i="18" a="1"/>
  <c r="AS138" i="18" s="1"/>
  <c r="AO138" i="18" a="1"/>
  <c r="AO138" i="18" s="1"/>
  <c r="AK138" i="18" a="1"/>
  <c r="AK138" i="18" s="1"/>
  <c r="AG138" i="18" a="1"/>
  <c r="AG138" i="18" s="1"/>
  <c r="BC138" i="18" a="1"/>
  <c r="BC138" i="18" s="1"/>
  <c r="AY138" i="18" a="1"/>
  <c r="AY138" i="18" s="1"/>
  <c r="AU138" i="18" a="1"/>
  <c r="AU138" i="18" s="1"/>
  <c r="AQ138" i="18" a="1"/>
  <c r="AQ138" i="18" s="1"/>
  <c r="AM138" i="18" a="1"/>
  <c r="AM138" i="18" s="1"/>
  <c r="AI138" i="18" a="1"/>
  <c r="AI138" i="18" s="1"/>
  <c r="AE138" i="18" a="1"/>
  <c r="AE138" i="18" s="1"/>
  <c r="AB138" i="18" a="1"/>
  <c r="AB138" i="18" s="1"/>
  <c r="AA138" i="18" a="1"/>
  <c r="AA138" i="18" s="1"/>
  <c r="Z138" i="18" a="1"/>
  <c r="Z138" i="18" s="1"/>
  <c r="Y138" i="18" a="1"/>
  <c r="Y138" i="18" s="1"/>
  <c r="X138" i="18" a="1"/>
  <c r="X138" i="18" s="1"/>
  <c r="W138" i="18" a="1"/>
  <c r="W138" i="18" s="1"/>
  <c r="V138" i="18" a="1"/>
  <c r="V138" i="18" s="1"/>
  <c r="U138" i="18" a="1"/>
  <c r="U138" i="18" s="1"/>
  <c r="T138" i="18" a="1"/>
  <c r="T138" i="18" s="1"/>
  <c r="S138" i="18" a="1"/>
  <c r="S138" i="18" s="1"/>
  <c r="R138" i="18" a="1"/>
  <c r="R138" i="18" s="1"/>
  <c r="Q138" i="18" a="1"/>
  <c r="Q138" i="18" s="1"/>
  <c r="P138" i="18" a="1"/>
  <c r="P138" i="18" s="1"/>
  <c r="O138" i="18" a="1"/>
  <c r="O138" i="18" s="1"/>
  <c r="N138" i="18" a="1"/>
  <c r="N138" i="18" s="1"/>
  <c r="M138" i="18" a="1"/>
  <c r="M138" i="18" s="1"/>
  <c r="L138" i="18" a="1"/>
  <c r="L138" i="18" s="1"/>
  <c r="K138" i="18" a="1"/>
  <c r="K138" i="18" s="1"/>
  <c r="J138" i="18" a="1"/>
  <c r="J138" i="18" s="1"/>
  <c r="I138" i="18" a="1"/>
  <c r="I138" i="18" s="1"/>
  <c r="H138" i="18" a="1"/>
  <c r="H138" i="18" s="1"/>
  <c r="G138" i="18" a="1"/>
  <c r="G138" i="18" s="1"/>
  <c r="D138" i="18"/>
  <c r="BA142" i="18" a="1"/>
  <c r="BA142" i="18" s="1"/>
  <c r="AW142" i="18" a="1"/>
  <c r="AW142" i="18" s="1"/>
  <c r="AS142" i="18" a="1"/>
  <c r="AS142" i="18" s="1"/>
  <c r="AO142" i="18" a="1"/>
  <c r="AO142" i="18" s="1"/>
  <c r="AK142" i="18" a="1"/>
  <c r="AK142" i="18" s="1"/>
  <c r="AG142" i="18" a="1"/>
  <c r="AG142" i="18" s="1"/>
  <c r="BC142" i="18" a="1"/>
  <c r="BC142" i="18" s="1"/>
  <c r="AY142" i="18" a="1"/>
  <c r="AY142" i="18" s="1"/>
  <c r="AU142" i="18" a="1"/>
  <c r="AU142" i="18" s="1"/>
  <c r="AQ142" i="18" a="1"/>
  <c r="AQ142" i="18" s="1"/>
  <c r="AM142" i="18" a="1"/>
  <c r="AM142" i="18" s="1"/>
  <c r="AI142" i="18" a="1"/>
  <c r="AI142" i="18" s="1"/>
  <c r="AE142" i="18" a="1"/>
  <c r="AE142" i="18" s="1"/>
  <c r="AB142" i="18" a="1"/>
  <c r="AB142" i="18" s="1"/>
  <c r="AA142" i="18" a="1"/>
  <c r="AA142" i="18" s="1"/>
  <c r="Z142" i="18" a="1"/>
  <c r="Z142" i="18" s="1"/>
  <c r="Y142" i="18" a="1"/>
  <c r="Y142" i="18" s="1"/>
  <c r="X142" i="18" a="1"/>
  <c r="X142" i="18" s="1"/>
  <c r="W142" i="18" a="1"/>
  <c r="W142" i="18" s="1"/>
  <c r="V142" i="18" a="1"/>
  <c r="V142" i="18" s="1"/>
  <c r="U142" i="18" a="1"/>
  <c r="U142" i="18" s="1"/>
  <c r="T142" i="18" a="1"/>
  <c r="T142" i="18" s="1"/>
  <c r="S142" i="18" a="1"/>
  <c r="S142" i="18" s="1"/>
  <c r="R142" i="18" a="1"/>
  <c r="R142" i="18" s="1"/>
  <c r="Q142" i="18" a="1"/>
  <c r="Q142" i="18" s="1"/>
  <c r="P142" i="18" a="1"/>
  <c r="P142" i="18" s="1"/>
  <c r="O142" i="18" a="1"/>
  <c r="O142" i="18" s="1"/>
  <c r="N142" i="18" a="1"/>
  <c r="N142" i="18" s="1"/>
  <c r="M142" i="18" a="1"/>
  <c r="M142" i="18" s="1"/>
  <c r="L142" i="18" a="1"/>
  <c r="L142" i="18" s="1"/>
  <c r="K142" i="18" a="1"/>
  <c r="K142" i="18" s="1"/>
  <c r="J142" i="18" a="1"/>
  <c r="J142" i="18" s="1"/>
  <c r="I142" i="18" a="1"/>
  <c r="I142" i="18" s="1"/>
  <c r="H142" i="18" a="1"/>
  <c r="H142" i="18" s="1"/>
  <c r="G142" i="18" a="1"/>
  <c r="G142" i="18" s="1"/>
  <c r="D142" i="18"/>
  <c r="BA146" i="18" a="1"/>
  <c r="BA146" i="18" s="1"/>
  <c r="AW146" i="18" a="1"/>
  <c r="AW146" i="18" s="1"/>
  <c r="AS146" i="18" a="1"/>
  <c r="AS146" i="18" s="1"/>
  <c r="AO146" i="18" a="1"/>
  <c r="AO146" i="18" s="1"/>
  <c r="AK146" i="18" a="1"/>
  <c r="AK146" i="18" s="1"/>
  <c r="AG146" i="18" a="1"/>
  <c r="AG146" i="18" s="1"/>
  <c r="BC146" i="18" a="1"/>
  <c r="BC146" i="18" s="1"/>
  <c r="AY146" i="18" a="1"/>
  <c r="AY146" i="18" s="1"/>
  <c r="AU146" i="18" a="1"/>
  <c r="AU146" i="18" s="1"/>
  <c r="AQ146" i="18" a="1"/>
  <c r="AQ146" i="18" s="1"/>
  <c r="AM146" i="18" a="1"/>
  <c r="AM146" i="18" s="1"/>
  <c r="AI146" i="18" a="1"/>
  <c r="AI146" i="18" s="1"/>
  <c r="AE146" i="18" a="1"/>
  <c r="AE146" i="18" s="1"/>
  <c r="AB146" i="18" a="1"/>
  <c r="AB146" i="18" s="1"/>
  <c r="AA146" i="18" a="1"/>
  <c r="AA146" i="18" s="1"/>
  <c r="Z146" i="18" a="1"/>
  <c r="Z146" i="18" s="1"/>
  <c r="Y146" i="18" a="1"/>
  <c r="Y146" i="18" s="1"/>
  <c r="X146" i="18" a="1"/>
  <c r="X146" i="18" s="1"/>
  <c r="W146" i="18" a="1"/>
  <c r="W146" i="18" s="1"/>
  <c r="V146" i="18" a="1"/>
  <c r="V146" i="18" s="1"/>
  <c r="U146" i="18" a="1"/>
  <c r="U146" i="18" s="1"/>
  <c r="T146" i="18" a="1"/>
  <c r="T146" i="18" s="1"/>
  <c r="S146" i="18" a="1"/>
  <c r="S146" i="18" s="1"/>
  <c r="R146" i="18" a="1"/>
  <c r="R146" i="18" s="1"/>
  <c r="Q146" i="18" a="1"/>
  <c r="Q146" i="18" s="1"/>
  <c r="P146" i="18" a="1"/>
  <c r="P146" i="18" s="1"/>
  <c r="O146" i="18" a="1"/>
  <c r="O146" i="18" s="1"/>
  <c r="N146" i="18" a="1"/>
  <c r="N146" i="18" s="1"/>
  <c r="M146" i="18" a="1"/>
  <c r="M146" i="18" s="1"/>
  <c r="L146" i="18" a="1"/>
  <c r="L146" i="18" s="1"/>
  <c r="K146" i="18" a="1"/>
  <c r="K146" i="18" s="1"/>
  <c r="J146" i="18" a="1"/>
  <c r="J146" i="18" s="1"/>
  <c r="I146" i="18" a="1"/>
  <c r="I146" i="18" s="1"/>
  <c r="H146" i="18" a="1"/>
  <c r="H146" i="18" s="1"/>
  <c r="G146" i="18" a="1"/>
  <c r="G146" i="18" s="1"/>
  <c r="D146" i="18"/>
  <c r="BA150" i="18" a="1"/>
  <c r="BA150" i="18" s="1"/>
  <c r="AW150" i="18" a="1"/>
  <c r="AW150" i="18" s="1"/>
  <c r="AS150" i="18" a="1"/>
  <c r="AS150" i="18" s="1"/>
  <c r="AO150" i="18" a="1"/>
  <c r="AO150" i="18" s="1"/>
  <c r="AK150" i="18" a="1"/>
  <c r="AK150" i="18" s="1"/>
  <c r="AG150" i="18" a="1"/>
  <c r="AG150" i="18" s="1"/>
  <c r="BC150" i="18" a="1"/>
  <c r="BC150" i="18" s="1"/>
  <c r="AY150" i="18" a="1"/>
  <c r="AY150" i="18" s="1"/>
  <c r="AU150" i="18" a="1"/>
  <c r="AU150" i="18" s="1"/>
  <c r="AQ150" i="18" a="1"/>
  <c r="AQ150" i="18" s="1"/>
  <c r="AM150" i="18" a="1"/>
  <c r="AM150" i="18" s="1"/>
  <c r="AI150" i="18" a="1"/>
  <c r="AI150" i="18" s="1"/>
  <c r="AE150" i="18" a="1"/>
  <c r="AE150" i="18" s="1"/>
  <c r="AB150" i="18" a="1"/>
  <c r="AB150" i="18" s="1"/>
  <c r="AA150" i="18" a="1"/>
  <c r="AA150" i="18" s="1"/>
  <c r="Z150" i="18" a="1"/>
  <c r="Z150" i="18" s="1"/>
  <c r="Y150" i="18" a="1"/>
  <c r="Y150" i="18" s="1"/>
  <c r="X150" i="18" a="1"/>
  <c r="X150" i="18" s="1"/>
  <c r="W150" i="18" a="1"/>
  <c r="W150" i="18" s="1"/>
  <c r="V150" i="18" a="1"/>
  <c r="V150" i="18" s="1"/>
  <c r="U150" i="18" a="1"/>
  <c r="U150" i="18" s="1"/>
  <c r="T150" i="18" a="1"/>
  <c r="T150" i="18" s="1"/>
  <c r="S150" i="18" a="1"/>
  <c r="S150" i="18" s="1"/>
  <c r="R150" i="18" a="1"/>
  <c r="R150" i="18" s="1"/>
  <c r="Q150" i="18" a="1"/>
  <c r="Q150" i="18" s="1"/>
  <c r="P150" i="18" a="1"/>
  <c r="P150" i="18" s="1"/>
  <c r="O150" i="18" a="1"/>
  <c r="O150" i="18" s="1"/>
  <c r="N150" i="18" a="1"/>
  <c r="N150" i="18" s="1"/>
  <c r="M150" i="18" a="1"/>
  <c r="M150" i="18" s="1"/>
  <c r="L150" i="18" a="1"/>
  <c r="L150" i="18" s="1"/>
  <c r="K150" i="18" a="1"/>
  <c r="K150" i="18" s="1"/>
  <c r="J150" i="18" a="1"/>
  <c r="J150" i="18" s="1"/>
  <c r="I150" i="18" a="1"/>
  <c r="I150" i="18" s="1"/>
  <c r="H150" i="18" a="1"/>
  <c r="H150" i="18" s="1"/>
  <c r="G150" i="18" a="1"/>
  <c r="G150" i="18" s="1"/>
  <c r="D150" i="18"/>
  <c r="BA154" i="18" a="1"/>
  <c r="BA154" i="18" s="1"/>
  <c r="AW154" i="18" a="1"/>
  <c r="AW154" i="18" s="1"/>
  <c r="AS154" i="18" a="1"/>
  <c r="AS154" i="18" s="1"/>
  <c r="AO154" i="18" a="1"/>
  <c r="AO154" i="18" s="1"/>
  <c r="AK154" i="18" a="1"/>
  <c r="AK154" i="18" s="1"/>
  <c r="AG154" i="18" a="1"/>
  <c r="AG154" i="18" s="1"/>
  <c r="BC154" i="18" a="1"/>
  <c r="BC154" i="18" s="1"/>
  <c r="AY154" i="18" a="1"/>
  <c r="AY154" i="18" s="1"/>
  <c r="AU154" i="18" a="1"/>
  <c r="AU154" i="18" s="1"/>
  <c r="AQ154" i="18" a="1"/>
  <c r="AQ154" i="18" s="1"/>
  <c r="AM154" i="18" a="1"/>
  <c r="AM154" i="18" s="1"/>
  <c r="AI154" i="18" a="1"/>
  <c r="AI154" i="18" s="1"/>
  <c r="AE154" i="18" a="1"/>
  <c r="AE154" i="18" s="1"/>
  <c r="AB154" i="18" a="1"/>
  <c r="AB154" i="18" s="1"/>
  <c r="AA154" i="18" a="1"/>
  <c r="AA154" i="18" s="1"/>
  <c r="Z154" i="18" a="1"/>
  <c r="Z154" i="18" s="1"/>
  <c r="Y154" i="18" a="1"/>
  <c r="Y154" i="18" s="1"/>
  <c r="X154" i="18" a="1"/>
  <c r="X154" i="18" s="1"/>
  <c r="W154" i="18" a="1"/>
  <c r="W154" i="18" s="1"/>
  <c r="V154" i="18" a="1"/>
  <c r="V154" i="18" s="1"/>
  <c r="U154" i="18" a="1"/>
  <c r="U154" i="18" s="1"/>
  <c r="T154" i="18" a="1"/>
  <c r="T154" i="18" s="1"/>
  <c r="S154" i="18" a="1"/>
  <c r="S154" i="18" s="1"/>
  <c r="R154" i="18" a="1"/>
  <c r="R154" i="18" s="1"/>
  <c r="Q154" i="18" a="1"/>
  <c r="Q154" i="18" s="1"/>
  <c r="P154" i="18" a="1"/>
  <c r="P154" i="18" s="1"/>
  <c r="O154" i="18" a="1"/>
  <c r="O154" i="18" s="1"/>
  <c r="N154" i="18" a="1"/>
  <c r="N154" i="18" s="1"/>
  <c r="M154" i="18" a="1"/>
  <c r="M154" i="18" s="1"/>
  <c r="L154" i="18" a="1"/>
  <c r="L154" i="18" s="1"/>
  <c r="K154" i="18" a="1"/>
  <c r="K154" i="18" s="1"/>
  <c r="J154" i="18" a="1"/>
  <c r="J154" i="18" s="1"/>
  <c r="I154" i="18" a="1"/>
  <c r="I154" i="18" s="1"/>
  <c r="H154" i="18" a="1"/>
  <c r="H154" i="18" s="1"/>
  <c r="G154" i="18" a="1"/>
  <c r="G154" i="18" s="1"/>
  <c r="D154" i="18"/>
  <c r="BA158" i="18" a="1"/>
  <c r="BA158" i="18" s="1"/>
  <c r="AW158" i="18" a="1"/>
  <c r="AW158" i="18" s="1"/>
  <c r="AS158" i="18" a="1"/>
  <c r="AS158" i="18" s="1"/>
  <c r="AO158" i="18" a="1"/>
  <c r="AO158" i="18" s="1"/>
  <c r="AK158" i="18" a="1"/>
  <c r="AK158" i="18" s="1"/>
  <c r="AG158" i="18" a="1"/>
  <c r="AG158" i="18" s="1"/>
  <c r="BC158" i="18" a="1"/>
  <c r="BC158" i="18" s="1"/>
  <c r="AY158" i="18" a="1"/>
  <c r="AY158" i="18" s="1"/>
  <c r="AU158" i="18" a="1"/>
  <c r="AU158" i="18" s="1"/>
  <c r="AQ158" i="18" a="1"/>
  <c r="AQ158" i="18" s="1"/>
  <c r="AM158" i="18" a="1"/>
  <c r="AM158" i="18" s="1"/>
  <c r="AI158" i="18" a="1"/>
  <c r="AI158" i="18" s="1"/>
  <c r="AE158" i="18" a="1"/>
  <c r="AE158" i="18" s="1"/>
  <c r="AB158" i="18" a="1"/>
  <c r="AB158" i="18" s="1"/>
  <c r="AA158" i="18" a="1"/>
  <c r="AA158" i="18" s="1"/>
  <c r="Z158" i="18" a="1"/>
  <c r="Z158" i="18" s="1"/>
  <c r="Y158" i="18" a="1"/>
  <c r="Y158" i="18" s="1"/>
  <c r="X158" i="18" a="1"/>
  <c r="X158" i="18" s="1"/>
  <c r="W158" i="18" a="1"/>
  <c r="W158" i="18" s="1"/>
  <c r="V158" i="18" a="1"/>
  <c r="V158" i="18" s="1"/>
  <c r="U158" i="18" a="1"/>
  <c r="U158" i="18" s="1"/>
  <c r="T158" i="18" a="1"/>
  <c r="T158" i="18" s="1"/>
  <c r="S158" i="18" a="1"/>
  <c r="S158" i="18" s="1"/>
  <c r="R158" i="18" a="1"/>
  <c r="R158" i="18" s="1"/>
  <c r="Q158" i="18" a="1"/>
  <c r="Q158" i="18" s="1"/>
  <c r="P158" i="18" a="1"/>
  <c r="P158" i="18" s="1"/>
  <c r="O158" i="18" a="1"/>
  <c r="O158" i="18" s="1"/>
  <c r="N158" i="18" a="1"/>
  <c r="N158" i="18" s="1"/>
  <c r="M158" i="18" a="1"/>
  <c r="M158" i="18" s="1"/>
  <c r="L158" i="18" a="1"/>
  <c r="L158" i="18" s="1"/>
  <c r="K158" i="18" a="1"/>
  <c r="K158" i="18" s="1"/>
  <c r="J158" i="18" a="1"/>
  <c r="J158" i="18" s="1"/>
  <c r="I158" i="18" a="1"/>
  <c r="I158" i="18" s="1"/>
  <c r="H158" i="18" a="1"/>
  <c r="H158" i="18" s="1"/>
  <c r="G158" i="18" a="1"/>
  <c r="G158" i="18" s="1"/>
  <c r="D158" i="18"/>
  <c r="BA162" i="18" a="1"/>
  <c r="BA162" i="18" s="1"/>
  <c r="AW162" i="18" a="1"/>
  <c r="AW162" i="18" s="1"/>
  <c r="AS162" i="18" a="1"/>
  <c r="AS162" i="18" s="1"/>
  <c r="AO162" i="18" a="1"/>
  <c r="AO162" i="18" s="1"/>
  <c r="AK162" i="18" a="1"/>
  <c r="AK162" i="18" s="1"/>
  <c r="AG162" i="18" a="1"/>
  <c r="AG162" i="18" s="1"/>
  <c r="BC162" i="18" a="1"/>
  <c r="BC162" i="18" s="1"/>
  <c r="AY162" i="18" a="1"/>
  <c r="AY162" i="18" s="1"/>
  <c r="AU162" i="18" a="1"/>
  <c r="AU162" i="18" s="1"/>
  <c r="AQ162" i="18" a="1"/>
  <c r="AQ162" i="18" s="1"/>
  <c r="AM162" i="18" a="1"/>
  <c r="AM162" i="18" s="1"/>
  <c r="AI162" i="18" a="1"/>
  <c r="AI162" i="18" s="1"/>
  <c r="AE162" i="18" a="1"/>
  <c r="AE162" i="18" s="1"/>
  <c r="AB162" i="18" a="1"/>
  <c r="AB162" i="18" s="1"/>
  <c r="AA162" i="18" a="1"/>
  <c r="AA162" i="18" s="1"/>
  <c r="Z162" i="18" a="1"/>
  <c r="Z162" i="18" s="1"/>
  <c r="Y162" i="18" a="1"/>
  <c r="Y162" i="18" s="1"/>
  <c r="X162" i="18" a="1"/>
  <c r="X162" i="18" s="1"/>
  <c r="W162" i="18" a="1"/>
  <c r="W162" i="18" s="1"/>
  <c r="V162" i="18" a="1"/>
  <c r="V162" i="18" s="1"/>
  <c r="U162" i="18" a="1"/>
  <c r="U162" i="18" s="1"/>
  <c r="T162" i="18" a="1"/>
  <c r="T162" i="18" s="1"/>
  <c r="S162" i="18" a="1"/>
  <c r="S162" i="18" s="1"/>
  <c r="R162" i="18" a="1"/>
  <c r="R162" i="18" s="1"/>
  <c r="Q162" i="18" a="1"/>
  <c r="Q162" i="18" s="1"/>
  <c r="P162" i="18" a="1"/>
  <c r="P162" i="18" s="1"/>
  <c r="O162" i="18" a="1"/>
  <c r="O162" i="18" s="1"/>
  <c r="N162" i="18" a="1"/>
  <c r="N162" i="18" s="1"/>
  <c r="M162" i="18" a="1"/>
  <c r="M162" i="18" s="1"/>
  <c r="L162" i="18" a="1"/>
  <c r="L162" i="18" s="1"/>
  <c r="K162" i="18" a="1"/>
  <c r="K162" i="18" s="1"/>
  <c r="J162" i="18" a="1"/>
  <c r="J162" i="18" s="1"/>
  <c r="I162" i="18" a="1"/>
  <c r="I162" i="18" s="1"/>
  <c r="H162" i="18" a="1"/>
  <c r="H162" i="18" s="1"/>
  <c r="G162" i="18" a="1"/>
  <c r="G162" i="18" s="1"/>
  <c r="D162" i="18"/>
  <c r="BA166" i="18" a="1"/>
  <c r="BA166" i="18" s="1"/>
  <c r="AW166" i="18" a="1"/>
  <c r="AW166" i="18" s="1"/>
  <c r="AS166" i="18" a="1"/>
  <c r="AS166" i="18" s="1"/>
  <c r="AO166" i="18" a="1"/>
  <c r="AO166" i="18" s="1"/>
  <c r="AK166" i="18" a="1"/>
  <c r="AK166" i="18" s="1"/>
  <c r="AG166" i="18" a="1"/>
  <c r="AG166" i="18" s="1"/>
  <c r="BC166" i="18" a="1"/>
  <c r="BC166" i="18" s="1"/>
  <c r="AY166" i="18" a="1"/>
  <c r="AY166" i="18" s="1"/>
  <c r="AU166" i="18" a="1"/>
  <c r="AU166" i="18" s="1"/>
  <c r="AQ166" i="18" a="1"/>
  <c r="AQ166" i="18" s="1"/>
  <c r="AM166" i="18" a="1"/>
  <c r="AM166" i="18" s="1"/>
  <c r="AI166" i="18" a="1"/>
  <c r="AI166" i="18" s="1"/>
  <c r="AE166" i="18" a="1"/>
  <c r="AE166" i="18" s="1"/>
  <c r="AB166" i="18" a="1"/>
  <c r="AB166" i="18" s="1"/>
  <c r="AA166" i="18" a="1"/>
  <c r="AA166" i="18" s="1"/>
  <c r="Z166" i="18" a="1"/>
  <c r="Z166" i="18" s="1"/>
  <c r="Y166" i="18" a="1"/>
  <c r="Y166" i="18" s="1"/>
  <c r="X166" i="18" a="1"/>
  <c r="X166" i="18" s="1"/>
  <c r="W166" i="18" a="1"/>
  <c r="W166" i="18" s="1"/>
  <c r="V166" i="18" a="1"/>
  <c r="V166" i="18" s="1"/>
  <c r="U166" i="18" a="1"/>
  <c r="U166" i="18" s="1"/>
  <c r="T166" i="18" a="1"/>
  <c r="T166" i="18" s="1"/>
  <c r="S166" i="18" a="1"/>
  <c r="S166" i="18" s="1"/>
  <c r="R166" i="18" a="1"/>
  <c r="R166" i="18" s="1"/>
  <c r="Q166" i="18" a="1"/>
  <c r="Q166" i="18" s="1"/>
  <c r="P166" i="18" a="1"/>
  <c r="P166" i="18" s="1"/>
  <c r="O166" i="18" a="1"/>
  <c r="O166" i="18" s="1"/>
  <c r="N166" i="18" a="1"/>
  <c r="N166" i="18" s="1"/>
  <c r="M166" i="18" a="1"/>
  <c r="M166" i="18" s="1"/>
  <c r="L166" i="18" a="1"/>
  <c r="L166" i="18" s="1"/>
  <c r="K166" i="18" a="1"/>
  <c r="K166" i="18" s="1"/>
  <c r="J166" i="18" a="1"/>
  <c r="J166" i="18" s="1"/>
  <c r="I166" i="18" a="1"/>
  <c r="I166" i="18" s="1"/>
  <c r="H166" i="18" a="1"/>
  <c r="H166" i="18" s="1"/>
  <c r="G166" i="18" a="1"/>
  <c r="G166" i="18" s="1"/>
  <c r="D166" i="18"/>
  <c r="BA170" i="18" a="1"/>
  <c r="BA170" i="18" s="1"/>
  <c r="AW170" i="18" a="1"/>
  <c r="AW170" i="18" s="1"/>
  <c r="AS170" i="18" a="1"/>
  <c r="AS170" i="18" s="1"/>
  <c r="AO170" i="18" a="1"/>
  <c r="AO170" i="18" s="1"/>
  <c r="AK170" i="18" a="1"/>
  <c r="AK170" i="18" s="1"/>
  <c r="AG170" i="18" a="1"/>
  <c r="AG170" i="18" s="1"/>
  <c r="BC170" i="18" a="1"/>
  <c r="BC170" i="18" s="1"/>
  <c r="AY170" i="18" a="1"/>
  <c r="AY170" i="18" s="1"/>
  <c r="AU170" i="18" a="1"/>
  <c r="AU170" i="18" s="1"/>
  <c r="AQ170" i="18" a="1"/>
  <c r="AQ170" i="18" s="1"/>
  <c r="AM170" i="18" a="1"/>
  <c r="AM170" i="18" s="1"/>
  <c r="AI170" i="18" a="1"/>
  <c r="AI170" i="18" s="1"/>
  <c r="AE170" i="18" a="1"/>
  <c r="AE170" i="18" s="1"/>
  <c r="AB170" i="18" a="1"/>
  <c r="AB170" i="18" s="1"/>
  <c r="AA170" i="18" a="1"/>
  <c r="AA170" i="18" s="1"/>
  <c r="Z170" i="18" a="1"/>
  <c r="Z170" i="18" s="1"/>
  <c r="Y170" i="18" a="1"/>
  <c r="Y170" i="18" s="1"/>
  <c r="X170" i="18" a="1"/>
  <c r="X170" i="18" s="1"/>
  <c r="W170" i="18" a="1"/>
  <c r="W170" i="18" s="1"/>
  <c r="V170" i="18" a="1"/>
  <c r="V170" i="18" s="1"/>
  <c r="U170" i="18" a="1"/>
  <c r="U170" i="18" s="1"/>
  <c r="T170" i="18" a="1"/>
  <c r="T170" i="18" s="1"/>
  <c r="S170" i="18" a="1"/>
  <c r="S170" i="18" s="1"/>
  <c r="R170" i="18" a="1"/>
  <c r="R170" i="18" s="1"/>
  <c r="Q170" i="18" a="1"/>
  <c r="Q170" i="18" s="1"/>
  <c r="P170" i="18" a="1"/>
  <c r="P170" i="18" s="1"/>
  <c r="O170" i="18" a="1"/>
  <c r="O170" i="18" s="1"/>
  <c r="N170" i="18" a="1"/>
  <c r="N170" i="18" s="1"/>
  <c r="M170" i="18" a="1"/>
  <c r="M170" i="18" s="1"/>
  <c r="L170" i="18" a="1"/>
  <c r="L170" i="18" s="1"/>
  <c r="K170" i="18" a="1"/>
  <c r="K170" i="18" s="1"/>
  <c r="J170" i="18" a="1"/>
  <c r="J170" i="18" s="1"/>
  <c r="I170" i="18" a="1"/>
  <c r="I170" i="18" s="1"/>
  <c r="H170" i="18" a="1"/>
  <c r="H170" i="18" s="1"/>
  <c r="G170" i="18" a="1"/>
  <c r="G170" i="18" s="1"/>
  <c r="D170" i="18"/>
  <c r="BA174" i="18" a="1"/>
  <c r="BA174" i="18" s="1"/>
  <c r="AW174" i="18" a="1"/>
  <c r="AW174" i="18" s="1"/>
  <c r="AS174" i="18" a="1"/>
  <c r="AS174" i="18" s="1"/>
  <c r="AO174" i="18" a="1"/>
  <c r="AO174" i="18" s="1"/>
  <c r="AK174" i="18" a="1"/>
  <c r="AK174" i="18" s="1"/>
  <c r="AG174" i="18" a="1"/>
  <c r="AG174" i="18" s="1"/>
  <c r="BC174" i="18" a="1"/>
  <c r="BC174" i="18" s="1"/>
  <c r="AY174" i="18" a="1"/>
  <c r="AY174" i="18" s="1"/>
  <c r="AU174" i="18" a="1"/>
  <c r="AU174" i="18" s="1"/>
  <c r="AQ174" i="18" a="1"/>
  <c r="AQ174" i="18" s="1"/>
  <c r="AM174" i="18" a="1"/>
  <c r="AM174" i="18" s="1"/>
  <c r="AI174" i="18" a="1"/>
  <c r="AI174" i="18" s="1"/>
  <c r="AE174" i="18" a="1"/>
  <c r="AE174" i="18" s="1"/>
  <c r="AB174" i="18" a="1"/>
  <c r="AB174" i="18" s="1"/>
  <c r="AA174" i="18" a="1"/>
  <c r="AA174" i="18" s="1"/>
  <c r="Z174" i="18" a="1"/>
  <c r="Z174" i="18" s="1"/>
  <c r="Y174" i="18" a="1"/>
  <c r="Y174" i="18" s="1"/>
  <c r="X174" i="18" a="1"/>
  <c r="X174" i="18" s="1"/>
  <c r="W174" i="18" a="1"/>
  <c r="W174" i="18" s="1"/>
  <c r="V174" i="18" a="1"/>
  <c r="V174" i="18" s="1"/>
  <c r="U174" i="18" a="1"/>
  <c r="U174" i="18" s="1"/>
  <c r="T174" i="18" a="1"/>
  <c r="T174" i="18" s="1"/>
  <c r="S174" i="18" a="1"/>
  <c r="S174" i="18" s="1"/>
  <c r="R174" i="18" a="1"/>
  <c r="R174" i="18" s="1"/>
  <c r="Q174" i="18" a="1"/>
  <c r="Q174" i="18" s="1"/>
  <c r="P174" i="18" a="1"/>
  <c r="P174" i="18" s="1"/>
  <c r="O174" i="18" a="1"/>
  <c r="O174" i="18" s="1"/>
  <c r="N174" i="18" a="1"/>
  <c r="N174" i="18" s="1"/>
  <c r="M174" i="18" a="1"/>
  <c r="M174" i="18" s="1"/>
  <c r="L174" i="18" a="1"/>
  <c r="L174" i="18" s="1"/>
  <c r="K174" i="18" a="1"/>
  <c r="K174" i="18" s="1"/>
  <c r="J174" i="18" a="1"/>
  <c r="J174" i="18" s="1"/>
  <c r="I174" i="18" a="1"/>
  <c r="I174" i="18" s="1"/>
  <c r="H174" i="18" a="1"/>
  <c r="H174" i="18" s="1"/>
  <c r="G174" i="18" a="1"/>
  <c r="G174" i="18" s="1"/>
  <c r="D174" i="18"/>
  <c r="BA178" i="18" a="1"/>
  <c r="BA178" i="18" s="1"/>
  <c r="AW178" i="18" a="1"/>
  <c r="AW178" i="18" s="1"/>
  <c r="AS178" i="18" a="1"/>
  <c r="AS178" i="18" s="1"/>
  <c r="AO178" i="18" a="1"/>
  <c r="AO178" i="18" s="1"/>
  <c r="AK178" i="18" a="1"/>
  <c r="AK178" i="18" s="1"/>
  <c r="AG178" i="18" a="1"/>
  <c r="AG178" i="18" s="1"/>
  <c r="BC178" i="18" a="1"/>
  <c r="BC178" i="18" s="1"/>
  <c r="AY178" i="18" a="1"/>
  <c r="AY178" i="18" s="1"/>
  <c r="AU178" i="18" a="1"/>
  <c r="AU178" i="18" s="1"/>
  <c r="AQ178" i="18" a="1"/>
  <c r="AQ178" i="18" s="1"/>
  <c r="AM178" i="18" a="1"/>
  <c r="AM178" i="18" s="1"/>
  <c r="AI178" i="18" a="1"/>
  <c r="AI178" i="18" s="1"/>
  <c r="AE178" i="18" a="1"/>
  <c r="AE178" i="18" s="1"/>
  <c r="AB178" i="18" a="1"/>
  <c r="AB178" i="18" s="1"/>
  <c r="AA178" i="18" a="1"/>
  <c r="AA178" i="18" s="1"/>
  <c r="Z178" i="18" a="1"/>
  <c r="Z178" i="18" s="1"/>
  <c r="Y178" i="18" a="1"/>
  <c r="Y178" i="18" s="1"/>
  <c r="X178" i="18" a="1"/>
  <c r="X178" i="18" s="1"/>
  <c r="W178" i="18" a="1"/>
  <c r="W178" i="18" s="1"/>
  <c r="V178" i="18" a="1"/>
  <c r="V178" i="18" s="1"/>
  <c r="U178" i="18" a="1"/>
  <c r="U178" i="18" s="1"/>
  <c r="T178" i="18" a="1"/>
  <c r="T178" i="18" s="1"/>
  <c r="S178" i="18" a="1"/>
  <c r="S178" i="18" s="1"/>
  <c r="R178" i="18" a="1"/>
  <c r="R178" i="18" s="1"/>
  <c r="Q178" i="18" a="1"/>
  <c r="Q178" i="18" s="1"/>
  <c r="P178" i="18" a="1"/>
  <c r="P178" i="18" s="1"/>
  <c r="O178" i="18" a="1"/>
  <c r="O178" i="18" s="1"/>
  <c r="N178" i="18" a="1"/>
  <c r="N178" i="18" s="1"/>
  <c r="M178" i="18" a="1"/>
  <c r="M178" i="18" s="1"/>
  <c r="L178" i="18" a="1"/>
  <c r="L178" i="18" s="1"/>
  <c r="K178" i="18" a="1"/>
  <c r="K178" i="18" s="1"/>
  <c r="J178" i="18" a="1"/>
  <c r="J178" i="18" s="1"/>
  <c r="I178" i="18" a="1"/>
  <c r="I178" i="18" s="1"/>
  <c r="H178" i="18" a="1"/>
  <c r="H178" i="18" s="1"/>
  <c r="G178" i="18" a="1"/>
  <c r="G178" i="18" s="1"/>
  <c r="D178" i="18"/>
  <c r="BA182" i="18" a="1"/>
  <c r="BA182" i="18" s="1"/>
  <c r="AW182" i="18" a="1"/>
  <c r="AW182" i="18" s="1"/>
  <c r="AS182" i="18" a="1"/>
  <c r="AS182" i="18" s="1"/>
  <c r="AO182" i="18" a="1"/>
  <c r="AO182" i="18" s="1"/>
  <c r="AK182" i="18" a="1"/>
  <c r="AK182" i="18" s="1"/>
  <c r="AG182" i="18" a="1"/>
  <c r="AG182" i="18" s="1"/>
  <c r="BC182" i="18" a="1"/>
  <c r="BC182" i="18" s="1"/>
  <c r="AY182" i="18" a="1"/>
  <c r="AY182" i="18" s="1"/>
  <c r="AU182" i="18" a="1"/>
  <c r="AU182" i="18" s="1"/>
  <c r="AQ182" i="18" a="1"/>
  <c r="AQ182" i="18" s="1"/>
  <c r="AM182" i="18" a="1"/>
  <c r="AM182" i="18" s="1"/>
  <c r="AI182" i="18" a="1"/>
  <c r="AI182" i="18" s="1"/>
  <c r="AE182" i="18" a="1"/>
  <c r="AE182" i="18" s="1"/>
  <c r="AB182" i="18" a="1"/>
  <c r="AB182" i="18" s="1"/>
  <c r="AA182" i="18" a="1"/>
  <c r="AA182" i="18" s="1"/>
  <c r="Z182" i="18" a="1"/>
  <c r="Z182" i="18" s="1"/>
  <c r="Y182" i="18" a="1"/>
  <c r="Y182" i="18" s="1"/>
  <c r="X182" i="18" a="1"/>
  <c r="X182" i="18" s="1"/>
  <c r="W182" i="18" a="1"/>
  <c r="W182" i="18" s="1"/>
  <c r="V182" i="18" a="1"/>
  <c r="V182" i="18" s="1"/>
  <c r="U182" i="18" a="1"/>
  <c r="U182" i="18" s="1"/>
  <c r="T182" i="18" a="1"/>
  <c r="T182" i="18" s="1"/>
  <c r="S182" i="18" a="1"/>
  <c r="S182" i="18" s="1"/>
  <c r="R182" i="18" a="1"/>
  <c r="R182" i="18" s="1"/>
  <c r="Q182" i="18" a="1"/>
  <c r="Q182" i="18" s="1"/>
  <c r="P182" i="18" a="1"/>
  <c r="P182" i="18" s="1"/>
  <c r="O182" i="18" a="1"/>
  <c r="O182" i="18" s="1"/>
  <c r="N182" i="18" a="1"/>
  <c r="N182" i="18" s="1"/>
  <c r="M182" i="18" a="1"/>
  <c r="M182" i="18" s="1"/>
  <c r="L182" i="18" a="1"/>
  <c r="L182" i="18" s="1"/>
  <c r="K182" i="18" a="1"/>
  <c r="K182" i="18" s="1"/>
  <c r="J182" i="18" a="1"/>
  <c r="J182" i="18" s="1"/>
  <c r="I182" i="18" a="1"/>
  <c r="I182" i="18" s="1"/>
  <c r="H182" i="18" a="1"/>
  <c r="H182" i="18" s="1"/>
  <c r="G182" i="18" a="1"/>
  <c r="G182" i="18" s="1"/>
  <c r="D182" i="18"/>
  <c r="BA186" i="18" a="1"/>
  <c r="BA186" i="18" s="1"/>
  <c r="AW186" i="18" a="1"/>
  <c r="AW186" i="18" s="1"/>
  <c r="AS186" i="18" a="1"/>
  <c r="AS186" i="18" s="1"/>
  <c r="AO186" i="18" a="1"/>
  <c r="AO186" i="18" s="1"/>
  <c r="AK186" i="18" a="1"/>
  <c r="AK186" i="18" s="1"/>
  <c r="AG186" i="18" a="1"/>
  <c r="AG186" i="18" s="1"/>
  <c r="BC186" i="18" a="1"/>
  <c r="BC186" i="18" s="1"/>
  <c r="AY186" i="18" a="1"/>
  <c r="AY186" i="18" s="1"/>
  <c r="AU186" i="18" a="1"/>
  <c r="AU186" i="18" s="1"/>
  <c r="AQ186" i="18" a="1"/>
  <c r="AQ186" i="18" s="1"/>
  <c r="AM186" i="18" a="1"/>
  <c r="AM186" i="18" s="1"/>
  <c r="AI186" i="18" a="1"/>
  <c r="AI186" i="18" s="1"/>
  <c r="AE186" i="18" a="1"/>
  <c r="AE186" i="18" s="1"/>
  <c r="AB186" i="18" a="1"/>
  <c r="AB186" i="18" s="1"/>
  <c r="AA186" i="18" a="1"/>
  <c r="AA186" i="18" s="1"/>
  <c r="Z186" i="18" a="1"/>
  <c r="Z186" i="18" s="1"/>
  <c r="Y186" i="18" a="1"/>
  <c r="Y186" i="18" s="1"/>
  <c r="X186" i="18" a="1"/>
  <c r="X186" i="18" s="1"/>
  <c r="W186" i="18" a="1"/>
  <c r="W186" i="18" s="1"/>
  <c r="V186" i="18" a="1"/>
  <c r="V186" i="18" s="1"/>
  <c r="U186" i="18" a="1"/>
  <c r="U186" i="18" s="1"/>
  <c r="T186" i="18" a="1"/>
  <c r="T186" i="18" s="1"/>
  <c r="S186" i="18" a="1"/>
  <c r="S186" i="18" s="1"/>
  <c r="R186" i="18" a="1"/>
  <c r="R186" i="18" s="1"/>
  <c r="Q186" i="18" a="1"/>
  <c r="Q186" i="18" s="1"/>
  <c r="P186" i="18" a="1"/>
  <c r="P186" i="18" s="1"/>
  <c r="O186" i="18" a="1"/>
  <c r="O186" i="18" s="1"/>
  <c r="N186" i="18" a="1"/>
  <c r="N186" i="18" s="1"/>
  <c r="M186" i="18" a="1"/>
  <c r="M186" i="18" s="1"/>
  <c r="L186" i="18" a="1"/>
  <c r="L186" i="18" s="1"/>
  <c r="K186" i="18" a="1"/>
  <c r="K186" i="18" s="1"/>
  <c r="J186" i="18" a="1"/>
  <c r="J186" i="18" s="1"/>
  <c r="I186" i="18" a="1"/>
  <c r="I186" i="18" s="1"/>
  <c r="H186" i="18" a="1"/>
  <c r="H186" i="18" s="1"/>
  <c r="G186" i="18" a="1"/>
  <c r="G186" i="18" s="1"/>
  <c r="D186" i="18"/>
  <c r="BA190" i="18" a="1"/>
  <c r="BA190" i="18" s="1"/>
  <c r="AW190" i="18" a="1"/>
  <c r="AW190" i="18" s="1"/>
  <c r="AS190" i="18" a="1"/>
  <c r="AS190" i="18" s="1"/>
  <c r="AO190" i="18" a="1"/>
  <c r="AO190" i="18" s="1"/>
  <c r="AK190" i="18" a="1"/>
  <c r="AK190" i="18" s="1"/>
  <c r="AG190" i="18" a="1"/>
  <c r="AG190" i="18" s="1"/>
  <c r="BC190" i="18" a="1"/>
  <c r="BC190" i="18" s="1"/>
  <c r="AY190" i="18" a="1"/>
  <c r="AY190" i="18" s="1"/>
  <c r="AU190" i="18" a="1"/>
  <c r="AU190" i="18" s="1"/>
  <c r="AQ190" i="18" a="1"/>
  <c r="AQ190" i="18" s="1"/>
  <c r="AM190" i="18" a="1"/>
  <c r="AM190" i="18" s="1"/>
  <c r="AI190" i="18" a="1"/>
  <c r="AI190" i="18" s="1"/>
  <c r="AE190" i="18" a="1"/>
  <c r="AE190" i="18" s="1"/>
  <c r="AB190" i="18" a="1"/>
  <c r="AB190" i="18" s="1"/>
  <c r="AA190" i="18" a="1"/>
  <c r="AA190" i="18" s="1"/>
  <c r="Z190" i="18" a="1"/>
  <c r="Z190" i="18" s="1"/>
  <c r="Y190" i="18" a="1"/>
  <c r="Y190" i="18" s="1"/>
  <c r="X190" i="18" a="1"/>
  <c r="X190" i="18" s="1"/>
  <c r="W190" i="18" a="1"/>
  <c r="W190" i="18" s="1"/>
  <c r="V190" i="18" a="1"/>
  <c r="V190" i="18" s="1"/>
  <c r="U190" i="18" a="1"/>
  <c r="U190" i="18" s="1"/>
  <c r="T190" i="18" a="1"/>
  <c r="T190" i="18" s="1"/>
  <c r="S190" i="18" a="1"/>
  <c r="S190" i="18" s="1"/>
  <c r="R190" i="18" a="1"/>
  <c r="R190" i="18" s="1"/>
  <c r="Q190" i="18" a="1"/>
  <c r="Q190" i="18" s="1"/>
  <c r="P190" i="18" a="1"/>
  <c r="P190" i="18" s="1"/>
  <c r="O190" i="18" a="1"/>
  <c r="O190" i="18" s="1"/>
  <c r="N190" i="18" a="1"/>
  <c r="N190" i="18" s="1"/>
  <c r="M190" i="18" a="1"/>
  <c r="M190" i="18" s="1"/>
  <c r="L190" i="18" a="1"/>
  <c r="L190" i="18" s="1"/>
  <c r="K190" i="18" a="1"/>
  <c r="K190" i="18" s="1"/>
  <c r="J190" i="18" a="1"/>
  <c r="J190" i="18" s="1"/>
  <c r="I190" i="18" a="1"/>
  <c r="I190" i="18" s="1"/>
  <c r="H190" i="18" a="1"/>
  <c r="H190" i="18" s="1"/>
  <c r="G190" i="18" a="1"/>
  <c r="G190" i="18" s="1"/>
  <c r="D190" i="18"/>
  <c r="BC194" i="18" a="1"/>
  <c r="BC194" i="18" s="1"/>
  <c r="AY194" i="18" a="1"/>
  <c r="AY194" i="18" s="1"/>
  <c r="AU194" i="18" a="1"/>
  <c r="AU194" i="18" s="1"/>
  <c r="BA194" i="18" a="1"/>
  <c r="BA194" i="18" s="1"/>
  <c r="AW194" i="18" a="1"/>
  <c r="AW194" i="18" s="1"/>
  <c r="AO194" i="18" a="1"/>
  <c r="AO194" i="18" s="1"/>
  <c r="AK194" i="18" a="1"/>
  <c r="AK194" i="18" s="1"/>
  <c r="AG194" i="18" a="1"/>
  <c r="AG194" i="18" s="1"/>
  <c r="AS194" i="18" a="1"/>
  <c r="AS194" i="18" s="1"/>
  <c r="AQ194" i="18" a="1"/>
  <c r="AQ194" i="18" s="1"/>
  <c r="AM194" i="18" a="1"/>
  <c r="AM194" i="18" s="1"/>
  <c r="AI194" i="18" a="1"/>
  <c r="AI194" i="18" s="1"/>
  <c r="AE194" i="18" a="1"/>
  <c r="AE194" i="18" s="1"/>
  <c r="AB194" i="18" a="1"/>
  <c r="AB194" i="18" s="1"/>
  <c r="AA194" i="18" a="1"/>
  <c r="AA194" i="18" s="1"/>
  <c r="Z194" i="18" a="1"/>
  <c r="Z194" i="18" s="1"/>
  <c r="Y194" i="18" a="1"/>
  <c r="Y194" i="18" s="1"/>
  <c r="X194" i="18" a="1"/>
  <c r="X194" i="18" s="1"/>
  <c r="W194" i="18" a="1"/>
  <c r="W194" i="18" s="1"/>
  <c r="V194" i="18" a="1"/>
  <c r="V194" i="18" s="1"/>
  <c r="U194" i="18" a="1"/>
  <c r="U194" i="18" s="1"/>
  <c r="T194" i="18" a="1"/>
  <c r="T194" i="18" s="1"/>
  <c r="S194" i="18" a="1"/>
  <c r="S194" i="18" s="1"/>
  <c r="R194" i="18" a="1"/>
  <c r="R194" i="18" s="1"/>
  <c r="Q194" i="18" a="1"/>
  <c r="Q194" i="18" s="1"/>
  <c r="P194" i="18" a="1"/>
  <c r="P194" i="18" s="1"/>
  <c r="O194" i="18" a="1"/>
  <c r="O194" i="18" s="1"/>
  <c r="N194" i="18" a="1"/>
  <c r="N194" i="18" s="1"/>
  <c r="M194" i="18" a="1"/>
  <c r="M194" i="18" s="1"/>
  <c r="L194" i="18" a="1"/>
  <c r="L194" i="18" s="1"/>
  <c r="K194" i="18" a="1"/>
  <c r="K194" i="18" s="1"/>
  <c r="J194" i="18" a="1"/>
  <c r="J194" i="18" s="1"/>
  <c r="I194" i="18" a="1"/>
  <c r="I194" i="18" s="1"/>
  <c r="H194" i="18" a="1"/>
  <c r="H194" i="18" s="1"/>
  <c r="G194" i="18" a="1"/>
  <c r="G194" i="18" s="1"/>
  <c r="D194" i="18"/>
  <c r="BC198" i="18" a="1"/>
  <c r="BC198" i="18" s="1"/>
  <c r="AY198" i="18" a="1"/>
  <c r="AY198" i="18" s="1"/>
  <c r="AU198" i="18" a="1"/>
  <c r="AU198" i="18" s="1"/>
  <c r="AQ198" i="18" a="1"/>
  <c r="AQ198" i="18" s="1"/>
  <c r="AM198" i="18" a="1"/>
  <c r="AM198" i="18" s="1"/>
  <c r="AI198" i="18" a="1"/>
  <c r="AI198" i="18" s="1"/>
  <c r="AE198" i="18" a="1"/>
  <c r="AE198" i="18" s="1"/>
  <c r="AB198" i="18" a="1"/>
  <c r="AB198" i="18" s="1"/>
  <c r="AA198" i="18" a="1"/>
  <c r="AA198" i="18" s="1"/>
  <c r="Z198" i="18" a="1"/>
  <c r="Z198" i="18" s="1"/>
  <c r="Y198" i="18" a="1"/>
  <c r="Y198" i="18" s="1"/>
  <c r="X198" i="18" a="1"/>
  <c r="X198" i="18" s="1"/>
  <c r="W198" i="18" a="1"/>
  <c r="W198" i="18" s="1"/>
  <c r="V198" i="18" a="1"/>
  <c r="V198" i="18" s="1"/>
  <c r="U198" i="18" a="1"/>
  <c r="U198" i="18" s="1"/>
  <c r="AW198" i="18" a="1"/>
  <c r="AW198" i="18" s="1"/>
  <c r="AO198" i="18" a="1"/>
  <c r="AO198" i="18" s="1"/>
  <c r="AG198" i="18" a="1"/>
  <c r="AG198" i="18" s="1"/>
  <c r="T198" i="18" a="1"/>
  <c r="T198" i="18" s="1"/>
  <c r="S198" i="18" a="1"/>
  <c r="S198" i="18" s="1"/>
  <c r="R198" i="18" a="1"/>
  <c r="R198" i="18" s="1"/>
  <c r="Q198" i="18" a="1"/>
  <c r="Q198" i="18" s="1"/>
  <c r="P198" i="18" a="1"/>
  <c r="P198" i="18" s="1"/>
  <c r="O198" i="18" a="1"/>
  <c r="O198" i="18" s="1"/>
  <c r="N198" i="18" a="1"/>
  <c r="N198" i="18" s="1"/>
  <c r="M198" i="18" a="1"/>
  <c r="M198" i="18" s="1"/>
  <c r="L198" i="18" a="1"/>
  <c r="L198" i="18" s="1"/>
  <c r="K198" i="18" a="1"/>
  <c r="K198" i="18" s="1"/>
  <c r="J198" i="18" a="1"/>
  <c r="J198" i="18" s="1"/>
  <c r="I198" i="18" a="1"/>
  <c r="I198" i="18" s="1"/>
  <c r="H198" i="18" a="1"/>
  <c r="H198" i="18" s="1"/>
  <c r="G198" i="18" a="1"/>
  <c r="G198" i="18" s="1"/>
  <c r="D198" i="18"/>
  <c r="BA198" i="18" a="1"/>
  <c r="BA198" i="18" s="1"/>
  <c r="AS198" i="18" a="1"/>
  <c r="AS198" i="18" s="1"/>
  <c r="AT198" i="18" s="1"/>
  <c r="AK198" i="18" a="1"/>
  <c r="AK198" i="18" s="1"/>
  <c r="BC206" i="18" a="1"/>
  <c r="BC206" i="18" s="1"/>
  <c r="AY206" i="18" a="1"/>
  <c r="AY206" i="18" s="1"/>
  <c r="AU206" i="18" a="1"/>
  <c r="AU206" i="18" s="1"/>
  <c r="AQ206" i="18" a="1"/>
  <c r="AQ206" i="18" s="1"/>
  <c r="AM206" i="18" a="1"/>
  <c r="AM206" i="18" s="1"/>
  <c r="AI206" i="18" a="1"/>
  <c r="AI206" i="18" s="1"/>
  <c r="AE206" i="18" a="1"/>
  <c r="AE206" i="18" s="1"/>
  <c r="AB206" i="18" a="1"/>
  <c r="AB206" i="18" s="1"/>
  <c r="AA206" i="18" a="1"/>
  <c r="AA206" i="18" s="1"/>
  <c r="Z206" i="18" a="1"/>
  <c r="Z206" i="18" s="1"/>
  <c r="Y206" i="18" a="1"/>
  <c r="Y206" i="18" s="1"/>
  <c r="X206" i="18" a="1"/>
  <c r="X206" i="18" s="1"/>
  <c r="W206" i="18" a="1"/>
  <c r="W206" i="18" s="1"/>
  <c r="V206" i="18" a="1"/>
  <c r="V206" i="18" s="1"/>
  <c r="U206" i="18" a="1"/>
  <c r="U206" i="18" s="1"/>
  <c r="T206" i="18" a="1"/>
  <c r="T206" i="18" s="1"/>
  <c r="S206" i="18" a="1"/>
  <c r="S206" i="18" s="1"/>
  <c r="R206" i="18" a="1"/>
  <c r="R206" i="18" s="1"/>
  <c r="Q206" i="18" a="1"/>
  <c r="Q206" i="18" s="1"/>
  <c r="P206" i="18" a="1"/>
  <c r="P206" i="18" s="1"/>
  <c r="O206" i="18" a="1"/>
  <c r="O206" i="18" s="1"/>
  <c r="N206" i="18" a="1"/>
  <c r="N206" i="18" s="1"/>
  <c r="M206" i="18" a="1"/>
  <c r="M206" i="18" s="1"/>
  <c r="L206" i="18" a="1"/>
  <c r="L206" i="18" s="1"/>
  <c r="K206" i="18" a="1"/>
  <c r="K206" i="18" s="1"/>
  <c r="J206" i="18" a="1"/>
  <c r="J206" i="18" s="1"/>
  <c r="I206" i="18" a="1"/>
  <c r="I206" i="18" s="1"/>
  <c r="H206" i="18" a="1"/>
  <c r="H206" i="18" s="1"/>
  <c r="G206" i="18" a="1"/>
  <c r="G206" i="18" s="1"/>
  <c r="D206" i="18"/>
  <c r="AW206" i="18" a="1"/>
  <c r="AW206" i="18" s="1"/>
  <c r="AO206" i="18" a="1"/>
  <c r="AO206" i="18" s="1"/>
  <c r="AG206" i="18" a="1"/>
  <c r="AG206" i="18" s="1"/>
  <c r="AH206" i="18" s="1"/>
  <c r="BA206" i="18" a="1"/>
  <c r="BA206" i="18" s="1"/>
  <c r="AS206" i="18" a="1"/>
  <c r="AS206" i="18" s="1"/>
  <c r="AT206" i="18" s="1"/>
  <c r="AK206" i="18" a="1"/>
  <c r="AK206" i="18" s="1"/>
  <c r="BC214" i="18" a="1"/>
  <c r="BC214" i="18" s="1"/>
  <c r="AY214" i="18" a="1"/>
  <c r="AY214" i="18" s="1"/>
  <c r="AU214" i="18" a="1"/>
  <c r="AU214" i="18" s="1"/>
  <c r="AQ214" i="18" a="1"/>
  <c r="AQ214" i="18" s="1"/>
  <c r="AM214" i="18" a="1"/>
  <c r="AM214" i="18" s="1"/>
  <c r="AI214" i="18" a="1"/>
  <c r="AI214" i="18" s="1"/>
  <c r="AE214" i="18" a="1"/>
  <c r="AE214" i="18" s="1"/>
  <c r="AB214" i="18" a="1"/>
  <c r="AB214" i="18" s="1"/>
  <c r="AA214" i="18" a="1"/>
  <c r="AA214" i="18" s="1"/>
  <c r="Z214" i="18" a="1"/>
  <c r="Z214" i="18" s="1"/>
  <c r="Y214" i="18" a="1"/>
  <c r="Y214" i="18" s="1"/>
  <c r="X214" i="18" a="1"/>
  <c r="X214" i="18" s="1"/>
  <c r="W214" i="18" a="1"/>
  <c r="W214" i="18" s="1"/>
  <c r="V214" i="18" a="1"/>
  <c r="V214" i="18" s="1"/>
  <c r="U214" i="18" a="1"/>
  <c r="U214" i="18" s="1"/>
  <c r="T214" i="18" a="1"/>
  <c r="T214" i="18" s="1"/>
  <c r="S214" i="18" a="1"/>
  <c r="S214" i="18" s="1"/>
  <c r="R214" i="18" a="1"/>
  <c r="R214" i="18" s="1"/>
  <c r="Q214" i="18" a="1"/>
  <c r="Q214" i="18" s="1"/>
  <c r="P214" i="18" a="1"/>
  <c r="P214" i="18" s="1"/>
  <c r="O214" i="18" a="1"/>
  <c r="O214" i="18" s="1"/>
  <c r="N214" i="18" a="1"/>
  <c r="N214" i="18" s="1"/>
  <c r="M214" i="18" a="1"/>
  <c r="M214" i="18" s="1"/>
  <c r="L214" i="18" a="1"/>
  <c r="L214" i="18" s="1"/>
  <c r="K214" i="18" a="1"/>
  <c r="K214" i="18" s="1"/>
  <c r="J214" i="18" a="1"/>
  <c r="J214" i="18" s="1"/>
  <c r="I214" i="18" a="1"/>
  <c r="I214" i="18" s="1"/>
  <c r="H214" i="18" a="1"/>
  <c r="H214" i="18" s="1"/>
  <c r="G214" i="18" a="1"/>
  <c r="G214" i="18" s="1"/>
  <c r="D214" i="18"/>
  <c r="AW214" i="18" a="1"/>
  <c r="AW214" i="18" s="1"/>
  <c r="AO214" i="18" a="1"/>
  <c r="AO214" i="18" s="1"/>
  <c r="AG214" i="18" a="1"/>
  <c r="AG214" i="18" s="1"/>
  <c r="BA214" i="18" a="1"/>
  <c r="BA214" i="18" s="1"/>
  <c r="AS214" i="18" a="1"/>
  <c r="AS214" i="18" s="1"/>
  <c r="AT214" i="18" s="1"/>
  <c r="AK214" i="18" a="1"/>
  <c r="AK214" i="18" s="1"/>
  <c r="BC222" i="18" a="1"/>
  <c r="BC222" i="18" s="1"/>
  <c r="AY222" i="18" a="1"/>
  <c r="AY222" i="18" s="1"/>
  <c r="AU222" i="18" a="1"/>
  <c r="AU222" i="18" s="1"/>
  <c r="AQ222" i="18" a="1"/>
  <c r="AQ222" i="18" s="1"/>
  <c r="AM222" i="18" a="1"/>
  <c r="AM222" i="18" s="1"/>
  <c r="AI222" i="18" a="1"/>
  <c r="AI222" i="18" s="1"/>
  <c r="AE222" i="18" a="1"/>
  <c r="AE222" i="18" s="1"/>
  <c r="AB222" i="18" a="1"/>
  <c r="AB222" i="18" s="1"/>
  <c r="AA222" i="18" a="1"/>
  <c r="AA222" i="18" s="1"/>
  <c r="Z222" i="18" a="1"/>
  <c r="Z222" i="18" s="1"/>
  <c r="Y222" i="18" a="1"/>
  <c r="Y222" i="18" s="1"/>
  <c r="X222" i="18" a="1"/>
  <c r="X222" i="18" s="1"/>
  <c r="W222" i="18" a="1"/>
  <c r="W222" i="18" s="1"/>
  <c r="V222" i="18" a="1"/>
  <c r="V222" i="18" s="1"/>
  <c r="U222" i="18" a="1"/>
  <c r="U222" i="18" s="1"/>
  <c r="T222" i="18" a="1"/>
  <c r="T222" i="18" s="1"/>
  <c r="S222" i="18" a="1"/>
  <c r="S222" i="18" s="1"/>
  <c r="R222" i="18" a="1"/>
  <c r="R222" i="18" s="1"/>
  <c r="Q222" i="18" a="1"/>
  <c r="Q222" i="18" s="1"/>
  <c r="P222" i="18" a="1"/>
  <c r="P222" i="18" s="1"/>
  <c r="O222" i="18" a="1"/>
  <c r="O222" i="18" s="1"/>
  <c r="N222" i="18" a="1"/>
  <c r="N222" i="18" s="1"/>
  <c r="M222" i="18" a="1"/>
  <c r="M222" i="18" s="1"/>
  <c r="L222" i="18" a="1"/>
  <c r="L222" i="18" s="1"/>
  <c r="K222" i="18" a="1"/>
  <c r="K222" i="18" s="1"/>
  <c r="J222" i="18" a="1"/>
  <c r="J222" i="18" s="1"/>
  <c r="I222" i="18" a="1"/>
  <c r="I222" i="18" s="1"/>
  <c r="H222" i="18" a="1"/>
  <c r="H222" i="18" s="1"/>
  <c r="G222" i="18" a="1"/>
  <c r="G222" i="18" s="1"/>
  <c r="D222" i="18"/>
  <c r="AW222" i="18" a="1"/>
  <c r="AW222" i="18" s="1"/>
  <c r="AO222" i="18" a="1"/>
  <c r="AO222" i="18" s="1"/>
  <c r="AG222" i="18" a="1"/>
  <c r="AG222" i="18" s="1"/>
  <c r="BA222" i="18" a="1"/>
  <c r="BA222" i="18" s="1"/>
  <c r="AS222" i="18" a="1"/>
  <c r="AS222" i="18" s="1"/>
  <c r="AK222" i="18" a="1"/>
  <c r="AK222" i="18" s="1"/>
  <c r="BC230" i="18" a="1"/>
  <c r="BC230" i="18" s="1"/>
  <c r="AY230" i="18" a="1"/>
  <c r="AY230" i="18" s="1"/>
  <c r="AU230" i="18" a="1"/>
  <c r="AU230" i="18" s="1"/>
  <c r="AQ230" i="18" a="1"/>
  <c r="AQ230" i="18" s="1"/>
  <c r="AM230" i="18" a="1"/>
  <c r="AM230" i="18" s="1"/>
  <c r="AI230" i="18" a="1"/>
  <c r="AI230" i="18" s="1"/>
  <c r="AE230" i="18" a="1"/>
  <c r="AE230" i="18" s="1"/>
  <c r="AB230" i="18" a="1"/>
  <c r="AB230" i="18" s="1"/>
  <c r="AA230" i="18" a="1"/>
  <c r="AA230" i="18" s="1"/>
  <c r="Z230" i="18" a="1"/>
  <c r="Z230" i="18" s="1"/>
  <c r="Y230" i="18" a="1"/>
  <c r="Y230" i="18" s="1"/>
  <c r="X230" i="18" a="1"/>
  <c r="X230" i="18" s="1"/>
  <c r="W230" i="18" a="1"/>
  <c r="W230" i="18" s="1"/>
  <c r="V230" i="18" a="1"/>
  <c r="V230" i="18" s="1"/>
  <c r="U230" i="18" a="1"/>
  <c r="U230" i="18" s="1"/>
  <c r="T230" i="18" a="1"/>
  <c r="T230" i="18" s="1"/>
  <c r="S230" i="18" a="1"/>
  <c r="S230" i="18" s="1"/>
  <c r="R230" i="18" a="1"/>
  <c r="R230" i="18" s="1"/>
  <c r="Q230" i="18" a="1"/>
  <c r="Q230" i="18" s="1"/>
  <c r="P230" i="18" a="1"/>
  <c r="P230" i="18" s="1"/>
  <c r="O230" i="18" a="1"/>
  <c r="O230" i="18" s="1"/>
  <c r="N230" i="18" a="1"/>
  <c r="N230" i="18" s="1"/>
  <c r="M230" i="18" a="1"/>
  <c r="M230" i="18" s="1"/>
  <c r="L230" i="18" a="1"/>
  <c r="L230" i="18" s="1"/>
  <c r="K230" i="18" a="1"/>
  <c r="K230" i="18" s="1"/>
  <c r="J230" i="18" a="1"/>
  <c r="J230" i="18" s="1"/>
  <c r="I230" i="18" a="1"/>
  <c r="I230" i="18" s="1"/>
  <c r="H230" i="18" a="1"/>
  <c r="H230" i="18" s="1"/>
  <c r="G230" i="18" a="1"/>
  <c r="G230" i="18" s="1"/>
  <c r="D230" i="18"/>
  <c r="AW230" i="18" a="1"/>
  <c r="AW230" i="18" s="1"/>
  <c r="AO230" i="18" a="1"/>
  <c r="AO230" i="18" s="1"/>
  <c r="AG230" i="18" a="1"/>
  <c r="AG230" i="18" s="1"/>
  <c r="BA230" i="18" a="1"/>
  <c r="BA230" i="18" s="1"/>
  <c r="AS230" i="18" a="1"/>
  <c r="AS230" i="18" s="1"/>
  <c r="AT230" i="18" s="1"/>
  <c r="AK230" i="18" a="1"/>
  <c r="AK230" i="18" s="1"/>
  <c r="BC238" i="18" a="1"/>
  <c r="BC238" i="18" s="1"/>
  <c r="AY238" i="18" a="1"/>
  <c r="AY238" i="18" s="1"/>
  <c r="AU238" i="18" a="1"/>
  <c r="AU238" i="18" s="1"/>
  <c r="AQ238" i="18" a="1"/>
  <c r="AQ238" i="18" s="1"/>
  <c r="AM238" i="18" a="1"/>
  <c r="AM238" i="18" s="1"/>
  <c r="AI238" i="18" a="1"/>
  <c r="AI238" i="18" s="1"/>
  <c r="AE238" i="18" a="1"/>
  <c r="AE238" i="18" s="1"/>
  <c r="AB238" i="18" a="1"/>
  <c r="AB238" i="18" s="1"/>
  <c r="AA238" i="18" a="1"/>
  <c r="AA238" i="18" s="1"/>
  <c r="Z238" i="18" a="1"/>
  <c r="Z238" i="18" s="1"/>
  <c r="Y238" i="18" a="1"/>
  <c r="Y238" i="18" s="1"/>
  <c r="X238" i="18" a="1"/>
  <c r="X238" i="18" s="1"/>
  <c r="W238" i="18" a="1"/>
  <c r="W238" i="18" s="1"/>
  <c r="V238" i="18" a="1"/>
  <c r="V238" i="18" s="1"/>
  <c r="U238" i="18" a="1"/>
  <c r="U238" i="18" s="1"/>
  <c r="T238" i="18" a="1"/>
  <c r="T238" i="18" s="1"/>
  <c r="S238" i="18" a="1"/>
  <c r="S238" i="18" s="1"/>
  <c r="R238" i="18" a="1"/>
  <c r="R238" i="18" s="1"/>
  <c r="Q238" i="18" a="1"/>
  <c r="Q238" i="18" s="1"/>
  <c r="P238" i="18" a="1"/>
  <c r="P238" i="18" s="1"/>
  <c r="O238" i="18" a="1"/>
  <c r="O238" i="18" s="1"/>
  <c r="N238" i="18" a="1"/>
  <c r="N238" i="18" s="1"/>
  <c r="M238" i="18" a="1"/>
  <c r="M238" i="18" s="1"/>
  <c r="L238" i="18" a="1"/>
  <c r="L238" i="18" s="1"/>
  <c r="K238" i="18" a="1"/>
  <c r="K238" i="18" s="1"/>
  <c r="J238" i="18" a="1"/>
  <c r="J238" i="18" s="1"/>
  <c r="I238" i="18" a="1"/>
  <c r="I238" i="18" s="1"/>
  <c r="H238" i="18" a="1"/>
  <c r="H238" i="18" s="1"/>
  <c r="G238" i="18" a="1"/>
  <c r="G238" i="18" s="1"/>
  <c r="D238" i="18"/>
  <c r="AW238" i="18" a="1"/>
  <c r="AW238" i="18" s="1"/>
  <c r="AO238" i="18" a="1"/>
  <c r="AO238" i="18" s="1"/>
  <c r="AG238" i="18" a="1"/>
  <c r="AG238" i="18" s="1"/>
  <c r="BA238" i="18" a="1"/>
  <c r="BA238" i="18" s="1"/>
  <c r="AS238" i="18" a="1"/>
  <c r="AS238" i="18" s="1"/>
  <c r="AK238" i="18" a="1"/>
  <c r="AK238" i="18" s="1"/>
  <c r="BC246" i="18" a="1"/>
  <c r="BC246" i="18" s="1"/>
  <c r="AY246" i="18" a="1"/>
  <c r="AY246" i="18" s="1"/>
  <c r="AU246" i="18" a="1"/>
  <c r="AU246" i="18" s="1"/>
  <c r="AQ246" i="18" a="1"/>
  <c r="AQ246" i="18" s="1"/>
  <c r="AM246" i="18" a="1"/>
  <c r="AM246" i="18" s="1"/>
  <c r="AI246" i="18" a="1"/>
  <c r="AI246" i="18" s="1"/>
  <c r="AE246" i="18" a="1"/>
  <c r="AE246" i="18" s="1"/>
  <c r="AB246" i="18" a="1"/>
  <c r="AB246" i="18" s="1"/>
  <c r="AA246" i="18" a="1"/>
  <c r="AA246" i="18" s="1"/>
  <c r="Z246" i="18" a="1"/>
  <c r="Z246" i="18" s="1"/>
  <c r="Y246" i="18" a="1"/>
  <c r="Y246" i="18" s="1"/>
  <c r="X246" i="18" a="1"/>
  <c r="X246" i="18" s="1"/>
  <c r="W246" i="18" a="1"/>
  <c r="W246" i="18" s="1"/>
  <c r="V246" i="18" a="1"/>
  <c r="V246" i="18" s="1"/>
  <c r="U246" i="18" a="1"/>
  <c r="U246" i="18" s="1"/>
  <c r="T246" i="18" a="1"/>
  <c r="T246" i="18" s="1"/>
  <c r="S246" i="18" a="1"/>
  <c r="S246" i="18" s="1"/>
  <c r="R246" i="18" a="1"/>
  <c r="R246" i="18" s="1"/>
  <c r="Q246" i="18" a="1"/>
  <c r="Q246" i="18" s="1"/>
  <c r="P246" i="18" a="1"/>
  <c r="P246" i="18" s="1"/>
  <c r="O246" i="18" a="1"/>
  <c r="O246" i="18" s="1"/>
  <c r="N246" i="18" a="1"/>
  <c r="N246" i="18" s="1"/>
  <c r="M246" i="18" a="1"/>
  <c r="M246" i="18" s="1"/>
  <c r="L246" i="18" a="1"/>
  <c r="L246" i="18" s="1"/>
  <c r="K246" i="18" a="1"/>
  <c r="K246" i="18" s="1"/>
  <c r="J246" i="18" a="1"/>
  <c r="J246" i="18" s="1"/>
  <c r="I246" i="18" a="1"/>
  <c r="I246" i="18" s="1"/>
  <c r="H246" i="18" a="1"/>
  <c r="H246" i="18" s="1"/>
  <c r="G246" i="18" a="1"/>
  <c r="G246" i="18" s="1"/>
  <c r="D246" i="18"/>
  <c r="AW246" i="18" a="1"/>
  <c r="AW246" i="18" s="1"/>
  <c r="AO246" i="18" a="1"/>
  <c r="AO246" i="18" s="1"/>
  <c r="AG246" i="18" a="1"/>
  <c r="AG246" i="18" s="1"/>
  <c r="BA246" i="18" a="1"/>
  <c r="BA246" i="18" s="1"/>
  <c r="AS246" i="18" a="1"/>
  <c r="AS246" i="18" s="1"/>
  <c r="AT246" i="18" s="1"/>
  <c r="AK246" i="18" a="1"/>
  <c r="AK246" i="18" s="1"/>
  <c r="BC254" i="18" a="1"/>
  <c r="BC254" i="18" s="1"/>
  <c r="AY254" i="18" a="1"/>
  <c r="AY254" i="18" s="1"/>
  <c r="AU254" i="18" a="1"/>
  <c r="AU254" i="18" s="1"/>
  <c r="AQ254" i="18" a="1"/>
  <c r="AQ254" i="18" s="1"/>
  <c r="AM254" i="18" a="1"/>
  <c r="AM254" i="18" s="1"/>
  <c r="AI254" i="18" a="1"/>
  <c r="AI254" i="18" s="1"/>
  <c r="AE254" i="18" a="1"/>
  <c r="AE254" i="18" s="1"/>
  <c r="AB254" i="18" a="1"/>
  <c r="AB254" i="18" s="1"/>
  <c r="AA254" i="18" a="1"/>
  <c r="AA254" i="18" s="1"/>
  <c r="Z254" i="18" a="1"/>
  <c r="Z254" i="18" s="1"/>
  <c r="Y254" i="18" a="1"/>
  <c r="Y254" i="18" s="1"/>
  <c r="X254" i="18" a="1"/>
  <c r="X254" i="18" s="1"/>
  <c r="W254" i="18" a="1"/>
  <c r="W254" i="18" s="1"/>
  <c r="V254" i="18" a="1"/>
  <c r="V254" i="18" s="1"/>
  <c r="U254" i="18" a="1"/>
  <c r="U254" i="18" s="1"/>
  <c r="T254" i="18" a="1"/>
  <c r="T254" i="18" s="1"/>
  <c r="S254" i="18" a="1"/>
  <c r="S254" i="18" s="1"/>
  <c r="R254" i="18" a="1"/>
  <c r="R254" i="18" s="1"/>
  <c r="Q254" i="18" a="1"/>
  <c r="Q254" i="18" s="1"/>
  <c r="P254" i="18" a="1"/>
  <c r="P254" i="18" s="1"/>
  <c r="O254" i="18" a="1"/>
  <c r="O254" i="18" s="1"/>
  <c r="N254" i="18" a="1"/>
  <c r="N254" i="18" s="1"/>
  <c r="M254" i="18" a="1"/>
  <c r="M254" i="18" s="1"/>
  <c r="L254" i="18" a="1"/>
  <c r="L254" i="18" s="1"/>
  <c r="K254" i="18" a="1"/>
  <c r="K254" i="18" s="1"/>
  <c r="J254" i="18" a="1"/>
  <c r="J254" i="18" s="1"/>
  <c r="I254" i="18" a="1"/>
  <c r="I254" i="18" s="1"/>
  <c r="H254" i="18" a="1"/>
  <c r="H254" i="18" s="1"/>
  <c r="G254" i="18" a="1"/>
  <c r="G254" i="18" s="1"/>
  <c r="D254" i="18"/>
  <c r="AW254" i="18" a="1"/>
  <c r="AW254" i="18" s="1"/>
  <c r="AO254" i="18" a="1"/>
  <c r="AO254" i="18" s="1"/>
  <c r="AG254" i="18" a="1"/>
  <c r="AG254" i="18" s="1"/>
  <c r="BA254" i="18" a="1"/>
  <c r="BA254" i="18" s="1"/>
  <c r="AS254" i="18" a="1"/>
  <c r="AS254" i="18" s="1"/>
  <c r="AK254" i="18" a="1"/>
  <c r="AK254" i="18" s="1"/>
  <c r="BC262" i="18" a="1"/>
  <c r="BC262" i="18" s="1"/>
  <c r="AY262" i="18" a="1"/>
  <c r="AY262" i="18" s="1"/>
  <c r="AU262" i="18" a="1"/>
  <c r="AU262" i="18" s="1"/>
  <c r="AQ262" i="18" a="1"/>
  <c r="AQ262" i="18" s="1"/>
  <c r="AM262" i="18" a="1"/>
  <c r="AM262" i="18" s="1"/>
  <c r="AI262" i="18" a="1"/>
  <c r="AI262" i="18" s="1"/>
  <c r="AE262" i="18" a="1"/>
  <c r="AE262" i="18" s="1"/>
  <c r="AB262" i="18" a="1"/>
  <c r="AB262" i="18" s="1"/>
  <c r="AA262" i="18" a="1"/>
  <c r="AA262" i="18" s="1"/>
  <c r="Z262" i="18" a="1"/>
  <c r="Z262" i="18" s="1"/>
  <c r="Y262" i="18" a="1"/>
  <c r="Y262" i="18" s="1"/>
  <c r="X262" i="18" a="1"/>
  <c r="X262" i="18" s="1"/>
  <c r="W262" i="18" a="1"/>
  <c r="W262" i="18" s="1"/>
  <c r="V262" i="18" a="1"/>
  <c r="V262" i="18" s="1"/>
  <c r="U262" i="18" a="1"/>
  <c r="U262" i="18" s="1"/>
  <c r="T262" i="18" a="1"/>
  <c r="T262" i="18" s="1"/>
  <c r="S262" i="18" a="1"/>
  <c r="S262" i="18" s="1"/>
  <c r="R262" i="18" a="1"/>
  <c r="R262" i="18" s="1"/>
  <c r="Q262" i="18" a="1"/>
  <c r="Q262" i="18" s="1"/>
  <c r="P262" i="18" a="1"/>
  <c r="P262" i="18" s="1"/>
  <c r="O262" i="18" a="1"/>
  <c r="O262" i="18" s="1"/>
  <c r="N262" i="18" a="1"/>
  <c r="N262" i="18" s="1"/>
  <c r="M262" i="18" a="1"/>
  <c r="M262" i="18" s="1"/>
  <c r="L262" i="18" a="1"/>
  <c r="L262" i="18" s="1"/>
  <c r="K262" i="18" a="1"/>
  <c r="K262" i="18" s="1"/>
  <c r="J262" i="18" a="1"/>
  <c r="J262" i="18" s="1"/>
  <c r="I262" i="18" a="1"/>
  <c r="I262" i="18" s="1"/>
  <c r="H262" i="18" a="1"/>
  <c r="H262" i="18" s="1"/>
  <c r="G262" i="18" a="1"/>
  <c r="G262" i="18" s="1"/>
  <c r="D262" i="18"/>
  <c r="AW262" i="18" a="1"/>
  <c r="AW262" i="18" s="1"/>
  <c r="AO262" i="18" a="1"/>
  <c r="AO262" i="18" s="1"/>
  <c r="AG262" i="18" a="1"/>
  <c r="AG262" i="18" s="1"/>
  <c r="BA262" i="18" a="1"/>
  <c r="BA262" i="18" s="1"/>
  <c r="AS262" i="18" a="1"/>
  <c r="AS262" i="18" s="1"/>
  <c r="AK262" i="18" a="1"/>
  <c r="AK262" i="18" s="1"/>
  <c r="BC270" i="18" a="1"/>
  <c r="BC270" i="18" s="1"/>
  <c r="AY270" i="18" a="1"/>
  <c r="AY270" i="18" s="1"/>
  <c r="AU270" i="18" a="1"/>
  <c r="AU270" i="18" s="1"/>
  <c r="AQ270" i="18" a="1"/>
  <c r="AQ270" i="18" s="1"/>
  <c r="AM270" i="18" a="1"/>
  <c r="AM270" i="18" s="1"/>
  <c r="AI270" i="18" a="1"/>
  <c r="AI270" i="18" s="1"/>
  <c r="AE270" i="18" a="1"/>
  <c r="AE270" i="18" s="1"/>
  <c r="AB270" i="18" a="1"/>
  <c r="AB270" i="18" s="1"/>
  <c r="AA270" i="18" a="1"/>
  <c r="AA270" i="18" s="1"/>
  <c r="Z270" i="18" a="1"/>
  <c r="Z270" i="18" s="1"/>
  <c r="Y270" i="18" a="1"/>
  <c r="Y270" i="18" s="1"/>
  <c r="X270" i="18" a="1"/>
  <c r="X270" i="18" s="1"/>
  <c r="W270" i="18" a="1"/>
  <c r="W270" i="18" s="1"/>
  <c r="V270" i="18" a="1"/>
  <c r="V270" i="18" s="1"/>
  <c r="U270" i="18" a="1"/>
  <c r="U270" i="18" s="1"/>
  <c r="T270" i="18" a="1"/>
  <c r="T270" i="18" s="1"/>
  <c r="S270" i="18" a="1"/>
  <c r="S270" i="18" s="1"/>
  <c r="R270" i="18" a="1"/>
  <c r="R270" i="18" s="1"/>
  <c r="Q270" i="18" a="1"/>
  <c r="Q270" i="18" s="1"/>
  <c r="P270" i="18" a="1"/>
  <c r="P270" i="18" s="1"/>
  <c r="O270" i="18" a="1"/>
  <c r="O270" i="18" s="1"/>
  <c r="N270" i="18" a="1"/>
  <c r="N270" i="18" s="1"/>
  <c r="M270" i="18" a="1"/>
  <c r="M270" i="18" s="1"/>
  <c r="L270" i="18" a="1"/>
  <c r="L270" i="18" s="1"/>
  <c r="K270" i="18" a="1"/>
  <c r="K270" i="18" s="1"/>
  <c r="J270" i="18" a="1"/>
  <c r="J270" i="18" s="1"/>
  <c r="I270" i="18" a="1"/>
  <c r="I270" i="18" s="1"/>
  <c r="H270" i="18" a="1"/>
  <c r="H270" i="18" s="1"/>
  <c r="G270" i="18" a="1"/>
  <c r="G270" i="18" s="1"/>
  <c r="D270" i="18"/>
  <c r="AW270" i="18" a="1"/>
  <c r="AW270" i="18" s="1"/>
  <c r="AO270" i="18" a="1"/>
  <c r="AO270" i="18" s="1"/>
  <c r="AG270" i="18" a="1"/>
  <c r="AG270" i="18" s="1"/>
  <c r="BA270" i="18" a="1"/>
  <c r="BA270" i="18" s="1"/>
  <c r="AS270" i="18" a="1"/>
  <c r="AS270" i="18" s="1"/>
  <c r="AK270" i="18" a="1"/>
  <c r="AK270" i="18" s="1"/>
  <c r="BC278" i="18" a="1"/>
  <c r="BC278" i="18" s="1"/>
  <c r="AY278" i="18" a="1"/>
  <c r="AY278" i="18" s="1"/>
  <c r="AU278" i="18" a="1"/>
  <c r="AU278" i="18" s="1"/>
  <c r="AQ278" i="18" a="1"/>
  <c r="AQ278" i="18" s="1"/>
  <c r="AM278" i="18" a="1"/>
  <c r="AM278" i="18" s="1"/>
  <c r="AI278" i="18" a="1"/>
  <c r="AI278" i="18" s="1"/>
  <c r="AE278" i="18" a="1"/>
  <c r="AE278" i="18" s="1"/>
  <c r="AB278" i="18" a="1"/>
  <c r="AB278" i="18" s="1"/>
  <c r="AA278" i="18" a="1"/>
  <c r="AA278" i="18" s="1"/>
  <c r="Z278" i="18" a="1"/>
  <c r="Z278" i="18" s="1"/>
  <c r="Y278" i="18" a="1"/>
  <c r="Y278" i="18" s="1"/>
  <c r="X278" i="18" a="1"/>
  <c r="X278" i="18" s="1"/>
  <c r="W278" i="18" a="1"/>
  <c r="W278" i="18" s="1"/>
  <c r="V278" i="18" a="1"/>
  <c r="V278" i="18" s="1"/>
  <c r="U278" i="18" a="1"/>
  <c r="U278" i="18" s="1"/>
  <c r="T278" i="18" a="1"/>
  <c r="T278" i="18" s="1"/>
  <c r="S278" i="18" a="1"/>
  <c r="S278" i="18" s="1"/>
  <c r="R278" i="18" a="1"/>
  <c r="R278" i="18" s="1"/>
  <c r="Q278" i="18" a="1"/>
  <c r="Q278" i="18" s="1"/>
  <c r="P278" i="18" a="1"/>
  <c r="P278" i="18" s="1"/>
  <c r="O278" i="18" a="1"/>
  <c r="O278" i="18" s="1"/>
  <c r="N278" i="18" a="1"/>
  <c r="N278" i="18" s="1"/>
  <c r="M278" i="18" a="1"/>
  <c r="M278" i="18" s="1"/>
  <c r="L278" i="18" a="1"/>
  <c r="L278" i="18" s="1"/>
  <c r="K278" i="18" a="1"/>
  <c r="K278" i="18" s="1"/>
  <c r="J278" i="18" a="1"/>
  <c r="J278" i="18" s="1"/>
  <c r="I278" i="18" a="1"/>
  <c r="I278" i="18" s="1"/>
  <c r="H278" i="18" a="1"/>
  <c r="H278" i="18" s="1"/>
  <c r="G278" i="18" a="1"/>
  <c r="G278" i="18" s="1"/>
  <c r="D278" i="18"/>
  <c r="AW278" i="18" a="1"/>
  <c r="AW278" i="18" s="1"/>
  <c r="AO278" i="18" a="1"/>
  <c r="AO278" i="18" s="1"/>
  <c r="AG278" i="18" a="1"/>
  <c r="AG278" i="18" s="1"/>
  <c r="BA278" i="18" a="1"/>
  <c r="BA278" i="18" s="1"/>
  <c r="AS278" i="18" a="1"/>
  <c r="AS278" i="18" s="1"/>
  <c r="AK278" i="18" a="1"/>
  <c r="AK278" i="18" s="1"/>
  <c r="BC286" i="18" a="1"/>
  <c r="BC286" i="18" s="1"/>
  <c r="AY286" i="18" a="1"/>
  <c r="AY286" i="18" s="1"/>
  <c r="AU286" i="18" a="1"/>
  <c r="AU286" i="18" s="1"/>
  <c r="AQ286" i="18" a="1"/>
  <c r="AQ286" i="18" s="1"/>
  <c r="AM286" i="18" a="1"/>
  <c r="AM286" i="18" s="1"/>
  <c r="AI286" i="18" a="1"/>
  <c r="AI286" i="18" s="1"/>
  <c r="AE286" i="18" a="1"/>
  <c r="AE286" i="18" s="1"/>
  <c r="AB286" i="18" a="1"/>
  <c r="AB286" i="18" s="1"/>
  <c r="AA286" i="18" a="1"/>
  <c r="AA286" i="18" s="1"/>
  <c r="Z286" i="18" a="1"/>
  <c r="Z286" i="18" s="1"/>
  <c r="Y286" i="18" a="1"/>
  <c r="Y286" i="18" s="1"/>
  <c r="X286" i="18" a="1"/>
  <c r="X286" i="18" s="1"/>
  <c r="W286" i="18" a="1"/>
  <c r="W286" i="18" s="1"/>
  <c r="V286" i="18" a="1"/>
  <c r="V286" i="18" s="1"/>
  <c r="U286" i="18" a="1"/>
  <c r="U286" i="18" s="1"/>
  <c r="T286" i="18" a="1"/>
  <c r="T286" i="18" s="1"/>
  <c r="S286" i="18" a="1"/>
  <c r="S286" i="18" s="1"/>
  <c r="R286" i="18" a="1"/>
  <c r="R286" i="18" s="1"/>
  <c r="Q286" i="18" a="1"/>
  <c r="Q286" i="18" s="1"/>
  <c r="P286" i="18" a="1"/>
  <c r="P286" i="18" s="1"/>
  <c r="O286" i="18" a="1"/>
  <c r="O286" i="18" s="1"/>
  <c r="N286" i="18" a="1"/>
  <c r="N286" i="18" s="1"/>
  <c r="M286" i="18" a="1"/>
  <c r="M286" i="18" s="1"/>
  <c r="L286" i="18" a="1"/>
  <c r="L286" i="18" s="1"/>
  <c r="K286" i="18" a="1"/>
  <c r="K286" i="18" s="1"/>
  <c r="J286" i="18" a="1"/>
  <c r="J286" i="18" s="1"/>
  <c r="I286" i="18" a="1"/>
  <c r="I286" i="18" s="1"/>
  <c r="H286" i="18" a="1"/>
  <c r="H286" i="18" s="1"/>
  <c r="G286" i="18" a="1"/>
  <c r="G286" i="18" s="1"/>
  <c r="D286" i="18"/>
  <c r="AW286" i="18" a="1"/>
  <c r="AW286" i="18" s="1"/>
  <c r="AO286" i="18" a="1"/>
  <c r="AO286" i="18" s="1"/>
  <c r="AG286" i="18" a="1"/>
  <c r="AG286" i="18" s="1"/>
  <c r="BA286" i="18" a="1"/>
  <c r="BA286" i="18" s="1"/>
  <c r="AS286" i="18" a="1"/>
  <c r="AS286" i="18" s="1"/>
  <c r="AK286" i="18" a="1"/>
  <c r="AK286" i="18" s="1"/>
  <c r="BC294" i="18" a="1"/>
  <c r="BC294" i="18" s="1"/>
  <c r="AY294" i="18" a="1"/>
  <c r="AY294" i="18" s="1"/>
  <c r="AU294" i="18" a="1"/>
  <c r="AU294" i="18" s="1"/>
  <c r="AQ294" i="18" a="1"/>
  <c r="AQ294" i="18" s="1"/>
  <c r="AM294" i="18" a="1"/>
  <c r="AM294" i="18" s="1"/>
  <c r="AI294" i="18" a="1"/>
  <c r="AI294" i="18" s="1"/>
  <c r="AE294" i="18" a="1"/>
  <c r="AE294" i="18" s="1"/>
  <c r="AB294" i="18" a="1"/>
  <c r="AB294" i="18" s="1"/>
  <c r="AA294" i="18" a="1"/>
  <c r="AA294" i="18" s="1"/>
  <c r="Z294" i="18" a="1"/>
  <c r="Z294" i="18" s="1"/>
  <c r="Y294" i="18" a="1"/>
  <c r="Y294" i="18" s="1"/>
  <c r="X294" i="18" a="1"/>
  <c r="X294" i="18" s="1"/>
  <c r="W294" i="18" a="1"/>
  <c r="W294" i="18" s="1"/>
  <c r="V294" i="18" a="1"/>
  <c r="V294" i="18" s="1"/>
  <c r="U294" i="18" a="1"/>
  <c r="U294" i="18" s="1"/>
  <c r="T294" i="18" a="1"/>
  <c r="T294" i="18" s="1"/>
  <c r="S294" i="18" a="1"/>
  <c r="S294" i="18" s="1"/>
  <c r="R294" i="18" a="1"/>
  <c r="R294" i="18" s="1"/>
  <c r="Q294" i="18" a="1"/>
  <c r="Q294" i="18" s="1"/>
  <c r="P294" i="18" a="1"/>
  <c r="P294" i="18" s="1"/>
  <c r="O294" i="18" a="1"/>
  <c r="O294" i="18" s="1"/>
  <c r="N294" i="18" a="1"/>
  <c r="N294" i="18" s="1"/>
  <c r="M294" i="18" a="1"/>
  <c r="M294" i="18" s="1"/>
  <c r="L294" i="18" a="1"/>
  <c r="L294" i="18" s="1"/>
  <c r="K294" i="18" a="1"/>
  <c r="K294" i="18" s="1"/>
  <c r="J294" i="18" a="1"/>
  <c r="J294" i="18" s="1"/>
  <c r="I294" i="18" a="1"/>
  <c r="I294" i="18" s="1"/>
  <c r="H294" i="18" a="1"/>
  <c r="H294" i="18" s="1"/>
  <c r="G294" i="18" a="1"/>
  <c r="G294" i="18" s="1"/>
  <c r="D294" i="18"/>
  <c r="AW294" i="18" a="1"/>
  <c r="AW294" i="18" s="1"/>
  <c r="AO294" i="18" a="1"/>
  <c r="AO294" i="18" s="1"/>
  <c r="AG294" i="18" a="1"/>
  <c r="AG294" i="18" s="1"/>
  <c r="BA294" i="18" a="1"/>
  <c r="BA294" i="18" s="1"/>
  <c r="AS294" i="18" a="1"/>
  <c r="AS294" i="18" s="1"/>
  <c r="AK294" i="18" a="1"/>
  <c r="AK294" i="18" s="1"/>
  <c r="BC308" i="18" a="1"/>
  <c r="BC308" i="18" s="1"/>
  <c r="AY308" i="18" a="1"/>
  <c r="AY308" i="18" s="1"/>
  <c r="AU308" i="18" a="1"/>
  <c r="AU308" i="18" s="1"/>
  <c r="AQ308" i="18" a="1"/>
  <c r="AQ308" i="18" s="1"/>
  <c r="AM308" i="18" a="1"/>
  <c r="AM308" i="18" s="1"/>
  <c r="AI308" i="18" a="1"/>
  <c r="AI308" i="18" s="1"/>
  <c r="AE308" i="18" a="1"/>
  <c r="AE308" i="18" s="1"/>
  <c r="AB308" i="18" a="1"/>
  <c r="AB308" i="18" s="1"/>
  <c r="AA308" i="18" a="1"/>
  <c r="AA308" i="18" s="1"/>
  <c r="Z308" i="18" a="1"/>
  <c r="Z308" i="18" s="1"/>
  <c r="Y308" i="18" a="1"/>
  <c r="Y308" i="18" s="1"/>
  <c r="X308" i="18" a="1"/>
  <c r="X308" i="18" s="1"/>
  <c r="W308" i="18" a="1"/>
  <c r="W308" i="18" s="1"/>
  <c r="V308" i="18" a="1"/>
  <c r="V308" i="18" s="1"/>
  <c r="U308" i="18" a="1"/>
  <c r="U308" i="18" s="1"/>
  <c r="T308" i="18" a="1"/>
  <c r="T308" i="18" s="1"/>
  <c r="S308" i="18" a="1"/>
  <c r="S308" i="18" s="1"/>
  <c r="R308" i="18" a="1"/>
  <c r="R308" i="18" s="1"/>
  <c r="Q308" i="18" a="1"/>
  <c r="Q308" i="18" s="1"/>
  <c r="P308" i="18" a="1"/>
  <c r="P308" i="18" s="1"/>
  <c r="O308" i="18" a="1"/>
  <c r="O308" i="18" s="1"/>
  <c r="N308" i="18" a="1"/>
  <c r="N308" i="18" s="1"/>
  <c r="M308" i="18" a="1"/>
  <c r="M308" i="18" s="1"/>
  <c r="L308" i="18" a="1"/>
  <c r="L308" i="18" s="1"/>
  <c r="K308" i="18" a="1"/>
  <c r="K308" i="18" s="1"/>
  <c r="J308" i="18" a="1"/>
  <c r="J308" i="18" s="1"/>
  <c r="I308" i="18" a="1"/>
  <c r="I308" i="18" s="1"/>
  <c r="H308" i="18" a="1"/>
  <c r="H308" i="18" s="1"/>
  <c r="G308" i="18" a="1"/>
  <c r="G308" i="18" s="1"/>
  <c r="D308" i="18"/>
  <c r="AW308" i="18" a="1"/>
  <c r="AW308" i="18" s="1"/>
  <c r="AO308" i="18" a="1"/>
  <c r="AO308" i="18" s="1"/>
  <c r="AG308" i="18" a="1"/>
  <c r="AG308" i="18" s="1"/>
  <c r="BA308" i="18" a="1"/>
  <c r="BA308" i="18" s="1"/>
  <c r="AK308" i="18" a="1"/>
  <c r="AK308" i="18" s="1"/>
  <c r="AS308" i="18" a="1"/>
  <c r="AS308" i="18" s="1"/>
  <c r="BC324" i="18" a="1"/>
  <c r="BC324" i="18" s="1"/>
  <c r="AY324" i="18" a="1"/>
  <c r="AY324" i="18" s="1"/>
  <c r="AU324" i="18" a="1"/>
  <c r="AU324" i="18" s="1"/>
  <c r="AQ324" i="18" a="1"/>
  <c r="AQ324" i="18" s="1"/>
  <c r="AM324" i="18" a="1"/>
  <c r="AM324" i="18" s="1"/>
  <c r="AI324" i="18" a="1"/>
  <c r="AI324" i="18" s="1"/>
  <c r="AE324" i="18" a="1"/>
  <c r="AE324" i="18" s="1"/>
  <c r="AB324" i="18" a="1"/>
  <c r="AB324" i="18" s="1"/>
  <c r="AA324" i="18" a="1"/>
  <c r="AA324" i="18" s="1"/>
  <c r="Z324" i="18" a="1"/>
  <c r="Z324" i="18" s="1"/>
  <c r="Y324" i="18" a="1"/>
  <c r="Y324" i="18" s="1"/>
  <c r="X324" i="18" a="1"/>
  <c r="X324" i="18" s="1"/>
  <c r="W324" i="18" a="1"/>
  <c r="W324" i="18" s="1"/>
  <c r="V324" i="18" a="1"/>
  <c r="V324" i="18" s="1"/>
  <c r="U324" i="18" a="1"/>
  <c r="U324" i="18" s="1"/>
  <c r="T324" i="18" a="1"/>
  <c r="T324" i="18" s="1"/>
  <c r="S324" i="18" a="1"/>
  <c r="S324" i="18" s="1"/>
  <c r="R324" i="18" a="1"/>
  <c r="R324" i="18" s="1"/>
  <c r="Q324" i="18" a="1"/>
  <c r="Q324" i="18" s="1"/>
  <c r="P324" i="18" a="1"/>
  <c r="P324" i="18" s="1"/>
  <c r="O324" i="18" a="1"/>
  <c r="O324" i="18" s="1"/>
  <c r="N324" i="18" a="1"/>
  <c r="N324" i="18" s="1"/>
  <c r="M324" i="18" a="1"/>
  <c r="M324" i="18" s="1"/>
  <c r="L324" i="18" a="1"/>
  <c r="L324" i="18" s="1"/>
  <c r="K324" i="18" a="1"/>
  <c r="K324" i="18" s="1"/>
  <c r="J324" i="18" a="1"/>
  <c r="J324" i="18" s="1"/>
  <c r="I324" i="18" a="1"/>
  <c r="I324" i="18" s="1"/>
  <c r="H324" i="18" a="1"/>
  <c r="H324" i="18" s="1"/>
  <c r="G324" i="18" a="1"/>
  <c r="G324" i="18" s="1"/>
  <c r="D324" i="18"/>
  <c r="AW324" i="18" a="1"/>
  <c r="AW324" i="18" s="1"/>
  <c r="AO324" i="18" a="1"/>
  <c r="AO324" i="18" s="1"/>
  <c r="AG324" i="18" a="1"/>
  <c r="AG324" i="18" s="1"/>
  <c r="AH324" i="18" s="1"/>
  <c r="BA324" i="18" a="1"/>
  <c r="BA324" i="18" s="1"/>
  <c r="AK324" i="18" a="1"/>
  <c r="AK324" i="18" s="1"/>
  <c r="AS324" i="18" a="1"/>
  <c r="AS324" i="18" s="1"/>
  <c r="BA197" i="18" a="1"/>
  <c r="BA197" i="18" s="1"/>
  <c r="AW197" i="18" a="1"/>
  <c r="AW197" i="18" s="1"/>
  <c r="AS197" i="18" a="1"/>
  <c r="AS197" i="18" s="1"/>
  <c r="AO197" i="18" a="1"/>
  <c r="AO197" i="18" s="1"/>
  <c r="AK197" i="18" a="1"/>
  <c r="AK197" i="18" s="1"/>
  <c r="AG197" i="18" a="1"/>
  <c r="AG197" i="18" s="1"/>
  <c r="BC197" i="18" a="1"/>
  <c r="BC197" i="18" s="1"/>
  <c r="AY197" i="18" a="1"/>
  <c r="AY197" i="18" s="1"/>
  <c r="AU197" i="18" a="1"/>
  <c r="AU197" i="18" s="1"/>
  <c r="AQ197" i="18" a="1"/>
  <c r="AQ197" i="18" s="1"/>
  <c r="AM197" i="18" a="1"/>
  <c r="AM197" i="18" s="1"/>
  <c r="AI197" i="18" a="1"/>
  <c r="AI197" i="18" s="1"/>
  <c r="AE197" i="18" a="1"/>
  <c r="AE197" i="18" s="1"/>
  <c r="AB197" i="18" a="1"/>
  <c r="AB197" i="18" s="1"/>
  <c r="AA197" i="18" a="1"/>
  <c r="AA197" i="18" s="1"/>
  <c r="Z197" i="18" a="1"/>
  <c r="Z197" i="18" s="1"/>
  <c r="Y197" i="18" a="1"/>
  <c r="Y197" i="18" s="1"/>
  <c r="X197" i="18" a="1"/>
  <c r="X197" i="18" s="1"/>
  <c r="W197" i="18" a="1"/>
  <c r="W197" i="18" s="1"/>
  <c r="V197" i="18" a="1"/>
  <c r="V197" i="18" s="1"/>
  <c r="U197" i="18" a="1"/>
  <c r="U197" i="18" s="1"/>
  <c r="T197" i="18" a="1"/>
  <c r="T197" i="18" s="1"/>
  <c r="S197" i="18" a="1"/>
  <c r="S197" i="18" s="1"/>
  <c r="R197" i="18" a="1"/>
  <c r="R197" i="18" s="1"/>
  <c r="Q197" i="18" a="1"/>
  <c r="Q197" i="18" s="1"/>
  <c r="P197" i="18" a="1"/>
  <c r="P197" i="18" s="1"/>
  <c r="O197" i="18" a="1"/>
  <c r="O197" i="18" s="1"/>
  <c r="N197" i="18" a="1"/>
  <c r="N197" i="18" s="1"/>
  <c r="M197" i="18" a="1"/>
  <c r="M197" i="18" s="1"/>
  <c r="L197" i="18" a="1"/>
  <c r="L197" i="18" s="1"/>
  <c r="K197" i="18" a="1"/>
  <c r="K197" i="18" s="1"/>
  <c r="J197" i="18" a="1"/>
  <c r="J197" i="18" s="1"/>
  <c r="I197" i="18" a="1"/>
  <c r="I197" i="18" s="1"/>
  <c r="H197" i="18" a="1"/>
  <c r="H197" i="18" s="1"/>
  <c r="G197" i="18" a="1"/>
  <c r="G197" i="18" s="1"/>
  <c r="D197" i="18"/>
  <c r="BC204" i="18" a="1"/>
  <c r="BC204" i="18" s="1"/>
  <c r="AY204" i="18" a="1"/>
  <c r="AY204" i="18" s="1"/>
  <c r="AU204" i="18" a="1"/>
  <c r="AU204" i="18" s="1"/>
  <c r="AQ204" i="18" a="1"/>
  <c r="AQ204" i="18" s="1"/>
  <c r="AM204" i="18" a="1"/>
  <c r="AM204" i="18" s="1"/>
  <c r="AI204" i="18" a="1"/>
  <c r="AI204" i="18" s="1"/>
  <c r="AE204" i="18" a="1"/>
  <c r="AE204" i="18" s="1"/>
  <c r="AB204" i="18" a="1"/>
  <c r="AB204" i="18" s="1"/>
  <c r="AA204" i="18" a="1"/>
  <c r="AA204" i="18" s="1"/>
  <c r="Z204" i="18" a="1"/>
  <c r="Z204" i="18" s="1"/>
  <c r="Y204" i="18" a="1"/>
  <c r="Y204" i="18" s="1"/>
  <c r="X204" i="18" a="1"/>
  <c r="X204" i="18" s="1"/>
  <c r="W204" i="18" a="1"/>
  <c r="W204" i="18" s="1"/>
  <c r="V204" i="18" a="1"/>
  <c r="V204" i="18" s="1"/>
  <c r="U204" i="18" a="1"/>
  <c r="U204" i="18" s="1"/>
  <c r="T204" i="18" a="1"/>
  <c r="T204" i="18" s="1"/>
  <c r="S204" i="18" a="1"/>
  <c r="S204" i="18" s="1"/>
  <c r="R204" i="18" a="1"/>
  <c r="R204" i="18" s="1"/>
  <c r="Q204" i="18" a="1"/>
  <c r="Q204" i="18" s="1"/>
  <c r="P204" i="18" a="1"/>
  <c r="P204" i="18" s="1"/>
  <c r="O204" i="18" a="1"/>
  <c r="O204" i="18" s="1"/>
  <c r="N204" i="18" a="1"/>
  <c r="N204" i="18" s="1"/>
  <c r="M204" i="18" a="1"/>
  <c r="M204" i="18" s="1"/>
  <c r="L204" i="18" a="1"/>
  <c r="L204" i="18" s="1"/>
  <c r="K204" i="18" a="1"/>
  <c r="K204" i="18" s="1"/>
  <c r="J204" i="18" a="1"/>
  <c r="J204" i="18" s="1"/>
  <c r="I204" i="18" a="1"/>
  <c r="I204" i="18" s="1"/>
  <c r="H204" i="18" a="1"/>
  <c r="H204" i="18" s="1"/>
  <c r="G204" i="18" a="1"/>
  <c r="G204" i="18" s="1"/>
  <c r="D204" i="18"/>
  <c r="BA204" i="18" a="1"/>
  <c r="BA204" i="18" s="1"/>
  <c r="AS204" i="18" a="1"/>
  <c r="AS204" i="18" s="1"/>
  <c r="AK204" i="18" a="1"/>
  <c r="AK204" i="18" s="1"/>
  <c r="AW204" i="18" a="1"/>
  <c r="AW204" i="18" s="1"/>
  <c r="AO204" i="18" a="1"/>
  <c r="AO204" i="18" s="1"/>
  <c r="AG204" i="18" a="1"/>
  <c r="AG204" i="18" s="1"/>
  <c r="BC212" i="18" a="1"/>
  <c r="BC212" i="18" s="1"/>
  <c r="AY212" i="18" a="1"/>
  <c r="AY212" i="18" s="1"/>
  <c r="AU212" i="18" a="1"/>
  <c r="AU212" i="18" s="1"/>
  <c r="AQ212" i="18" a="1"/>
  <c r="AQ212" i="18" s="1"/>
  <c r="AM212" i="18" a="1"/>
  <c r="AM212" i="18" s="1"/>
  <c r="AI212" i="18" a="1"/>
  <c r="AI212" i="18" s="1"/>
  <c r="AE212" i="18" a="1"/>
  <c r="AE212" i="18" s="1"/>
  <c r="AB212" i="18" a="1"/>
  <c r="AB212" i="18" s="1"/>
  <c r="AA212" i="18" a="1"/>
  <c r="AA212" i="18" s="1"/>
  <c r="Z212" i="18" a="1"/>
  <c r="Z212" i="18" s="1"/>
  <c r="Y212" i="18" a="1"/>
  <c r="Y212" i="18" s="1"/>
  <c r="X212" i="18" a="1"/>
  <c r="X212" i="18" s="1"/>
  <c r="W212" i="18" a="1"/>
  <c r="W212" i="18" s="1"/>
  <c r="V212" i="18" a="1"/>
  <c r="V212" i="18" s="1"/>
  <c r="U212" i="18" a="1"/>
  <c r="U212" i="18" s="1"/>
  <c r="T212" i="18" a="1"/>
  <c r="T212" i="18" s="1"/>
  <c r="S212" i="18" a="1"/>
  <c r="S212" i="18" s="1"/>
  <c r="R212" i="18" a="1"/>
  <c r="R212" i="18" s="1"/>
  <c r="Q212" i="18" a="1"/>
  <c r="Q212" i="18" s="1"/>
  <c r="P212" i="18" a="1"/>
  <c r="P212" i="18" s="1"/>
  <c r="O212" i="18" a="1"/>
  <c r="O212" i="18" s="1"/>
  <c r="N212" i="18" a="1"/>
  <c r="N212" i="18" s="1"/>
  <c r="M212" i="18" a="1"/>
  <c r="M212" i="18" s="1"/>
  <c r="L212" i="18" a="1"/>
  <c r="L212" i="18" s="1"/>
  <c r="K212" i="18" a="1"/>
  <c r="K212" i="18" s="1"/>
  <c r="J212" i="18" a="1"/>
  <c r="J212" i="18" s="1"/>
  <c r="I212" i="18" a="1"/>
  <c r="I212" i="18" s="1"/>
  <c r="H212" i="18" a="1"/>
  <c r="H212" i="18" s="1"/>
  <c r="G212" i="18" a="1"/>
  <c r="G212" i="18" s="1"/>
  <c r="D212" i="18"/>
  <c r="BA212" i="18" a="1"/>
  <c r="BA212" i="18" s="1"/>
  <c r="BB212" i="18" s="1"/>
  <c r="AS212" i="18" a="1"/>
  <c r="AS212" i="18" s="1"/>
  <c r="AK212" i="18" a="1"/>
  <c r="AK212" i="18" s="1"/>
  <c r="AW212" i="18" a="1"/>
  <c r="AW212" i="18" s="1"/>
  <c r="AO212" i="18" a="1"/>
  <c r="AO212" i="18" s="1"/>
  <c r="AG212" i="18" a="1"/>
  <c r="AG212" i="18" s="1"/>
  <c r="BC220" i="18" a="1"/>
  <c r="BC220" i="18" s="1"/>
  <c r="AY220" i="18" a="1"/>
  <c r="AY220" i="18" s="1"/>
  <c r="AU220" i="18" a="1"/>
  <c r="AU220" i="18" s="1"/>
  <c r="AQ220" i="18" a="1"/>
  <c r="AQ220" i="18" s="1"/>
  <c r="AM220" i="18" a="1"/>
  <c r="AM220" i="18" s="1"/>
  <c r="AI220" i="18" a="1"/>
  <c r="AI220" i="18" s="1"/>
  <c r="AE220" i="18" a="1"/>
  <c r="AE220" i="18" s="1"/>
  <c r="AB220" i="18" a="1"/>
  <c r="AB220" i="18" s="1"/>
  <c r="AA220" i="18" a="1"/>
  <c r="AA220" i="18" s="1"/>
  <c r="Z220" i="18" a="1"/>
  <c r="Z220" i="18" s="1"/>
  <c r="Y220" i="18" a="1"/>
  <c r="Y220" i="18" s="1"/>
  <c r="X220" i="18" a="1"/>
  <c r="X220" i="18" s="1"/>
  <c r="W220" i="18" a="1"/>
  <c r="W220" i="18" s="1"/>
  <c r="V220" i="18" a="1"/>
  <c r="V220" i="18" s="1"/>
  <c r="U220" i="18" a="1"/>
  <c r="U220" i="18" s="1"/>
  <c r="T220" i="18" a="1"/>
  <c r="T220" i="18" s="1"/>
  <c r="S220" i="18" a="1"/>
  <c r="S220" i="18" s="1"/>
  <c r="R220" i="18" a="1"/>
  <c r="R220" i="18" s="1"/>
  <c r="Q220" i="18" a="1"/>
  <c r="Q220" i="18" s="1"/>
  <c r="P220" i="18" a="1"/>
  <c r="P220" i="18" s="1"/>
  <c r="O220" i="18" a="1"/>
  <c r="O220" i="18" s="1"/>
  <c r="N220" i="18" a="1"/>
  <c r="N220" i="18" s="1"/>
  <c r="M220" i="18" a="1"/>
  <c r="M220" i="18" s="1"/>
  <c r="L220" i="18" a="1"/>
  <c r="L220" i="18" s="1"/>
  <c r="K220" i="18" a="1"/>
  <c r="K220" i="18" s="1"/>
  <c r="J220" i="18" a="1"/>
  <c r="J220" i="18" s="1"/>
  <c r="I220" i="18" a="1"/>
  <c r="I220" i="18" s="1"/>
  <c r="H220" i="18" a="1"/>
  <c r="H220" i="18" s="1"/>
  <c r="G220" i="18" a="1"/>
  <c r="G220" i="18" s="1"/>
  <c r="D220" i="18"/>
  <c r="BA220" i="18" a="1"/>
  <c r="BA220" i="18" s="1"/>
  <c r="BB220" i="18" s="1"/>
  <c r="AS220" i="18" a="1"/>
  <c r="AS220" i="18" s="1"/>
  <c r="AK220" i="18" a="1"/>
  <c r="AK220" i="18" s="1"/>
  <c r="AW220" i="18" a="1"/>
  <c r="AW220" i="18" s="1"/>
  <c r="AO220" i="18" a="1"/>
  <c r="AO220" i="18" s="1"/>
  <c r="AG220" i="18" a="1"/>
  <c r="AG220" i="18" s="1"/>
  <c r="BC228" i="18" a="1"/>
  <c r="BC228" i="18" s="1"/>
  <c r="AY228" i="18" a="1"/>
  <c r="AY228" i="18" s="1"/>
  <c r="AU228" i="18" a="1"/>
  <c r="AU228" i="18" s="1"/>
  <c r="AQ228" i="18" a="1"/>
  <c r="AQ228" i="18" s="1"/>
  <c r="AM228" i="18" a="1"/>
  <c r="AM228" i="18" s="1"/>
  <c r="AI228" i="18" a="1"/>
  <c r="AI228" i="18" s="1"/>
  <c r="AE228" i="18" a="1"/>
  <c r="AE228" i="18" s="1"/>
  <c r="AB228" i="18" a="1"/>
  <c r="AB228" i="18" s="1"/>
  <c r="AA228" i="18" a="1"/>
  <c r="AA228" i="18" s="1"/>
  <c r="Z228" i="18" a="1"/>
  <c r="Z228" i="18" s="1"/>
  <c r="Y228" i="18" a="1"/>
  <c r="Y228" i="18" s="1"/>
  <c r="X228" i="18" a="1"/>
  <c r="X228" i="18" s="1"/>
  <c r="W228" i="18" a="1"/>
  <c r="W228" i="18" s="1"/>
  <c r="V228" i="18" a="1"/>
  <c r="V228" i="18" s="1"/>
  <c r="U228" i="18" a="1"/>
  <c r="U228" i="18" s="1"/>
  <c r="T228" i="18" a="1"/>
  <c r="T228" i="18" s="1"/>
  <c r="S228" i="18" a="1"/>
  <c r="S228" i="18" s="1"/>
  <c r="R228" i="18" a="1"/>
  <c r="R228" i="18" s="1"/>
  <c r="Q228" i="18" a="1"/>
  <c r="Q228" i="18" s="1"/>
  <c r="P228" i="18" a="1"/>
  <c r="P228" i="18" s="1"/>
  <c r="O228" i="18" a="1"/>
  <c r="O228" i="18" s="1"/>
  <c r="N228" i="18" a="1"/>
  <c r="N228" i="18" s="1"/>
  <c r="M228" i="18" a="1"/>
  <c r="M228" i="18" s="1"/>
  <c r="L228" i="18" a="1"/>
  <c r="L228" i="18" s="1"/>
  <c r="K228" i="18" a="1"/>
  <c r="K228" i="18" s="1"/>
  <c r="J228" i="18" a="1"/>
  <c r="J228" i="18" s="1"/>
  <c r="I228" i="18" a="1"/>
  <c r="I228" i="18" s="1"/>
  <c r="H228" i="18" a="1"/>
  <c r="H228" i="18" s="1"/>
  <c r="G228" i="18" a="1"/>
  <c r="G228" i="18" s="1"/>
  <c r="D228" i="18"/>
  <c r="BA228" i="18" a="1"/>
  <c r="BA228" i="18" s="1"/>
  <c r="AS228" i="18" a="1"/>
  <c r="AS228" i="18" s="1"/>
  <c r="AK228" i="18" a="1"/>
  <c r="AK228" i="18" s="1"/>
  <c r="AW228" i="18" a="1"/>
  <c r="AW228" i="18" s="1"/>
  <c r="AO228" i="18" a="1"/>
  <c r="AO228" i="18" s="1"/>
  <c r="AG228" i="18" a="1"/>
  <c r="AG228" i="18" s="1"/>
  <c r="BC236" i="18" a="1"/>
  <c r="BC236" i="18" s="1"/>
  <c r="AY236" i="18" a="1"/>
  <c r="AY236" i="18" s="1"/>
  <c r="AU236" i="18" a="1"/>
  <c r="AU236" i="18" s="1"/>
  <c r="AQ236" i="18" a="1"/>
  <c r="AQ236" i="18" s="1"/>
  <c r="AM236" i="18" a="1"/>
  <c r="AM236" i="18" s="1"/>
  <c r="AI236" i="18" a="1"/>
  <c r="AI236" i="18" s="1"/>
  <c r="AE236" i="18" a="1"/>
  <c r="AE236" i="18" s="1"/>
  <c r="AB236" i="18" a="1"/>
  <c r="AB236" i="18" s="1"/>
  <c r="AA236" i="18" a="1"/>
  <c r="AA236" i="18" s="1"/>
  <c r="Z236" i="18" a="1"/>
  <c r="Z236" i="18" s="1"/>
  <c r="Y236" i="18" a="1"/>
  <c r="Y236" i="18" s="1"/>
  <c r="X236" i="18" a="1"/>
  <c r="X236" i="18" s="1"/>
  <c r="W236" i="18" a="1"/>
  <c r="W236" i="18" s="1"/>
  <c r="V236" i="18" a="1"/>
  <c r="V236" i="18" s="1"/>
  <c r="U236" i="18" a="1"/>
  <c r="U236" i="18" s="1"/>
  <c r="T236" i="18" a="1"/>
  <c r="T236" i="18" s="1"/>
  <c r="S236" i="18" a="1"/>
  <c r="S236" i="18" s="1"/>
  <c r="R236" i="18" a="1"/>
  <c r="R236" i="18" s="1"/>
  <c r="Q236" i="18" a="1"/>
  <c r="Q236" i="18" s="1"/>
  <c r="P236" i="18" a="1"/>
  <c r="P236" i="18" s="1"/>
  <c r="O236" i="18" a="1"/>
  <c r="O236" i="18" s="1"/>
  <c r="N236" i="18" a="1"/>
  <c r="N236" i="18" s="1"/>
  <c r="M236" i="18" a="1"/>
  <c r="M236" i="18" s="1"/>
  <c r="L236" i="18" a="1"/>
  <c r="L236" i="18" s="1"/>
  <c r="K236" i="18" a="1"/>
  <c r="K236" i="18" s="1"/>
  <c r="J236" i="18" a="1"/>
  <c r="J236" i="18" s="1"/>
  <c r="I236" i="18" a="1"/>
  <c r="I236" i="18" s="1"/>
  <c r="H236" i="18" a="1"/>
  <c r="H236" i="18" s="1"/>
  <c r="G236" i="18" a="1"/>
  <c r="G236" i="18" s="1"/>
  <c r="D236" i="18"/>
  <c r="BA236" i="18" a="1"/>
  <c r="BA236" i="18" s="1"/>
  <c r="AS236" i="18" a="1"/>
  <c r="AS236" i="18" s="1"/>
  <c r="AK236" i="18" a="1"/>
  <c r="AK236" i="18" s="1"/>
  <c r="AW236" i="18" a="1"/>
  <c r="AW236" i="18" s="1"/>
  <c r="AO236" i="18" a="1"/>
  <c r="AO236" i="18" s="1"/>
  <c r="AG236" i="18" a="1"/>
  <c r="AG236" i="18" s="1"/>
  <c r="BC244" i="18" a="1"/>
  <c r="BC244" i="18" s="1"/>
  <c r="AY244" i="18" a="1"/>
  <c r="AY244" i="18" s="1"/>
  <c r="AU244" i="18" a="1"/>
  <c r="AU244" i="18" s="1"/>
  <c r="AQ244" i="18" a="1"/>
  <c r="AQ244" i="18" s="1"/>
  <c r="AM244" i="18" a="1"/>
  <c r="AM244" i="18" s="1"/>
  <c r="AI244" i="18" a="1"/>
  <c r="AI244" i="18" s="1"/>
  <c r="AE244" i="18" a="1"/>
  <c r="AE244" i="18" s="1"/>
  <c r="AB244" i="18" a="1"/>
  <c r="AB244" i="18" s="1"/>
  <c r="AA244" i="18" a="1"/>
  <c r="AA244" i="18" s="1"/>
  <c r="Z244" i="18" a="1"/>
  <c r="Z244" i="18" s="1"/>
  <c r="Y244" i="18" a="1"/>
  <c r="Y244" i="18" s="1"/>
  <c r="X244" i="18" a="1"/>
  <c r="X244" i="18" s="1"/>
  <c r="W244" i="18" a="1"/>
  <c r="W244" i="18" s="1"/>
  <c r="V244" i="18" a="1"/>
  <c r="V244" i="18" s="1"/>
  <c r="U244" i="18" a="1"/>
  <c r="U244" i="18" s="1"/>
  <c r="T244" i="18" a="1"/>
  <c r="T244" i="18" s="1"/>
  <c r="S244" i="18" a="1"/>
  <c r="S244" i="18" s="1"/>
  <c r="R244" i="18" a="1"/>
  <c r="R244" i="18" s="1"/>
  <c r="Q244" i="18" a="1"/>
  <c r="Q244" i="18" s="1"/>
  <c r="P244" i="18" a="1"/>
  <c r="P244" i="18" s="1"/>
  <c r="O244" i="18" a="1"/>
  <c r="O244" i="18" s="1"/>
  <c r="N244" i="18" a="1"/>
  <c r="N244" i="18" s="1"/>
  <c r="M244" i="18" a="1"/>
  <c r="M244" i="18" s="1"/>
  <c r="L244" i="18" a="1"/>
  <c r="L244" i="18" s="1"/>
  <c r="K244" i="18" a="1"/>
  <c r="K244" i="18" s="1"/>
  <c r="J244" i="18" a="1"/>
  <c r="J244" i="18" s="1"/>
  <c r="I244" i="18" a="1"/>
  <c r="I244" i="18" s="1"/>
  <c r="H244" i="18" a="1"/>
  <c r="H244" i="18" s="1"/>
  <c r="G244" i="18" a="1"/>
  <c r="G244" i="18" s="1"/>
  <c r="D244" i="18"/>
  <c r="BA244" i="18" a="1"/>
  <c r="BA244" i="18" s="1"/>
  <c r="BB244" i="18" s="1"/>
  <c r="AS244" i="18" a="1"/>
  <c r="AS244" i="18" s="1"/>
  <c r="AK244" i="18" a="1"/>
  <c r="AK244" i="18" s="1"/>
  <c r="AW244" i="18" a="1"/>
  <c r="AW244" i="18" s="1"/>
  <c r="AO244" i="18" a="1"/>
  <c r="AO244" i="18" s="1"/>
  <c r="AG244" i="18" a="1"/>
  <c r="AG244" i="18" s="1"/>
  <c r="BC252" i="18" a="1"/>
  <c r="BC252" i="18" s="1"/>
  <c r="AY252" i="18" a="1"/>
  <c r="AY252" i="18" s="1"/>
  <c r="AU252" i="18" a="1"/>
  <c r="AU252" i="18" s="1"/>
  <c r="AQ252" i="18" a="1"/>
  <c r="AQ252" i="18" s="1"/>
  <c r="AM252" i="18" a="1"/>
  <c r="AM252" i="18" s="1"/>
  <c r="AI252" i="18" a="1"/>
  <c r="AI252" i="18" s="1"/>
  <c r="AE252" i="18" a="1"/>
  <c r="AE252" i="18" s="1"/>
  <c r="AB252" i="18" a="1"/>
  <c r="AB252" i="18" s="1"/>
  <c r="AA252" i="18" a="1"/>
  <c r="AA252" i="18" s="1"/>
  <c r="Z252" i="18" a="1"/>
  <c r="Z252" i="18" s="1"/>
  <c r="Y252" i="18" a="1"/>
  <c r="Y252" i="18" s="1"/>
  <c r="X252" i="18" a="1"/>
  <c r="X252" i="18" s="1"/>
  <c r="W252" i="18" a="1"/>
  <c r="W252" i="18" s="1"/>
  <c r="V252" i="18" a="1"/>
  <c r="V252" i="18" s="1"/>
  <c r="U252" i="18" a="1"/>
  <c r="U252" i="18" s="1"/>
  <c r="T252" i="18" a="1"/>
  <c r="T252" i="18" s="1"/>
  <c r="S252" i="18" a="1"/>
  <c r="S252" i="18" s="1"/>
  <c r="R252" i="18" a="1"/>
  <c r="R252" i="18" s="1"/>
  <c r="Q252" i="18" a="1"/>
  <c r="Q252" i="18" s="1"/>
  <c r="P252" i="18" a="1"/>
  <c r="P252" i="18" s="1"/>
  <c r="O252" i="18" a="1"/>
  <c r="O252" i="18" s="1"/>
  <c r="N252" i="18" a="1"/>
  <c r="N252" i="18" s="1"/>
  <c r="M252" i="18" a="1"/>
  <c r="M252" i="18" s="1"/>
  <c r="L252" i="18" a="1"/>
  <c r="L252" i="18" s="1"/>
  <c r="K252" i="18" a="1"/>
  <c r="K252" i="18" s="1"/>
  <c r="J252" i="18" a="1"/>
  <c r="J252" i="18" s="1"/>
  <c r="I252" i="18" a="1"/>
  <c r="I252" i="18" s="1"/>
  <c r="H252" i="18" a="1"/>
  <c r="H252" i="18" s="1"/>
  <c r="G252" i="18" a="1"/>
  <c r="G252" i="18" s="1"/>
  <c r="D252" i="18"/>
  <c r="BA252" i="18" a="1"/>
  <c r="BA252" i="18" s="1"/>
  <c r="AS252" i="18" a="1"/>
  <c r="AS252" i="18" s="1"/>
  <c r="AK252" i="18" a="1"/>
  <c r="AK252" i="18" s="1"/>
  <c r="AW252" i="18" a="1"/>
  <c r="AW252" i="18" s="1"/>
  <c r="AO252" i="18" a="1"/>
  <c r="AO252" i="18" s="1"/>
  <c r="AG252" i="18" a="1"/>
  <c r="AG252" i="18" s="1"/>
  <c r="BC260" i="18" a="1"/>
  <c r="BC260" i="18" s="1"/>
  <c r="AY260" i="18" a="1"/>
  <c r="AY260" i="18" s="1"/>
  <c r="AU260" i="18" a="1"/>
  <c r="AU260" i="18" s="1"/>
  <c r="AQ260" i="18" a="1"/>
  <c r="AQ260" i="18" s="1"/>
  <c r="AM260" i="18" a="1"/>
  <c r="AM260" i="18" s="1"/>
  <c r="AI260" i="18" a="1"/>
  <c r="AI260" i="18" s="1"/>
  <c r="AE260" i="18" a="1"/>
  <c r="AE260" i="18" s="1"/>
  <c r="AB260" i="18" a="1"/>
  <c r="AB260" i="18" s="1"/>
  <c r="AA260" i="18" a="1"/>
  <c r="AA260" i="18" s="1"/>
  <c r="Z260" i="18" a="1"/>
  <c r="Z260" i="18" s="1"/>
  <c r="Y260" i="18" a="1"/>
  <c r="Y260" i="18" s="1"/>
  <c r="X260" i="18" a="1"/>
  <c r="X260" i="18" s="1"/>
  <c r="W260" i="18" a="1"/>
  <c r="W260" i="18" s="1"/>
  <c r="V260" i="18" a="1"/>
  <c r="V260" i="18" s="1"/>
  <c r="U260" i="18" a="1"/>
  <c r="U260" i="18" s="1"/>
  <c r="T260" i="18" a="1"/>
  <c r="T260" i="18" s="1"/>
  <c r="S260" i="18" a="1"/>
  <c r="S260" i="18" s="1"/>
  <c r="R260" i="18" a="1"/>
  <c r="R260" i="18" s="1"/>
  <c r="Q260" i="18" a="1"/>
  <c r="Q260" i="18" s="1"/>
  <c r="P260" i="18" a="1"/>
  <c r="P260" i="18" s="1"/>
  <c r="O260" i="18" a="1"/>
  <c r="O260" i="18" s="1"/>
  <c r="N260" i="18" a="1"/>
  <c r="N260" i="18" s="1"/>
  <c r="M260" i="18" a="1"/>
  <c r="M260" i="18" s="1"/>
  <c r="L260" i="18" a="1"/>
  <c r="L260" i="18" s="1"/>
  <c r="K260" i="18" a="1"/>
  <c r="K260" i="18" s="1"/>
  <c r="J260" i="18" a="1"/>
  <c r="J260" i="18" s="1"/>
  <c r="I260" i="18" a="1"/>
  <c r="I260" i="18" s="1"/>
  <c r="H260" i="18" a="1"/>
  <c r="H260" i="18" s="1"/>
  <c r="G260" i="18" a="1"/>
  <c r="G260" i="18" s="1"/>
  <c r="D260" i="18"/>
  <c r="BA260" i="18" a="1"/>
  <c r="BA260" i="18" s="1"/>
  <c r="AS260" i="18" a="1"/>
  <c r="AS260" i="18" s="1"/>
  <c r="AK260" i="18" a="1"/>
  <c r="AK260" i="18" s="1"/>
  <c r="AW260" i="18" a="1"/>
  <c r="AW260" i="18" s="1"/>
  <c r="AO260" i="18" a="1"/>
  <c r="AO260" i="18" s="1"/>
  <c r="AG260" i="18" a="1"/>
  <c r="AG260" i="18" s="1"/>
  <c r="BC268" i="18" a="1"/>
  <c r="BC268" i="18" s="1"/>
  <c r="AY268" i="18" a="1"/>
  <c r="AY268" i="18" s="1"/>
  <c r="AU268" i="18" a="1"/>
  <c r="AU268" i="18" s="1"/>
  <c r="AQ268" i="18" a="1"/>
  <c r="AQ268" i="18" s="1"/>
  <c r="AM268" i="18" a="1"/>
  <c r="AM268" i="18" s="1"/>
  <c r="AI268" i="18" a="1"/>
  <c r="AI268" i="18" s="1"/>
  <c r="AE268" i="18" a="1"/>
  <c r="AE268" i="18" s="1"/>
  <c r="AB268" i="18" a="1"/>
  <c r="AB268" i="18" s="1"/>
  <c r="AA268" i="18" a="1"/>
  <c r="AA268" i="18" s="1"/>
  <c r="Z268" i="18" a="1"/>
  <c r="Z268" i="18" s="1"/>
  <c r="Y268" i="18" a="1"/>
  <c r="Y268" i="18" s="1"/>
  <c r="X268" i="18" a="1"/>
  <c r="X268" i="18" s="1"/>
  <c r="W268" i="18" a="1"/>
  <c r="W268" i="18" s="1"/>
  <c r="V268" i="18" a="1"/>
  <c r="V268" i="18" s="1"/>
  <c r="U268" i="18" a="1"/>
  <c r="U268" i="18" s="1"/>
  <c r="T268" i="18" a="1"/>
  <c r="T268" i="18" s="1"/>
  <c r="S268" i="18" a="1"/>
  <c r="S268" i="18" s="1"/>
  <c r="R268" i="18" a="1"/>
  <c r="R268" i="18" s="1"/>
  <c r="Q268" i="18" a="1"/>
  <c r="Q268" i="18" s="1"/>
  <c r="P268" i="18" a="1"/>
  <c r="P268" i="18" s="1"/>
  <c r="O268" i="18" a="1"/>
  <c r="O268" i="18" s="1"/>
  <c r="N268" i="18" a="1"/>
  <c r="N268" i="18" s="1"/>
  <c r="M268" i="18" a="1"/>
  <c r="M268" i="18" s="1"/>
  <c r="L268" i="18" a="1"/>
  <c r="L268" i="18" s="1"/>
  <c r="K268" i="18" a="1"/>
  <c r="K268" i="18" s="1"/>
  <c r="J268" i="18" a="1"/>
  <c r="J268" i="18" s="1"/>
  <c r="I268" i="18" a="1"/>
  <c r="I268" i="18" s="1"/>
  <c r="H268" i="18" a="1"/>
  <c r="H268" i="18" s="1"/>
  <c r="G268" i="18" a="1"/>
  <c r="G268" i="18" s="1"/>
  <c r="D268" i="18"/>
  <c r="BA268" i="18" a="1"/>
  <c r="BA268" i="18" s="1"/>
  <c r="BB268" i="18" s="1"/>
  <c r="AS268" i="18" a="1"/>
  <c r="AS268" i="18" s="1"/>
  <c r="AK268" i="18" a="1"/>
  <c r="AK268" i="18" s="1"/>
  <c r="AW268" i="18" a="1"/>
  <c r="AW268" i="18" s="1"/>
  <c r="AO268" i="18" a="1"/>
  <c r="AO268" i="18" s="1"/>
  <c r="AG268" i="18" a="1"/>
  <c r="AG268" i="18" s="1"/>
  <c r="BC276" i="18" a="1"/>
  <c r="BC276" i="18" s="1"/>
  <c r="AY276" i="18" a="1"/>
  <c r="AY276" i="18" s="1"/>
  <c r="AU276" i="18" a="1"/>
  <c r="AU276" i="18" s="1"/>
  <c r="AQ276" i="18" a="1"/>
  <c r="AQ276" i="18" s="1"/>
  <c r="AM276" i="18" a="1"/>
  <c r="AM276" i="18" s="1"/>
  <c r="AI276" i="18" a="1"/>
  <c r="AI276" i="18" s="1"/>
  <c r="AE276" i="18" a="1"/>
  <c r="AE276" i="18" s="1"/>
  <c r="AB276" i="18" a="1"/>
  <c r="AB276" i="18" s="1"/>
  <c r="AA276" i="18" a="1"/>
  <c r="AA276" i="18" s="1"/>
  <c r="Z276" i="18" a="1"/>
  <c r="Z276" i="18" s="1"/>
  <c r="Y276" i="18" a="1"/>
  <c r="Y276" i="18" s="1"/>
  <c r="X276" i="18" a="1"/>
  <c r="X276" i="18" s="1"/>
  <c r="W276" i="18" a="1"/>
  <c r="W276" i="18" s="1"/>
  <c r="V276" i="18" a="1"/>
  <c r="V276" i="18" s="1"/>
  <c r="U276" i="18" a="1"/>
  <c r="U276" i="18" s="1"/>
  <c r="T276" i="18" a="1"/>
  <c r="T276" i="18" s="1"/>
  <c r="S276" i="18" a="1"/>
  <c r="S276" i="18" s="1"/>
  <c r="R276" i="18" a="1"/>
  <c r="R276" i="18" s="1"/>
  <c r="Q276" i="18" a="1"/>
  <c r="Q276" i="18" s="1"/>
  <c r="P276" i="18" a="1"/>
  <c r="P276" i="18" s="1"/>
  <c r="O276" i="18" a="1"/>
  <c r="O276" i="18" s="1"/>
  <c r="N276" i="18" a="1"/>
  <c r="N276" i="18" s="1"/>
  <c r="M276" i="18" a="1"/>
  <c r="M276" i="18" s="1"/>
  <c r="L276" i="18" a="1"/>
  <c r="L276" i="18" s="1"/>
  <c r="K276" i="18" a="1"/>
  <c r="K276" i="18" s="1"/>
  <c r="J276" i="18" a="1"/>
  <c r="J276" i="18" s="1"/>
  <c r="I276" i="18" a="1"/>
  <c r="I276" i="18" s="1"/>
  <c r="H276" i="18" a="1"/>
  <c r="H276" i="18" s="1"/>
  <c r="G276" i="18" a="1"/>
  <c r="G276" i="18" s="1"/>
  <c r="D276" i="18"/>
  <c r="BA276" i="18" a="1"/>
  <c r="BA276" i="18" s="1"/>
  <c r="BB276" i="18" s="1"/>
  <c r="AS276" i="18" a="1"/>
  <c r="AS276" i="18" s="1"/>
  <c r="AK276" i="18" a="1"/>
  <c r="AK276" i="18" s="1"/>
  <c r="AW276" i="18" a="1"/>
  <c r="AW276" i="18" s="1"/>
  <c r="AO276" i="18" a="1"/>
  <c r="AO276" i="18" s="1"/>
  <c r="AG276" i="18" a="1"/>
  <c r="AG276" i="18" s="1"/>
  <c r="BC284" i="18" a="1"/>
  <c r="BC284" i="18" s="1"/>
  <c r="AY284" i="18" a="1"/>
  <c r="AY284" i="18" s="1"/>
  <c r="AU284" i="18" a="1"/>
  <c r="AU284" i="18" s="1"/>
  <c r="AQ284" i="18" a="1"/>
  <c r="AQ284" i="18" s="1"/>
  <c r="AM284" i="18" a="1"/>
  <c r="AM284" i="18" s="1"/>
  <c r="AI284" i="18" a="1"/>
  <c r="AI284" i="18" s="1"/>
  <c r="AE284" i="18" a="1"/>
  <c r="AE284" i="18" s="1"/>
  <c r="AB284" i="18" a="1"/>
  <c r="AB284" i="18" s="1"/>
  <c r="AA284" i="18" a="1"/>
  <c r="AA284" i="18" s="1"/>
  <c r="Z284" i="18" a="1"/>
  <c r="Z284" i="18" s="1"/>
  <c r="Y284" i="18" a="1"/>
  <c r="Y284" i="18" s="1"/>
  <c r="X284" i="18" a="1"/>
  <c r="X284" i="18" s="1"/>
  <c r="W284" i="18" a="1"/>
  <c r="W284" i="18" s="1"/>
  <c r="V284" i="18" a="1"/>
  <c r="V284" i="18" s="1"/>
  <c r="U284" i="18" a="1"/>
  <c r="U284" i="18" s="1"/>
  <c r="T284" i="18" a="1"/>
  <c r="T284" i="18" s="1"/>
  <c r="S284" i="18" a="1"/>
  <c r="S284" i="18" s="1"/>
  <c r="R284" i="18" a="1"/>
  <c r="R284" i="18" s="1"/>
  <c r="Q284" i="18" a="1"/>
  <c r="Q284" i="18" s="1"/>
  <c r="P284" i="18" a="1"/>
  <c r="P284" i="18" s="1"/>
  <c r="O284" i="18" a="1"/>
  <c r="O284" i="18" s="1"/>
  <c r="N284" i="18" a="1"/>
  <c r="N284" i="18" s="1"/>
  <c r="M284" i="18" a="1"/>
  <c r="M284" i="18" s="1"/>
  <c r="L284" i="18" a="1"/>
  <c r="L284" i="18" s="1"/>
  <c r="K284" i="18" a="1"/>
  <c r="K284" i="18" s="1"/>
  <c r="J284" i="18" a="1"/>
  <c r="J284" i="18" s="1"/>
  <c r="I284" i="18" a="1"/>
  <c r="I284" i="18" s="1"/>
  <c r="H284" i="18" a="1"/>
  <c r="H284" i="18" s="1"/>
  <c r="G284" i="18" a="1"/>
  <c r="G284" i="18" s="1"/>
  <c r="D284" i="18"/>
  <c r="BA284" i="18" a="1"/>
  <c r="BA284" i="18" s="1"/>
  <c r="AS284" i="18" a="1"/>
  <c r="AS284" i="18" s="1"/>
  <c r="AK284" i="18" a="1"/>
  <c r="AK284" i="18" s="1"/>
  <c r="AW284" i="18" a="1"/>
  <c r="AW284" i="18" s="1"/>
  <c r="AO284" i="18" a="1"/>
  <c r="AO284" i="18" s="1"/>
  <c r="AG284" i="18" a="1"/>
  <c r="AG284" i="18" s="1"/>
  <c r="BC292" i="18" a="1"/>
  <c r="BC292" i="18" s="1"/>
  <c r="AY292" i="18" a="1"/>
  <c r="AY292" i="18" s="1"/>
  <c r="AU292" i="18" a="1"/>
  <c r="AU292" i="18" s="1"/>
  <c r="AQ292" i="18" a="1"/>
  <c r="AQ292" i="18" s="1"/>
  <c r="AM292" i="18" a="1"/>
  <c r="AM292" i="18" s="1"/>
  <c r="AI292" i="18" a="1"/>
  <c r="AI292" i="18" s="1"/>
  <c r="AE292" i="18" a="1"/>
  <c r="AE292" i="18" s="1"/>
  <c r="AB292" i="18" a="1"/>
  <c r="AB292" i="18" s="1"/>
  <c r="AA292" i="18" a="1"/>
  <c r="AA292" i="18" s="1"/>
  <c r="Z292" i="18" a="1"/>
  <c r="Z292" i="18" s="1"/>
  <c r="Y292" i="18" a="1"/>
  <c r="Y292" i="18" s="1"/>
  <c r="X292" i="18" a="1"/>
  <c r="X292" i="18" s="1"/>
  <c r="W292" i="18" a="1"/>
  <c r="W292" i="18" s="1"/>
  <c r="V292" i="18" a="1"/>
  <c r="V292" i="18" s="1"/>
  <c r="U292" i="18" a="1"/>
  <c r="U292" i="18" s="1"/>
  <c r="T292" i="18" a="1"/>
  <c r="T292" i="18" s="1"/>
  <c r="S292" i="18" a="1"/>
  <c r="S292" i="18" s="1"/>
  <c r="R292" i="18" a="1"/>
  <c r="R292" i="18" s="1"/>
  <c r="Q292" i="18" a="1"/>
  <c r="Q292" i="18" s="1"/>
  <c r="P292" i="18" a="1"/>
  <c r="P292" i="18" s="1"/>
  <c r="O292" i="18" a="1"/>
  <c r="O292" i="18" s="1"/>
  <c r="N292" i="18" a="1"/>
  <c r="N292" i="18" s="1"/>
  <c r="M292" i="18" a="1"/>
  <c r="M292" i="18" s="1"/>
  <c r="L292" i="18" a="1"/>
  <c r="L292" i="18" s="1"/>
  <c r="K292" i="18" a="1"/>
  <c r="K292" i="18" s="1"/>
  <c r="J292" i="18" a="1"/>
  <c r="J292" i="18" s="1"/>
  <c r="I292" i="18" a="1"/>
  <c r="I292" i="18" s="1"/>
  <c r="H292" i="18" a="1"/>
  <c r="H292" i="18" s="1"/>
  <c r="G292" i="18" a="1"/>
  <c r="G292" i="18" s="1"/>
  <c r="D292" i="18"/>
  <c r="BA292" i="18" a="1"/>
  <c r="BA292" i="18" s="1"/>
  <c r="AS292" i="18" a="1"/>
  <c r="AS292" i="18" s="1"/>
  <c r="AK292" i="18" a="1"/>
  <c r="AK292" i="18" s="1"/>
  <c r="AW292" i="18" a="1"/>
  <c r="AW292" i="18" s="1"/>
  <c r="AO292" i="18" a="1"/>
  <c r="AO292" i="18" s="1"/>
  <c r="AG292" i="18" a="1"/>
  <c r="AG292" i="18" s="1"/>
  <c r="BC300" i="18" a="1"/>
  <c r="BC300" i="18" s="1"/>
  <c r="AY300" i="18" a="1"/>
  <c r="AY300" i="18" s="1"/>
  <c r="AU300" i="18" a="1"/>
  <c r="AU300" i="18" s="1"/>
  <c r="AQ300" i="18" a="1"/>
  <c r="AQ300" i="18" s="1"/>
  <c r="AM300" i="18" a="1"/>
  <c r="AM300" i="18" s="1"/>
  <c r="AI300" i="18" a="1"/>
  <c r="AI300" i="18" s="1"/>
  <c r="AE300" i="18" a="1"/>
  <c r="AE300" i="18" s="1"/>
  <c r="AB300" i="18" a="1"/>
  <c r="AB300" i="18" s="1"/>
  <c r="AA300" i="18" a="1"/>
  <c r="AA300" i="18" s="1"/>
  <c r="Z300" i="18" a="1"/>
  <c r="Z300" i="18" s="1"/>
  <c r="Y300" i="18" a="1"/>
  <c r="Y300" i="18" s="1"/>
  <c r="X300" i="18" a="1"/>
  <c r="X300" i="18" s="1"/>
  <c r="W300" i="18" a="1"/>
  <c r="W300" i="18" s="1"/>
  <c r="V300" i="18" a="1"/>
  <c r="V300" i="18" s="1"/>
  <c r="U300" i="18" a="1"/>
  <c r="U300" i="18" s="1"/>
  <c r="T300" i="18" a="1"/>
  <c r="T300" i="18" s="1"/>
  <c r="S300" i="18" a="1"/>
  <c r="S300" i="18" s="1"/>
  <c r="R300" i="18" a="1"/>
  <c r="R300" i="18" s="1"/>
  <c r="Q300" i="18" a="1"/>
  <c r="Q300" i="18" s="1"/>
  <c r="P300" i="18" a="1"/>
  <c r="P300" i="18" s="1"/>
  <c r="O300" i="18" a="1"/>
  <c r="O300" i="18" s="1"/>
  <c r="N300" i="18" a="1"/>
  <c r="N300" i="18" s="1"/>
  <c r="M300" i="18" a="1"/>
  <c r="M300" i="18" s="1"/>
  <c r="L300" i="18" a="1"/>
  <c r="L300" i="18" s="1"/>
  <c r="K300" i="18" a="1"/>
  <c r="K300" i="18" s="1"/>
  <c r="J300" i="18" a="1"/>
  <c r="J300" i="18" s="1"/>
  <c r="I300" i="18" a="1"/>
  <c r="I300" i="18" s="1"/>
  <c r="H300" i="18" a="1"/>
  <c r="H300" i="18" s="1"/>
  <c r="G300" i="18" a="1"/>
  <c r="G300" i="18" s="1"/>
  <c r="D300" i="18"/>
  <c r="BA300" i="18" a="1"/>
  <c r="BA300" i="18" s="1"/>
  <c r="AS300" i="18" a="1"/>
  <c r="AS300" i="18" s="1"/>
  <c r="AK300" i="18" a="1"/>
  <c r="AK300" i="18" s="1"/>
  <c r="AW300" i="18" a="1"/>
  <c r="AW300" i="18" s="1"/>
  <c r="AO300" i="18" a="1"/>
  <c r="AO300" i="18" s="1"/>
  <c r="AG300" i="18" a="1"/>
  <c r="AG300" i="18" s="1"/>
  <c r="BC312" i="18" a="1"/>
  <c r="BC312" i="18" s="1"/>
  <c r="AY312" i="18" a="1"/>
  <c r="AY312" i="18" s="1"/>
  <c r="AU312" i="18" a="1"/>
  <c r="AU312" i="18" s="1"/>
  <c r="AQ312" i="18" a="1"/>
  <c r="AQ312" i="18" s="1"/>
  <c r="AM312" i="18" a="1"/>
  <c r="AM312" i="18" s="1"/>
  <c r="AI312" i="18" a="1"/>
  <c r="AI312" i="18" s="1"/>
  <c r="AE312" i="18" a="1"/>
  <c r="AE312" i="18" s="1"/>
  <c r="AB312" i="18" a="1"/>
  <c r="AB312" i="18" s="1"/>
  <c r="AA312" i="18" a="1"/>
  <c r="AA312" i="18" s="1"/>
  <c r="Z312" i="18" a="1"/>
  <c r="Z312" i="18" s="1"/>
  <c r="Y312" i="18" a="1"/>
  <c r="Y312" i="18" s="1"/>
  <c r="X312" i="18" a="1"/>
  <c r="X312" i="18" s="1"/>
  <c r="W312" i="18" a="1"/>
  <c r="W312" i="18" s="1"/>
  <c r="V312" i="18" a="1"/>
  <c r="V312" i="18" s="1"/>
  <c r="U312" i="18" a="1"/>
  <c r="U312" i="18" s="1"/>
  <c r="T312" i="18" a="1"/>
  <c r="T312" i="18" s="1"/>
  <c r="S312" i="18" a="1"/>
  <c r="S312" i="18" s="1"/>
  <c r="R312" i="18" a="1"/>
  <c r="R312" i="18" s="1"/>
  <c r="Q312" i="18" a="1"/>
  <c r="Q312" i="18" s="1"/>
  <c r="P312" i="18" a="1"/>
  <c r="P312" i="18" s="1"/>
  <c r="O312" i="18" a="1"/>
  <c r="O312" i="18" s="1"/>
  <c r="N312" i="18" a="1"/>
  <c r="N312" i="18" s="1"/>
  <c r="M312" i="18" a="1"/>
  <c r="M312" i="18" s="1"/>
  <c r="L312" i="18" a="1"/>
  <c r="L312" i="18" s="1"/>
  <c r="K312" i="18" a="1"/>
  <c r="K312" i="18" s="1"/>
  <c r="J312" i="18" a="1"/>
  <c r="J312" i="18" s="1"/>
  <c r="I312" i="18" a="1"/>
  <c r="I312" i="18" s="1"/>
  <c r="H312" i="18" a="1"/>
  <c r="H312" i="18" s="1"/>
  <c r="G312" i="18" a="1"/>
  <c r="G312" i="18" s="1"/>
  <c r="D312" i="18"/>
  <c r="AW312" i="18" a="1"/>
  <c r="AW312" i="18" s="1"/>
  <c r="AO312" i="18" a="1"/>
  <c r="AO312" i="18" s="1"/>
  <c r="AG312" i="18" a="1"/>
  <c r="AG312" i="18" s="1"/>
  <c r="AS312" i="18" a="1"/>
  <c r="AS312" i="18" s="1"/>
  <c r="BA312" i="18" a="1"/>
  <c r="BA312" i="18" s="1"/>
  <c r="BB312" i="18" s="1"/>
  <c r="AK312" i="18" a="1"/>
  <c r="AK312" i="18" s="1"/>
  <c r="BC328" i="18" a="1"/>
  <c r="BC328" i="18" s="1"/>
  <c r="AY328" i="18" a="1"/>
  <c r="AY328" i="18" s="1"/>
  <c r="AU328" i="18" a="1"/>
  <c r="AU328" i="18" s="1"/>
  <c r="AQ328" i="18" a="1"/>
  <c r="AQ328" i="18" s="1"/>
  <c r="AM328" i="18" a="1"/>
  <c r="AM328" i="18" s="1"/>
  <c r="AI328" i="18" a="1"/>
  <c r="AI328" i="18" s="1"/>
  <c r="AE328" i="18" a="1"/>
  <c r="AE328" i="18" s="1"/>
  <c r="AB328" i="18" a="1"/>
  <c r="AB328" i="18" s="1"/>
  <c r="AA328" i="18" a="1"/>
  <c r="AA328" i="18" s="1"/>
  <c r="Z328" i="18" a="1"/>
  <c r="Z328" i="18" s="1"/>
  <c r="Y328" i="18" a="1"/>
  <c r="Y328" i="18" s="1"/>
  <c r="X328" i="18" a="1"/>
  <c r="X328" i="18" s="1"/>
  <c r="W328" i="18" a="1"/>
  <c r="W328" i="18" s="1"/>
  <c r="V328" i="18" a="1"/>
  <c r="V328" i="18" s="1"/>
  <c r="U328" i="18" a="1"/>
  <c r="U328" i="18" s="1"/>
  <c r="T328" i="18" a="1"/>
  <c r="T328" i="18" s="1"/>
  <c r="S328" i="18" a="1"/>
  <c r="S328" i="18" s="1"/>
  <c r="R328" i="18" a="1"/>
  <c r="R328" i="18" s="1"/>
  <c r="Q328" i="18" a="1"/>
  <c r="Q328" i="18" s="1"/>
  <c r="P328" i="18" a="1"/>
  <c r="P328" i="18" s="1"/>
  <c r="O328" i="18" a="1"/>
  <c r="O328" i="18" s="1"/>
  <c r="N328" i="18" a="1"/>
  <c r="N328" i="18" s="1"/>
  <c r="M328" i="18" a="1"/>
  <c r="M328" i="18" s="1"/>
  <c r="L328" i="18" a="1"/>
  <c r="L328" i="18" s="1"/>
  <c r="K328" i="18" a="1"/>
  <c r="K328" i="18" s="1"/>
  <c r="J328" i="18" a="1"/>
  <c r="J328" i="18" s="1"/>
  <c r="I328" i="18" a="1"/>
  <c r="I328" i="18" s="1"/>
  <c r="H328" i="18" a="1"/>
  <c r="H328" i="18" s="1"/>
  <c r="G328" i="18" a="1"/>
  <c r="G328" i="18" s="1"/>
  <c r="D328" i="18"/>
  <c r="AW328" i="18" a="1"/>
  <c r="AW328" i="18" s="1"/>
  <c r="AO328" i="18" a="1"/>
  <c r="AO328" i="18" s="1"/>
  <c r="AG328" i="18" a="1"/>
  <c r="AG328" i="18" s="1"/>
  <c r="AH328" i="18" s="1"/>
  <c r="AS328" i="18" a="1"/>
  <c r="AS328" i="18" s="1"/>
  <c r="BA328" i="18" a="1"/>
  <c r="BA328" i="18" s="1"/>
  <c r="AK328" i="18" a="1"/>
  <c r="AK328" i="18" s="1"/>
  <c r="BA201" i="18" a="1"/>
  <c r="BA201" i="18" s="1"/>
  <c r="AW201" i="18" a="1"/>
  <c r="AW201" i="18" s="1"/>
  <c r="AS201" i="18" a="1"/>
  <c r="AS201" i="18" s="1"/>
  <c r="AO201" i="18" a="1"/>
  <c r="AO201" i="18" s="1"/>
  <c r="AK201" i="18" a="1"/>
  <c r="AK201" i="18" s="1"/>
  <c r="AG201" i="18" a="1"/>
  <c r="AG201" i="18" s="1"/>
  <c r="AY201" i="18" a="1"/>
  <c r="AY201" i="18" s="1"/>
  <c r="AQ201" i="18" a="1"/>
  <c r="AQ201" i="18" s="1"/>
  <c r="AI201" i="18" a="1"/>
  <c r="AI201" i="18" s="1"/>
  <c r="AA201" i="18" a="1"/>
  <c r="AA201" i="18" s="1"/>
  <c r="Y201" i="18" a="1"/>
  <c r="Y201" i="18" s="1"/>
  <c r="W201" i="18" a="1"/>
  <c r="W201" i="18" s="1"/>
  <c r="U201" i="18" a="1"/>
  <c r="U201" i="18" s="1"/>
  <c r="S201" i="18" a="1"/>
  <c r="S201" i="18" s="1"/>
  <c r="Q201" i="18" a="1"/>
  <c r="Q201" i="18" s="1"/>
  <c r="O201" i="18" a="1"/>
  <c r="O201" i="18" s="1"/>
  <c r="M201" i="18" a="1"/>
  <c r="M201" i="18" s="1"/>
  <c r="K201" i="18" a="1"/>
  <c r="K201" i="18" s="1"/>
  <c r="I201" i="18" a="1"/>
  <c r="I201" i="18" s="1"/>
  <c r="G201" i="18" a="1"/>
  <c r="G201" i="18" s="1"/>
  <c r="BC201" i="18" a="1"/>
  <c r="BC201" i="18" s="1"/>
  <c r="AU201" i="18" a="1"/>
  <c r="AU201" i="18" s="1"/>
  <c r="AM201" i="18" a="1"/>
  <c r="AM201" i="18" s="1"/>
  <c r="AE201" i="18" a="1"/>
  <c r="AE201" i="18" s="1"/>
  <c r="AB201" i="18" a="1"/>
  <c r="AB201" i="18" s="1"/>
  <c r="Z201" i="18" a="1"/>
  <c r="Z201" i="18" s="1"/>
  <c r="X201" i="18" a="1"/>
  <c r="X201" i="18" s="1"/>
  <c r="V201" i="18" a="1"/>
  <c r="V201" i="18" s="1"/>
  <c r="T201" i="18" a="1"/>
  <c r="T201" i="18" s="1"/>
  <c r="R201" i="18" a="1"/>
  <c r="R201" i="18" s="1"/>
  <c r="P201" i="18" a="1"/>
  <c r="P201" i="18" s="1"/>
  <c r="N201" i="18" a="1"/>
  <c r="N201" i="18" s="1"/>
  <c r="L201" i="18" a="1"/>
  <c r="L201" i="18" s="1"/>
  <c r="J201" i="18" a="1"/>
  <c r="J201" i="18" s="1"/>
  <c r="H201" i="18" a="1"/>
  <c r="H201" i="18" s="1"/>
  <c r="D201" i="18"/>
  <c r="BA205" i="18" a="1"/>
  <c r="BA205" i="18" s="1"/>
  <c r="AW205" i="18" a="1"/>
  <c r="AW205" i="18" s="1"/>
  <c r="AS205" i="18" a="1"/>
  <c r="AS205" i="18" s="1"/>
  <c r="AO205" i="18" a="1"/>
  <c r="AO205" i="18" s="1"/>
  <c r="AK205" i="18" a="1"/>
  <c r="AK205" i="18" s="1"/>
  <c r="AG205" i="18" a="1"/>
  <c r="AG205" i="18" s="1"/>
  <c r="AY205" i="18" a="1"/>
  <c r="AY205" i="18" s="1"/>
  <c r="AQ205" i="18" a="1"/>
  <c r="AQ205" i="18" s="1"/>
  <c r="AI205" i="18" a="1"/>
  <c r="AI205" i="18" s="1"/>
  <c r="AA205" i="18" a="1"/>
  <c r="AA205" i="18" s="1"/>
  <c r="Y205" i="18" a="1"/>
  <c r="Y205" i="18" s="1"/>
  <c r="W205" i="18" a="1"/>
  <c r="W205" i="18" s="1"/>
  <c r="U205" i="18" a="1"/>
  <c r="U205" i="18" s="1"/>
  <c r="S205" i="18" a="1"/>
  <c r="S205" i="18" s="1"/>
  <c r="Q205" i="18" a="1"/>
  <c r="Q205" i="18" s="1"/>
  <c r="O205" i="18" a="1"/>
  <c r="O205" i="18" s="1"/>
  <c r="M205" i="18" a="1"/>
  <c r="M205" i="18" s="1"/>
  <c r="K205" i="18" a="1"/>
  <c r="K205" i="18" s="1"/>
  <c r="I205" i="18" a="1"/>
  <c r="I205" i="18" s="1"/>
  <c r="G205" i="18" a="1"/>
  <c r="G205" i="18" s="1"/>
  <c r="BC205" i="18" a="1"/>
  <c r="BC205" i="18" s="1"/>
  <c r="AU205" i="18" a="1"/>
  <c r="AU205" i="18" s="1"/>
  <c r="AM205" i="18" a="1"/>
  <c r="AM205" i="18" s="1"/>
  <c r="AE205" i="18" a="1"/>
  <c r="AE205" i="18" s="1"/>
  <c r="AB205" i="18" a="1"/>
  <c r="AB205" i="18" s="1"/>
  <c r="Z205" i="18" a="1"/>
  <c r="Z205" i="18" s="1"/>
  <c r="X205" i="18" a="1"/>
  <c r="X205" i="18" s="1"/>
  <c r="V205" i="18" a="1"/>
  <c r="V205" i="18" s="1"/>
  <c r="T205" i="18" a="1"/>
  <c r="T205" i="18" s="1"/>
  <c r="R205" i="18" a="1"/>
  <c r="R205" i="18" s="1"/>
  <c r="P205" i="18" a="1"/>
  <c r="P205" i="18" s="1"/>
  <c r="N205" i="18" a="1"/>
  <c r="N205" i="18" s="1"/>
  <c r="L205" i="18" a="1"/>
  <c r="L205" i="18" s="1"/>
  <c r="J205" i="18" a="1"/>
  <c r="J205" i="18" s="1"/>
  <c r="H205" i="18" a="1"/>
  <c r="H205" i="18" s="1"/>
  <c r="D205" i="18"/>
  <c r="BA209" i="18" a="1"/>
  <c r="BA209" i="18" s="1"/>
  <c r="AW209" i="18" a="1"/>
  <c r="AW209" i="18" s="1"/>
  <c r="AS209" i="18" a="1"/>
  <c r="AS209" i="18" s="1"/>
  <c r="AO209" i="18" a="1"/>
  <c r="AO209" i="18" s="1"/>
  <c r="AK209" i="18" a="1"/>
  <c r="AK209" i="18" s="1"/>
  <c r="AG209" i="18" a="1"/>
  <c r="AG209" i="18" s="1"/>
  <c r="AY209" i="18" a="1"/>
  <c r="AY209" i="18" s="1"/>
  <c r="AQ209" i="18" a="1"/>
  <c r="AQ209" i="18" s="1"/>
  <c r="AI209" i="18" a="1"/>
  <c r="AI209" i="18" s="1"/>
  <c r="AA209" i="18" a="1"/>
  <c r="AA209" i="18" s="1"/>
  <c r="Y209" i="18" a="1"/>
  <c r="Y209" i="18" s="1"/>
  <c r="W209" i="18" a="1"/>
  <c r="W209" i="18" s="1"/>
  <c r="U209" i="18" a="1"/>
  <c r="U209" i="18" s="1"/>
  <c r="S209" i="18" a="1"/>
  <c r="S209" i="18" s="1"/>
  <c r="Q209" i="18" a="1"/>
  <c r="Q209" i="18" s="1"/>
  <c r="O209" i="18" a="1"/>
  <c r="O209" i="18" s="1"/>
  <c r="M209" i="18" a="1"/>
  <c r="M209" i="18" s="1"/>
  <c r="K209" i="18" a="1"/>
  <c r="K209" i="18" s="1"/>
  <c r="I209" i="18" a="1"/>
  <c r="I209" i="18" s="1"/>
  <c r="G209" i="18" a="1"/>
  <c r="G209" i="18" s="1"/>
  <c r="BC209" i="18" a="1"/>
  <c r="BC209" i="18" s="1"/>
  <c r="AU209" i="18" a="1"/>
  <c r="AU209" i="18" s="1"/>
  <c r="AM209" i="18" a="1"/>
  <c r="AM209" i="18" s="1"/>
  <c r="AE209" i="18" a="1"/>
  <c r="AE209" i="18" s="1"/>
  <c r="AB209" i="18" a="1"/>
  <c r="AB209" i="18" s="1"/>
  <c r="Z209" i="18" a="1"/>
  <c r="Z209" i="18" s="1"/>
  <c r="X209" i="18" a="1"/>
  <c r="X209" i="18" s="1"/>
  <c r="V209" i="18" a="1"/>
  <c r="V209" i="18" s="1"/>
  <c r="T209" i="18" a="1"/>
  <c r="T209" i="18" s="1"/>
  <c r="R209" i="18" a="1"/>
  <c r="R209" i="18" s="1"/>
  <c r="P209" i="18" a="1"/>
  <c r="P209" i="18" s="1"/>
  <c r="N209" i="18" a="1"/>
  <c r="N209" i="18" s="1"/>
  <c r="L209" i="18" a="1"/>
  <c r="L209" i="18" s="1"/>
  <c r="J209" i="18" a="1"/>
  <c r="J209" i="18" s="1"/>
  <c r="H209" i="18" a="1"/>
  <c r="H209" i="18" s="1"/>
  <c r="D209" i="18"/>
  <c r="BA213" i="18" a="1"/>
  <c r="BA213" i="18" s="1"/>
  <c r="AW213" i="18" a="1"/>
  <c r="AW213" i="18" s="1"/>
  <c r="AS213" i="18" a="1"/>
  <c r="AS213" i="18" s="1"/>
  <c r="AO213" i="18" a="1"/>
  <c r="AO213" i="18" s="1"/>
  <c r="AK213" i="18" a="1"/>
  <c r="AK213" i="18" s="1"/>
  <c r="AG213" i="18" a="1"/>
  <c r="AG213" i="18" s="1"/>
  <c r="AY213" i="18" a="1"/>
  <c r="AY213" i="18" s="1"/>
  <c r="AQ213" i="18" a="1"/>
  <c r="AQ213" i="18" s="1"/>
  <c r="AI213" i="18" a="1"/>
  <c r="AI213" i="18" s="1"/>
  <c r="AA213" i="18" a="1"/>
  <c r="AA213" i="18" s="1"/>
  <c r="Y213" i="18" a="1"/>
  <c r="Y213" i="18" s="1"/>
  <c r="W213" i="18" a="1"/>
  <c r="W213" i="18" s="1"/>
  <c r="U213" i="18" a="1"/>
  <c r="U213" i="18" s="1"/>
  <c r="S213" i="18" a="1"/>
  <c r="S213" i="18" s="1"/>
  <c r="Q213" i="18" a="1"/>
  <c r="Q213" i="18" s="1"/>
  <c r="O213" i="18" a="1"/>
  <c r="O213" i="18" s="1"/>
  <c r="M213" i="18" a="1"/>
  <c r="M213" i="18" s="1"/>
  <c r="K213" i="18" a="1"/>
  <c r="K213" i="18" s="1"/>
  <c r="I213" i="18" a="1"/>
  <c r="I213" i="18" s="1"/>
  <c r="G213" i="18" a="1"/>
  <c r="G213" i="18" s="1"/>
  <c r="BC213" i="18" a="1"/>
  <c r="BC213" i="18" s="1"/>
  <c r="AU213" i="18" a="1"/>
  <c r="AU213" i="18" s="1"/>
  <c r="AM213" i="18" a="1"/>
  <c r="AM213" i="18" s="1"/>
  <c r="AE213" i="18" a="1"/>
  <c r="AE213" i="18" s="1"/>
  <c r="AB213" i="18" a="1"/>
  <c r="AB213" i="18" s="1"/>
  <c r="Z213" i="18" a="1"/>
  <c r="Z213" i="18" s="1"/>
  <c r="X213" i="18" a="1"/>
  <c r="X213" i="18" s="1"/>
  <c r="V213" i="18" a="1"/>
  <c r="V213" i="18" s="1"/>
  <c r="T213" i="18" a="1"/>
  <c r="T213" i="18" s="1"/>
  <c r="R213" i="18" a="1"/>
  <c r="R213" i="18" s="1"/>
  <c r="P213" i="18" a="1"/>
  <c r="P213" i="18" s="1"/>
  <c r="N213" i="18" a="1"/>
  <c r="N213" i="18" s="1"/>
  <c r="L213" i="18" a="1"/>
  <c r="L213" i="18" s="1"/>
  <c r="J213" i="18" a="1"/>
  <c r="J213" i="18" s="1"/>
  <c r="H213" i="18" a="1"/>
  <c r="H213" i="18" s="1"/>
  <c r="D213" i="18"/>
  <c r="BA217" i="18" a="1"/>
  <c r="BA217" i="18" s="1"/>
  <c r="AW217" i="18" a="1"/>
  <c r="AW217" i="18" s="1"/>
  <c r="AS217" i="18" a="1"/>
  <c r="AS217" i="18" s="1"/>
  <c r="AO217" i="18" a="1"/>
  <c r="AO217" i="18" s="1"/>
  <c r="AK217" i="18" a="1"/>
  <c r="AK217" i="18" s="1"/>
  <c r="AG217" i="18" a="1"/>
  <c r="AG217" i="18" s="1"/>
  <c r="AY217" i="18" a="1"/>
  <c r="AY217" i="18" s="1"/>
  <c r="AQ217" i="18" a="1"/>
  <c r="AQ217" i="18" s="1"/>
  <c r="AI217" i="18" a="1"/>
  <c r="AI217" i="18" s="1"/>
  <c r="AA217" i="18" a="1"/>
  <c r="AA217" i="18" s="1"/>
  <c r="Y217" i="18" a="1"/>
  <c r="Y217" i="18" s="1"/>
  <c r="W217" i="18" a="1"/>
  <c r="W217" i="18" s="1"/>
  <c r="U217" i="18" a="1"/>
  <c r="U217" i="18" s="1"/>
  <c r="S217" i="18" a="1"/>
  <c r="S217" i="18" s="1"/>
  <c r="Q217" i="18" a="1"/>
  <c r="Q217" i="18" s="1"/>
  <c r="O217" i="18" a="1"/>
  <c r="O217" i="18" s="1"/>
  <c r="M217" i="18" a="1"/>
  <c r="M217" i="18" s="1"/>
  <c r="K217" i="18" a="1"/>
  <c r="K217" i="18" s="1"/>
  <c r="I217" i="18" a="1"/>
  <c r="I217" i="18" s="1"/>
  <c r="G217" i="18" a="1"/>
  <c r="G217" i="18" s="1"/>
  <c r="BC217" i="18" a="1"/>
  <c r="BC217" i="18" s="1"/>
  <c r="AU217" i="18" a="1"/>
  <c r="AU217" i="18" s="1"/>
  <c r="AM217" i="18" a="1"/>
  <c r="AM217" i="18" s="1"/>
  <c r="AE217" i="18" a="1"/>
  <c r="AE217" i="18" s="1"/>
  <c r="AB217" i="18" a="1"/>
  <c r="AB217" i="18" s="1"/>
  <c r="Z217" i="18" a="1"/>
  <c r="Z217" i="18" s="1"/>
  <c r="X217" i="18" a="1"/>
  <c r="X217" i="18" s="1"/>
  <c r="V217" i="18" a="1"/>
  <c r="V217" i="18" s="1"/>
  <c r="T217" i="18" a="1"/>
  <c r="T217" i="18" s="1"/>
  <c r="R217" i="18" a="1"/>
  <c r="R217" i="18" s="1"/>
  <c r="P217" i="18" a="1"/>
  <c r="P217" i="18" s="1"/>
  <c r="N217" i="18" a="1"/>
  <c r="N217" i="18" s="1"/>
  <c r="L217" i="18" a="1"/>
  <c r="L217" i="18" s="1"/>
  <c r="J217" i="18" a="1"/>
  <c r="J217" i="18" s="1"/>
  <c r="H217" i="18" a="1"/>
  <c r="H217" i="18" s="1"/>
  <c r="D217" i="18"/>
  <c r="BA221" i="18" a="1"/>
  <c r="BA221" i="18" s="1"/>
  <c r="AW221" i="18" a="1"/>
  <c r="AW221" i="18" s="1"/>
  <c r="AS221" i="18" a="1"/>
  <c r="AS221" i="18" s="1"/>
  <c r="AO221" i="18" a="1"/>
  <c r="AO221" i="18" s="1"/>
  <c r="AK221" i="18" a="1"/>
  <c r="AK221" i="18" s="1"/>
  <c r="AG221" i="18" a="1"/>
  <c r="AG221" i="18" s="1"/>
  <c r="AY221" i="18" a="1"/>
  <c r="AY221" i="18" s="1"/>
  <c r="AQ221" i="18" a="1"/>
  <c r="AQ221" i="18" s="1"/>
  <c r="AI221" i="18" a="1"/>
  <c r="AI221" i="18" s="1"/>
  <c r="AA221" i="18" a="1"/>
  <c r="AA221" i="18" s="1"/>
  <c r="Y221" i="18" a="1"/>
  <c r="Y221" i="18" s="1"/>
  <c r="W221" i="18" a="1"/>
  <c r="W221" i="18" s="1"/>
  <c r="U221" i="18" a="1"/>
  <c r="U221" i="18" s="1"/>
  <c r="S221" i="18" a="1"/>
  <c r="S221" i="18" s="1"/>
  <c r="Q221" i="18" a="1"/>
  <c r="Q221" i="18" s="1"/>
  <c r="O221" i="18" a="1"/>
  <c r="O221" i="18" s="1"/>
  <c r="M221" i="18" a="1"/>
  <c r="M221" i="18" s="1"/>
  <c r="K221" i="18" a="1"/>
  <c r="K221" i="18" s="1"/>
  <c r="I221" i="18" a="1"/>
  <c r="I221" i="18" s="1"/>
  <c r="G221" i="18" a="1"/>
  <c r="G221" i="18" s="1"/>
  <c r="BC221" i="18" a="1"/>
  <c r="BC221" i="18" s="1"/>
  <c r="AU221" i="18" a="1"/>
  <c r="AU221" i="18" s="1"/>
  <c r="AM221" i="18" a="1"/>
  <c r="AM221" i="18" s="1"/>
  <c r="AE221" i="18" a="1"/>
  <c r="AE221" i="18" s="1"/>
  <c r="AB221" i="18" a="1"/>
  <c r="AB221" i="18" s="1"/>
  <c r="Z221" i="18" a="1"/>
  <c r="Z221" i="18" s="1"/>
  <c r="X221" i="18" a="1"/>
  <c r="X221" i="18" s="1"/>
  <c r="V221" i="18" a="1"/>
  <c r="V221" i="18" s="1"/>
  <c r="T221" i="18" a="1"/>
  <c r="T221" i="18" s="1"/>
  <c r="R221" i="18" a="1"/>
  <c r="R221" i="18" s="1"/>
  <c r="P221" i="18" a="1"/>
  <c r="P221" i="18" s="1"/>
  <c r="N221" i="18" a="1"/>
  <c r="N221" i="18" s="1"/>
  <c r="L221" i="18" a="1"/>
  <c r="L221" i="18" s="1"/>
  <c r="J221" i="18" a="1"/>
  <c r="J221" i="18" s="1"/>
  <c r="H221" i="18" a="1"/>
  <c r="H221" i="18" s="1"/>
  <c r="D221" i="18"/>
  <c r="BA225" i="18" a="1"/>
  <c r="BA225" i="18" s="1"/>
  <c r="AW225" i="18" a="1"/>
  <c r="AW225" i="18" s="1"/>
  <c r="AS225" i="18" a="1"/>
  <c r="AS225" i="18" s="1"/>
  <c r="AO225" i="18" a="1"/>
  <c r="AO225" i="18" s="1"/>
  <c r="AK225" i="18" a="1"/>
  <c r="AK225" i="18" s="1"/>
  <c r="AG225" i="18" a="1"/>
  <c r="AG225" i="18" s="1"/>
  <c r="AY225" i="18" a="1"/>
  <c r="AY225" i="18" s="1"/>
  <c r="AQ225" i="18" a="1"/>
  <c r="AQ225" i="18" s="1"/>
  <c r="AI225" i="18" a="1"/>
  <c r="AI225" i="18" s="1"/>
  <c r="AA225" i="18" a="1"/>
  <c r="AA225" i="18" s="1"/>
  <c r="Y225" i="18" a="1"/>
  <c r="Y225" i="18" s="1"/>
  <c r="W225" i="18" a="1"/>
  <c r="W225" i="18" s="1"/>
  <c r="U225" i="18" a="1"/>
  <c r="U225" i="18" s="1"/>
  <c r="S225" i="18" a="1"/>
  <c r="S225" i="18" s="1"/>
  <c r="Q225" i="18" a="1"/>
  <c r="Q225" i="18" s="1"/>
  <c r="O225" i="18" a="1"/>
  <c r="O225" i="18" s="1"/>
  <c r="M225" i="18" a="1"/>
  <c r="M225" i="18" s="1"/>
  <c r="K225" i="18" a="1"/>
  <c r="K225" i="18" s="1"/>
  <c r="I225" i="18" a="1"/>
  <c r="I225" i="18" s="1"/>
  <c r="G225" i="18" a="1"/>
  <c r="G225" i="18" s="1"/>
  <c r="BC225" i="18" a="1"/>
  <c r="BC225" i="18" s="1"/>
  <c r="AU225" i="18" a="1"/>
  <c r="AU225" i="18" s="1"/>
  <c r="AM225" i="18" a="1"/>
  <c r="AM225" i="18" s="1"/>
  <c r="AE225" i="18" a="1"/>
  <c r="AE225" i="18" s="1"/>
  <c r="AB225" i="18" a="1"/>
  <c r="AB225" i="18" s="1"/>
  <c r="Z225" i="18" a="1"/>
  <c r="Z225" i="18" s="1"/>
  <c r="X225" i="18" a="1"/>
  <c r="X225" i="18" s="1"/>
  <c r="V225" i="18" a="1"/>
  <c r="V225" i="18" s="1"/>
  <c r="T225" i="18" a="1"/>
  <c r="T225" i="18" s="1"/>
  <c r="R225" i="18" a="1"/>
  <c r="R225" i="18" s="1"/>
  <c r="P225" i="18" a="1"/>
  <c r="P225" i="18" s="1"/>
  <c r="N225" i="18" a="1"/>
  <c r="N225" i="18" s="1"/>
  <c r="L225" i="18" a="1"/>
  <c r="L225" i="18" s="1"/>
  <c r="J225" i="18" a="1"/>
  <c r="J225" i="18" s="1"/>
  <c r="H225" i="18" a="1"/>
  <c r="H225" i="18" s="1"/>
  <c r="D225" i="18"/>
  <c r="BA229" i="18" a="1"/>
  <c r="BA229" i="18" s="1"/>
  <c r="AW229" i="18" a="1"/>
  <c r="AW229" i="18" s="1"/>
  <c r="AS229" i="18" a="1"/>
  <c r="AS229" i="18" s="1"/>
  <c r="AO229" i="18" a="1"/>
  <c r="AO229" i="18" s="1"/>
  <c r="AK229" i="18" a="1"/>
  <c r="AK229" i="18" s="1"/>
  <c r="AG229" i="18" a="1"/>
  <c r="AG229" i="18" s="1"/>
  <c r="AY229" i="18" a="1"/>
  <c r="AY229" i="18" s="1"/>
  <c r="AQ229" i="18" a="1"/>
  <c r="AQ229" i="18" s="1"/>
  <c r="AI229" i="18" a="1"/>
  <c r="AI229" i="18" s="1"/>
  <c r="AA229" i="18" a="1"/>
  <c r="AA229" i="18" s="1"/>
  <c r="Y229" i="18" a="1"/>
  <c r="Y229" i="18" s="1"/>
  <c r="W229" i="18" a="1"/>
  <c r="W229" i="18" s="1"/>
  <c r="U229" i="18" a="1"/>
  <c r="U229" i="18" s="1"/>
  <c r="S229" i="18" a="1"/>
  <c r="S229" i="18" s="1"/>
  <c r="Q229" i="18" a="1"/>
  <c r="Q229" i="18" s="1"/>
  <c r="O229" i="18" a="1"/>
  <c r="O229" i="18" s="1"/>
  <c r="M229" i="18" a="1"/>
  <c r="M229" i="18" s="1"/>
  <c r="K229" i="18" a="1"/>
  <c r="K229" i="18" s="1"/>
  <c r="I229" i="18" a="1"/>
  <c r="I229" i="18" s="1"/>
  <c r="G229" i="18" a="1"/>
  <c r="G229" i="18" s="1"/>
  <c r="BC229" i="18" a="1"/>
  <c r="BC229" i="18" s="1"/>
  <c r="AU229" i="18" a="1"/>
  <c r="AU229" i="18" s="1"/>
  <c r="AM229" i="18" a="1"/>
  <c r="AM229" i="18" s="1"/>
  <c r="AE229" i="18" a="1"/>
  <c r="AE229" i="18" s="1"/>
  <c r="AB229" i="18" a="1"/>
  <c r="AB229" i="18" s="1"/>
  <c r="Z229" i="18" a="1"/>
  <c r="Z229" i="18" s="1"/>
  <c r="X229" i="18" a="1"/>
  <c r="X229" i="18" s="1"/>
  <c r="V229" i="18" a="1"/>
  <c r="V229" i="18" s="1"/>
  <c r="T229" i="18" a="1"/>
  <c r="T229" i="18" s="1"/>
  <c r="R229" i="18" a="1"/>
  <c r="R229" i="18" s="1"/>
  <c r="P229" i="18" a="1"/>
  <c r="P229" i="18" s="1"/>
  <c r="N229" i="18" a="1"/>
  <c r="N229" i="18" s="1"/>
  <c r="L229" i="18" a="1"/>
  <c r="L229" i="18" s="1"/>
  <c r="J229" i="18" a="1"/>
  <c r="J229" i="18" s="1"/>
  <c r="H229" i="18" a="1"/>
  <c r="H229" i="18" s="1"/>
  <c r="D229" i="18"/>
  <c r="BA233" i="18" a="1"/>
  <c r="BA233" i="18" s="1"/>
  <c r="AW233" i="18" a="1"/>
  <c r="AW233" i="18" s="1"/>
  <c r="AS233" i="18" a="1"/>
  <c r="AS233" i="18" s="1"/>
  <c r="AO233" i="18" a="1"/>
  <c r="AO233" i="18" s="1"/>
  <c r="AK233" i="18" a="1"/>
  <c r="AK233" i="18" s="1"/>
  <c r="AG233" i="18" a="1"/>
  <c r="AG233" i="18" s="1"/>
  <c r="AY233" i="18" a="1"/>
  <c r="AY233" i="18" s="1"/>
  <c r="AQ233" i="18" a="1"/>
  <c r="AQ233" i="18" s="1"/>
  <c r="AI233" i="18" a="1"/>
  <c r="AI233" i="18" s="1"/>
  <c r="AA233" i="18" a="1"/>
  <c r="AA233" i="18" s="1"/>
  <c r="Y233" i="18" a="1"/>
  <c r="Y233" i="18" s="1"/>
  <c r="W233" i="18" a="1"/>
  <c r="W233" i="18" s="1"/>
  <c r="U233" i="18" a="1"/>
  <c r="U233" i="18" s="1"/>
  <c r="S233" i="18" a="1"/>
  <c r="S233" i="18" s="1"/>
  <c r="Q233" i="18" a="1"/>
  <c r="Q233" i="18" s="1"/>
  <c r="O233" i="18" a="1"/>
  <c r="O233" i="18" s="1"/>
  <c r="M233" i="18" a="1"/>
  <c r="M233" i="18" s="1"/>
  <c r="K233" i="18" a="1"/>
  <c r="K233" i="18" s="1"/>
  <c r="I233" i="18" a="1"/>
  <c r="I233" i="18" s="1"/>
  <c r="G233" i="18" a="1"/>
  <c r="G233" i="18" s="1"/>
  <c r="BC233" i="18" a="1"/>
  <c r="BC233" i="18" s="1"/>
  <c r="AU233" i="18" a="1"/>
  <c r="AU233" i="18" s="1"/>
  <c r="AM233" i="18" a="1"/>
  <c r="AM233" i="18" s="1"/>
  <c r="AE233" i="18" a="1"/>
  <c r="AE233" i="18" s="1"/>
  <c r="AB233" i="18" a="1"/>
  <c r="AB233" i="18" s="1"/>
  <c r="Z233" i="18" a="1"/>
  <c r="Z233" i="18" s="1"/>
  <c r="X233" i="18" a="1"/>
  <c r="X233" i="18" s="1"/>
  <c r="V233" i="18" a="1"/>
  <c r="V233" i="18" s="1"/>
  <c r="T233" i="18" a="1"/>
  <c r="T233" i="18" s="1"/>
  <c r="R233" i="18" a="1"/>
  <c r="R233" i="18" s="1"/>
  <c r="P233" i="18" a="1"/>
  <c r="P233" i="18" s="1"/>
  <c r="N233" i="18" a="1"/>
  <c r="N233" i="18" s="1"/>
  <c r="L233" i="18" a="1"/>
  <c r="L233" i="18" s="1"/>
  <c r="J233" i="18" a="1"/>
  <c r="J233" i="18" s="1"/>
  <c r="H233" i="18" a="1"/>
  <c r="H233" i="18" s="1"/>
  <c r="D233" i="18"/>
  <c r="BA237" i="18" a="1"/>
  <c r="BA237" i="18" s="1"/>
  <c r="AW237" i="18" a="1"/>
  <c r="AW237" i="18" s="1"/>
  <c r="AS237" i="18" a="1"/>
  <c r="AS237" i="18" s="1"/>
  <c r="AO237" i="18" a="1"/>
  <c r="AO237" i="18" s="1"/>
  <c r="AK237" i="18" a="1"/>
  <c r="AK237" i="18" s="1"/>
  <c r="AG237" i="18" a="1"/>
  <c r="AG237" i="18" s="1"/>
  <c r="AY237" i="18" a="1"/>
  <c r="AY237" i="18" s="1"/>
  <c r="AQ237" i="18" a="1"/>
  <c r="AQ237" i="18" s="1"/>
  <c r="AI237" i="18" a="1"/>
  <c r="AI237" i="18" s="1"/>
  <c r="AA237" i="18" a="1"/>
  <c r="AA237" i="18" s="1"/>
  <c r="Y237" i="18" a="1"/>
  <c r="Y237" i="18" s="1"/>
  <c r="W237" i="18" a="1"/>
  <c r="W237" i="18" s="1"/>
  <c r="U237" i="18" a="1"/>
  <c r="U237" i="18" s="1"/>
  <c r="S237" i="18" a="1"/>
  <c r="S237" i="18" s="1"/>
  <c r="Q237" i="18" a="1"/>
  <c r="Q237" i="18" s="1"/>
  <c r="O237" i="18" a="1"/>
  <c r="O237" i="18" s="1"/>
  <c r="M237" i="18" a="1"/>
  <c r="M237" i="18" s="1"/>
  <c r="K237" i="18" a="1"/>
  <c r="K237" i="18" s="1"/>
  <c r="I237" i="18" a="1"/>
  <c r="I237" i="18" s="1"/>
  <c r="G237" i="18" a="1"/>
  <c r="G237" i="18" s="1"/>
  <c r="BC237" i="18" a="1"/>
  <c r="BC237" i="18" s="1"/>
  <c r="AU237" i="18" a="1"/>
  <c r="AU237" i="18" s="1"/>
  <c r="AM237" i="18" a="1"/>
  <c r="AM237" i="18" s="1"/>
  <c r="AE237" i="18" a="1"/>
  <c r="AE237" i="18" s="1"/>
  <c r="AB237" i="18" a="1"/>
  <c r="AB237" i="18" s="1"/>
  <c r="Z237" i="18" a="1"/>
  <c r="Z237" i="18" s="1"/>
  <c r="X237" i="18" a="1"/>
  <c r="X237" i="18" s="1"/>
  <c r="V237" i="18" a="1"/>
  <c r="V237" i="18" s="1"/>
  <c r="T237" i="18" a="1"/>
  <c r="T237" i="18" s="1"/>
  <c r="R237" i="18" a="1"/>
  <c r="R237" i="18" s="1"/>
  <c r="P237" i="18" a="1"/>
  <c r="P237" i="18" s="1"/>
  <c r="N237" i="18" a="1"/>
  <c r="N237" i="18" s="1"/>
  <c r="L237" i="18" a="1"/>
  <c r="L237" i="18" s="1"/>
  <c r="J237" i="18" a="1"/>
  <c r="J237" i="18" s="1"/>
  <c r="H237" i="18" a="1"/>
  <c r="H237" i="18" s="1"/>
  <c r="D237" i="18"/>
  <c r="BA241" i="18" a="1"/>
  <c r="BA241" i="18" s="1"/>
  <c r="AW241" i="18" a="1"/>
  <c r="AW241" i="18" s="1"/>
  <c r="AS241" i="18" a="1"/>
  <c r="AS241" i="18" s="1"/>
  <c r="AO241" i="18" a="1"/>
  <c r="AO241" i="18" s="1"/>
  <c r="AK241" i="18" a="1"/>
  <c r="AK241" i="18" s="1"/>
  <c r="AG241" i="18" a="1"/>
  <c r="AG241" i="18" s="1"/>
  <c r="AY241" i="18" a="1"/>
  <c r="AY241" i="18" s="1"/>
  <c r="AQ241" i="18" a="1"/>
  <c r="AQ241" i="18" s="1"/>
  <c r="AI241" i="18" a="1"/>
  <c r="AI241" i="18" s="1"/>
  <c r="AA241" i="18" a="1"/>
  <c r="AA241" i="18" s="1"/>
  <c r="Y241" i="18" a="1"/>
  <c r="Y241" i="18" s="1"/>
  <c r="W241" i="18" a="1"/>
  <c r="W241" i="18" s="1"/>
  <c r="U241" i="18" a="1"/>
  <c r="U241" i="18" s="1"/>
  <c r="S241" i="18" a="1"/>
  <c r="S241" i="18" s="1"/>
  <c r="Q241" i="18" a="1"/>
  <c r="Q241" i="18" s="1"/>
  <c r="O241" i="18" a="1"/>
  <c r="O241" i="18" s="1"/>
  <c r="M241" i="18" a="1"/>
  <c r="M241" i="18" s="1"/>
  <c r="K241" i="18" a="1"/>
  <c r="K241" i="18" s="1"/>
  <c r="I241" i="18" a="1"/>
  <c r="I241" i="18" s="1"/>
  <c r="G241" i="18" a="1"/>
  <c r="G241" i="18" s="1"/>
  <c r="BC241" i="18" a="1"/>
  <c r="BC241" i="18" s="1"/>
  <c r="AU241" i="18" a="1"/>
  <c r="AU241" i="18" s="1"/>
  <c r="AM241" i="18" a="1"/>
  <c r="AM241" i="18" s="1"/>
  <c r="AE241" i="18" a="1"/>
  <c r="AE241" i="18" s="1"/>
  <c r="AB241" i="18" a="1"/>
  <c r="AB241" i="18" s="1"/>
  <c r="Z241" i="18" a="1"/>
  <c r="Z241" i="18" s="1"/>
  <c r="X241" i="18" a="1"/>
  <c r="X241" i="18" s="1"/>
  <c r="V241" i="18" a="1"/>
  <c r="V241" i="18" s="1"/>
  <c r="T241" i="18" a="1"/>
  <c r="T241" i="18" s="1"/>
  <c r="R241" i="18" a="1"/>
  <c r="R241" i="18" s="1"/>
  <c r="P241" i="18" a="1"/>
  <c r="P241" i="18" s="1"/>
  <c r="N241" i="18" a="1"/>
  <c r="N241" i="18" s="1"/>
  <c r="L241" i="18" a="1"/>
  <c r="L241" i="18" s="1"/>
  <c r="J241" i="18" a="1"/>
  <c r="J241" i="18" s="1"/>
  <c r="H241" i="18" a="1"/>
  <c r="H241" i="18" s="1"/>
  <c r="D241" i="18"/>
  <c r="BA245" i="18" a="1"/>
  <c r="BA245" i="18" s="1"/>
  <c r="AW245" i="18" a="1"/>
  <c r="AW245" i="18" s="1"/>
  <c r="AS245" i="18" a="1"/>
  <c r="AS245" i="18" s="1"/>
  <c r="AO245" i="18" a="1"/>
  <c r="AO245" i="18" s="1"/>
  <c r="AK245" i="18" a="1"/>
  <c r="AK245" i="18" s="1"/>
  <c r="AG245" i="18" a="1"/>
  <c r="AG245" i="18" s="1"/>
  <c r="AY245" i="18" a="1"/>
  <c r="AY245" i="18" s="1"/>
  <c r="AQ245" i="18" a="1"/>
  <c r="AQ245" i="18" s="1"/>
  <c r="AI245" i="18" a="1"/>
  <c r="AI245" i="18" s="1"/>
  <c r="AA245" i="18" a="1"/>
  <c r="AA245" i="18" s="1"/>
  <c r="Y245" i="18" a="1"/>
  <c r="Y245" i="18" s="1"/>
  <c r="W245" i="18" a="1"/>
  <c r="W245" i="18" s="1"/>
  <c r="U245" i="18" a="1"/>
  <c r="U245" i="18" s="1"/>
  <c r="S245" i="18" a="1"/>
  <c r="S245" i="18" s="1"/>
  <c r="Q245" i="18" a="1"/>
  <c r="Q245" i="18" s="1"/>
  <c r="O245" i="18" a="1"/>
  <c r="O245" i="18" s="1"/>
  <c r="M245" i="18" a="1"/>
  <c r="M245" i="18" s="1"/>
  <c r="K245" i="18" a="1"/>
  <c r="K245" i="18" s="1"/>
  <c r="I245" i="18" a="1"/>
  <c r="I245" i="18" s="1"/>
  <c r="G245" i="18" a="1"/>
  <c r="G245" i="18" s="1"/>
  <c r="BC245" i="18" a="1"/>
  <c r="BC245" i="18" s="1"/>
  <c r="AU245" i="18" a="1"/>
  <c r="AU245" i="18" s="1"/>
  <c r="AM245" i="18" a="1"/>
  <c r="AM245" i="18" s="1"/>
  <c r="AE245" i="18" a="1"/>
  <c r="AE245" i="18" s="1"/>
  <c r="AB245" i="18" a="1"/>
  <c r="AB245" i="18" s="1"/>
  <c r="Z245" i="18" a="1"/>
  <c r="Z245" i="18" s="1"/>
  <c r="X245" i="18" a="1"/>
  <c r="X245" i="18" s="1"/>
  <c r="V245" i="18" a="1"/>
  <c r="V245" i="18" s="1"/>
  <c r="T245" i="18" a="1"/>
  <c r="T245" i="18" s="1"/>
  <c r="R245" i="18" a="1"/>
  <c r="R245" i="18" s="1"/>
  <c r="P245" i="18" a="1"/>
  <c r="P245" i="18" s="1"/>
  <c r="N245" i="18" a="1"/>
  <c r="N245" i="18" s="1"/>
  <c r="L245" i="18" a="1"/>
  <c r="L245" i="18" s="1"/>
  <c r="J245" i="18" a="1"/>
  <c r="J245" i="18" s="1"/>
  <c r="H245" i="18" a="1"/>
  <c r="H245" i="18" s="1"/>
  <c r="D245" i="18"/>
  <c r="BA249" i="18" a="1"/>
  <c r="BA249" i="18" s="1"/>
  <c r="AW249" i="18" a="1"/>
  <c r="AW249" i="18" s="1"/>
  <c r="AS249" i="18" a="1"/>
  <c r="AS249" i="18" s="1"/>
  <c r="AO249" i="18" a="1"/>
  <c r="AO249" i="18" s="1"/>
  <c r="AK249" i="18" a="1"/>
  <c r="AK249" i="18" s="1"/>
  <c r="AG249" i="18" a="1"/>
  <c r="AG249" i="18" s="1"/>
  <c r="AY249" i="18" a="1"/>
  <c r="AY249" i="18" s="1"/>
  <c r="AQ249" i="18" a="1"/>
  <c r="AQ249" i="18" s="1"/>
  <c r="AI249" i="18" a="1"/>
  <c r="AI249" i="18" s="1"/>
  <c r="AA249" i="18" a="1"/>
  <c r="AA249" i="18" s="1"/>
  <c r="Y249" i="18" a="1"/>
  <c r="Y249" i="18" s="1"/>
  <c r="W249" i="18" a="1"/>
  <c r="W249" i="18" s="1"/>
  <c r="U249" i="18" a="1"/>
  <c r="U249" i="18" s="1"/>
  <c r="S249" i="18" a="1"/>
  <c r="S249" i="18" s="1"/>
  <c r="Q249" i="18" a="1"/>
  <c r="Q249" i="18" s="1"/>
  <c r="O249" i="18" a="1"/>
  <c r="O249" i="18" s="1"/>
  <c r="M249" i="18" a="1"/>
  <c r="M249" i="18" s="1"/>
  <c r="K249" i="18" a="1"/>
  <c r="K249" i="18" s="1"/>
  <c r="I249" i="18" a="1"/>
  <c r="I249" i="18" s="1"/>
  <c r="G249" i="18" a="1"/>
  <c r="G249" i="18" s="1"/>
  <c r="BC249" i="18" a="1"/>
  <c r="BC249" i="18" s="1"/>
  <c r="AU249" i="18" a="1"/>
  <c r="AU249" i="18" s="1"/>
  <c r="AM249" i="18" a="1"/>
  <c r="AM249" i="18" s="1"/>
  <c r="AE249" i="18" a="1"/>
  <c r="AE249" i="18" s="1"/>
  <c r="AB249" i="18" a="1"/>
  <c r="AB249" i="18" s="1"/>
  <c r="Z249" i="18" a="1"/>
  <c r="Z249" i="18" s="1"/>
  <c r="X249" i="18" a="1"/>
  <c r="X249" i="18" s="1"/>
  <c r="V249" i="18" a="1"/>
  <c r="V249" i="18" s="1"/>
  <c r="T249" i="18" a="1"/>
  <c r="T249" i="18" s="1"/>
  <c r="R249" i="18" a="1"/>
  <c r="R249" i="18" s="1"/>
  <c r="P249" i="18" a="1"/>
  <c r="P249" i="18" s="1"/>
  <c r="N249" i="18" a="1"/>
  <c r="N249" i="18" s="1"/>
  <c r="L249" i="18" a="1"/>
  <c r="L249" i="18" s="1"/>
  <c r="J249" i="18" a="1"/>
  <c r="J249" i="18" s="1"/>
  <c r="H249" i="18" a="1"/>
  <c r="H249" i="18" s="1"/>
  <c r="D249" i="18"/>
  <c r="BA253" i="18" a="1"/>
  <c r="BA253" i="18" s="1"/>
  <c r="AW253" i="18" a="1"/>
  <c r="AW253" i="18" s="1"/>
  <c r="AS253" i="18" a="1"/>
  <c r="AS253" i="18" s="1"/>
  <c r="AO253" i="18" a="1"/>
  <c r="AO253" i="18" s="1"/>
  <c r="AK253" i="18" a="1"/>
  <c r="AK253" i="18" s="1"/>
  <c r="AG253" i="18" a="1"/>
  <c r="AG253" i="18" s="1"/>
  <c r="AY253" i="18" a="1"/>
  <c r="AY253" i="18" s="1"/>
  <c r="AQ253" i="18" a="1"/>
  <c r="AQ253" i="18" s="1"/>
  <c r="AI253" i="18" a="1"/>
  <c r="AI253" i="18" s="1"/>
  <c r="AA253" i="18" a="1"/>
  <c r="AA253" i="18" s="1"/>
  <c r="Y253" i="18" a="1"/>
  <c r="Y253" i="18" s="1"/>
  <c r="W253" i="18" a="1"/>
  <c r="W253" i="18" s="1"/>
  <c r="U253" i="18" a="1"/>
  <c r="U253" i="18" s="1"/>
  <c r="S253" i="18" a="1"/>
  <c r="S253" i="18" s="1"/>
  <c r="Q253" i="18" a="1"/>
  <c r="Q253" i="18" s="1"/>
  <c r="O253" i="18" a="1"/>
  <c r="O253" i="18" s="1"/>
  <c r="M253" i="18" a="1"/>
  <c r="M253" i="18" s="1"/>
  <c r="K253" i="18" a="1"/>
  <c r="K253" i="18" s="1"/>
  <c r="I253" i="18" a="1"/>
  <c r="I253" i="18" s="1"/>
  <c r="G253" i="18" a="1"/>
  <c r="G253" i="18" s="1"/>
  <c r="BC253" i="18" a="1"/>
  <c r="BC253" i="18" s="1"/>
  <c r="AU253" i="18" a="1"/>
  <c r="AU253" i="18" s="1"/>
  <c r="AM253" i="18" a="1"/>
  <c r="AM253" i="18" s="1"/>
  <c r="AE253" i="18" a="1"/>
  <c r="AE253" i="18" s="1"/>
  <c r="AB253" i="18" a="1"/>
  <c r="AB253" i="18" s="1"/>
  <c r="Z253" i="18" a="1"/>
  <c r="Z253" i="18" s="1"/>
  <c r="X253" i="18" a="1"/>
  <c r="X253" i="18" s="1"/>
  <c r="V253" i="18" a="1"/>
  <c r="V253" i="18" s="1"/>
  <c r="T253" i="18" a="1"/>
  <c r="T253" i="18" s="1"/>
  <c r="R253" i="18" a="1"/>
  <c r="R253" i="18" s="1"/>
  <c r="P253" i="18" a="1"/>
  <c r="P253" i="18" s="1"/>
  <c r="N253" i="18" a="1"/>
  <c r="N253" i="18" s="1"/>
  <c r="L253" i="18" a="1"/>
  <c r="L253" i="18" s="1"/>
  <c r="J253" i="18" a="1"/>
  <c r="J253" i="18" s="1"/>
  <c r="H253" i="18" a="1"/>
  <c r="H253" i="18" s="1"/>
  <c r="D253" i="18"/>
  <c r="BA257" i="18" a="1"/>
  <c r="BA257" i="18" s="1"/>
  <c r="AW257" i="18" a="1"/>
  <c r="AW257" i="18" s="1"/>
  <c r="AS257" i="18" a="1"/>
  <c r="AS257" i="18" s="1"/>
  <c r="AO257" i="18" a="1"/>
  <c r="AO257" i="18" s="1"/>
  <c r="AK257" i="18" a="1"/>
  <c r="AK257" i="18" s="1"/>
  <c r="AG257" i="18" a="1"/>
  <c r="AG257" i="18" s="1"/>
  <c r="AY257" i="18" a="1"/>
  <c r="AY257" i="18" s="1"/>
  <c r="AQ257" i="18" a="1"/>
  <c r="AQ257" i="18" s="1"/>
  <c r="AI257" i="18" a="1"/>
  <c r="AI257" i="18" s="1"/>
  <c r="AA257" i="18" a="1"/>
  <c r="AA257" i="18" s="1"/>
  <c r="Y257" i="18" a="1"/>
  <c r="Y257" i="18" s="1"/>
  <c r="W257" i="18" a="1"/>
  <c r="W257" i="18" s="1"/>
  <c r="U257" i="18" a="1"/>
  <c r="U257" i="18" s="1"/>
  <c r="S257" i="18" a="1"/>
  <c r="S257" i="18" s="1"/>
  <c r="Q257" i="18" a="1"/>
  <c r="Q257" i="18" s="1"/>
  <c r="O257" i="18" a="1"/>
  <c r="O257" i="18" s="1"/>
  <c r="M257" i="18" a="1"/>
  <c r="M257" i="18" s="1"/>
  <c r="K257" i="18" a="1"/>
  <c r="K257" i="18" s="1"/>
  <c r="I257" i="18" a="1"/>
  <c r="I257" i="18" s="1"/>
  <c r="G257" i="18" a="1"/>
  <c r="G257" i="18" s="1"/>
  <c r="BC257" i="18" a="1"/>
  <c r="BC257" i="18" s="1"/>
  <c r="AU257" i="18" a="1"/>
  <c r="AU257" i="18" s="1"/>
  <c r="AM257" i="18" a="1"/>
  <c r="AM257" i="18" s="1"/>
  <c r="AE257" i="18" a="1"/>
  <c r="AE257" i="18" s="1"/>
  <c r="AB257" i="18" a="1"/>
  <c r="AB257" i="18" s="1"/>
  <c r="Z257" i="18" a="1"/>
  <c r="Z257" i="18" s="1"/>
  <c r="X257" i="18" a="1"/>
  <c r="X257" i="18" s="1"/>
  <c r="V257" i="18" a="1"/>
  <c r="V257" i="18" s="1"/>
  <c r="T257" i="18" a="1"/>
  <c r="T257" i="18" s="1"/>
  <c r="R257" i="18" a="1"/>
  <c r="R257" i="18" s="1"/>
  <c r="P257" i="18" a="1"/>
  <c r="P257" i="18" s="1"/>
  <c r="N257" i="18" a="1"/>
  <c r="N257" i="18" s="1"/>
  <c r="L257" i="18" a="1"/>
  <c r="L257" i="18" s="1"/>
  <c r="J257" i="18" a="1"/>
  <c r="J257" i="18" s="1"/>
  <c r="H257" i="18" a="1"/>
  <c r="H257" i="18" s="1"/>
  <c r="D257" i="18"/>
  <c r="BA261" i="18" a="1"/>
  <c r="BA261" i="18" s="1"/>
  <c r="AW261" i="18" a="1"/>
  <c r="AW261" i="18" s="1"/>
  <c r="AS261" i="18" a="1"/>
  <c r="AS261" i="18" s="1"/>
  <c r="AO261" i="18" a="1"/>
  <c r="AO261" i="18" s="1"/>
  <c r="AK261" i="18" a="1"/>
  <c r="AK261" i="18" s="1"/>
  <c r="AG261" i="18" a="1"/>
  <c r="AG261" i="18" s="1"/>
  <c r="AY261" i="18" a="1"/>
  <c r="AY261" i="18" s="1"/>
  <c r="AQ261" i="18" a="1"/>
  <c r="AQ261" i="18" s="1"/>
  <c r="AI261" i="18" a="1"/>
  <c r="AI261" i="18" s="1"/>
  <c r="AA261" i="18" a="1"/>
  <c r="AA261" i="18" s="1"/>
  <c r="Y261" i="18" a="1"/>
  <c r="Y261" i="18" s="1"/>
  <c r="W261" i="18" a="1"/>
  <c r="W261" i="18" s="1"/>
  <c r="U261" i="18" a="1"/>
  <c r="U261" i="18" s="1"/>
  <c r="S261" i="18" a="1"/>
  <c r="S261" i="18" s="1"/>
  <c r="Q261" i="18" a="1"/>
  <c r="Q261" i="18" s="1"/>
  <c r="O261" i="18" a="1"/>
  <c r="O261" i="18" s="1"/>
  <c r="M261" i="18" a="1"/>
  <c r="M261" i="18" s="1"/>
  <c r="K261" i="18" a="1"/>
  <c r="K261" i="18" s="1"/>
  <c r="I261" i="18" a="1"/>
  <c r="I261" i="18" s="1"/>
  <c r="G261" i="18" a="1"/>
  <c r="G261" i="18" s="1"/>
  <c r="BC261" i="18" a="1"/>
  <c r="BC261" i="18" s="1"/>
  <c r="AU261" i="18" a="1"/>
  <c r="AU261" i="18" s="1"/>
  <c r="AM261" i="18" a="1"/>
  <c r="AM261" i="18" s="1"/>
  <c r="AE261" i="18" a="1"/>
  <c r="AE261" i="18" s="1"/>
  <c r="AB261" i="18" a="1"/>
  <c r="AB261" i="18" s="1"/>
  <c r="Z261" i="18" a="1"/>
  <c r="Z261" i="18" s="1"/>
  <c r="X261" i="18" a="1"/>
  <c r="X261" i="18" s="1"/>
  <c r="V261" i="18" a="1"/>
  <c r="V261" i="18" s="1"/>
  <c r="T261" i="18" a="1"/>
  <c r="T261" i="18" s="1"/>
  <c r="R261" i="18" a="1"/>
  <c r="R261" i="18" s="1"/>
  <c r="P261" i="18" a="1"/>
  <c r="P261" i="18" s="1"/>
  <c r="N261" i="18" a="1"/>
  <c r="N261" i="18" s="1"/>
  <c r="L261" i="18" a="1"/>
  <c r="L261" i="18" s="1"/>
  <c r="J261" i="18" a="1"/>
  <c r="J261" i="18" s="1"/>
  <c r="H261" i="18" a="1"/>
  <c r="H261" i="18" s="1"/>
  <c r="D261" i="18"/>
  <c r="BA265" i="18" a="1"/>
  <c r="BA265" i="18" s="1"/>
  <c r="AW265" i="18" a="1"/>
  <c r="AW265" i="18" s="1"/>
  <c r="AS265" i="18" a="1"/>
  <c r="AS265" i="18" s="1"/>
  <c r="AO265" i="18" a="1"/>
  <c r="AO265" i="18" s="1"/>
  <c r="AK265" i="18" a="1"/>
  <c r="AK265" i="18" s="1"/>
  <c r="AG265" i="18" a="1"/>
  <c r="AG265" i="18" s="1"/>
  <c r="AY265" i="18" a="1"/>
  <c r="AY265" i="18" s="1"/>
  <c r="AQ265" i="18" a="1"/>
  <c r="AQ265" i="18" s="1"/>
  <c r="AI265" i="18" a="1"/>
  <c r="AI265" i="18" s="1"/>
  <c r="AA265" i="18" a="1"/>
  <c r="AA265" i="18" s="1"/>
  <c r="Y265" i="18" a="1"/>
  <c r="Y265" i="18" s="1"/>
  <c r="W265" i="18" a="1"/>
  <c r="W265" i="18" s="1"/>
  <c r="U265" i="18" a="1"/>
  <c r="U265" i="18" s="1"/>
  <c r="S265" i="18" a="1"/>
  <c r="S265" i="18" s="1"/>
  <c r="Q265" i="18" a="1"/>
  <c r="Q265" i="18" s="1"/>
  <c r="O265" i="18" a="1"/>
  <c r="O265" i="18" s="1"/>
  <c r="M265" i="18" a="1"/>
  <c r="M265" i="18" s="1"/>
  <c r="K265" i="18" a="1"/>
  <c r="K265" i="18" s="1"/>
  <c r="I265" i="18" a="1"/>
  <c r="I265" i="18" s="1"/>
  <c r="G265" i="18" a="1"/>
  <c r="G265" i="18" s="1"/>
  <c r="BC265" i="18" a="1"/>
  <c r="BC265" i="18" s="1"/>
  <c r="AU265" i="18" a="1"/>
  <c r="AU265" i="18" s="1"/>
  <c r="AM265" i="18" a="1"/>
  <c r="AM265" i="18" s="1"/>
  <c r="AE265" i="18" a="1"/>
  <c r="AE265" i="18" s="1"/>
  <c r="AB265" i="18" a="1"/>
  <c r="AB265" i="18" s="1"/>
  <c r="Z265" i="18" a="1"/>
  <c r="Z265" i="18" s="1"/>
  <c r="X265" i="18" a="1"/>
  <c r="X265" i="18" s="1"/>
  <c r="V265" i="18" a="1"/>
  <c r="V265" i="18" s="1"/>
  <c r="T265" i="18" a="1"/>
  <c r="T265" i="18" s="1"/>
  <c r="R265" i="18" a="1"/>
  <c r="R265" i="18" s="1"/>
  <c r="P265" i="18" a="1"/>
  <c r="P265" i="18" s="1"/>
  <c r="N265" i="18" a="1"/>
  <c r="N265" i="18" s="1"/>
  <c r="L265" i="18" a="1"/>
  <c r="L265" i="18" s="1"/>
  <c r="J265" i="18" a="1"/>
  <c r="J265" i="18" s="1"/>
  <c r="H265" i="18" a="1"/>
  <c r="H265" i="18" s="1"/>
  <c r="D265" i="18"/>
  <c r="BA269" i="18" a="1"/>
  <c r="BA269" i="18" s="1"/>
  <c r="AW269" i="18" a="1"/>
  <c r="AW269" i="18" s="1"/>
  <c r="AS269" i="18" a="1"/>
  <c r="AS269" i="18" s="1"/>
  <c r="AO269" i="18" a="1"/>
  <c r="AO269" i="18" s="1"/>
  <c r="AK269" i="18" a="1"/>
  <c r="AK269" i="18" s="1"/>
  <c r="AG269" i="18" a="1"/>
  <c r="AG269" i="18" s="1"/>
  <c r="AY269" i="18" a="1"/>
  <c r="AY269" i="18" s="1"/>
  <c r="AQ269" i="18" a="1"/>
  <c r="AQ269" i="18" s="1"/>
  <c r="AI269" i="18" a="1"/>
  <c r="AI269" i="18" s="1"/>
  <c r="AA269" i="18" a="1"/>
  <c r="AA269" i="18" s="1"/>
  <c r="Y269" i="18" a="1"/>
  <c r="Y269" i="18" s="1"/>
  <c r="W269" i="18" a="1"/>
  <c r="W269" i="18" s="1"/>
  <c r="U269" i="18" a="1"/>
  <c r="U269" i="18" s="1"/>
  <c r="S269" i="18" a="1"/>
  <c r="S269" i="18" s="1"/>
  <c r="Q269" i="18" a="1"/>
  <c r="Q269" i="18" s="1"/>
  <c r="O269" i="18" a="1"/>
  <c r="O269" i="18" s="1"/>
  <c r="M269" i="18" a="1"/>
  <c r="M269" i="18" s="1"/>
  <c r="K269" i="18" a="1"/>
  <c r="K269" i="18" s="1"/>
  <c r="I269" i="18" a="1"/>
  <c r="I269" i="18" s="1"/>
  <c r="G269" i="18" a="1"/>
  <c r="G269" i="18" s="1"/>
  <c r="BC269" i="18" a="1"/>
  <c r="BC269" i="18" s="1"/>
  <c r="AU269" i="18" a="1"/>
  <c r="AU269" i="18" s="1"/>
  <c r="AM269" i="18" a="1"/>
  <c r="AM269" i="18" s="1"/>
  <c r="AE269" i="18" a="1"/>
  <c r="AE269" i="18" s="1"/>
  <c r="AB269" i="18" a="1"/>
  <c r="AB269" i="18" s="1"/>
  <c r="Z269" i="18" a="1"/>
  <c r="Z269" i="18" s="1"/>
  <c r="X269" i="18" a="1"/>
  <c r="X269" i="18" s="1"/>
  <c r="V269" i="18" a="1"/>
  <c r="V269" i="18" s="1"/>
  <c r="T269" i="18" a="1"/>
  <c r="T269" i="18" s="1"/>
  <c r="R269" i="18" a="1"/>
  <c r="R269" i="18" s="1"/>
  <c r="P269" i="18" a="1"/>
  <c r="P269" i="18" s="1"/>
  <c r="N269" i="18" a="1"/>
  <c r="N269" i="18" s="1"/>
  <c r="L269" i="18" a="1"/>
  <c r="L269" i="18" s="1"/>
  <c r="J269" i="18" a="1"/>
  <c r="J269" i="18" s="1"/>
  <c r="H269" i="18" a="1"/>
  <c r="H269" i="18" s="1"/>
  <c r="D269" i="18"/>
  <c r="BA273" i="18" a="1"/>
  <c r="BA273" i="18" s="1"/>
  <c r="AW273" i="18" a="1"/>
  <c r="AW273" i="18" s="1"/>
  <c r="AS273" i="18" a="1"/>
  <c r="AS273" i="18" s="1"/>
  <c r="AO273" i="18" a="1"/>
  <c r="AO273" i="18" s="1"/>
  <c r="AK273" i="18" a="1"/>
  <c r="AK273" i="18" s="1"/>
  <c r="AG273" i="18" a="1"/>
  <c r="AG273" i="18" s="1"/>
  <c r="AY273" i="18" a="1"/>
  <c r="AY273" i="18" s="1"/>
  <c r="AQ273" i="18" a="1"/>
  <c r="AQ273" i="18" s="1"/>
  <c r="AI273" i="18" a="1"/>
  <c r="AI273" i="18" s="1"/>
  <c r="AA273" i="18" a="1"/>
  <c r="AA273" i="18" s="1"/>
  <c r="Y273" i="18" a="1"/>
  <c r="Y273" i="18" s="1"/>
  <c r="W273" i="18" a="1"/>
  <c r="W273" i="18" s="1"/>
  <c r="U273" i="18" a="1"/>
  <c r="U273" i="18" s="1"/>
  <c r="S273" i="18" a="1"/>
  <c r="S273" i="18" s="1"/>
  <c r="Q273" i="18" a="1"/>
  <c r="Q273" i="18" s="1"/>
  <c r="O273" i="18" a="1"/>
  <c r="O273" i="18" s="1"/>
  <c r="M273" i="18" a="1"/>
  <c r="M273" i="18" s="1"/>
  <c r="K273" i="18" a="1"/>
  <c r="K273" i="18" s="1"/>
  <c r="I273" i="18" a="1"/>
  <c r="I273" i="18" s="1"/>
  <c r="G273" i="18" a="1"/>
  <c r="G273" i="18" s="1"/>
  <c r="BC273" i="18" a="1"/>
  <c r="BC273" i="18" s="1"/>
  <c r="AU273" i="18" a="1"/>
  <c r="AU273" i="18" s="1"/>
  <c r="AM273" i="18" a="1"/>
  <c r="AM273" i="18" s="1"/>
  <c r="AE273" i="18" a="1"/>
  <c r="AE273" i="18" s="1"/>
  <c r="AB273" i="18" a="1"/>
  <c r="AB273" i="18" s="1"/>
  <c r="Z273" i="18" a="1"/>
  <c r="Z273" i="18" s="1"/>
  <c r="X273" i="18" a="1"/>
  <c r="X273" i="18" s="1"/>
  <c r="V273" i="18" a="1"/>
  <c r="V273" i="18" s="1"/>
  <c r="T273" i="18" a="1"/>
  <c r="T273" i="18" s="1"/>
  <c r="R273" i="18" a="1"/>
  <c r="R273" i="18" s="1"/>
  <c r="P273" i="18" a="1"/>
  <c r="P273" i="18" s="1"/>
  <c r="N273" i="18" a="1"/>
  <c r="N273" i="18" s="1"/>
  <c r="L273" i="18" a="1"/>
  <c r="L273" i="18" s="1"/>
  <c r="J273" i="18" a="1"/>
  <c r="J273" i="18" s="1"/>
  <c r="H273" i="18" a="1"/>
  <c r="H273" i="18" s="1"/>
  <c r="D273" i="18"/>
  <c r="BA277" i="18" a="1"/>
  <c r="BA277" i="18" s="1"/>
  <c r="AW277" i="18" a="1"/>
  <c r="AW277" i="18" s="1"/>
  <c r="AS277" i="18" a="1"/>
  <c r="AS277" i="18" s="1"/>
  <c r="AO277" i="18" a="1"/>
  <c r="AO277" i="18" s="1"/>
  <c r="AK277" i="18" a="1"/>
  <c r="AK277" i="18" s="1"/>
  <c r="AG277" i="18" a="1"/>
  <c r="AG277" i="18" s="1"/>
  <c r="AY277" i="18" a="1"/>
  <c r="AY277" i="18" s="1"/>
  <c r="AQ277" i="18" a="1"/>
  <c r="AQ277" i="18" s="1"/>
  <c r="AI277" i="18" a="1"/>
  <c r="AI277" i="18" s="1"/>
  <c r="AA277" i="18" a="1"/>
  <c r="AA277" i="18" s="1"/>
  <c r="Y277" i="18" a="1"/>
  <c r="Y277" i="18" s="1"/>
  <c r="W277" i="18" a="1"/>
  <c r="W277" i="18" s="1"/>
  <c r="U277" i="18" a="1"/>
  <c r="U277" i="18" s="1"/>
  <c r="S277" i="18" a="1"/>
  <c r="S277" i="18" s="1"/>
  <c r="Q277" i="18" a="1"/>
  <c r="Q277" i="18" s="1"/>
  <c r="O277" i="18" a="1"/>
  <c r="O277" i="18" s="1"/>
  <c r="M277" i="18" a="1"/>
  <c r="M277" i="18" s="1"/>
  <c r="K277" i="18" a="1"/>
  <c r="K277" i="18" s="1"/>
  <c r="I277" i="18" a="1"/>
  <c r="I277" i="18" s="1"/>
  <c r="G277" i="18" a="1"/>
  <c r="G277" i="18" s="1"/>
  <c r="BC277" i="18" a="1"/>
  <c r="BC277" i="18" s="1"/>
  <c r="AU277" i="18" a="1"/>
  <c r="AU277" i="18" s="1"/>
  <c r="AM277" i="18" a="1"/>
  <c r="AM277" i="18" s="1"/>
  <c r="AE277" i="18" a="1"/>
  <c r="AE277" i="18" s="1"/>
  <c r="AB277" i="18" a="1"/>
  <c r="AB277" i="18" s="1"/>
  <c r="Z277" i="18" a="1"/>
  <c r="Z277" i="18" s="1"/>
  <c r="X277" i="18" a="1"/>
  <c r="X277" i="18" s="1"/>
  <c r="V277" i="18" a="1"/>
  <c r="V277" i="18" s="1"/>
  <c r="T277" i="18" a="1"/>
  <c r="T277" i="18" s="1"/>
  <c r="R277" i="18" a="1"/>
  <c r="R277" i="18" s="1"/>
  <c r="P277" i="18" a="1"/>
  <c r="P277" i="18" s="1"/>
  <c r="N277" i="18" a="1"/>
  <c r="N277" i="18" s="1"/>
  <c r="L277" i="18" a="1"/>
  <c r="L277" i="18" s="1"/>
  <c r="J277" i="18" a="1"/>
  <c r="J277" i="18" s="1"/>
  <c r="H277" i="18" a="1"/>
  <c r="H277" i="18" s="1"/>
  <c r="D277" i="18"/>
  <c r="BA281" i="18" a="1"/>
  <c r="BA281" i="18" s="1"/>
  <c r="AW281" i="18" a="1"/>
  <c r="AW281" i="18" s="1"/>
  <c r="AS281" i="18" a="1"/>
  <c r="AS281" i="18" s="1"/>
  <c r="AO281" i="18" a="1"/>
  <c r="AO281" i="18" s="1"/>
  <c r="AK281" i="18" a="1"/>
  <c r="AK281" i="18" s="1"/>
  <c r="AG281" i="18" a="1"/>
  <c r="AG281" i="18" s="1"/>
  <c r="AY281" i="18" a="1"/>
  <c r="AY281" i="18" s="1"/>
  <c r="AQ281" i="18" a="1"/>
  <c r="AQ281" i="18" s="1"/>
  <c r="AI281" i="18" a="1"/>
  <c r="AI281" i="18" s="1"/>
  <c r="AA281" i="18" a="1"/>
  <c r="AA281" i="18" s="1"/>
  <c r="Y281" i="18" a="1"/>
  <c r="Y281" i="18" s="1"/>
  <c r="W281" i="18" a="1"/>
  <c r="W281" i="18" s="1"/>
  <c r="U281" i="18" a="1"/>
  <c r="U281" i="18" s="1"/>
  <c r="S281" i="18" a="1"/>
  <c r="S281" i="18" s="1"/>
  <c r="Q281" i="18" a="1"/>
  <c r="Q281" i="18" s="1"/>
  <c r="O281" i="18" a="1"/>
  <c r="O281" i="18" s="1"/>
  <c r="M281" i="18" a="1"/>
  <c r="M281" i="18" s="1"/>
  <c r="K281" i="18" a="1"/>
  <c r="K281" i="18" s="1"/>
  <c r="I281" i="18" a="1"/>
  <c r="I281" i="18" s="1"/>
  <c r="G281" i="18" a="1"/>
  <c r="G281" i="18" s="1"/>
  <c r="BC281" i="18" a="1"/>
  <c r="BC281" i="18" s="1"/>
  <c r="AU281" i="18" a="1"/>
  <c r="AU281" i="18" s="1"/>
  <c r="AM281" i="18" a="1"/>
  <c r="AM281" i="18" s="1"/>
  <c r="AE281" i="18" a="1"/>
  <c r="AE281" i="18" s="1"/>
  <c r="AB281" i="18" a="1"/>
  <c r="AB281" i="18" s="1"/>
  <c r="Z281" i="18" a="1"/>
  <c r="Z281" i="18" s="1"/>
  <c r="X281" i="18" a="1"/>
  <c r="X281" i="18" s="1"/>
  <c r="V281" i="18" a="1"/>
  <c r="V281" i="18" s="1"/>
  <c r="T281" i="18" a="1"/>
  <c r="T281" i="18" s="1"/>
  <c r="R281" i="18" a="1"/>
  <c r="R281" i="18" s="1"/>
  <c r="P281" i="18" a="1"/>
  <c r="P281" i="18" s="1"/>
  <c r="N281" i="18" a="1"/>
  <c r="N281" i="18" s="1"/>
  <c r="L281" i="18" a="1"/>
  <c r="L281" i="18" s="1"/>
  <c r="J281" i="18" a="1"/>
  <c r="J281" i="18" s="1"/>
  <c r="H281" i="18" a="1"/>
  <c r="H281" i="18" s="1"/>
  <c r="D281" i="18"/>
  <c r="BA285" i="18" a="1"/>
  <c r="BA285" i="18" s="1"/>
  <c r="AW285" i="18" a="1"/>
  <c r="AW285" i="18" s="1"/>
  <c r="AS285" i="18" a="1"/>
  <c r="AS285" i="18" s="1"/>
  <c r="AO285" i="18" a="1"/>
  <c r="AO285" i="18" s="1"/>
  <c r="AK285" i="18" a="1"/>
  <c r="AK285" i="18" s="1"/>
  <c r="AG285" i="18" a="1"/>
  <c r="AG285" i="18" s="1"/>
  <c r="AY285" i="18" a="1"/>
  <c r="AY285" i="18" s="1"/>
  <c r="AQ285" i="18" a="1"/>
  <c r="AQ285" i="18" s="1"/>
  <c r="AI285" i="18" a="1"/>
  <c r="AI285" i="18" s="1"/>
  <c r="AA285" i="18" a="1"/>
  <c r="AA285" i="18" s="1"/>
  <c r="Y285" i="18" a="1"/>
  <c r="Y285" i="18" s="1"/>
  <c r="W285" i="18" a="1"/>
  <c r="W285" i="18" s="1"/>
  <c r="U285" i="18" a="1"/>
  <c r="U285" i="18" s="1"/>
  <c r="S285" i="18" a="1"/>
  <c r="S285" i="18" s="1"/>
  <c r="Q285" i="18" a="1"/>
  <c r="Q285" i="18" s="1"/>
  <c r="O285" i="18" a="1"/>
  <c r="O285" i="18" s="1"/>
  <c r="M285" i="18" a="1"/>
  <c r="M285" i="18" s="1"/>
  <c r="K285" i="18" a="1"/>
  <c r="K285" i="18" s="1"/>
  <c r="I285" i="18" a="1"/>
  <c r="I285" i="18" s="1"/>
  <c r="G285" i="18" a="1"/>
  <c r="G285" i="18" s="1"/>
  <c r="BC285" i="18" a="1"/>
  <c r="BC285" i="18" s="1"/>
  <c r="AU285" i="18" a="1"/>
  <c r="AU285" i="18" s="1"/>
  <c r="AM285" i="18" a="1"/>
  <c r="AM285" i="18" s="1"/>
  <c r="AE285" i="18" a="1"/>
  <c r="AE285" i="18" s="1"/>
  <c r="AB285" i="18" a="1"/>
  <c r="AB285" i="18" s="1"/>
  <c r="Z285" i="18" a="1"/>
  <c r="Z285" i="18" s="1"/>
  <c r="X285" i="18" a="1"/>
  <c r="X285" i="18" s="1"/>
  <c r="V285" i="18" a="1"/>
  <c r="V285" i="18" s="1"/>
  <c r="T285" i="18" a="1"/>
  <c r="T285" i="18" s="1"/>
  <c r="R285" i="18" a="1"/>
  <c r="R285" i="18" s="1"/>
  <c r="P285" i="18" a="1"/>
  <c r="P285" i="18" s="1"/>
  <c r="N285" i="18" a="1"/>
  <c r="N285" i="18" s="1"/>
  <c r="L285" i="18" a="1"/>
  <c r="L285" i="18" s="1"/>
  <c r="J285" i="18" a="1"/>
  <c r="J285" i="18" s="1"/>
  <c r="H285" i="18" a="1"/>
  <c r="H285" i="18" s="1"/>
  <c r="D285" i="18"/>
  <c r="BA289" i="18" a="1"/>
  <c r="BA289" i="18" s="1"/>
  <c r="AW289" i="18" a="1"/>
  <c r="AW289" i="18" s="1"/>
  <c r="AS289" i="18" a="1"/>
  <c r="AS289" i="18" s="1"/>
  <c r="AO289" i="18" a="1"/>
  <c r="AO289" i="18" s="1"/>
  <c r="AK289" i="18" a="1"/>
  <c r="AK289" i="18" s="1"/>
  <c r="AG289" i="18" a="1"/>
  <c r="AG289" i="18" s="1"/>
  <c r="AY289" i="18" a="1"/>
  <c r="AY289" i="18" s="1"/>
  <c r="AQ289" i="18" a="1"/>
  <c r="AQ289" i="18" s="1"/>
  <c r="AI289" i="18" a="1"/>
  <c r="AI289" i="18" s="1"/>
  <c r="AA289" i="18" a="1"/>
  <c r="AA289" i="18" s="1"/>
  <c r="Y289" i="18" a="1"/>
  <c r="Y289" i="18" s="1"/>
  <c r="W289" i="18" a="1"/>
  <c r="W289" i="18" s="1"/>
  <c r="U289" i="18" a="1"/>
  <c r="U289" i="18" s="1"/>
  <c r="S289" i="18" a="1"/>
  <c r="S289" i="18" s="1"/>
  <c r="Q289" i="18" a="1"/>
  <c r="Q289" i="18" s="1"/>
  <c r="O289" i="18" a="1"/>
  <c r="O289" i="18" s="1"/>
  <c r="M289" i="18" a="1"/>
  <c r="M289" i="18" s="1"/>
  <c r="K289" i="18" a="1"/>
  <c r="K289" i="18" s="1"/>
  <c r="I289" i="18" a="1"/>
  <c r="I289" i="18" s="1"/>
  <c r="G289" i="18" a="1"/>
  <c r="G289" i="18" s="1"/>
  <c r="BC289" i="18" a="1"/>
  <c r="BC289" i="18" s="1"/>
  <c r="AU289" i="18" a="1"/>
  <c r="AU289" i="18" s="1"/>
  <c r="AM289" i="18" a="1"/>
  <c r="AM289" i="18" s="1"/>
  <c r="AE289" i="18" a="1"/>
  <c r="AE289" i="18" s="1"/>
  <c r="AB289" i="18" a="1"/>
  <c r="AB289" i="18" s="1"/>
  <c r="Z289" i="18" a="1"/>
  <c r="Z289" i="18" s="1"/>
  <c r="X289" i="18" a="1"/>
  <c r="X289" i="18" s="1"/>
  <c r="V289" i="18" a="1"/>
  <c r="V289" i="18" s="1"/>
  <c r="T289" i="18" a="1"/>
  <c r="T289" i="18" s="1"/>
  <c r="R289" i="18" a="1"/>
  <c r="R289" i="18" s="1"/>
  <c r="P289" i="18" a="1"/>
  <c r="P289" i="18" s="1"/>
  <c r="N289" i="18" a="1"/>
  <c r="N289" i="18" s="1"/>
  <c r="L289" i="18" a="1"/>
  <c r="L289" i="18" s="1"/>
  <c r="J289" i="18" a="1"/>
  <c r="J289" i="18" s="1"/>
  <c r="H289" i="18" a="1"/>
  <c r="H289" i="18" s="1"/>
  <c r="D289" i="18"/>
  <c r="BA293" i="18" a="1"/>
  <c r="BA293" i="18" s="1"/>
  <c r="AW293" i="18" a="1"/>
  <c r="AW293" i="18" s="1"/>
  <c r="AS293" i="18" a="1"/>
  <c r="AS293" i="18" s="1"/>
  <c r="AO293" i="18" a="1"/>
  <c r="AO293" i="18" s="1"/>
  <c r="AK293" i="18" a="1"/>
  <c r="AK293" i="18" s="1"/>
  <c r="AG293" i="18" a="1"/>
  <c r="AG293" i="18" s="1"/>
  <c r="AY293" i="18" a="1"/>
  <c r="AY293" i="18" s="1"/>
  <c r="AQ293" i="18" a="1"/>
  <c r="AQ293" i="18" s="1"/>
  <c r="AI293" i="18" a="1"/>
  <c r="AI293" i="18" s="1"/>
  <c r="AA293" i="18" a="1"/>
  <c r="AA293" i="18" s="1"/>
  <c r="Y293" i="18" a="1"/>
  <c r="Y293" i="18" s="1"/>
  <c r="W293" i="18" a="1"/>
  <c r="W293" i="18" s="1"/>
  <c r="U293" i="18" a="1"/>
  <c r="U293" i="18" s="1"/>
  <c r="S293" i="18" a="1"/>
  <c r="S293" i="18" s="1"/>
  <c r="Q293" i="18" a="1"/>
  <c r="Q293" i="18" s="1"/>
  <c r="O293" i="18" a="1"/>
  <c r="O293" i="18" s="1"/>
  <c r="M293" i="18" a="1"/>
  <c r="M293" i="18" s="1"/>
  <c r="K293" i="18" a="1"/>
  <c r="K293" i="18" s="1"/>
  <c r="I293" i="18" a="1"/>
  <c r="I293" i="18" s="1"/>
  <c r="G293" i="18" a="1"/>
  <c r="G293" i="18" s="1"/>
  <c r="BC293" i="18" a="1"/>
  <c r="BC293" i="18" s="1"/>
  <c r="AU293" i="18" a="1"/>
  <c r="AU293" i="18" s="1"/>
  <c r="AM293" i="18" a="1"/>
  <c r="AM293" i="18" s="1"/>
  <c r="AE293" i="18" a="1"/>
  <c r="AE293" i="18" s="1"/>
  <c r="AB293" i="18" a="1"/>
  <c r="AB293" i="18" s="1"/>
  <c r="Z293" i="18" a="1"/>
  <c r="Z293" i="18" s="1"/>
  <c r="X293" i="18" a="1"/>
  <c r="X293" i="18" s="1"/>
  <c r="V293" i="18" a="1"/>
  <c r="V293" i="18" s="1"/>
  <c r="T293" i="18" a="1"/>
  <c r="T293" i="18" s="1"/>
  <c r="R293" i="18" a="1"/>
  <c r="R293" i="18" s="1"/>
  <c r="P293" i="18" a="1"/>
  <c r="P293" i="18" s="1"/>
  <c r="N293" i="18" a="1"/>
  <c r="N293" i="18" s="1"/>
  <c r="L293" i="18" a="1"/>
  <c r="L293" i="18" s="1"/>
  <c r="J293" i="18" a="1"/>
  <c r="J293" i="18" s="1"/>
  <c r="H293" i="18" a="1"/>
  <c r="H293" i="18" s="1"/>
  <c r="D293" i="18"/>
  <c r="BA297" i="18" a="1"/>
  <c r="BA297" i="18" s="1"/>
  <c r="AW297" i="18" a="1"/>
  <c r="AW297" i="18" s="1"/>
  <c r="AS297" i="18" a="1"/>
  <c r="AS297" i="18" s="1"/>
  <c r="AO297" i="18" a="1"/>
  <c r="AO297" i="18" s="1"/>
  <c r="AK297" i="18" a="1"/>
  <c r="AK297" i="18" s="1"/>
  <c r="AG297" i="18" a="1"/>
  <c r="AG297" i="18" s="1"/>
  <c r="AY297" i="18" a="1"/>
  <c r="AY297" i="18" s="1"/>
  <c r="AQ297" i="18" a="1"/>
  <c r="AQ297" i="18" s="1"/>
  <c r="AI297" i="18" a="1"/>
  <c r="AI297" i="18" s="1"/>
  <c r="AA297" i="18" a="1"/>
  <c r="AA297" i="18" s="1"/>
  <c r="Y297" i="18" a="1"/>
  <c r="Y297" i="18" s="1"/>
  <c r="W297" i="18" a="1"/>
  <c r="W297" i="18" s="1"/>
  <c r="U297" i="18" a="1"/>
  <c r="U297" i="18" s="1"/>
  <c r="S297" i="18" a="1"/>
  <c r="S297" i="18" s="1"/>
  <c r="Q297" i="18" a="1"/>
  <c r="Q297" i="18" s="1"/>
  <c r="O297" i="18" a="1"/>
  <c r="O297" i="18" s="1"/>
  <c r="M297" i="18" a="1"/>
  <c r="M297" i="18" s="1"/>
  <c r="K297" i="18" a="1"/>
  <c r="K297" i="18" s="1"/>
  <c r="I297" i="18" a="1"/>
  <c r="I297" i="18" s="1"/>
  <c r="G297" i="18" a="1"/>
  <c r="G297" i="18" s="1"/>
  <c r="BC297" i="18" a="1"/>
  <c r="BC297" i="18" s="1"/>
  <c r="AU297" i="18" a="1"/>
  <c r="AU297" i="18" s="1"/>
  <c r="AM297" i="18" a="1"/>
  <c r="AM297" i="18" s="1"/>
  <c r="AE297" i="18" a="1"/>
  <c r="AE297" i="18" s="1"/>
  <c r="AB297" i="18" a="1"/>
  <c r="AB297" i="18" s="1"/>
  <c r="Z297" i="18" a="1"/>
  <c r="Z297" i="18" s="1"/>
  <c r="X297" i="18" a="1"/>
  <c r="X297" i="18" s="1"/>
  <c r="V297" i="18" a="1"/>
  <c r="V297" i="18" s="1"/>
  <c r="T297" i="18" a="1"/>
  <c r="T297" i="18" s="1"/>
  <c r="R297" i="18" a="1"/>
  <c r="R297" i="18" s="1"/>
  <c r="P297" i="18" a="1"/>
  <c r="P297" i="18" s="1"/>
  <c r="N297" i="18" a="1"/>
  <c r="N297" i="18" s="1"/>
  <c r="L297" i="18" a="1"/>
  <c r="L297" i="18" s="1"/>
  <c r="J297" i="18" a="1"/>
  <c r="J297" i="18" s="1"/>
  <c r="H297" i="18" a="1"/>
  <c r="H297" i="18" s="1"/>
  <c r="D297" i="18"/>
  <c r="BA301" i="18" a="1"/>
  <c r="BA301" i="18" s="1"/>
  <c r="AW301" i="18" a="1"/>
  <c r="AW301" i="18" s="1"/>
  <c r="AS301" i="18" a="1"/>
  <c r="AS301" i="18" s="1"/>
  <c r="AO301" i="18" a="1"/>
  <c r="AO301" i="18" s="1"/>
  <c r="AK301" i="18" a="1"/>
  <c r="AK301" i="18" s="1"/>
  <c r="AG301" i="18" a="1"/>
  <c r="AG301" i="18" s="1"/>
  <c r="AY301" i="18" a="1"/>
  <c r="AY301" i="18" s="1"/>
  <c r="AQ301" i="18" a="1"/>
  <c r="AQ301" i="18" s="1"/>
  <c r="AI301" i="18" a="1"/>
  <c r="AI301" i="18" s="1"/>
  <c r="AA301" i="18" a="1"/>
  <c r="AA301" i="18" s="1"/>
  <c r="Y301" i="18" a="1"/>
  <c r="Y301" i="18" s="1"/>
  <c r="W301" i="18" a="1"/>
  <c r="W301" i="18" s="1"/>
  <c r="U301" i="18" a="1"/>
  <c r="U301" i="18" s="1"/>
  <c r="S301" i="18" a="1"/>
  <c r="S301" i="18" s="1"/>
  <c r="Q301" i="18" a="1"/>
  <c r="Q301" i="18" s="1"/>
  <c r="O301" i="18" a="1"/>
  <c r="O301" i="18" s="1"/>
  <c r="M301" i="18" a="1"/>
  <c r="M301" i="18" s="1"/>
  <c r="K301" i="18" a="1"/>
  <c r="K301" i="18" s="1"/>
  <c r="I301" i="18" a="1"/>
  <c r="I301" i="18" s="1"/>
  <c r="G301" i="18" a="1"/>
  <c r="G301" i="18" s="1"/>
  <c r="BC301" i="18" a="1"/>
  <c r="BC301" i="18" s="1"/>
  <c r="AU301" i="18" a="1"/>
  <c r="AU301" i="18" s="1"/>
  <c r="AM301" i="18" a="1"/>
  <c r="AM301" i="18" s="1"/>
  <c r="AE301" i="18" a="1"/>
  <c r="AE301" i="18" s="1"/>
  <c r="AB301" i="18" a="1"/>
  <c r="AB301" i="18" s="1"/>
  <c r="Z301" i="18" a="1"/>
  <c r="Z301" i="18" s="1"/>
  <c r="X301" i="18" a="1"/>
  <c r="X301" i="18" s="1"/>
  <c r="V301" i="18" a="1"/>
  <c r="V301" i="18" s="1"/>
  <c r="T301" i="18" a="1"/>
  <c r="T301" i="18" s="1"/>
  <c r="R301" i="18" a="1"/>
  <c r="R301" i="18" s="1"/>
  <c r="P301" i="18" a="1"/>
  <c r="P301" i="18" s="1"/>
  <c r="N301" i="18" a="1"/>
  <c r="N301" i="18" s="1"/>
  <c r="L301" i="18" a="1"/>
  <c r="L301" i="18" s="1"/>
  <c r="J301" i="18" a="1"/>
  <c r="J301" i="18" s="1"/>
  <c r="H301" i="18" a="1"/>
  <c r="H301" i="18" s="1"/>
  <c r="D301" i="18"/>
  <c r="BC306" i="18" a="1"/>
  <c r="BC306" i="18" s="1"/>
  <c r="AY306" i="18" a="1"/>
  <c r="AY306" i="18" s="1"/>
  <c r="AU306" i="18" a="1"/>
  <c r="AU306" i="18" s="1"/>
  <c r="AQ306" i="18" a="1"/>
  <c r="AQ306" i="18" s="1"/>
  <c r="AM306" i="18" a="1"/>
  <c r="AM306" i="18" s="1"/>
  <c r="AI306" i="18" a="1"/>
  <c r="AI306" i="18" s="1"/>
  <c r="AE306" i="18" a="1"/>
  <c r="AE306" i="18" s="1"/>
  <c r="AB306" i="18" a="1"/>
  <c r="AB306" i="18" s="1"/>
  <c r="AA306" i="18" a="1"/>
  <c r="AA306" i="18" s="1"/>
  <c r="Z306" i="18" a="1"/>
  <c r="Z306" i="18" s="1"/>
  <c r="Y306" i="18" a="1"/>
  <c r="Y306" i="18" s="1"/>
  <c r="X306" i="18" a="1"/>
  <c r="X306" i="18" s="1"/>
  <c r="W306" i="18" a="1"/>
  <c r="W306" i="18" s="1"/>
  <c r="V306" i="18" a="1"/>
  <c r="V306" i="18" s="1"/>
  <c r="U306" i="18" a="1"/>
  <c r="U306" i="18" s="1"/>
  <c r="T306" i="18" a="1"/>
  <c r="T306" i="18" s="1"/>
  <c r="S306" i="18" a="1"/>
  <c r="S306" i="18" s="1"/>
  <c r="R306" i="18" a="1"/>
  <c r="R306" i="18" s="1"/>
  <c r="Q306" i="18" a="1"/>
  <c r="Q306" i="18" s="1"/>
  <c r="P306" i="18" a="1"/>
  <c r="P306" i="18" s="1"/>
  <c r="O306" i="18" a="1"/>
  <c r="O306" i="18" s="1"/>
  <c r="N306" i="18" a="1"/>
  <c r="N306" i="18" s="1"/>
  <c r="M306" i="18" a="1"/>
  <c r="M306" i="18" s="1"/>
  <c r="L306" i="18" a="1"/>
  <c r="L306" i="18" s="1"/>
  <c r="K306" i="18" a="1"/>
  <c r="K306" i="18" s="1"/>
  <c r="J306" i="18" a="1"/>
  <c r="J306" i="18" s="1"/>
  <c r="I306" i="18" a="1"/>
  <c r="I306" i="18" s="1"/>
  <c r="H306" i="18" a="1"/>
  <c r="H306" i="18" s="1"/>
  <c r="G306" i="18" a="1"/>
  <c r="G306" i="18" s="1"/>
  <c r="D306" i="18"/>
  <c r="BA306" i="18" a="1"/>
  <c r="BA306" i="18" s="1"/>
  <c r="AS306" i="18" a="1"/>
  <c r="AS306" i="18" s="1"/>
  <c r="AK306" i="18" a="1"/>
  <c r="AK306" i="18" s="1"/>
  <c r="AO306" i="18" a="1"/>
  <c r="AO306" i="18" s="1"/>
  <c r="AW306" i="18" a="1"/>
  <c r="AW306" i="18" s="1"/>
  <c r="AG306" i="18" a="1"/>
  <c r="AG306" i="18" s="1"/>
  <c r="BC314" i="18" a="1"/>
  <c r="BC314" i="18" s="1"/>
  <c r="AY314" i="18" a="1"/>
  <c r="AY314" i="18" s="1"/>
  <c r="AU314" i="18" a="1"/>
  <c r="AU314" i="18" s="1"/>
  <c r="AQ314" i="18" a="1"/>
  <c r="AQ314" i="18" s="1"/>
  <c r="AM314" i="18" a="1"/>
  <c r="AM314" i="18" s="1"/>
  <c r="AI314" i="18" a="1"/>
  <c r="AI314" i="18" s="1"/>
  <c r="AE314" i="18" a="1"/>
  <c r="AE314" i="18" s="1"/>
  <c r="AB314" i="18" a="1"/>
  <c r="AB314" i="18" s="1"/>
  <c r="AA314" i="18" a="1"/>
  <c r="AA314" i="18" s="1"/>
  <c r="Z314" i="18" a="1"/>
  <c r="Z314" i="18" s="1"/>
  <c r="Y314" i="18" a="1"/>
  <c r="Y314" i="18" s="1"/>
  <c r="X314" i="18" a="1"/>
  <c r="X314" i="18" s="1"/>
  <c r="W314" i="18" a="1"/>
  <c r="W314" i="18" s="1"/>
  <c r="V314" i="18" a="1"/>
  <c r="V314" i="18" s="1"/>
  <c r="U314" i="18" a="1"/>
  <c r="U314" i="18" s="1"/>
  <c r="T314" i="18" a="1"/>
  <c r="T314" i="18" s="1"/>
  <c r="S314" i="18" a="1"/>
  <c r="S314" i="18" s="1"/>
  <c r="R314" i="18" a="1"/>
  <c r="R314" i="18" s="1"/>
  <c r="Q314" i="18" a="1"/>
  <c r="Q314" i="18" s="1"/>
  <c r="P314" i="18" a="1"/>
  <c r="P314" i="18" s="1"/>
  <c r="O314" i="18" a="1"/>
  <c r="O314" i="18" s="1"/>
  <c r="N314" i="18" a="1"/>
  <c r="N314" i="18" s="1"/>
  <c r="M314" i="18" a="1"/>
  <c r="M314" i="18" s="1"/>
  <c r="L314" i="18" a="1"/>
  <c r="L314" i="18" s="1"/>
  <c r="K314" i="18" a="1"/>
  <c r="K314" i="18" s="1"/>
  <c r="J314" i="18" a="1"/>
  <c r="J314" i="18" s="1"/>
  <c r="I314" i="18" a="1"/>
  <c r="I314" i="18" s="1"/>
  <c r="H314" i="18" a="1"/>
  <c r="H314" i="18" s="1"/>
  <c r="G314" i="18" a="1"/>
  <c r="G314" i="18" s="1"/>
  <c r="D314" i="18"/>
  <c r="BA314" i="18" a="1"/>
  <c r="BA314" i="18" s="1"/>
  <c r="BB314" i="18" s="1"/>
  <c r="AS314" i="18" a="1"/>
  <c r="AS314" i="18" s="1"/>
  <c r="AK314" i="18" a="1"/>
  <c r="AK314" i="18" s="1"/>
  <c r="AO314" i="18" a="1"/>
  <c r="AO314" i="18" s="1"/>
  <c r="AW314" i="18" a="1"/>
  <c r="AW314" i="18" s="1"/>
  <c r="AG314" i="18" a="1"/>
  <c r="AG314" i="18" s="1"/>
  <c r="BC322" i="18" a="1"/>
  <c r="BC322" i="18" s="1"/>
  <c r="AY322" i="18" a="1"/>
  <c r="AY322" i="18" s="1"/>
  <c r="AU322" i="18" a="1"/>
  <c r="AU322" i="18" s="1"/>
  <c r="AQ322" i="18" a="1"/>
  <c r="AQ322" i="18" s="1"/>
  <c r="AM322" i="18" a="1"/>
  <c r="AM322" i="18" s="1"/>
  <c r="AI322" i="18" a="1"/>
  <c r="AI322" i="18" s="1"/>
  <c r="AE322" i="18" a="1"/>
  <c r="AE322" i="18" s="1"/>
  <c r="AB322" i="18" a="1"/>
  <c r="AB322" i="18" s="1"/>
  <c r="AA322" i="18" a="1"/>
  <c r="AA322" i="18" s="1"/>
  <c r="Z322" i="18" a="1"/>
  <c r="Z322" i="18" s="1"/>
  <c r="Y322" i="18" a="1"/>
  <c r="Y322" i="18" s="1"/>
  <c r="X322" i="18" a="1"/>
  <c r="X322" i="18" s="1"/>
  <c r="W322" i="18" a="1"/>
  <c r="W322" i="18" s="1"/>
  <c r="V322" i="18" a="1"/>
  <c r="V322" i="18" s="1"/>
  <c r="U322" i="18" a="1"/>
  <c r="U322" i="18" s="1"/>
  <c r="T322" i="18" a="1"/>
  <c r="T322" i="18" s="1"/>
  <c r="S322" i="18" a="1"/>
  <c r="S322" i="18" s="1"/>
  <c r="R322" i="18" a="1"/>
  <c r="R322" i="18" s="1"/>
  <c r="Q322" i="18" a="1"/>
  <c r="Q322" i="18" s="1"/>
  <c r="P322" i="18" a="1"/>
  <c r="P322" i="18" s="1"/>
  <c r="O322" i="18" a="1"/>
  <c r="O322" i="18" s="1"/>
  <c r="N322" i="18" a="1"/>
  <c r="N322" i="18" s="1"/>
  <c r="M322" i="18" a="1"/>
  <c r="M322" i="18" s="1"/>
  <c r="L322" i="18" a="1"/>
  <c r="L322" i="18" s="1"/>
  <c r="K322" i="18" a="1"/>
  <c r="K322" i="18" s="1"/>
  <c r="J322" i="18" a="1"/>
  <c r="J322" i="18" s="1"/>
  <c r="I322" i="18" a="1"/>
  <c r="I322" i="18" s="1"/>
  <c r="H322" i="18" a="1"/>
  <c r="H322" i="18" s="1"/>
  <c r="G322" i="18" a="1"/>
  <c r="G322" i="18" s="1"/>
  <c r="D322" i="18"/>
  <c r="BA322" i="18" a="1"/>
  <c r="BA322" i="18" s="1"/>
  <c r="BB322" i="18" s="1"/>
  <c r="AS322" i="18" a="1"/>
  <c r="AS322" i="18" s="1"/>
  <c r="AK322" i="18" a="1"/>
  <c r="AK322" i="18" s="1"/>
  <c r="AO322" i="18" a="1"/>
  <c r="AO322" i="18" s="1"/>
  <c r="AW322" i="18" a="1"/>
  <c r="AW322" i="18" s="1"/>
  <c r="AG322" i="18" a="1"/>
  <c r="AG322" i="18" s="1"/>
  <c r="BC330" i="18" a="1"/>
  <c r="BC330" i="18" s="1"/>
  <c r="AY330" i="18" a="1"/>
  <c r="AY330" i="18" s="1"/>
  <c r="AU330" i="18" a="1"/>
  <c r="AU330" i="18" s="1"/>
  <c r="AQ330" i="18" a="1"/>
  <c r="AQ330" i="18" s="1"/>
  <c r="AM330" i="18" a="1"/>
  <c r="AM330" i="18" s="1"/>
  <c r="AI330" i="18" a="1"/>
  <c r="AI330" i="18" s="1"/>
  <c r="AE330" i="18" a="1"/>
  <c r="AE330" i="18" s="1"/>
  <c r="AB330" i="18" a="1"/>
  <c r="AB330" i="18" s="1"/>
  <c r="AA330" i="18" a="1"/>
  <c r="AA330" i="18" s="1"/>
  <c r="Z330" i="18" a="1"/>
  <c r="Z330" i="18" s="1"/>
  <c r="Y330" i="18" a="1"/>
  <c r="Y330" i="18" s="1"/>
  <c r="X330" i="18" a="1"/>
  <c r="X330" i="18" s="1"/>
  <c r="W330" i="18" a="1"/>
  <c r="W330" i="18" s="1"/>
  <c r="V330" i="18" a="1"/>
  <c r="V330" i="18" s="1"/>
  <c r="U330" i="18" a="1"/>
  <c r="U330" i="18" s="1"/>
  <c r="T330" i="18" a="1"/>
  <c r="T330" i="18" s="1"/>
  <c r="S330" i="18" a="1"/>
  <c r="S330" i="18" s="1"/>
  <c r="R330" i="18" a="1"/>
  <c r="R330" i="18" s="1"/>
  <c r="Q330" i="18" a="1"/>
  <c r="Q330" i="18" s="1"/>
  <c r="P330" i="18" a="1"/>
  <c r="P330" i="18" s="1"/>
  <c r="O330" i="18" a="1"/>
  <c r="O330" i="18" s="1"/>
  <c r="N330" i="18" a="1"/>
  <c r="N330" i="18" s="1"/>
  <c r="M330" i="18" a="1"/>
  <c r="M330" i="18" s="1"/>
  <c r="L330" i="18" a="1"/>
  <c r="L330" i="18" s="1"/>
  <c r="K330" i="18" a="1"/>
  <c r="K330" i="18" s="1"/>
  <c r="J330" i="18" a="1"/>
  <c r="J330" i="18" s="1"/>
  <c r="I330" i="18" a="1"/>
  <c r="I330" i="18" s="1"/>
  <c r="H330" i="18" a="1"/>
  <c r="H330" i="18" s="1"/>
  <c r="G330" i="18" a="1"/>
  <c r="G330" i="18" s="1"/>
  <c r="D330" i="18"/>
  <c r="BA330" i="18" a="1"/>
  <c r="BA330" i="18" s="1"/>
  <c r="AS330" i="18" a="1"/>
  <c r="AS330" i="18" s="1"/>
  <c r="AK330" i="18" a="1"/>
  <c r="AK330" i="18" s="1"/>
  <c r="AO330" i="18" a="1"/>
  <c r="AO330" i="18" s="1"/>
  <c r="AW330" i="18" a="1"/>
  <c r="AW330" i="18" s="1"/>
  <c r="AG330" i="18" a="1"/>
  <c r="AG330" i="18" s="1"/>
  <c r="BC338" i="18" a="1"/>
  <c r="BC338" i="18" s="1"/>
  <c r="AY338" i="18" a="1"/>
  <c r="AY338" i="18" s="1"/>
  <c r="AU338" i="18" a="1"/>
  <c r="AU338" i="18" s="1"/>
  <c r="AQ338" i="18" a="1"/>
  <c r="AQ338" i="18" s="1"/>
  <c r="AM338" i="18" a="1"/>
  <c r="AM338" i="18" s="1"/>
  <c r="AI338" i="18" a="1"/>
  <c r="AI338" i="18" s="1"/>
  <c r="AE338" i="18" a="1"/>
  <c r="AE338" i="18" s="1"/>
  <c r="AB338" i="18" a="1"/>
  <c r="AB338" i="18" s="1"/>
  <c r="AA338" i="18" a="1"/>
  <c r="AA338" i="18" s="1"/>
  <c r="Z338" i="18" a="1"/>
  <c r="Z338" i="18" s="1"/>
  <c r="Y338" i="18" a="1"/>
  <c r="Y338" i="18" s="1"/>
  <c r="X338" i="18" a="1"/>
  <c r="X338" i="18" s="1"/>
  <c r="W338" i="18" a="1"/>
  <c r="W338" i="18" s="1"/>
  <c r="V338" i="18" a="1"/>
  <c r="V338" i="18" s="1"/>
  <c r="U338" i="18" a="1"/>
  <c r="U338" i="18" s="1"/>
  <c r="T338" i="18" a="1"/>
  <c r="T338" i="18" s="1"/>
  <c r="S338" i="18" a="1"/>
  <c r="S338" i="18" s="1"/>
  <c r="R338" i="18" a="1"/>
  <c r="R338" i="18" s="1"/>
  <c r="Q338" i="18" a="1"/>
  <c r="Q338" i="18" s="1"/>
  <c r="P338" i="18" a="1"/>
  <c r="P338" i="18" s="1"/>
  <c r="O338" i="18" a="1"/>
  <c r="O338" i="18" s="1"/>
  <c r="N338" i="18" a="1"/>
  <c r="N338" i="18" s="1"/>
  <c r="M338" i="18" a="1"/>
  <c r="M338" i="18" s="1"/>
  <c r="L338" i="18" a="1"/>
  <c r="L338" i="18" s="1"/>
  <c r="K338" i="18" a="1"/>
  <c r="K338" i="18" s="1"/>
  <c r="J338" i="18" a="1"/>
  <c r="J338" i="18" s="1"/>
  <c r="I338" i="18" a="1"/>
  <c r="I338" i="18" s="1"/>
  <c r="H338" i="18" a="1"/>
  <c r="H338" i="18" s="1"/>
  <c r="G338" i="18" a="1"/>
  <c r="G338" i="18" s="1"/>
  <c r="D338" i="18"/>
  <c r="AW338" i="18" a="1"/>
  <c r="AW338" i="18" s="1"/>
  <c r="AO338" i="18" a="1"/>
  <c r="AO338" i="18" s="1"/>
  <c r="AG338" i="18" a="1"/>
  <c r="AG338" i="18" s="1"/>
  <c r="AH338" i="18" s="1"/>
  <c r="BA338" i="18" a="1"/>
  <c r="BA338" i="18" s="1"/>
  <c r="AS338" i="18" a="1"/>
  <c r="AS338" i="18" s="1"/>
  <c r="AK338" i="18" a="1"/>
  <c r="AK338" i="18" s="1"/>
  <c r="BC332" i="18" a="1"/>
  <c r="BC332" i="18" s="1"/>
  <c r="AY332" i="18" a="1"/>
  <c r="AY332" i="18" s="1"/>
  <c r="AU332" i="18" a="1"/>
  <c r="AU332" i="18" s="1"/>
  <c r="AQ332" i="18" a="1"/>
  <c r="AQ332" i="18" s="1"/>
  <c r="AM332" i="18" a="1"/>
  <c r="AM332" i="18" s="1"/>
  <c r="AI332" i="18" a="1"/>
  <c r="AI332" i="18" s="1"/>
  <c r="AE332" i="18" a="1"/>
  <c r="AE332" i="18" s="1"/>
  <c r="AB332" i="18" a="1"/>
  <c r="AB332" i="18" s="1"/>
  <c r="AA332" i="18" a="1"/>
  <c r="AA332" i="18" s="1"/>
  <c r="Z332" i="18" a="1"/>
  <c r="Z332" i="18" s="1"/>
  <c r="Y332" i="18" a="1"/>
  <c r="Y332" i="18" s="1"/>
  <c r="X332" i="18" a="1"/>
  <c r="X332" i="18" s="1"/>
  <c r="W332" i="18" a="1"/>
  <c r="W332" i="18" s="1"/>
  <c r="V332" i="18" a="1"/>
  <c r="V332" i="18" s="1"/>
  <c r="U332" i="18" a="1"/>
  <c r="U332" i="18" s="1"/>
  <c r="T332" i="18" a="1"/>
  <c r="T332" i="18" s="1"/>
  <c r="S332" i="18" a="1"/>
  <c r="S332" i="18" s="1"/>
  <c r="R332" i="18" a="1"/>
  <c r="R332" i="18" s="1"/>
  <c r="Q332" i="18" a="1"/>
  <c r="Q332" i="18" s="1"/>
  <c r="P332" i="18" a="1"/>
  <c r="P332" i="18" s="1"/>
  <c r="O332" i="18" a="1"/>
  <c r="O332" i="18" s="1"/>
  <c r="N332" i="18" a="1"/>
  <c r="N332" i="18" s="1"/>
  <c r="M332" i="18" a="1"/>
  <c r="M332" i="18" s="1"/>
  <c r="L332" i="18" a="1"/>
  <c r="L332" i="18" s="1"/>
  <c r="K332" i="18" a="1"/>
  <c r="K332" i="18" s="1"/>
  <c r="J332" i="18" a="1"/>
  <c r="J332" i="18" s="1"/>
  <c r="I332" i="18" a="1"/>
  <c r="I332" i="18" s="1"/>
  <c r="H332" i="18" a="1"/>
  <c r="H332" i="18" s="1"/>
  <c r="G332" i="18" a="1"/>
  <c r="G332" i="18" s="1"/>
  <c r="D332" i="18"/>
  <c r="BA332" i="18" a="1"/>
  <c r="BA332" i="18" s="1"/>
  <c r="BB332" i="18" s="1"/>
  <c r="AS332" i="18" a="1"/>
  <c r="AS332" i="18" s="1"/>
  <c r="AK332" i="18" a="1"/>
  <c r="AK332" i="18" s="1"/>
  <c r="AW332" i="18" a="1"/>
  <c r="AW332" i="18" s="1"/>
  <c r="AO332" i="18" a="1"/>
  <c r="AO332" i="18" s="1"/>
  <c r="AG332" i="18" a="1"/>
  <c r="AG332" i="18" s="1"/>
  <c r="BC340" i="18" a="1"/>
  <c r="BC340" i="18" s="1"/>
  <c r="AY340" i="18" a="1"/>
  <c r="AY340" i="18" s="1"/>
  <c r="AU340" i="18" a="1"/>
  <c r="AU340" i="18" s="1"/>
  <c r="AQ340" i="18" a="1"/>
  <c r="AQ340" i="18" s="1"/>
  <c r="AM340" i="18" a="1"/>
  <c r="AM340" i="18" s="1"/>
  <c r="AI340" i="18" a="1"/>
  <c r="AI340" i="18" s="1"/>
  <c r="AE340" i="18" a="1"/>
  <c r="AE340" i="18" s="1"/>
  <c r="AB340" i="18" a="1"/>
  <c r="AB340" i="18" s="1"/>
  <c r="AA340" i="18" a="1"/>
  <c r="AA340" i="18" s="1"/>
  <c r="Z340" i="18" a="1"/>
  <c r="Z340" i="18" s="1"/>
  <c r="Y340" i="18" a="1"/>
  <c r="Y340" i="18" s="1"/>
  <c r="X340" i="18" a="1"/>
  <c r="X340" i="18" s="1"/>
  <c r="W340" i="18" a="1"/>
  <c r="W340" i="18" s="1"/>
  <c r="V340" i="18" a="1"/>
  <c r="V340" i="18" s="1"/>
  <c r="U340" i="18" a="1"/>
  <c r="U340" i="18" s="1"/>
  <c r="T340" i="18" a="1"/>
  <c r="T340" i="18" s="1"/>
  <c r="S340" i="18" a="1"/>
  <c r="S340" i="18" s="1"/>
  <c r="R340" i="18" a="1"/>
  <c r="R340" i="18" s="1"/>
  <c r="Q340" i="18" a="1"/>
  <c r="Q340" i="18" s="1"/>
  <c r="P340" i="18" a="1"/>
  <c r="P340" i="18" s="1"/>
  <c r="O340" i="18" a="1"/>
  <c r="O340" i="18" s="1"/>
  <c r="N340" i="18" a="1"/>
  <c r="N340" i="18" s="1"/>
  <c r="M340" i="18" a="1"/>
  <c r="M340" i="18" s="1"/>
  <c r="L340" i="18" a="1"/>
  <c r="L340" i="18" s="1"/>
  <c r="K340" i="18" a="1"/>
  <c r="K340" i="18" s="1"/>
  <c r="J340" i="18" a="1"/>
  <c r="J340" i="18" s="1"/>
  <c r="I340" i="18" a="1"/>
  <c r="I340" i="18" s="1"/>
  <c r="H340" i="18" a="1"/>
  <c r="H340" i="18" s="1"/>
  <c r="G340" i="18" a="1"/>
  <c r="G340" i="18" s="1"/>
  <c r="D340" i="18"/>
  <c r="BA340" i="18" a="1"/>
  <c r="BA340" i="18" s="1"/>
  <c r="BB340" i="18" s="1"/>
  <c r="AS340" i="18" a="1"/>
  <c r="AS340" i="18" s="1"/>
  <c r="AK340" i="18" a="1"/>
  <c r="AK340" i="18" s="1"/>
  <c r="AW340" i="18" a="1"/>
  <c r="AW340" i="18" s="1"/>
  <c r="AO340" i="18" a="1"/>
  <c r="AO340" i="18" s="1"/>
  <c r="AG340" i="18" a="1"/>
  <c r="AG340" i="18" s="1"/>
  <c r="BA305" i="18" a="1"/>
  <c r="BA305" i="18" s="1"/>
  <c r="AW305" i="18" a="1"/>
  <c r="AW305" i="18" s="1"/>
  <c r="AS305" i="18" a="1"/>
  <c r="AS305" i="18" s="1"/>
  <c r="AO305" i="18" a="1"/>
  <c r="AO305" i="18" s="1"/>
  <c r="AK305" i="18" a="1"/>
  <c r="AK305" i="18" s="1"/>
  <c r="AG305" i="18" a="1"/>
  <c r="AG305" i="18" s="1"/>
  <c r="BC305" i="18" a="1"/>
  <c r="BC305" i="18" s="1"/>
  <c r="AU305" i="18" a="1"/>
  <c r="AU305" i="18" s="1"/>
  <c r="AM305" i="18" a="1"/>
  <c r="AM305" i="18" s="1"/>
  <c r="AE305" i="18" a="1"/>
  <c r="AE305" i="18" s="1"/>
  <c r="AB305" i="18" a="1"/>
  <c r="AB305" i="18" s="1"/>
  <c r="Z305" i="18" a="1"/>
  <c r="Z305" i="18" s="1"/>
  <c r="X305" i="18" a="1"/>
  <c r="X305" i="18" s="1"/>
  <c r="V305" i="18" a="1"/>
  <c r="V305" i="18" s="1"/>
  <c r="T305" i="18" a="1"/>
  <c r="T305" i="18" s="1"/>
  <c r="R305" i="18" a="1"/>
  <c r="R305" i="18" s="1"/>
  <c r="P305" i="18" a="1"/>
  <c r="P305" i="18" s="1"/>
  <c r="N305" i="18" a="1"/>
  <c r="N305" i="18" s="1"/>
  <c r="L305" i="18" a="1"/>
  <c r="L305" i="18" s="1"/>
  <c r="J305" i="18" a="1"/>
  <c r="J305" i="18" s="1"/>
  <c r="H305" i="18" a="1"/>
  <c r="H305" i="18" s="1"/>
  <c r="D305" i="18"/>
  <c r="AY305" i="18" a="1"/>
  <c r="AY305" i="18" s="1"/>
  <c r="AI305" i="18" a="1"/>
  <c r="AI305" i="18" s="1"/>
  <c r="Y305" i="18" a="1"/>
  <c r="Y305" i="18" s="1"/>
  <c r="U305" i="18" a="1"/>
  <c r="U305" i="18" s="1"/>
  <c r="Q305" i="18" a="1"/>
  <c r="Q305" i="18" s="1"/>
  <c r="M305" i="18" a="1"/>
  <c r="M305" i="18" s="1"/>
  <c r="I305" i="18" a="1"/>
  <c r="I305" i="18" s="1"/>
  <c r="AQ305" i="18" a="1"/>
  <c r="AQ305" i="18" s="1"/>
  <c r="AA305" i="18" a="1"/>
  <c r="AA305" i="18" s="1"/>
  <c r="W305" i="18" a="1"/>
  <c r="W305" i="18" s="1"/>
  <c r="S305" i="18" a="1"/>
  <c r="S305" i="18" s="1"/>
  <c r="O305" i="18" a="1"/>
  <c r="O305" i="18" s="1"/>
  <c r="K305" i="18" a="1"/>
  <c r="K305" i="18" s="1"/>
  <c r="G305" i="18" a="1"/>
  <c r="G305" i="18" s="1"/>
  <c r="BA309" i="18" a="1"/>
  <c r="BA309" i="18" s="1"/>
  <c r="AW309" i="18" a="1"/>
  <c r="AW309" i="18" s="1"/>
  <c r="AS309" i="18" a="1"/>
  <c r="AS309" i="18" s="1"/>
  <c r="AO309" i="18" a="1"/>
  <c r="AO309" i="18" s="1"/>
  <c r="AK309" i="18" a="1"/>
  <c r="AK309" i="18" s="1"/>
  <c r="AG309" i="18" a="1"/>
  <c r="AG309" i="18" s="1"/>
  <c r="BC309" i="18" a="1"/>
  <c r="BC309" i="18" s="1"/>
  <c r="AU309" i="18" a="1"/>
  <c r="AU309" i="18" s="1"/>
  <c r="AM309" i="18" a="1"/>
  <c r="AM309" i="18" s="1"/>
  <c r="AE309" i="18" a="1"/>
  <c r="AE309" i="18" s="1"/>
  <c r="AB309" i="18" a="1"/>
  <c r="AB309" i="18" s="1"/>
  <c r="Z309" i="18" a="1"/>
  <c r="Z309" i="18" s="1"/>
  <c r="X309" i="18" a="1"/>
  <c r="X309" i="18" s="1"/>
  <c r="V309" i="18" a="1"/>
  <c r="V309" i="18" s="1"/>
  <c r="T309" i="18" a="1"/>
  <c r="T309" i="18" s="1"/>
  <c r="R309" i="18" a="1"/>
  <c r="R309" i="18" s="1"/>
  <c r="P309" i="18" a="1"/>
  <c r="P309" i="18" s="1"/>
  <c r="N309" i="18" a="1"/>
  <c r="N309" i="18" s="1"/>
  <c r="L309" i="18" a="1"/>
  <c r="L309" i="18" s="1"/>
  <c r="J309" i="18" a="1"/>
  <c r="J309" i="18" s="1"/>
  <c r="H309" i="18" a="1"/>
  <c r="H309" i="18" s="1"/>
  <c r="D309" i="18"/>
  <c r="AQ309" i="18" a="1"/>
  <c r="AQ309" i="18" s="1"/>
  <c r="AA309" i="18" a="1"/>
  <c r="AA309" i="18" s="1"/>
  <c r="W309" i="18" a="1"/>
  <c r="W309" i="18" s="1"/>
  <c r="S309" i="18" a="1"/>
  <c r="S309" i="18" s="1"/>
  <c r="O309" i="18" a="1"/>
  <c r="O309" i="18" s="1"/>
  <c r="K309" i="18" a="1"/>
  <c r="K309" i="18" s="1"/>
  <c r="G309" i="18" a="1"/>
  <c r="G309" i="18" s="1"/>
  <c r="AY309" i="18" a="1"/>
  <c r="AY309" i="18" s="1"/>
  <c r="AI309" i="18" a="1"/>
  <c r="AI309" i="18" s="1"/>
  <c r="Y309" i="18" a="1"/>
  <c r="Y309" i="18" s="1"/>
  <c r="U309" i="18" a="1"/>
  <c r="U309" i="18" s="1"/>
  <c r="Q309" i="18" a="1"/>
  <c r="Q309" i="18" s="1"/>
  <c r="M309" i="18" a="1"/>
  <c r="M309" i="18" s="1"/>
  <c r="I309" i="18" a="1"/>
  <c r="I309" i="18" s="1"/>
  <c r="BA313" i="18" a="1"/>
  <c r="BA313" i="18" s="1"/>
  <c r="AW313" i="18" a="1"/>
  <c r="AW313" i="18" s="1"/>
  <c r="AS313" i="18" a="1"/>
  <c r="AS313" i="18" s="1"/>
  <c r="AO313" i="18" a="1"/>
  <c r="AO313" i="18" s="1"/>
  <c r="AK313" i="18" a="1"/>
  <c r="AK313" i="18" s="1"/>
  <c r="AG313" i="18" a="1"/>
  <c r="AG313" i="18" s="1"/>
  <c r="BC313" i="18" a="1"/>
  <c r="BC313" i="18" s="1"/>
  <c r="AU313" i="18" a="1"/>
  <c r="AU313" i="18" s="1"/>
  <c r="AM313" i="18" a="1"/>
  <c r="AM313" i="18" s="1"/>
  <c r="AE313" i="18" a="1"/>
  <c r="AE313" i="18" s="1"/>
  <c r="AB313" i="18" a="1"/>
  <c r="AB313" i="18" s="1"/>
  <c r="Z313" i="18" a="1"/>
  <c r="Z313" i="18" s="1"/>
  <c r="X313" i="18" a="1"/>
  <c r="X313" i="18" s="1"/>
  <c r="V313" i="18" a="1"/>
  <c r="V313" i="18" s="1"/>
  <c r="T313" i="18" a="1"/>
  <c r="T313" i="18" s="1"/>
  <c r="R313" i="18" a="1"/>
  <c r="R313" i="18" s="1"/>
  <c r="P313" i="18" a="1"/>
  <c r="P313" i="18" s="1"/>
  <c r="N313" i="18" a="1"/>
  <c r="N313" i="18" s="1"/>
  <c r="L313" i="18" a="1"/>
  <c r="L313" i="18" s="1"/>
  <c r="J313" i="18" a="1"/>
  <c r="J313" i="18" s="1"/>
  <c r="H313" i="18" a="1"/>
  <c r="H313" i="18" s="1"/>
  <c r="D313" i="18"/>
  <c r="AY313" i="18" a="1"/>
  <c r="AY313" i="18" s="1"/>
  <c r="AI313" i="18" a="1"/>
  <c r="AI313" i="18" s="1"/>
  <c r="Y313" i="18" a="1"/>
  <c r="Y313" i="18" s="1"/>
  <c r="U313" i="18" a="1"/>
  <c r="U313" i="18" s="1"/>
  <c r="Q313" i="18" a="1"/>
  <c r="Q313" i="18" s="1"/>
  <c r="M313" i="18" a="1"/>
  <c r="M313" i="18" s="1"/>
  <c r="I313" i="18" a="1"/>
  <c r="I313" i="18" s="1"/>
  <c r="AQ313" i="18" a="1"/>
  <c r="AQ313" i="18" s="1"/>
  <c r="AA313" i="18" a="1"/>
  <c r="AA313" i="18" s="1"/>
  <c r="W313" i="18" a="1"/>
  <c r="W313" i="18" s="1"/>
  <c r="S313" i="18" a="1"/>
  <c r="S313" i="18" s="1"/>
  <c r="O313" i="18" a="1"/>
  <c r="O313" i="18" s="1"/>
  <c r="K313" i="18" a="1"/>
  <c r="K313" i="18" s="1"/>
  <c r="G313" i="18" a="1"/>
  <c r="G313" i="18" s="1"/>
  <c r="BA317" i="18" a="1"/>
  <c r="BA317" i="18" s="1"/>
  <c r="AW317" i="18" a="1"/>
  <c r="AW317" i="18" s="1"/>
  <c r="AS317" i="18" a="1"/>
  <c r="AS317" i="18" s="1"/>
  <c r="AO317" i="18" a="1"/>
  <c r="AO317" i="18" s="1"/>
  <c r="AK317" i="18" a="1"/>
  <c r="AK317" i="18" s="1"/>
  <c r="AG317" i="18" a="1"/>
  <c r="AG317" i="18" s="1"/>
  <c r="BC317" i="18" a="1"/>
  <c r="BC317" i="18" s="1"/>
  <c r="AU317" i="18" a="1"/>
  <c r="AU317" i="18" s="1"/>
  <c r="AM317" i="18" a="1"/>
  <c r="AM317" i="18" s="1"/>
  <c r="AE317" i="18" a="1"/>
  <c r="AE317" i="18" s="1"/>
  <c r="AB317" i="18" a="1"/>
  <c r="AB317" i="18" s="1"/>
  <c r="Z317" i="18" a="1"/>
  <c r="Z317" i="18" s="1"/>
  <c r="X317" i="18" a="1"/>
  <c r="X317" i="18" s="1"/>
  <c r="V317" i="18" a="1"/>
  <c r="V317" i="18" s="1"/>
  <c r="T317" i="18" a="1"/>
  <c r="T317" i="18" s="1"/>
  <c r="R317" i="18" a="1"/>
  <c r="R317" i="18" s="1"/>
  <c r="P317" i="18" a="1"/>
  <c r="P317" i="18" s="1"/>
  <c r="N317" i="18" a="1"/>
  <c r="N317" i="18" s="1"/>
  <c r="L317" i="18" a="1"/>
  <c r="L317" i="18" s="1"/>
  <c r="J317" i="18" a="1"/>
  <c r="J317" i="18" s="1"/>
  <c r="H317" i="18" a="1"/>
  <c r="H317" i="18" s="1"/>
  <c r="D317" i="18"/>
  <c r="AQ317" i="18" a="1"/>
  <c r="AQ317" i="18" s="1"/>
  <c r="AA317" i="18" a="1"/>
  <c r="AA317" i="18" s="1"/>
  <c r="W317" i="18" a="1"/>
  <c r="W317" i="18" s="1"/>
  <c r="S317" i="18" a="1"/>
  <c r="S317" i="18" s="1"/>
  <c r="O317" i="18" a="1"/>
  <c r="O317" i="18" s="1"/>
  <c r="K317" i="18" a="1"/>
  <c r="K317" i="18" s="1"/>
  <c r="G317" i="18" a="1"/>
  <c r="G317" i="18" s="1"/>
  <c r="AY317" i="18" a="1"/>
  <c r="AY317" i="18" s="1"/>
  <c r="AI317" i="18" a="1"/>
  <c r="AI317" i="18" s="1"/>
  <c r="Y317" i="18" a="1"/>
  <c r="Y317" i="18" s="1"/>
  <c r="U317" i="18" a="1"/>
  <c r="U317" i="18" s="1"/>
  <c r="Q317" i="18" a="1"/>
  <c r="Q317" i="18" s="1"/>
  <c r="M317" i="18" a="1"/>
  <c r="M317" i="18" s="1"/>
  <c r="I317" i="18" a="1"/>
  <c r="I317" i="18" s="1"/>
  <c r="BA321" i="18" a="1"/>
  <c r="BA321" i="18" s="1"/>
  <c r="AW321" i="18" a="1"/>
  <c r="AW321" i="18" s="1"/>
  <c r="AS321" i="18" a="1"/>
  <c r="AS321" i="18" s="1"/>
  <c r="AO321" i="18" a="1"/>
  <c r="AO321" i="18" s="1"/>
  <c r="AK321" i="18" a="1"/>
  <c r="AK321" i="18" s="1"/>
  <c r="AG321" i="18" a="1"/>
  <c r="AG321" i="18" s="1"/>
  <c r="BC321" i="18" a="1"/>
  <c r="BC321" i="18" s="1"/>
  <c r="AU321" i="18" a="1"/>
  <c r="AU321" i="18" s="1"/>
  <c r="AM321" i="18" a="1"/>
  <c r="AM321" i="18" s="1"/>
  <c r="AE321" i="18" a="1"/>
  <c r="AE321" i="18" s="1"/>
  <c r="AB321" i="18" a="1"/>
  <c r="AB321" i="18" s="1"/>
  <c r="Z321" i="18" a="1"/>
  <c r="Z321" i="18" s="1"/>
  <c r="X321" i="18" a="1"/>
  <c r="X321" i="18" s="1"/>
  <c r="V321" i="18" a="1"/>
  <c r="V321" i="18" s="1"/>
  <c r="T321" i="18" a="1"/>
  <c r="T321" i="18" s="1"/>
  <c r="R321" i="18" a="1"/>
  <c r="R321" i="18" s="1"/>
  <c r="P321" i="18" a="1"/>
  <c r="P321" i="18" s="1"/>
  <c r="N321" i="18" a="1"/>
  <c r="N321" i="18" s="1"/>
  <c r="L321" i="18" a="1"/>
  <c r="L321" i="18" s="1"/>
  <c r="J321" i="18" a="1"/>
  <c r="J321" i="18" s="1"/>
  <c r="H321" i="18" a="1"/>
  <c r="H321" i="18" s="1"/>
  <c r="D321" i="18"/>
  <c r="AY321" i="18" a="1"/>
  <c r="AY321" i="18" s="1"/>
  <c r="AI321" i="18" a="1"/>
  <c r="AI321" i="18" s="1"/>
  <c r="Y321" i="18" a="1"/>
  <c r="Y321" i="18" s="1"/>
  <c r="U321" i="18" a="1"/>
  <c r="U321" i="18" s="1"/>
  <c r="Q321" i="18" a="1"/>
  <c r="Q321" i="18" s="1"/>
  <c r="M321" i="18" a="1"/>
  <c r="M321" i="18" s="1"/>
  <c r="I321" i="18" a="1"/>
  <c r="I321" i="18" s="1"/>
  <c r="AQ321" i="18" a="1"/>
  <c r="AQ321" i="18" s="1"/>
  <c r="AA321" i="18" a="1"/>
  <c r="AA321" i="18" s="1"/>
  <c r="W321" i="18" a="1"/>
  <c r="W321" i="18" s="1"/>
  <c r="S321" i="18" a="1"/>
  <c r="S321" i="18" s="1"/>
  <c r="O321" i="18" a="1"/>
  <c r="O321" i="18" s="1"/>
  <c r="K321" i="18" a="1"/>
  <c r="K321" i="18" s="1"/>
  <c r="G321" i="18" a="1"/>
  <c r="G321" i="18" s="1"/>
  <c r="BA325" i="18" a="1"/>
  <c r="BA325" i="18" s="1"/>
  <c r="AW325" i="18" a="1"/>
  <c r="AW325" i="18" s="1"/>
  <c r="AS325" i="18" a="1"/>
  <c r="AS325" i="18" s="1"/>
  <c r="AO325" i="18" a="1"/>
  <c r="AO325" i="18" s="1"/>
  <c r="AK325" i="18" a="1"/>
  <c r="AK325" i="18" s="1"/>
  <c r="AG325" i="18" a="1"/>
  <c r="AG325" i="18" s="1"/>
  <c r="BC325" i="18" a="1"/>
  <c r="BC325" i="18" s="1"/>
  <c r="AU325" i="18" a="1"/>
  <c r="AU325" i="18" s="1"/>
  <c r="AM325" i="18" a="1"/>
  <c r="AM325" i="18" s="1"/>
  <c r="AE325" i="18" a="1"/>
  <c r="AE325" i="18" s="1"/>
  <c r="AB325" i="18" a="1"/>
  <c r="AB325" i="18" s="1"/>
  <c r="Z325" i="18" a="1"/>
  <c r="Z325" i="18" s="1"/>
  <c r="X325" i="18" a="1"/>
  <c r="X325" i="18" s="1"/>
  <c r="V325" i="18" a="1"/>
  <c r="V325" i="18" s="1"/>
  <c r="T325" i="18" a="1"/>
  <c r="T325" i="18" s="1"/>
  <c r="R325" i="18" a="1"/>
  <c r="R325" i="18" s="1"/>
  <c r="P325" i="18" a="1"/>
  <c r="P325" i="18" s="1"/>
  <c r="N325" i="18" a="1"/>
  <c r="N325" i="18" s="1"/>
  <c r="L325" i="18" a="1"/>
  <c r="L325" i="18" s="1"/>
  <c r="J325" i="18" a="1"/>
  <c r="J325" i="18" s="1"/>
  <c r="H325" i="18" a="1"/>
  <c r="H325" i="18" s="1"/>
  <c r="D325" i="18"/>
  <c r="AQ325" i="18" a="1"/>
  <c r="AQ325" i="18" s="1"/>
  <c r="AA325" i="18" a="1"/>
  <c r="AA325" i="18" s="1"/>
  <c r="W325" i="18" a="1"/>
  <c r="W325" i="18" s="1"/>
  <c r="S325" i="18" a="1"/>
  <c r="S325" i="18" s="1"/>
  <c r="O325" i="18" a="1"/>
  <c r="O325" i="18" s="1"/>
  <c r="K325" i="18" a="1"/>
  <c r="K325" i="18" s="1"/>
  <c r="G325" i="18" a="1"/>
  <c r="G325" i="18" s="1"/>
  <c r="AY325" i="18" a="1"/>
  <c r="AY325" i="18" s="1"/>
  <c r="AI325" i="18" a="1"/>
  <c r="AI325" i="18" s="1"/>
  <c r="Y325" i="18" a="1"/>
  <c r="Y325" i="18" s="1"/>
  <c r="U325" i="18" a="1"/>
  <c r="U325" i="18" s="1"/>
  <c r="Q325" i="18" a="1"/>
  <c r="Q325" i="18" s="1"/>
  <c r="M325" i="18" a="1"/>
  <c r="M325" i="18" s="1"/>
  <c r="I325" i="18" a="1"/>
  <c r="I325" i="18" s="1"/>
  <c r="BA329" i="18" a="1"/>
  <c r="BA329" i="18" s="1"/>
  <c r="AW329" i="18" a="1"/>
  <c r="AW329" i="18" s="1"/>
  <c r="AS329" i="18" a="1"/>
  <c r="AS329" i="18" s="1"/>
  <c r="AO329" i="18" a="1"/>
  <c r="AO329" i="18" s="1"/>
  <c r="AK329" i="18" a="1"/>
  <c r="AK329" i="18" s="1"/>
  <c r="AG329" i="18" a="1"/>
  <c r="AG329" i="18" s="1"/>
  <c r="BC329" i="18" a="1"/>
  <c r="BC329" i="18" s="1"/>
  <c r="AU329" i="18" a="1"/>
  <c r="AU329" i="18" s="1"/>
  <c r="AM329" i="18" a="1"/>
  <c r="AM329" i="18" s="1"/>
  <c r="AE329" i="18" a="1"/>
  <c r="AE329" i="18" s="1"/>
  <c r="AB329" i="18" a="1"/>
  <c r="AB329" i="18" s="1"/>
  <c r="Z329" i="18" a="1"/>
  <c r="Z329" i="18" s="1"/>
  <c r="X329" i="18" a="1"/>
  <c r="X329" i="18" s="1"/>
  <c r="V329" i="18" a="1"/>
  <c r="V329" i="18" s="1"/>
  <c r="T329" i="18" a="1"/>
  <c r="T329" i="18" s="1"/>
  <c r="R329" i="18" a="1"/>
  <c r="R329" i="18" s="1"/>
  <c r="P329" i="18" a="1"/>
  <c r="P329" i="18" s="1"/>
  <c r="N329" i="18" a="1"/>
  <c r="N329" i="18" s="1"/>
  <c r="L329" i="18" a="1"/>
  <c r="L329" i="18" s="1"/>
  <c r="J329" i="18" a="1"/>
  <c r="J329" i="18" s="1"/>
  <c r="H329" i="18" a="1"/>
  <c r="H329" i="18" s="1"/>
  <c r="D329" i="18"/>
  <c r="AY329" i="18" a="1"/>
  <c r="AY329" i="18" s="1"/>
  <c r="AI329" i="18" a="1"/>
  <c r="AI329" i="18" s="1"/>
  <c r="Y329" i="18" a="1"/>
  <c r="Y329" i="18" s="1"/>
  <c r="U329" i="18" a="1"/>
  <c r="U329" i="18" s="1"/>
  <c r="Q329" i="18" a="1"/>
  <c r="Q329" i="18" s="1"/>
  <c r="M329" i="18" a="1"/>
  <c r="M329" i="18" s="1"/>
  <c r="I329" i="18" a="1"/>
  <c r="I329" i="18" s="1"/>
  <c r="AQ329" i="18" a="1"/>
  <c r="AQ329" i="18" s="1"/>
  <c r="AA329" i="18" a="1"/>
  <c r="AA329" i="18" s="1"/>
  <c r="W329" i="18" a="1"/>
  <c r="W329" i="18" s="1"/>
  <c r="S329" i="18" a="1"/>
  <c r="S329" i="18" s="1"/>
  <c r="O329" i="18" a="1"/>
  <c r="O329" i="18" s="1"/>
  <c r="K329" i="18" a="1"/>
  <c r="K329" i="18" s="1"/>
  <c r="G329" i="18" a="1"/>
  <c r="G329" i="18" s="1"/>
  <c r="BA333" i="18" a="1"/>
  <c r="BA333" i="18" s="1"/>
  <c r="AW333" i="18" a="1"/>
  <c r="AW333" i="18" s="1"/>
  <c r="AS333" i="18" a="1"/>
  <c r="AS333" i="18" s="1"/>
  <c r="AO333" i="18" a="1"/>
  <c r="AO333" i="18" s="1"/>
  <c r="AK333" i="18" a="1"/>
  <c r="AK333" i="18" s="1"/>
  <c r="AG333" i="18" a="1"/>
  <c r="AG333" i="18" s="1"/>
  <c r="AY333" i="18" a="1"/>
  <c r="AY333" i="18" s="1"/>
  <c r="AQ333" i="18" a="1"/>
  <c r="AQ333" i="18" s="1"/>
  <c r="AI333" i="18" a="1"/>
  <c r="AI333" i="18" s="1"/>
  <c r="AA333" i="18" a="1"/>
  <c r="AA333" i="18" s="1"/>
  <c r="Y333" i="18" a="1"/>
  <c r="Y333" i="18" s="1"/>
  <c r="W333" i="18" a="1"/>
  <c r="W333" i="18" s="1"/>
  <c r="U333" i="18" a="1"/>
  <c r="U333" i="18" s="1"/>
  <c r="S333" i="18" a="1"/>
  <c r="S333" i="18" s="1"/>
  <c r="Q333" i="18" a="1"/>
  <c r="Q333" i="18" s="1"/>
  <c r="O333" i="18" a="1"/>
  <c r="O333" i="18" s="1"/>
  <c r="M333" i="18" a="1"/>
  <c r="M333" i="18" s="1"/>
  <c r="K333" i="18" a="1"/>
  <c r="K333" i="18" s="1"/>
  <c r="I333" i="18" a="1"/>
  <c r="I333" i="18" s="1"/>
  <c r="G333" i="18" a="1"/>
  <c r="G333" i="18" s="1"/>
  <c r="BC333" i="18" a="1"/>
  <c r="BC333" i="18" s="1"/>
  <c r="AU333" i="18" a="1"/>
  <c r="AU333" i="18" s="1"/>
  <c r="AM333" i="18" a="1"/>
  <c r="AM333" i="18" s="1"/>
  <c r="AE333" i="18" a="1"/>
  <c r="AE333" i="18" s="1"/>
  <c r="AB333" i="18" a="1"/>
  <c r="AB333" i="18" s="1"/>
  <c r="Z333" i="18" a="1"/>
  <c r="Z333" i="18" s="1"/>
  <c r="X333" i="18" a="1"/>
  <c r="X333" i="18" s="1"/>
  <c r="V333" i="18" a="1"/>
  <c r="V333" i="18" s="1"/>
  <c r="T333" i="18" a="1"/>
  <c r="T333" i="18" s="1"/>
  <c r="R333" i="18" a="1"/>
  <c r="R333" i="18" s="1"/>
  <c r="P333" i="18" a="1"/>
  <c r="P333" i="18" s="1"/>
  <c r="N333" i="18" a="1"/>
  <c r="N333" i="18" s="1"/>
  <c r="L333" i="18" a="1"/>
  <c r="L333" i="18" s="1"/>
  <c r="J333" i="18" a="1"/>
  <c r="J333" i="18" s="1"/>
  <c r="H333" i="18" a="1"/>
  <c r="H333" i="18" s="1"/>
  <c r="D333" i="18"/>
  <c r="BA337" i="18" a="1"/>
  <c r="BA337" i="18" s="1"/>
  <c r="AW337" i="18" a="1"/>
  <c r="AW337" i="18" s="1"/>
  <c r="AS337" i="18" a="1"/>
  <c r="AS337" i="18" s="1"/>
  <c r="AO337" i="18" a="1"/>
  <c r="AO337" i="18" s="1"/>
  <c r="AK337" i="18" a="1"/>
  <c r="AK337" i="18" s="1"/>
  <c r="AG337" i="18" a="1"/>
  <c r="AG337" i="18" s="1"/>
  <c r="AY337" i="18" a="1"/>
  <c r="AY337" i="18" s="1"/>
  <c r="AQ337" i="18" a="1"/>
  <c r="AQ337" i="18" s="1"/>
  <c r="AI337" i="18" a="1"/>
  <c r="AI337" i="18" s="1"/>
  <c r="AA337" i="18" a="1"/>
  <c r="AA337" i="18" s="1"/>
  <c r="Y337" i="18" a="1"/>
  <c r="Y337" i="18" s="1"/>
  <c r="W337" i="18" a="1"/>
  <c r="W337" i="18" s="1"/>
  <c r="U337" i="18" a="1"/>
  <c r="U337" i="18" s="1"/>
  <c r="S337" i="18" a="1"/>
  <c r="S337" i="18" s="1"/>
  <c r="Q337" i="18" a="1"/>
  <c r="Q337" i="18" s="1"/>
  <c r="O337" i="18" a="1"/>
  <c r="O337" i="18" s="1"/>
  <c r="M337" i="18" a="1"/>
  <c r="M337" i="18" s="1"/>
  <c r="K337" i="18" a="1"/>
  <c r="K337" i="18" s="1"/>
  <c r="I337" i="18" a="1"/>
  <c r="I337" i="18" s="1"/>
  <c r="G337" i="18" a="1"/>
  <c r="G337" i="18" s="1"/>
  <c r="BC337" i="18" a="1"/>
  <c r="BC337" i="18" s="1"/>
  <c r="AU337" i="18" a="1"/>
  <c r="AU337" i="18" s="1"/>
  <c r="AM337" i="18" a="1"/>
  <c r="AM337" i="18" s="1"/>
  <c r="AE337" i="18" a="1"/>
  <c r="AE337" i="18" s="1"/>
  <c r="AB337" i="18" a="1"/>
  <c r="AB337" i="18" s="1"/>
  <c r="Z337" i="18" a="1"/>
  <c r="Z337" i="18" s="1"/>
  <c r="X337" i="18" a="1"/>
  <c r="X337" i="18" s="1"/>
  <c r="V337" i="18" a="1"/>
  <c r="V337" i="18" s="1"/>
  <c r="T337" i="18" a="1"/>
  <c r="T337" i="18" s="1"/>
  <c r="R337" i="18" a="1"/>
  <c r="R337" i="18" s="1"/>
  <c r="P337" i="18" a="1"/>
  <c r="P337" i="18" s="1"/>
  <c r="N337" i="18" a="1"/>
  <c r="N337" i="18" s="1"/>
  <c r="L337" i="18" a="1"/>
  <c r="L337" i="18" s="1"/>
  <c r="J337" i="18" a="1"/>
  <c r="J337" i="18" s="1"/>
  <c r="H337" i="18" a="1"/>
  <c r="H337" i="18" s="1"/>
  <c r="D337" i="18"/>
  <c r="BA341" i="18" a="1"/>
  <c r="BA341" i="18" s="1"/>
  <c r="AW341" i="18" a="1"/>
  <c r="AW341" i="18" s="1"/>
  <c r="AS341" i="18" a="1"/>
  <c r="AS341" i="18" s="1"/>
  <c r="AO341" i="18" a="1"/>
  <c r="AO341" i="18" s="1"/>
  <c r="AK341" i="18" a="1"/>
  <c r="AK341" i="18" s="1"/>
  <c r="AG341" i="18" a="1"/>
  <c r="AG341" i="18" s="1"/>
  <c r="AY341" i="18" a="1"/>
  <c r="AY341" i="18" s="1"/>
  <c r="AQ341" i="18" a="1"/>
  <c r="AQ341" i="18" s="1"/>
  <c r="AI341" i="18" a="1"/>
  <c r="AI341" i="18" s="1"/>
  <c r="AA341" i="18" a="1"/>
  <c r="AA341" i="18" s="1"/>
  <c r="Y341" i="18" a="1"/>
  <c r="Y341" i="18" s="1"/>
  <c r="W341" i="18" a="1"/>
  <c r="W341" i="18" s="1"/>
  <c r="U341" i="18" a="1"/>
  <c r="U341" i="18" s="1"/>
  <c r="S341" i="18" a="1"/>
  <c r="S341" i="18" s="1"/>
  <c r="Q341" i="18" a="1"/>
  <c r="Q341" i="18" s="1"/>
  <c r="O341" i="18" a="1"/>
  <c r="O341" i="18" s="1"/>
  <c r="M341" i="18" a="1"/>
  <c r="M341" i="18" s="1"/>
  <c r="K341" i="18" a="1"/>
  <c r="K341" i="18" s="1"/>
  <c r="I341" i="18" a="1"/>
  <c r="I341" i="18" s="1"/>
  <c r="G341" i="18" a="1"/>
  <c r="G341" i="18" s="1"/>
  <c r="BC341" i="18" a="1"/>
  <c r="BC341" i="18" s="1"/>
  <c r="AU341" i="18" a="1"/>
  <c r="AU341" i="18" s="1"/>
  <c r="AM341" i="18" a="1"/>
  <c r="AM341" i="18" s="1"/>
  <c r="AE341" i="18" a="1"/>
  <c r="AE341" i="18" s="1"/>
  <c r="AB341" i="18" a="1"/>
  <c r="AB341" i="18" s="1"/>
  <c r="Z341" i="18" a="1"/>
  <c r="Z341" i="18" s="1"/>
  <c r="X341" i="18" a="1"/>
  <c r="X341" i="18" s="1"/>
  <c r="V341" i="18" a="1"/>
  <c r="V341" i="18" s="1"/>
  <c r="T341" i="18" a="1"/>
  <c r="T341" i="18" s="1"/>
  <c r="R341" i="18" a="1"/>
  <c r="R341" i="18" s="1"/>
  <c r="P341" i="18" a="1"/>
  <c r="P341" i="18" s="1"/>
  <c r="N341" i="18" a="1"/>
  <c r="N341" i="18" s="1"/>
  <c r="L341" i="18" a="1"/>
  <c r="L341" i="18" s="1"/>
  <c r="J341" i="18" a="1"/>
  <c r="J341" i="18" s="1"/>
  <c r="H341" i="18" a="1"/>
  <c r="H341" i="18" s="1"/>
  <c r="D341" i="18"/>
  <c r="L8" i="17" a="1"/>
  <c r="L8" i="17" s="1"/>
  <c r="I27" i="1"/>
  <c r="J8" i="17" a="1"/>
  <c r="J8" i="17" s="1"/>
  <c r="I8" i="17" a="1"/>
  <c r="I8" i="17" s="1"/>
  <c r="H8" i="17" a="1"/>
  <c r="H8" i="17" s="1"/>
  <c r="G8" i="17" a="1"/>
  <c r="G8" i="17" s="1"/>
  <c r="F8" i="17" a="1"/>
  <c r="F8" i="17" s="1"/>
  <c r="H27" i="1" s="1"/>
  <c r="E8" i="17" a="1"/>
  <c r="E8" i="17" s="1"/>
  <c r="G27" i="1" s="1"/>
  <c r="D8" i="17" a="1"/>
  <c r="D8" i="17" s="1"/>
  <c r="F27" i="1" s="1"/>
  <c r="B8" i="17"/>
  <c r="E27" i="1" s="1"/>
  <c r="L10" i="17" a="1"/>
  <c r="L10" i="17" s="1"/>
  <c r="I29" i="1"/>
  <c r="J10" i="17" a="1"/>
  <c r="J10" i="17" s="1"/>
  <c r="I10" i="17" a="1"/>
  <c r="I10" i="17" s="1"/>
  <c r="H10" i="17" a="1"/>
  <c r="H10" i="17" s="1"/>
  <c r="G10" i="17" a="1"/>
  <c r="G10" i="17" s="1"/>
  <c r="F10" i="17" a="1"/>
  <c r="F10" i="17" s="1"/>
  <c r="H29" i="1" s="1"/>
  <c r="E10" i="17" a="1"/>
  <c r="E10" i="17" s="1"/>
  <c r="G29" i="1" s="1"/>
  <c r="D10" i="17" a="1"/>
  <c r="D10" i="17" s="1"/>
  <c r="F29" i="1" s="1"/>
  <c r="B10" i="17"/>
  <c r="E29" i="1" s="1"/>
  <c r="L12" i="17" a="1"/>
  <c r="L12" i="17" s="1"/>
  <c r="I31" i="1"/>
  <c r="J12" i="17" a="1"/>
  <c r="J12" i="17" s="1"/>
  <c r="I12" i="17" a="1"/>
  <c r="I12" i="17" s="1"/>
  <c r="H12" i="17" a="1"/>
  <c r="H12" i="17" s="1"/>
  <c r="G12" i="17" a="1"/>
  <c r="G12" i="17" s="1"/>
  <c r="F12" i="17" a="1"/>
  <c r="F12" i="17" s="1"/>
  <c r="H31" i="1" s="1"/>
  <c r="E12" i="17" a="1"/>
  <c r="E12" i="17" s="1"/>
  <c r="G31" i="1" s="1"/>
  <c r="D12" i="17" a="1"/>
  <c r="D12" i="17" s="1"/>
  <c r="F31" i="1" s="1"/>
  <c r="B12" i="17"/>
  <c r="E31" i="1" s="1"/>
  <c r="L14" i="17" a="1"/>
  <c r="L14" i="17" s="1"/>
  <c r="I33" i="1"/>
  <c r="J14" i="17" a="1"/>
  <c r="J14" i="17" s="1"/>
  <c r="I14" i="17" a="1"/>
  <c r="I14" i="17" s="1"/>
  <c r="H14" i="17" a="1"/>
  <c r="H14" i="17" s="1"/>
  <c r="G14" i="17" a="1"/>
  <c r="G14" i="17" s="1"/>
  <c r="F14" i="17" a="1"/>
  <c r="F14" i="17" s="1"/>
  <c r="H33" i="1" s="1"/>
  <c r="E14" i="17" a="1"/>
  <c r="E14" i="17" s="1"/>
  <c r="G33" i="1" s="1"/>
  <c r="D14" i="17" a="1"/>
  <c r="D14" i="17" s="1"/>
  <c r="F33" i="1" s="1"/>
  <c r="B14" i="17"/>
  <c r="E33" i="1" s="1"/>
  <c r="L16" i="17" a="1"/>
  <c r="L16" i="17" s="1"/>
  <c r="I35" i="1"/>
  <c r="J16" i="17" a="1"/>
  <c r="J16" i="17" s="1"/>
  <c r="I16" i="17" a="1"/>
  <c r="I16" i="17" s="1"/>
  <c r="H16" i="17" a="1"/>
  <c r="H16" i="17" s="1"/>
  <c r="G16" i="17" a="1"/>
  <c r="G16" i="17" s="1"/>
  <c r="F16" i="17" a="1"/>
  <c r="F16" i="17" s="1"/>
  <c r="H35" i="1" s="1"/>
  <c r="E16" i="17" a="1"/>
  <c r="E16" i="17" s="1"/>
  <c r="G35" i="1" s="1"/>
  <c r="D16" i="17" a="1"/>
  <c r="D16" i="17" s="1"/>
  <c r="F35" i="1" s="1"/>
  <c r="B16" i="17"/>
  <c r="E35" i="1" s="1"/>
  <c r="L18" i="17" a="1"/>
  <c r="L18" i="17" s="1"/>
  <c r="I37" i="1"/>
  <c r="J18" i="17" a="1"/>
  <c r="J18" i="17" s="1"/>
  <c r="I18" i="17" a="1"/>
  <c r="I18" i="17" s="1"/>
  <c r="H18" i="17" a="1"/>
  <c r="H18" i="17" s="1"/>
  <c r="G18" i="17" a="1"/>
  <c r="G18" i="17" s="1"/>
  <c r="F18" i="17" a="1"/>
  <c r="F18" i="17" s="1"/>
  <c r="H37" i="1" s="1"/>
  <c r="E18" i="17" a="1"/>
  <c r="E18" i="17" s="1"/>
  <c r="G37" i="1" s="1"/>
  <c r="D18" i="17" a="1"/>
  <c r="D18" i="17" s="1"/>
  <c r="F37" i="1" s="1"/>
  <c r="B18" i="17"/>
  <c r="E37" i="1" s="1"/>
  <c r="L20" i="17" a="1"/>
  <c r="L20" i="17" s="1"/>
  <c r="I39" i="1"/>
  <c r="J20" i="17" a="1"/>
  <c r="J20" i="17" s="1"/>
  <c r="I20" i="17" a="1"/>
  <c r="I20" i="17" s="1"/>
  <c r="H20" i="17" a="1"/>
  <c r="H20" i="17" s="1"/>
  <c r="G20" i="17" a="1"/>
  <c r="G20" i="17" s="1"/>
  <c r="F20" i="17" a="1"/>
  <c r="F20" i="17" s="1"/>
  <c r="H39" i="1" s="1"/>
  <c r="E20" i="17" a="1"/>
  <c r="E20" i="17" s="1"/>
  <c r="G39" i="1" s="1"/>
  <c r="D20" i="17" a="1"/>
  <c r="D20" i="17" s="1"/>
  <c r="F39" i="1" s="1"/>
  <c r="B20" i="17"/>
  <c r="E39" i="1" s="1"/>
  <c r="BB300" i="18" l="1"/>
  <c r="BB204" i="18"/>
  <c r="AH246" i="18"/>
  <c r="AT238" i="18"/>
  <c r="AT278" i="18"/>
  <c r="BB228" i="18"/>
  <c r="AT254" i="18"/>
  <c r="AL308" i="18"/>
  <c r="BB236" i="18"/>
  <c r="AL324" i="18"/>
  <c r="BB328" i="18"/>
  <c r="AT270" i="18"/>
  <c r="AH214" i="18"/>
  <c r="AH238" i="18"/>
  <c r="AR325" i="18"/>
  <c r="AH270" i="18"/>
  <c r="AH222" i="18"/>
  <c r="AH262" i="18"/>
  <c r="AH312" i="18"/>
  <c r="AR309" i="18"/>
  <c r="BB260" i="18"/>
  <c r="BB292" i="18"/>
  <c r="AT222" i="18"/>
  <c r="BB284" i="18"/>
  <c r="AT294" i="18"/>
  <c r="AH230" i="18"/>
  <c r="BB306" i="18"/>
  <c r="BB330" i="18"/>
  <c r="AH308" i="18"/>
  <c r="AT18" i="18"/>
  <c r="AT338" i="18"/>
  <c r="BB252" i="18"/>
  <c r="AT262" i="18"/>
  <c r="AH294" i="18"/>
  <c r="AH254" i="18"/>
  <c r="AT286" i="18"/>
  <c r="AH286" i="18"/>
  <c r="AX67" i="18"/>
  <c r="AT183" i="18"/>
  <c r="AT179" i="18"/>
  <c r="AT175" i="18"/>
  <c r="AT171" i="18"/>
  <c r="AT167" i="18"/>
  <c r="AT163" i="18"/>
  <c r="AT159" i="18"/>
  <c r="AT155" i="18"/>
  <c r="AT115" i="18"/>
  <c r="AT106" i="18"/>
  <c r="AT102" i="18"/>
  <c r="AT94" i="18"/>
  <c r="AT90" i="18"/>
  <c r="AT86" i="18"/>
  <c r="AT82" i="18"/>
  <c r="AT78" i="18"/>
  <c r="AT74" i="18"/>
  <c r="AT70" i="18"/>
  <c r="AT26" i="18"/>
  <c r="AH66" i="18"/>
  <c r="BD323" i="18"/>
  <c r="BD315" i="18"/>
  <c r="BD307" i="18"/>
  <c r="AL336" i="18"/>
  <c r="AL326" i="18"/>
  <c r="AL318" i="18"/>
  <c r="AL310" i="18"/>
  <c r="BB302" i="18"/>
  <c r="AL296" i="18"/>
  <c r="AL288" i="18"/>
  <c r="AL280" i="18"/>
  <c r="AL272" i="18"/>
  <c r="AL264" i="18"/>
  <c r="AL256" i="18"/>
  <c r="AL248" i="18"/>
  <c r="AL240" i="18"/>
  <c r="AL232" i="18"/>
  <c r="AL224" i="18"/>
  <c r="AL216" i="18"/>
  <c r="AL208" i="18"/>
  <c r="AL200" i="18"/>
  <c r="AT196" i="18"/>
  <c r="AZ68" i="18"/>
  <c r="AV66" i="18"/>
  <c r="AT58" i="18"/>
  <c r="AT50" i="18"/>
  <c r="AT42" i="18"/>
  <c r="AT34" i="18"/>
  <c r="AL198" i="18"/>
  <c r="AR317" i="18"/>
  <c r="AL340" i="18"/>
  <c r="AL332" i="18"/>
  <c r="AL330" i="18"/>
  <c r="AL306" i="18"/>
  <c r="AL292" i="18"/>
  <c r="AL276" i="18"/>
  <c r="AL268" i="18"/>
  <c r="AL260" i="18"/>
  <c r="AL244" i="18"/>
  <c r="AL236" i="18"/>
  <c r="AL220" i="18"/>
  <c r="AL212" i="18"/>
  <c r="AT185" i="18"/>
  <c r="AT181" i="18"/>
  <c r="AT177" i="18"/>
  <c r="AT125" i="18"/>
  <c r="AT121" i="18"/>
  <c r="AT117" i="18"/>
  <c r="AT113" i="18"/>
  <c r="AT108" i="18"/>
  <c r="AT104" i="18"/>
  <c r="AT100" i="18"/>
  <c r="AT96" i="18"/>
  <c r="AT92" i="18"/>
  <c r="AT88" i="18"/>
  <c r="AT84" i="18"/>
  <c r="AT80" i="18"/>
  <c r="AT76" i="18"/>
  <c r="AT72" i="18"/>
  <c r="AT64" i="18"/>
  <c r="AT60" i="18"/>
  <c r="AL322" i="18"/>
  <c r="AL314" i="18"/>
  <c r="AL300" i="18"/>
  <c r="AL284" i="18"/>
  <c r="AL252" i="18"/>
  <c r="AL228" i="18"/>
  <c r="AL204" i="18"/>
  <c r="AZ329" i="18"/>
  <c r="AJ325" i="18"/>
  <c r="AZ321" i="18"/>
  <c r="AJ317" i="18"/>
  <c r="AJ309" i="18"/>
  <c r="AX322" i="18"/>
  <c r="AX312" i="18"/>
  <c r="AP300" i="18"/>
  <c r="AP276" i="18"/>
  <c r="AP268" i="18"/>
  <c r="AP236" i="18"/>
  <c r="AP228" i="18"/>
  <c r="AP212" i="18"/>
  <c r="AX324" i="18"/>
  <c r="AX294" i="18"/>
  <c r="AX278" i="18"/>
  <c r="AX270" i="18"/>
  <c r="AX262" i="18"/>
  <c r="AX254" i="18"/>
  <c r="AX246" i="18"/>
  <c r="AX238" i="18"/>
  <c r="AX230" i="18"/>
  <c r="AX222" i="18"/>
  <c r="AX214" i="18"/>
  <c r="AX206" i="18"/>
  <c r="AT193" i="18"/>
  <c r="AT189" i="18"/>
  <c r="AT173" i="18"/>
  <c r="AT169" i="18"/>
  <c r="AT165" i="18"/>
  <c r="AT161" i="18"/>
  <c r="AT157" i="18"/>
  <c r="AT153" i="18"/>
  <c r="AT149" i="18"/>
  <c r="AT145" i="18"/>
  <c r="AT141" i="18"/>
  <c r="AT137" i="18"/>
  <c r="AT133" i="18"/>
  <c r="AT129" i="18"/>
  <c r="AT56" i="18"/>
  <c r="AT52" i="18"/>
  <c r="AT48" i="18"/>
  <c r="AT44" i="18"/>
  <c r="AT40" i="18"/>
  <c r="AT36" i="18"/>
  <c r="AT32" i="18"/>
  <c r="AT28" i="18"/>
  <c r="AT24" i="18"/>
  <c r="AT20" i="18"/>
  <c r="AT16" i="18"/>
  <c r="AZ313" i="18"/>
  <c r="AZ305" i="18"/>
  <c r="AP340" i="18"/>
  <c r="AP332" i="18"/>
  <c r="AX338" i="18"/>
  <c r="AX330" i="18"/>
  <c r="AX314" i="18"/>
  <c r="AX306" i="18"/>
  <c r="AX328" i="18"/>
  <c r="AP292" i="18"/>
  <c r="AP284" i="18"/>
  <c r="AP260" i="18"/>
  <c r="AP252" i="18"/>
  <c r="AP244" i="18"/>
  <c r="AP220" i="18"/>
  <c r="AP204" i="18"/>
  <c r="AX308" i="18"/>
  <c r="AX286" i="18"/>
  <c r="AT12" i="18"/>
  <c r="AT8" i="18"/>
  <c r="AT151" i="18"/>
  <c r="AT147" i="18"/>
  <c r="AT143" i="18"/>
  <c r="AT139" i="18"/>
  <c r="AT135" i="18"/>
  <c r="AT131" i="18"/>
  <c r="AT127" i="18"/>
  <c r="AT123" i="18"/>
  <c r="AT119" i="18"/>
  <c r="AT111" i="18"/>
  <c r="AT98" i="18"/>
  <c r="AT62" i="18"/>
  <c r="AT54" i="18"/>
  <c r="AT46" i="18"/>
  <c r="AT38" i="18"/>
  <c r="AT30" i="18"/>
  <c r="AT22" i="18"/>
  <c r="AT14" i="18"/>
  <c r="AZ343" i="18"/>
  <c r="AZ339" i="18"/>
  <c r="AZ335" i="18"/>
  <c r="AP336" i="18"/>
  <c r="AX342" i="18"/>
  <c r="AX334" i="18"/>
  <c r="AH326" i="18"/>
  <c r="AH318" i="18"/>
  <c r="AH310" i="18"/>
  <c r="AH302" i="18"/>
  <c r="AZ299" i="18"/>
  <c r="AZ295" i="18"/>
  <c r="AZ291" i="18"/>
  <c r="AZ287" i="18"/>
  <c r="AZ283" i="18"/>
  <c r="AZ279" i="18"/>
  <c r="AZ275" i="18"/>
  <c r="AZ271" i="18"/>
  <c r="AZ267" i="18"/>
  <c r="AZ263" i="18"/>
  <c r="AZ259" i="18"/>
  <c r="AZ255" i="18"/>
  <c r="AZ251" i="18"/>
  <c r="AZ247" i="18"/>
  <c r="AZ243" i="18"/>
  <c r="AZ239" i="18"/>
  <c r="AZ235" i="18"/>
  <c r="AZ231" i="18"/>
  <c r="AZ227" i="18"/>
  <c r="AZ223" i="18"/>
  <c r="AZ219" i="18"/>
  <c r="AZ215" i="18"/>
  <c r="AZ211" i="18"/>
  <c r="AZ207" i="18"/>
  <c r="AZ203" i="18"/>
  <c r="AZ199" i="18"/>
  <c r="AX320" i="18"/>
  <c r="AX304" i="18"/>
  <c r="AP296" i="18"/>
  <c r="AP288" i="18"/>
  <c r="AP280" i="18"/>
  <c r="AP272" i="18"/>
  <c r="AP264" i="18"/>
  <c r="AP256" i="18"/>
  <c r="AP248" i="18"/>
  <c r="AP240" i="18"/>
  <c r="AP232" i="18"/>
  <c r="AP224" i="18"/>
  <c r="AP216" i="18"/>
  <c r="AP208" i="18"/>
  <c r="AP200" i="18"/>
  <c r="AX316" i="18"/>
  <c r="AX298" i="18"/>
  <c r="AX290" i="18"/>
  <c r="AX282" i="18"/>
  <c r="AX274" i="18"/>
  <c r="AX266" i="18"/>
  <c r="AX258" i="18"/>
  <c r="AX250" i="18"/>
  <c r="AX242" i="18"/>
  <c r="AX234" i="18"/>
  <c r="AX226" i="18"/>
  <c r="AX218" i="18"/>
  <c r="AX210" i="18"/>
  <c r="AX202" i="18"/>
  <c r="AT191" i="18"/>
  <c r="AT187" i="18"/>
  <c r="AH278" i="18"/>
  <c r="AN341" i="18"/>
  <c r="BD341" i="18"/>
  <c r="AN337" i="18"/>
  <c r="BD337" i="18"/>
  <c r="AN333" i="18"/>
  <c r="BD333" i="18"/>
  <c r="AN329" i="18"/>
  <c r="BD329" i="18"/>
  <c r="AT329" i="18"/>
  <c r="AN325" i="18"/>
  <c r="BD325" i="18"/>
  <c r="AL325" i="18"/>
  <c r="BB325" i="18"/>
  <c r="AN321" i="18"/>
  <c r="BD321" i="18"/>
  <c r="AT321" i="18"/>
  <c r="AN317" i="18"/>
  <c r="BD317" i="18"/>
  <c r="AL317" i="18"/>
  <c r="BB317" i="18"/>
  <c r="AN313" i="18"/>
  <c r="BD313" i="18"/>
  <c r="AT313" i="18"/>
  <c r="AN309" i="18"/>
  <c r="BD309" i="18"/>
  <c r="AL309" i="18"/>
  <c r="BB309" i="18"/>
  <c r="AN305" i="18"/>
  <c r="BD305" i="18"/>
  <c r="AT305" i="18"/>
  <c r="AF340" i="18"/>
  <c r="AN340" i="18"/>
  <c r="AV340" i="18"/>
  <c r="BD340" i="18"/>
  <c r="AF332" i="18"/>
  <c r="AN332" i="18"/>
  <c r="AV332" i="18"/>
  <c r="BD332" i="18"/>
  <c r="AF338" i="18"/>
  <c r="AN338" i="18"/>
  <c r="AV338" i="18"/>
  <c r="BD338" i="18"/>
  <c r="AF330" i="18"/>
  <c r="AN330" i="18"/>
  <c r="AV330" i="18"/>
  <c r="BD330" i="18"/>
  <c r="AF322" i="18"/>
  <c r="AN322" i="18"/>
  <c r="AV322" i="18"/>
  <c r="BD322" i="18"/>
  <c r="AF314" i="18"/>
  <c r="AN314" i="18"/>
  <c r="AV314" i="18"/>
  <c r="BD314" i="18"/>
  <c r="AF306" i="18"/>
  <c r="AN306" i="18"/>
  <c r="AV306" i="18"/>
  <c r="BD306" i="18"/>
  <c r="AN301" i="18"/>
  <c r="BD301" i="18"/>
  <c r="AN297" i="18"/>
  <c r="BD297" i="18"/>
  <c r="AN293" i="18"/>
  <c r="BD293" i="18"/>
  <c r="AN289" i="18"/>
  <c r="BD289" i="18"/>
  <c r="AN285" i="18"/>
  <c r="BD285" i="18"/>
  <c r="AN281" i="18"/>
  <c r="BD281" i="18"/>
  <c r="AN277" i="18"/>
  <c r="BD277" i="18"/>
  <c r="AN273" i="18"/>
  <c r="BD273" i="18"/>
  <c r="AN269" i="18"/>
  <c r="BD269" i="18"/>
  <c r="AN265" i="18"/>
  <c r="BD265" i="18"/>
  <c r="AN261" i="18"/>
  <c r="BD261" i="18"/>
  <c r="AN257" i="18"/>
  <c r="BD257" i="18"/>
  <c r="AN253" i="18"/>
  <c r="BD253" i="18"/>
  <c r="AN249" i="18"/>
  <c r="BD249" i="18"/>
  <c r="AN245" i="18"/>
  <c r="BD245" i="18"/>
  <c r="AN241" i="18"/>
  <c r="BD241" i="18"/>
  <c r="AN237" i="18"/>
  <c r="BD237" i="18"/>
  <c r="AN233" i="18"/>
  <c r="BD233" i="18"/>
  <c r="AN229" i="18"/>
  <c r="BD229" i="18"/>
  <c r="AN225" i="18"/>
  <c r="BD225" i="18"/>
  <c r="AN221" i="18"/>
  <c r="BD221" i="18"/>
  <c r="AN217" i="18"/>
  <c r="BD217" i="18"/>
  <c r="AN213" i="18"/>
  <c r="BD213" i="18"/>
  <c r="AN209" i="18"/>
  <c r="BD209" i="18"/>
  <c r="AN205" i="18"/>
  <c r="BD205" i="18"/>
  <c r="AN201" i="18"/>
  <c r="BD201" i="18"/>
  <c r="AF328" i="18"/>
  <c r="AN328" i="18"/>
  <c r="AV328" i="18"/>
  <c r="BD328" i="18"/>
  <c r="AF312" i="18"/>
  <c r="AN312" i="18"/>
  <c r="AV312" i="18"/>
  <c r="BD312" i="18"/>
  <c r="AF300" i="18"/>
  <c r="AN300" i="18"/>
  <c r="AV300" i="18"/>
  <c r="BD300" i="18"/>
  <c r="AF292" i="18"/>
  <c r="AN292" i="18"/>
  <c r="AV292" i="18"/>
  <c r="BD292" i="18"/>
  <c r="AF284" i="18"/>
  <c r="AN284" i="18"/>
  <c r="AV284" i="18"/>
  <c r="BD284" i="18"/>
  <c r="AF276" i="18"/>
  <c r="AN276" i="18"/>
  <c r="AV276" i="18"/>
  <c r="BD276" i="18"/>
  <c r="AF268" i="18"/>
  <c r="AN268" i="18"/>
  <c r="AV268" i="18"/>
  <c r="BD268" i="18"/>
  <c r="AF260" i="18"/>
  <c r="AN260" i="18"/>
  <c r="AV260" i="18"/>
  <c r="BD260" i="18"/>
  <c r="AF252" i="18"/>
  <c r="AN252" i="18"/>
  <c r="AV252" i="18"/>
  <c r="BD252" i="18"/>
  <c r="AF244" i="18"/>
  <c r="AN244" i="18"/>
  <c r="AV244" i="18"/>
  <c r="BD244" i="18"/>
  <c r="AF236" i="18"/>
  <c r="AN236" i="18"/>
  <c r="AV236" i="18"/>
  <c r="BD236" i="18"/>
  <c r="AF228" i="18"/>
  <c r="AN228" i="18"/>
  <c r="AV228" i="18"/>
  <c r="BD228" i="18"/>
  <c r="AF220" i="18"/>
  <c r="AN220" i="18"/>
  <c r="AV220" i="18"/>
  <c r="BD220" i="18"/>
  <c r="AF212" i="18"/>
  <c r="AN212" i="18"/>
  <c r="AV212" i="18"/>
  <c r="BD212" i="18"/>
  <c r="AF204" i="18"/>
  <c r="AN204" i="18"/>
  <c r="AV204" i="18"/>
  <c r="BD204" i="18"/>
  <c r="AF197" i="18"/>
  <c r="AN197" i="18"/>
  <c r="AV197" i="18"/>
  <c r="BD197" i="18"/>
  <c r="AF324" i="18"/>
  <c r="AN324" i="18"/>
  <c r="AV324" i="18"/>
  <c r="BD324" i="18"/>
  <c r="AF308" i="18"/>
  <c r="AN308" i="18"/>
  <c r="AV308" i="18"/>
  <c r="BD308" i="18"/>
  <c r="AF294" i="18"/>
  <c r="AN294" i="18"/>
  <c r="AV294" i="18"/>
  <c r="BD294" i="18"/>
  <c r="AF286" i="18"/>
  <c r="AN286" i="18"/>
  <c r="AV286" i="18"/>
  <c r="BD286" i="18"/>
  <c r="AF278" i="18"/>
  <c r="AN278" i="18"/>
  <c r="AV278" i="18"/>
  <c r="BD278" i="18"/>
  <c r="AF270" i="18"/>
  <c r="AN270" i="18"/>
  <c r="AV270" i="18"/>
  <c r="BD270" i="18"/>
  <c r="AF262" i="18"/>
  <c r="AN262" i="18"/>
  <c r="AV262" i="18"/>
  <c r="BD262" i="18"/>
  <c r="AF254" i="18"/>
  <c r="AN254" i="18"/>
  <c r="AV254" i="18"/>
  <c r="BD254" i="18"/>
  <c r="AF246" i="18"/>
  <c r="AN246" i="18"/>
  <c r="AV246" i="18"/>
  <c r="BD246" i="18"/>
  <c r="AF238" i="18"/>
  <c r="AN238" i="18"/>
  <c r="AV238" i="18"/>
  <c r="BD238" i="18"/>
  <c r="AF230" i="18"/>
  <c r="AN230" i="18"/>
  <c r="AV230" i="18"/>
  <c r="BD230" i="18"/>
  <c r="AF222" i="18"/>
  <c r="AN222" i="18"/>
  <c r="AV222" i="18"/>
  <c r="BD222" i="18"/>
  <c r="AF214" i="18"/>
  <c r="AN214" i="18"/>
  <c r="AV214" i="18"/>
  <c r="BD214" i="18"/>
  <c r="AF206" i="18"/>
  <c r="AN206" i="18"/>
  <c r="AV206" i="18"/>
  <c r="BD206" i="18"/>
  <c r="AP198" i="18"/>
  <c r="AV198" i="18"/>
  <c r="BD198" i="18"/>
  <c r="AF194" i="18"/>
  <c r="AN194" i="18"/>
  <c r="AV194" i="18"/>
  <c r="BD194" i="18"/>
  <c r="AF190" i="18"/>
  <c r="AN190" i="18"/>
  <c r="AV190" i="18"/>
  <c r="BD190" i="18"/>
  <c r="AF186" i="18"/>
  <c r="AN186" i="18"/>
  <c r="AV186" i="18"/>
  <c r="BD186" i="18"/>
  <c r="AF182" i="18"/>
  <c r="AN182" i="18"/>
  <c r="AV182" i="18"/>
  <c r="BD182" i="18"/>
  <c r="AF178" i="18"/>
  <c r="AN178" i="18"/>
  <c r="AV178" i="18"/>
  <c r="BD178" i="18"/>
  <c r="AF174" i="18"/>
  <c r="AN174" i="18"/>
  <c r="AV174" i="18"/>
  <c r="BD174" i="18"/>
  <c r="AF170" i="18"/>
  <c r="AN170" i="18"/>
  <c r="AV170" i="18"/>
  <c r="BD170" i="18"/>
  <c r="AF166" i="18"/>
  <c r="AN166" i="18"/>
  <c r="AV166" i="18"/>
  <c r="BD166" i="18"/>
  <c r="AF162" i="18"/>
  <c r="AN162" i="18"/>
  <c r="AV162" i="18"/>
  <c r="BD162" i="18"/>
  <c r="AF158" i="18"/>
  <c r="AN158" i="18"/>
  <c r="AV158" i="18"/>
  <c r="BD158" i="18"/>
  <c r="AF154" i="18"/>
  <c r="AN154" i="18"/>
  <c r="AV154" i="18"/>
  <c r="BD154" i="18"/>
  <c r="AF150" i="18"/>
  <c r="AN150" i="18"/>
  <c r="AV150" i="18"/>
  <c r="BD150" i="18"/>
  <c r="AF146" i="18"/>
  <c r="AN146" i="18"/>
  <c r="AV146" i="18"/>
  <c r="BD146" i="18"/>
  <c r="AF142" i="18"/>
  <c r="AN142" i="18"/>
  <c r="AV142" i="18"/>
  <c r="BD142" i="18"/>
  <c r="AF138" i="18"/>
  <c r="AN138" i="18"/>
  <c r="AV138" i="18"/>
  <c r="BD138" i="18"/>
  <c r="AF134" i="18"/>
  <c r="AN134" i="18"/>
  <c r="AV134" i="18"/>
  <c r="BD134" i="18"/>
  <c r="AF130" i="18"/>
  <c r="AN130" i="18"/>
  <c r="AV130" i="18"/>
  <c r="BD130" i="18"/>
  <c r="AF126" i="18"/>
  <c r="AN126" i="18"/>
  <c r="AV126" i="18"/>
  <c r="BD126" i="18"/>
  <c r="AF122" i="18"/>
  <c r="AN122" i="18"/>
  <c r="AV122" i="18"/>
  <c r="BD122" i="18"/>
  <c r="AF118" i="18"/>
  <c r="AN118" i="18"/>
  <c r="AV118" i="18"/>
  <c r="BD118" i="18"/>
  <c r="AF114" i="18"/>
  <c r="AN114" i="18"/>
  <c r="AV114" i="18"/>
  <c r="BD114" i="18"/>
  <c r="AF110" i="18"/>
  <c r="AN110" i="18"/>
  <c r="AV110" i="18"/>
  <c r="BD110" i="18"/>
  <c r="AF107" i="18"/>
  <c r="AN107" i="18"/>
  <c r="AV107" i="18"/>
  <c r="BD107" i="18"/>
  <c r="AF103" i="18"/>
  <c r="AN103" i="18"/>
  <c r="AV103" i="18"/>
  <c r="BD103" i="18"/>
  <c r="AF99" i="18"/>
  <c r="AN99" i="18"/>
  <c r="AV99" i="18"/>
  <c r="BD99" i="18"/>
  <c r="AF95" i="18"/>
  <c r="AN95" i="18"/>
  <c r="AV95" i="18"/>
  <c r="BD95" i="18"/>
  <c r="AF91" i="18"/>
  <c r="AN91" i="18"/>
  <c r="AV91" i="18"/>
  <c r="BD91" i="18"/>
  <c r="AF87" i="18"/>
  <c r="AN87" i="18"/>
  <c r="AV87" i="18"/>
  <c r="BD87" i="18"/>
  <c r="AF83" i="18"/>
  <c r="AN83" i="18"/>
  <c r="AV83" i="18"/>
  <c r="BD83" i="18"/>
  <c r="AF79" i="18"/>
  <c r="AN79" i="18"/>
  <c r="AV79" i="18"/>
  <c r="BD79" i="18"/>
  <c r="AF75" i="18"/>
  <c r="AN75" i="18"/>
  <c r="AV75" i="18"/>
  <c r="BD75" i="18"/>
  <c r="AF71" i="18"/>
  <c r="AN71" i="18"/>
  <c r="AV71" i="18"/>
  <c r="BD71" i="18"/>
  <c r="AF193" i="18"/>
  <c r="AN193" i="18"/>
  <c r="AV193" i="18"/>
  <c r="BD193" i="18"/>
  <c r="AF189" i="18"/>
  <c r="AN189" i="18"/>
  <c r="AV189" i="18"/>
  <c r="BD189" i="18"/>
  <c r="AF185" i="18"/>
  <c r="AN185" i="18"/>
  <c r="AV185" i="18"/>
  <c r="BD185" i="18"/>
  <c r="AF181" i="18"/>
  <c r="AN181" i="18"/>
  <c r="AV181" i="18"/>
  <c r="BD181" i="18"/>
  <c r="AF177" i="18"/>
  <c r="AN177" i="18"/>
  <c r="AV177" i="18"/>
  <c r="BD177" i="18"/>
  <c r="AF173" i="18"/>
  <c r="AN173" i="18"/>
  <c r="AV173" i="18"/>
  <c r="BD173" i="18"/>
  <c r="AF169" i="18"/>
  <c r="AN169" i="18"/>
  <c r="AV169" i="18"/>
  <c r="BD169" i="18"/>
  <c r="AF165" i="18"/>
  <c r="AN165" i="18"/>
  <c r="AV165" i="18"/>
  <c r="BD165" i="18"/>
  <c r="AF161" i="18"/>
  <c r="AN161" i="18"/>
  <c r="AV161" i="18"/>
  <c r="BD161" i="18"/>
  <c r="AF157" i="18"/>
  <c r="AN157" i="18"/>
  <c r="AV157" i="18"/>
  <c r="BD157" i="18"/>
  <c r="AF153" i="18"/>
  <c r="AN153" i="18"/>
  <c r="AV153" i="18"/>
  <c r="BD153" i="18"/>
  <c r="AF149" i="18"/>
  <c r="AN149" i="18"/>
  <c r="AV149" i="18"/>
  <c r="BD149" i="18"/>
  <c r="AF145" i="18"/>
  <c r="AN145" i="18"/>
  <c r="AV145" i="18"/>
  <c r="BD145" i="18"/>
  <c r="AF141" i="18"/>
  <c r="AN141" i="18"/>
  <c r="AV141" i="18"/>
  <c r="BD141" i="18"/>
  <c r="AF137" i="18"/>
  <c r="AN137" i="18"/>
  <c r="AV137" i="18"/>
  <c r="BD137" i="18"/>
  <c r="AF133" i="18"/>
  <c r="AN133" i="18"/>
  <c r="AV133" i="18"/>
  <c r="BD133" i="18"/>
  <c r="AF129" i="18"/>
  <c r="AN129" i="18"/>
  <c r="AV129" i="18"/>
  <c r="BD129" i="18"/>
  <c r="AF125" i="18"/>
  <c r="AN125" i="18"/>
  <c r="AV125" i="18"/>
  <c r="BD125" i="18"/>
  <c r="AF43" i="18"/>
  <c r="AN43" i="18"/>
  <c r="AV43" i="18"/>
  <c r="BD43" i="18"/>
  <c r="AF39" i="18"/>
  <c r="AN39" i="18"/>
  <c r="AV39" i="18"/>
  <c r="BD39" i="18"/>
  <c r="AF35" i="18"/>
  <c r="AN35" i="18"/>
  <c r="AV35" i="18"/>
  <c r="BD35" i="18"/>
  <c r="AF31" i="18"/>
  <c r="AN31" i="18"/>
  <c r="AV31" i="18"/>
  <c r="BD31" i="18"/>
  <c r="AF27" i="18"/>
  <c r="AN27" i="18"/>
  <c r="AV27" i="18"/>
  <c r="BD27" i="18"/>
  <c r="AF23" i="18"/>
  <c r="AN23" i="18"/>
  <c r="AV23" i="18"/>
  <c r="BD23" i="18"/>
  <c r="AF19" i="18"/>
  <c r="AN19" i="18"/>
  <c r="AV19" i="18"/>
  <c r="BD19" i="18"/>
  <c r="AF15" i="18"/>
  <c r="AN15" i="18"/>
  <c r="AV15" i="18"/>
  <c r="BD15" i="18"/>
  <c r="AF11" i="18"/>
  <c r="AN11" i="18"/>
  <c r="AV11" i="18"/>
  <c r="BD11" i="18"/>
  <c r="AF67" i="18"/>
  <c r="AN67" i="18"/>
  <c r="AV67" i="18"/>
  <c r="BD67" i="18"/>
  <c r="AF64" i="18"/>
  <c r="AN64" i="18"/>
  <c r="AV64" i="18"/>
  <c r="BD64" i="18"/>
  <c r="AF60" i="18"/>
  <c r="AN60" i="18"/>
  <c r="AV60" i="18"/>
  <c r="BD60" i="18"/>
  <c r="AF56" i="18"/>
  <c r="AN56" i="18"/>
  <c r="AV56" i="18"/>
  <c r="BD56" i="18"/>
  <c r="AF52" i="18"/>
  <c r="AN52" i="18"/>
  <c r="AV52" i="18"/>
  <c r="BD52" i="18"/>
  <c r="AF48" i="18"/>
  <c r="AN48" i="18"/>
  <c r="AV48" i="18"/>
  <c r="BD48" i="18"/>
  <c r="AF44" i="18"/>
  <c r="AN44" i="18"/>
  <c r="AV44" i="18"/>
  <c r="BD44" i="18"/>
  <c r="AF40" i="18"/>
  <c r="AN40" i="18"/>
  <c r="AV40" i="18"/>
  <c r="BD40" i="18"/>
  <c r="AF36" i="18"/>
  <c r="AN36" i="18"/>
  <c r="AV36" i="18"/>
  <c r="BD36" i="18"/>
  <c r="AF32" i="18"/>
  <c r="AN32" i="18"/>
  <c r="AV32" i="18"/>
  <c r="BD32" i="18"/>
  <c r="AF28" i="18"/>
  <c r="AN28" i="18"/>
  <c r="AV28" i="18"/>
  <c r="BD28" i="18"/>
  <c r="AF24" i="18"/>
  <c r="AN24" i="18"/>
  <c r="AV24" i="18"/>
  <c r="BD24" i="18"/>
  <c r="AF20" i="18"/>
  <c r="AN20" i="18"/>
  <c r="AV20" i="18"/>
  <c r="BD20" i="18"/>
  <c r="AF16" i="18"/>
  <c r="AN16" i="18"/>
  <c r="AV16" i="18"/>
  <c r="BD16" i="18"/>
  <c r="AF12" i="18"/>
  <c r="AN12" i="18"/>
  <c r="AV12" i="18"/>
  <c r="BD12" i="18"/>
  <c r="AF8" i="18"/>
  <c r="AN8" i="18"/>
  <c r="AV8" i="18"/>
  <c r="BD8" i="18"/>
  <c r="AF151" i="18"/>
  <c r="AN151" i="18"/>
  <c r="AV151" i="18"/>
  <c r="BD151" i="18"/>
  <c r="AF147" i="18"/>
  <c r="AN147" i="18"/>
  <c r="AV147" i="18"/>
  <c r="BD147" i="18"/>
  <c r="AF143" i="18"/>
  <c r="AN143" i="18"/>
  <c r="AV143" i="18"/>
  <c r="BD143" i="18"/>
  <c r="AF139" i="18"/>
  <c r="AN139" i="18"/>
  <c r="AV139" i="18"/>
  <c r="BD139" i="18"/>
  <c r="AF135" i="18"/>
  <c r="AN135" i="18"/>
  <c r="AV135" i="18"/>
  <c r="BD135" i="18"/>
  <c r="AF131" i="18"/>
  <c r="AN131" i="18"/>
  <c r="AV131" i="18"/>
  <c r="BD131" i="18"/>
  <c r="AF29" i="18"/>
  <c r="AN29" i="18"/>
  <c r="AV29" i="18"/>
  <c r="BD29" i="18"/>
  <c r="AF25" i="18"/>
  <c r="AN25" i="18"/>
  <c r="AV25" i="18"/>
  <c r="BD25" i="18"/>
  <c r="AF17" i="18"/>
  <c r="AN17" i="18"/>
  <c r="AV17" i="18"/>
  <c r="BD17" i="18"/>
  <c r="AF9" i="18"/>
  <c r="AN9" i="18"/>
  <c r="AV9" i="18"/>
  <c r="BD9" i="18"/>
  <c r="AF62" i="18"/>
  <c r="AN62" i="18"/>
  <c r="AV62" i="18"/>
  <c r="BD62" i="18"/>
  <c r="AF54" i="18"/>
  <c r="AN54" i="18"/>
  <c r="AV54" i="18"/>
  <c r="BD54" i="18"/>
  <c r="AF46" i="18"/>
  <c r="AN46" i="18"/>
  <c r="AV46" i="18"/>
  <c r="BD46" i="18"/>
  <c r="AF38" i="18"/>
  <c r="AN38" i="18"/>
  <c r="AV38" i="18"/>
  <c r="BD38" i="18"/>
  <c r="AN30" i="18"/>
  <c r="AV30" i="18"/>
  <c r="BD30" i="18"/>
  <c r="AN22" i="18"/>
  <c r="AV22" i="18"/>
  <c r="AN343" i="18"/>
  <c r="BD343" i="18"/>
  <c r="AN339" i="18"/>
  <c r="BD339" i="18"/>
  <c r="AN335" i="18"/>
  <c r="BD335" i="18"/>
  <c r="BD331" i="18"/>
  <c r="AL331" i="18"/>
  <c r="AT331" i="18"/>
  <c r="BB331" i="18"/>
  <c r="AV327" i="18"/>
  <c r="AJ327" i="18"/>
  <c r="AZ327" i="18"/>
  <c r="AV323" i="18"/>
  <c r="AJ323" i="18"/>
  <c r="AZ323" i="18"/>
  <c r="AV319" i="18"/>
  <c r="AJ319" i="18"/>
  <c r="AZ319" i="18"/>
  <c r="AV315" i="18"/>
  <c r="AJ315" i="18"/>
  <c r="AZ315" i="18"/>
  <c r="AV311" i="18"/>
  <c r="AJ311" i="18"/>
  <c r="AZ311" i="18"/>
  <c r="AV307" i="18"/>
  <c r="AJ307" i="18"/>
  <c r="AZ307" i="18"/>
  <c r="AV303" i="18"/>
  <c r="AJ303" i="18"/>
  <c r="AZ303" i="18"/>
  <c r="AF336" i="18"/>
  <c r="AN336" i="18"/>
  <c r="AV336" i="18"/>
  <c r="BD336" i="18"/>
  <c r="AF342" i="18"/>
  <c r="AN342" i="18"/>
  <c r="AV342" i="18"/>
  <c r="BD342" i="18"/>
  <c r="AF334" i="18"/>
  <c r="AN334" i="18"/>
  <c r="AV334" i="18"/>
  <c r="BD334" i="18"/>
  <c r="AF326" i="18"/>
  <c r="AN326" i="18"/>
  <c r="AV326" i="18"/>
  <c r="BD326" i="18"/>
  <c r="AF318" i="18"/>
  <c r="AN318" i="18"/>
  <c r="AV318" i="18"/>
  <c r="BD318" i="18"/>
  <c r="AF310" i="18"/>
  <c r="AN310" i="18"/>
  <c r="AV310" i="18"/>
  <c r="BD310" i="18"/>
  <c r="AF302" i="18"/>
  <c r="AN302" i="18"/>
  <c r="AV302" i="18"/>
  <c r="BD302" i="18"/>
  <c r="AN299" i="18"/>
  <c r="BD299" i="18"/>
  <c r="AN295" i="18"/>
  <c r="BD295" i="18"/>
  <c r="AN291" i="18"/>
  <c r="BD291" i="18"/>
  <c r="AN287" i="18"/>
  <c r="BD287" i="18"/>
  <c r="AN283" i="18"/>
  <c r="BD283" i="18"/>
  <c r="AN279" i="18"/>
  <c r="BD279" i="18"/>
  <c r="AN275" i="18"/>
  <c r="BD275" i="18"/>
  <c r="AN271" i="18"/>
  <c r="BD271" i="18"/>
  <c r="AN267" i="18"/>
  <c r="BD267" i="18"/>
  <c r="AN263" i="18"/>
  <c r="BD263" i="18"/>
  <c r="AN259" i="18"/>
  <c r="BD259" i="18"/>
  <c r="AN255" i="18"/>
  <c r="BD255" i="18"/>
  <c r="AN251" i="18"/>
  <c r="BD251" i="18"/>
  <c r="AN247" i="18"/>
  <c r="BD247" i="18"/>
  <c r="AN243" i="18"/>
  <c r="BD243" i="18"/>
  <c r="AN239" i="18"/>
  <c r="BD239" i="18"/>
  <c r="AN235" i="18"/>
  <c r="BD235" i="18"/>
  <c r="AN231" i="18"/>
  <c r="BD231" i="18"/>
  <c r="AN227" i="18"/>
  <c r="BD227" i="18"/>
  <c r="AN223" i="18"/>
  <c r="BD223" i="18"/>
  <c r="AN219" i="18"/>
  <c r="BD219" i="18"/>
  <c r="AN215" i="18"/>
  <c r="BD215" i="18"/>
  <c r="AN211" i="18"/>
  <c r="BD211" i="18"/>
  <c r="AN207" i="18"/>
  <c r="BD207" i="18"/>
  <c r="AN203" i="18"/>
  <c r="BD203" i="18"/>
  <c r="AN199" i="18"/>
  <c r="BD199" i="18"/>
  <c r="AF320" i="18"/>
  <c r="AN320" i="18"/>
  <c r="AV320" i="18"/>
  <c r="BD320" i="18"/>
  <c r="AF304" i="18"/>
  <c r="AN304" i="18"/>
  <c r="AV304" i="18"/>
  <c r="BD304" i="18"/>
  <c r="AF296" i="18"/>
  <c r="AN296" i="18"/>
  <c r="AV296" i="18"/>
  <c r="BD296" i="18"/>
  <c r="AF288" i="18"/>
  <c r="AN288" i="18"/>
  <c r="AV288" i="18"/>
  <c r="BD288" i="18"/>
  <c r="AF280" i="18"/>
  <c r="AN280" i="18"/>
  <c r="AV280" i="18"/>
  <c r="BD280" i="18"/>
  <c r="AF272" i="18"/>
  <c r="AN272" i="18"/>
  <c r="AV272" i="18"/>
  <c r="BD272" i="18"/>
  <c r="AF264" i="18"/>
  <c r="AN264" i="18"/>
  <c r="AV264" i="18"/>
  <c r="BD264" i="18"/>
  <c r="AF256" i="18"/>
  <c r="AN256" i="18"/>
  <c r="AV256" i="18"/>
  <c r="BD256" i="18"/>
  <c r="AF248" i="18"/>
  <c r="AN248" i="18"/>
  <c r="AV248" i="18"/>
  <c r="BD248" i="18"/>
  <c r="AF240" i="18"/>
  <c r="AN240" i="18"/>
  <c r="AV240" i="18"/>
  <c r="BD240" i="18"/>
  <c r="AF232" i="18"/>
  <c r="AN232" i="18"/>
  <c r="AV232" i="18"/>
  <c r="BD232" i="18"/>
  <c r="AF224" i="18"/>
  <c r="AN224" i="18"/>
  <c r="AV224" i="18"/>
  <c r="BD224" i="18"/>
  <c r="AF216" i="18"/>
  <c r="AN216" i="18"/>
  <c r="AV216" i="18"/>
  <c r="BD216" i="18"/>
  <c r="AF208" i="18"/>
  <c r="AN208" i="18"/>
  <c r="AV208" i="18"/>
  <c r="BD208" i="18"/>
  <c r="AF200" i="18"/>
  <c r="AN200" i="18"/>
  <c r="AV200" i="18"/>
  <c r="BD200" i="18"/>
  <c r="AF195" i="18"/>
  <c r="AN195" i="18"/>
  <c r="AV195" i="18"/>
  <c r="BD195" i="18"/>
  <c r="AF316" i="18"/>
  <c r="AN316" i="18"/>
  <c r="AV316" i="18"/>
  <c r="BD316" i="18"/>
  <c r="AF298" i="18"/>
  <c r="AN298" i="18"/>
  <c r="AV298" i="18"/>
  <c r="BD298" i="18"/>
  <c r="AF290" i="18"/>
  <c r="AN290" i="18"/>
  <c r="AV290" i="18"/>
  <c r="BD290" i="18"/>
  <c r="AF282" i="18"/>
  <c r="AN282" i="18"/>
  <c r="AV282" i="18"/>
  <c r="BD282" i="18"/>
  <c r="AF274" i="18"/>
  <c r="AN274" i="18"/>
  <c r="AV274" i="18"/>
  <c r="BD274" i="18"/>
  <c r="AF266" i="18"/>
  <c r="AN266" i="18"/>
  <c r="AV266" i="18"/>
  <c r="BD266" i="18"/>
  <c r="AF258" i="18"/>
  <c r="AN258" i="18"/>
  <c r="AV258" i="18"/>
  <c r="BD258" i="18"/>
  <c r="AF250" i="18"/>
  <c r="AN250" i="18"/>
  <c r="AV250" i="18"/>
  <c r="BD250" i="18"/>
  <c r="AF242" i="18"/>
  <c r="AN242" i="18"/>
  <c r="AV242" i="18"/>
  <c r="BD242" i="18"/>
  <c r="AF234" i="18"/>
  <c r="AN234" i="18"/>
  <c r="AV234" i="18"/>
  <c r="BD234" i="18"/>
  <c r="AF226" i="18"/>
  <c r="AN226" i="18"/>
  <c r="AV226" i="18"/>
  <c r="BD226" i="18"/>
  <c r="AF218" i="18"/>
  <c r="AN218" i="18"/>
  <c r="AV218" i="18"/>
  <c r="BD218" i="18"/>
  <c r="AF210" i="18"/>
  <c r="AN210" i="18"/>
  <c r="AV210" i="18"/>
  <c r="BD210" i="18"/>
  <c r="AF202" i="18"/>
  <c r="AN202" i="18"/>
  <c r="AV202" i="18"/>
  <c r="BD202" i="18"/>
  <c r="AF196" i="18"/>
  <c r="AN196" i="18"/>
  <c r="AV196" i="18"/>
  <c r="BD196" i="18"/>
  <c r="AF192" i="18"/>
  <c r="AN192" i="18"/>
  <c r="AV192" i="18"/>
  <c r="BD192" i="18"/>
  <c r="AF188" i="18"/>
  <c r="AN188" i="18"/>
  <c r="AV188" i="18"/>
  <c r="BD188" i="18"/>
  <c r="AF184" i="18"/>
  <c r="AN184" i="18"/>
  <c r="AV184" i="18"/>
  <c r="BD184" i="18"/>
  <c r="AF180" i="18"/>
  <c r="AN180" i="18"/>
  <c r="AV180" i="18"/>
  <c r="BD180" i="18"/>
  <c r="AF176" i="18"/>
  <c r="AN176" i="18"/>
  <c r="AV176" i="18"/>
  <c r="BD176" i="18"/>
  <c r="AF172" i="18"/>
  <c r="AN172" i="18"/>
  <c r="AV172" i="18"/>
  <c r="BD172" i="18"/>
  <c r="AF168" i="18"/>
  <c r="AN168" i="18"/>
  <c r="AV168" i="18"/>
  <c r="BD168" i="18"/>
  <c r="AN164" i="18"/>
  <c r="AV164" i="18"/>
  <c r="BD164" i="18"/>
  <c r="BD160" i="18"/>
  <c r="AF121" i="18"/>
  <c r="AN121" i="18"/>
  <c r="AV121" i="18"/>
  <c r="BD121" i="18"/>
  <c r="AF117" i="18"/>
  <c r="AN117" i="18"/>
  <c r="AV117" i="18"/>
  <c r="BD117" i="18"/>
  <c r="AF113" i="18"/>
  <c r="AN113" i="18"/>
  <c r="AV113" i="18"/>
  <c r="BD113" i="18"/>
  <c r="AF108" i="18"/>
  <c r="AN108" i="18"/>
  <c r="AV108" i="18"/>
  <c r="BD108" i="18"/>
  <c r="AF104" i="18"/>
  <c r="AN104" i="18"/>
  <c r="AV104" i="18"/>
  <c r="BD104" i="18"/>
  <c r="AF100" i="18"/>
  <c r="AN100" i="18"/>
  <c r="AV100" i="18"/>
  <c r="BD100" i="18"/>
  <c r="AF96" i="18"/>
  <c r="AN96" i="18"/>
  <c r="AV96" i="18"/>
  <c r="BD96" i="18"/>
  <c r="AF92" i="18"/>
  <c r="AN92" i="18"/>
  <c r="AV92" i="18"/>
  <c r="BD92" i="18"/>
  <c r="AF88" i="18"/>
  <c r="AN88" i="18"/>
  <c r="AV88" i="18"/>
  <c r="BD88" i="18"/>
  <c r="AF84" i="18"/>
  <c r="AN84" i="18"/>
  <c r="AV84" i="18"/>
  <c r="BD84" i="18"/>
  <c r="AF80" i="18"/>
  <c r="AN80" i="18"/>
  <c r="AV80" i="18"/>
  <c r="BD80" i="18"/>
  <c r="AF76" i="18"/>
  <c r="AN76" i="18"/>
  <c r="AV76" i="18"/>
  <c r="BD76" i="18"/>
  <c r="AF72" i="18"/>
  <c r="AN72" i="18"/>
  <c r="AV72" i="18"/>
  <c r="BD72" i="18"/>
  <c r="AN68" i="18"/>
  <c r="BD68" i="18"/>
  <c r="AF63" i="18"/>
  <c r="AN63" i="18"/>
  <c r="AV63" i="18"/>
  <c r="BD63" i="18"/>
  <c r="AF59" i="18"/>
  <c r="AN59" i="18"/>
  <c r="AV59" i="18"/>
  <c r="BD59" i="18"/>
  <c r="AF55" i="18"/>
  <c r="AN55" i="18"/>
  <c r="AV55" i="18"/>
  <c r="BD55" i="18"/>
  <c r="AF51" i="18"/>
  <c r="AN51" i="18"/>
  <c r="AV51" i="18"/>
  <c r="BD51" i="18"/>
  <c r="AF47" i="18"/>
  <c r="AN47" i="18"/>
  <c r="AV47" i="18"/>
  <c r="BD47" i="18"/>
  <c r="AH26" i="18"/>
  <c r="AP26" i="18"/>
  <c r="AX26" i="18"/>
  <c r="AP18" i="18"/>
  <c r="AX18" i="18"/>
  <c r="AH10" i="18"/>
  <c r="AP10" i="18"/>
  <c r="AX10" i="18"/>
  <c r="AH18" i="18"/>
  <c r="BD144" i="18"/>
  <c r="AV136" i="18"/>
  <c r="BD136" i="18"/>
  <c r="AV132" i="18"/>
  <c r="BD132" i="18"/>
  <c r="AF128" i="18"/>
  <c r="AN128" i="18"/>
  <c r="AV128" i="18"/>
  <c r="BD128" i="18"/>
  <c r="AF127" i="18"/>
  <c r="AN127" i="18"/>
  <c r="AV127" i="18"/>
  <c r="BD127" i="18"/>
  <c r="AF123" i="18"/>
  <c r="AN123" i="18"/>
  <c r="AV123" i="18"/>
  <c r="BD123" i="18"/>
  <c r="AF119" i="18"/>
  <c r="AN119" i="18"/>
  <c r="AV119" i="18"/>
  <c r="BD119" i="18"/>
  <c r="AF111" i="18"/>
  <c r="AN111" i="18"/>
  <c r="AV111" i="18"/>
  <c r="BD111" i="18"/>
  <c r="AF98" i="18"/>
  <c r="AN98" i="18"/>
  <c r="AV98" i="18"/>
  <c r="BD98" i="18"/>
  <c r="AF37" i="18"/>
  <c r="AN37" i="18"/>
  <c r="AV37" i="18"/>
  <c r="BD37" i="18"/>
  <c r="AF30" i="18"/>
  <c r="AF22" i="18"/>
  <c r="BD22" i="18"/>
  <c r="AF14" i="18"/>
  <c r="AN14" i="18"/>
  <c r="AV14" i="18"/>
  <c r="BD14" i="18"/>
  <c r="AF164" i="18"/>
  <c r="AF160" i="18"/>
  <c r="AN160" i="18"/>
  <c r="AV160" i="18"/>
  <c r="AF156" i="18"/>
  <c r="AN156" i="18"/>
  <c r="AV156" i="18"/>
  <c r="BD156" i="18"/>
  <c r="AF152" i="18"/>
  <c r="AN152" i="18"/>
  <c r="AV152" i="18"/>
  <c r="BD152" i="18"/>
  <c r="AF148" i="18"/>
  <c r="AN148" i="18"/>
  <c r="AV148" i="18"/>
  <c r="BD148" i="18"/>
  <c r="AF144" i="18"/>
  <c r="AN144" i="18"/>
  <c r="AV144" i="18"/>
  <c r="AF140" i="18"/>
  <c r="AN140" i="18"/>
  <c r="AV140" i="18"/>
  <c r="BD140" i="18"/>
  <c r="AF136" i="18"/>
  <c r="AN136" i="18"/>
  <c r="AF132" i="18"/>
  <c r="AN132" i="18"/>
  <c r="AF124" i="18"/>
  <c r="AN124" i="18"/>
  <c r="AV124" i="18"/>
  <c r="BD124" i="18"/>
  <c r="AF120" i="18"/>
  <c r="AN120" i="18"/>
  <c r="AV120" i="18"/>
  <c r="BD120" i="18"/>
  <c r="AF116" i="18"/>
  <c r="AN116" i="18"/>
  <c r="AV116" i="18"/>
  <c r="BD116" i="18"/>
  <c r="AF112" i="18"/>
  <c r="AN112" i="18"/>
  <c r="AV112" i="18"/>
  <c r="BD112" i="18"/>
  <c r="AF109" i="18"/>
  <c r="AN109" i="18"/>
  <c r="AV109" i="18"/>
  <c r="BD109" i="18"/>
  <c r="AF105" i="18"/>
  <c r="AN105" i="18"/>
  <c r="AV105" i="18"/>
  <c r="BD105" i="18"/>
  <c r="AF101" i="18"/>
  <c r="AN101" i="18"/>
  <c r="AV101" i="18"/>
  <c r="BD101" i="18"/>
  <c r="AF97" i="18"/>
  <c r="AN97" i="18"/>
  <c r="AV97" i="18"/>
  <c r="BD97" i="18"/>
  <c r="AF93" i="18"/>
  <c r="AN93" i="18"/>
  <c r="AV93" i="18"/>
  <c r="BD93" i="18"/>
  <c r="AF89" i="18"/>
  <c r="AN89" i="18"/>
  <c r="AV89" i="18"/>
  <c r="BD89" i="18"/>
  <c r="AF85" i="18"/>
  <c r="AN85" i="18"/>
  <c r="AV85" i="18"/>
  <c r="BD85" i="18"/>
  <c r="AF81" i="18"/>
  <c r="AN81" i="18"/>
  <c r="AV81" i="18"/>
  <c r="BD81" i="18"/>
  <c r="AF77" i="18"/>
  <c r="AN77" i="18"/>
  <c r="AV77" i="18"/>
  <c r="BD77" i="18"/>
  <c r="AF73" i="18"/>
  <c r="AN73" i="18"/>
  <c r="AV73" i="18"/>
  <c r="BD73" i="18"/>
  <c r="AF69" i="18"/>
  <c r="AN69" i="18"/>
  <c r="AV69" i="18"/>
  <c r="BD69" i="18"/>
  <c r="AF191" i="18"/>
  <c r="AN191" i="18"/>
  <c r="AV191" i="18"/>
  <c r="BD191" i="18"/>
  <c r="AF187" i="18"/>
  <c r="AN187" i="18"/>
  <c r="AV187" i="18"/>
  <c r="BD187" i="18"/>
  <c r="AF183" i="18"/>
  <c r="AN183" i="18"/>
  <c r="AV183" i="18"/>
  <c r="BD183" i="18"/>
  <c r="AF179" i="18"/>
  <c r="AN179" i="18"/>
  <c r="AV179" i="18"/>
  <c r="BD179" i="18"/>
  <c r="AF175" i="18"/>
  <c r="AN175" i="18"/>
  <c r="AV175" i="18"/>
  <c r="BD175" i="18"/>
  <c r="AF171" i="18"/>
  <c r="AN171" i="18"/>
  <c r="AV171" i="18"/>
  <c r="BD171" i="18"/>
  <c r="AF167" i="18"/>
  <c r="AN167" i="18"/>
  <c r="AV167" i="18"/>
  <c r="BD167" i="18"/>
  <c r="AF163" i="18"/>
  <c r="AN163" i="18"/>
  <c r="AV163" i="18"/>
  <c r="BD163" i="18"/>
  <c r="AF159" i="18"/>
  <c r="AN159" i="18"/>
  <c r="AV159" i="18"/>
  <c r="BD159" i="18"/>
  <c r="BD61" i="18"/>
  <c r="AF57" i="18"/>
  <c r="AN57" i="18"/>
  <c r="AV57" i="18"/>
  <c r="BD57" i="18"/>
  <c r="AF53" i="18"/>
  <c r="AN53" i="18"/>
  <c r="AV53" i="18"/>
  <c r="BD53" i="18"/>
  <c r="AF49" i="18"/>
  <c r="AN49" i="18"/>
  <c r="AV49" i="18"/>
  <c r="BD49" i="18"/>
  <c r="AV45" i="18"/>
  <c r="BD45" i="18"/>
  <c r="AH106" i="18"/>
  <c r="AP106" i="18"/>
  <c r="AX106" i="18"/>
  <c r="AH102" i="18"/>
  <c r="AP102" i="18"/>
  <c r="AX102" i="18"/>
  <c r="AH94" i="18"/>
  <c r="AP94" i="18"/>
  <c r="AX94" i="18"/>
  <c r="AH90" i="18"/>
  <c r="AP90" i="18"/>
  <c r="AX90" i="18"/>
  <c r="AH86" i="18"/>
  <c r="AP86" i="18"/>
  <c r="AX86" i="18"/>
  <c r="AH82" i="18"/>
  <c r="AP82" i="18"/>
  <c r="AX82" i="18"/>
  <c r="AH155" i="18"/>
  <c r="AP155" i="18"/>
  <c r="AX155" i="18"/>
  <c r="AH115" i="18"/>
  <c r="AP115" i="18"/>
  <c r="AX115" i="18"/>
  <c r="AH78" i="18"/>
  <c r="AP78" i="18"/>
  <c r="AX78" i="18"/>
  <c r="AH74" i="18"/>
  <c r="AP74" i="18"/>
  <c r="AX74" i="18"/>
  <c r="AH70" i="18"/>
  <c r="AP70" i="18"/>
  <c r="AX70" i="18"/>
  <c r="BD66" i="18"/>
  <c r="AH58" i="18"/>
  <c r="AP58" i="18"/>
  <c r="AX58" i="18"/>
  <c r="AH50" i="18"/>
  <c r="AP50" i="18"/>
  <c r="AX50" i="18"/>
  <c r="AH42" i="18"/>
  <c r="AP42" i="18"/>
  <c r="AX42" i="18"/>
  <c r="AH34" i="18"/>
  <c r="AP34" i="18"/>
  <c r="AX34" i="18"/>
  <c r="B341" i="18"/>
  <c r="AD341" i="18"/>
  <c r="AJ341" i="18"/>
  <c r="AZ341" i="18"/>
  <c r="AL341" i="18"/>
  <c r="AT341" i="18"/>
  <c r="BB341" i="18"/>
  <c r="B337" i="18"/>
  <c r="AD337" i="18"/>
  <c r="AJ337" i="18"/>
  <c r="AZ337" i="18"/>
  <c r="AL337" i="18"/>
  <c r="AT337" i="18"/>
  <c r="BB337" i="18"/>
  <c r="B333" i="18"/>
  <c r="AD333" i="18"/>
  <c r="AJ333" i="18"/>
  <c r="AZ333" i="18"/>
  <c r="AL333" i="18"/>
  <c r="AT333" i="18"/>
  <c r="BB333" i="18"/>
  <c r="B329" i="18"/>
  <c r="AD329" i="18"/>
  <c r="AL329" i="18"/>
  <c r="BB329" i="18"/>
  <c r="AT325" i="18"/>
  <c r="B321" i="18"/>
  <c r="AD321" i="18"/>
  <c r="AL321" i="18"/>
  <c r="BB321" i="18"/>
  <c r="AT317" i="18"/>
  <c r="B313" i="18"/>
  <c r="AD313" i="18"/>
  <c r="AL313" i="18"/>
  <c r="BB313" i="18"/>
  <c r="AT309" i="18"/>
  <c r="B305" i="18"/>
  <c r="AD305" i="18"/>
  <c r="AL305" i="18"/>
  <c r="BB305" i="18"/>
  <c r="AD340" i="18"/>
  <c r="B340" i="18"/>
  <c r="AD332" i="18"/>
  <c r="B332" i="18"/>
  <c r="AD338" i="18"/>
  <c r="B338" i="18"/>
  <c r="AD330" i="18"/>
  <c r="B330" i="18"/>
  <c r="AD322" i="18"/>
  <c r="B322" i="18"/>
  <c r="AD314" i="18"/>
  <c r="B314" i="18"/>
  <c r="B301" i="18"/>
  <c r="AD301" i="18"/>
  <c r="AL301" i="18"/>
  <c r="BB301" i="18"/>
  <c r="B297" i="18"/>
  <c r="AD297" i="18"/>
  <c r="AJ297" i="18"/>
  <c r="AZ297" i="18"/>
  <c r="AT297" i="18"/>
  <c r="B293" i="18"/>
  <c r="AD293" i="18"/>
  <c r="AJ293" i="18"/>
  <c r="AL293" i="18"/>
  <c r="BB293" i="18"/>
  <c r="AL289" i="18"/>
  <c r="BB289" i="18"/>
  <c r="AJ285" i="18"/>
  <c r="AL285" i="18"/>
  <c r="BB285" i="18"/>
  <c r="AZ281" i="18"/>
  <c r="AT281" i="18"/>
  <c r="AL277" i="18"/>
  <c r="BB277" i="18"/>
  <c r="AL273" i="18"/>
  <c r="AT273" i="18"/>
  <c r="B269" i="18"/>
  <c r="AD269" i="18"/>
  <c r="AJ269" i="18"/>
  <c r="AL269" i="18"/>
  <c r="BB269" i="18"/>
  <c r="AZ265" i="18"/>
  <c r="AT265" i="18"/>
  <c r="B261" i="18"/>
  <c r="AD261" i="18"/>
  <c r="AJ261" i="18"/>
  <c r="AL261" i="18"/>
  <c r="BB261" i="18"/>
  <c r="B257" i="18"/>
  <c r="AD257" i="18"/>
  <c r="AJ257" i="18"/>
  <c r="AZ257" i="18"/>
  <c r="AT257" i="18"/>
  <c r="B253" i="18"/>
  <c r="AD253" i="18"/>
  <c r="AL253" i="18"/>
  <c r="AT253" i="18"/>
  <c r="AZ249" i="18"/>
  <c r="AT249" i="18"/>
  <c r="AZ245" i="18"/>
  <c r="AT245" i="18"/>
  <c r="AJ241" i="18"/>
  <c r="AZ241" i="18"/>
  <c r="AT241" i="18"/>
  <c r="AJ237" i="18"/>
  <c r="AL237" i="18"/>
  <c r="BB237" i="18"/>
  <c r="AL233" i="18"/>
  <c r="AT233" i="18"/>
  <c r="B229" i="18"/>
  <c r="AD229" i="18"/>
  <c r="AJ229" i="18"/>
  <c r="AL229" i="18"/>
  <c r="BB229" i="18"/>
  <c r="B225" i="18"/>
  <c r="AD225" i="18"/>
  <c r="AJ225" i="18"/>
  <c r="AL225" i="18"/>
  <c r="BB225" i="18"/>
  <c r="B221" i="18"/>
  <c r="AD221" i="18"/>
  <c r="AJ221" i="18"/>
  <c r="AL221" i="18"/>
  <c r="BB221" i="18"/>
  <c r="B217" i="18"/>
  <c r="AD217" i="18"/>
  <c r="AJ217" i="18"/>
  <c r="AZ217" i="18"/>
  <c r="AT217" i="18"/>
  <c r="B213" i="18"/>
  <c r="AD213" i="18"/>
  <c r="AJ213" i="18"/>
  <c r="AL213" i="18"/>
  <c r="BB213" i="18"/>
  <c r="AZ209" i="18"/>
  <c r="AT209" i="18"/>
  <c r="B205" i="18"/>
  <c r="AD205" i="18"/>
  <c r="AJ205" i="18"/>
  <c r="AL205" i="18"/>
  <c r="BB205" i="18"/>
  <c r="AJ201" i="18"/>
  <c r="AL201" i="18"/>
  <c r="BB201" i="18"/>
  <c r="AD312" i="18"/>
  <c r="B312" i="18"/>
  <c r="AD300" i="18"/>
  <c r="B300" i="18"/>
  <c r="AD292" i="18"/>
  <c r="B292" i="18"/>
  <c r="AD268" i="18"/>
  <c r="B268" i="18"/>
  <c r="AD252" i="18"/>
  <c r="B252" i="18"/>
  <c r="AD244" i="18"/>
  <c r="B244" i="18"/>
  <c r="AD236" i="18"/>
  <c r="B236" i="18"/>
  <c r="AD228" i="18"/>
  <c r="B228" i="18"/>
  <c r="AD220" i="18"/>
  <c r="B220" i="18"/>
  <c r="AD212" i="18"/>
  <c r="B212" i="18"/>
  <c r="AD204" i="18"/>
  <c r="B204" i="18"/>
  <c r="B197" i="18"/>
  <c r="AD197" i="18"/>
  <c r="AL197" i="18"/>
  <c r="AT197" i="18"/>
  <c r="BB197" i="18"/>
  <c r="AD324" i="18"/>
  <c r="B324" i="18"/>
  <c r="AD308" i="18"/>
  <c r="B308" i="18"/>
  <c r="AD294" i="18"/>
  <c r="B294" i="18"/>
  <c r="AD286" i="18"/>
  <c r="B286" i="18"/>
  <c r="AD278" i="18"/>
  <c r="B278" i="18"/>
  <c r="AD270" i="18"/>
  <c r="B270" i="18"/>
  <c r="AD262" i="18"/>
  <c r="B262" i="18"/>
  <c r="AD254" i="18"/>
  <c r="B254" i="18"/>
  <c r="AD246" i="18"/>
  <c r="B246" i="18"/>
  <c r="AD238" i="18"/>
  <c r="B238" i="18"/>
  <c r="AD230" i="18"/>
  <c r="B230" i="18"/>
  <c r="AD222" i="18"/>
  <c r="B222" i="18"/>
  <c r="AD214" i="18"/>
  <c r="B214" i="18"/>
  <c r="AD206" i="18"/>
  <c r="B206" i="18"/>
  <c r="AF198" i="18"/>
  <c r="AN198" i="18"/>
  <c r="B194" i="18"/>
  <c r="AD194" i="18"/>
  <c r="AT194" i="18"/>
  <c r="AL194" i="18"/>
  <c r="AX194" i="18"/>
  <c r="B190" i="18"/>
  <c r="AD190" i="18"/>
  <c r="AL190" i="18"/>
  <c r="AT190" i="18"/>
  <c r="BB190" i="18"/>
  <c r="B186" i="18"/>
  <c r="AD186" i="18"/>
  <c r="AL186" i="18"/>
  <c r="AT186" i="18"/>
  <c r="BB186" i="18"/>
  <c r="B182" i="18"/>
  <c r="AD182" i="18"/>
  <c r="AL182" i="18"/>
  <c r="AT182" i="18"/>
  <c r="BB182" i="18"/>
  <c r="B178" i="18"/>
  <c r="AD178" i="18"/>
  <c r="AL178" i="18"/>
  <c r="AT178" i="18"/>
  <c r="BB178" i="18"/>
  <c r="B174" i="18"/>
  <c r="AD174" i="18"/>
  <c r="AL174" i="18"/>
  <c r="AT174" i="18"/>
  <c r="BB174" i="18"/>
  <c r="B170" i="18"/>
  <c r="AD170" i="18"/>
  <c r="AL170" i="18"/>
  <c r="AT170" i="18"/>
  <c r="BB170" i="18"/>
  <c r="B166" i="18"/>
  <c r="AD166" i="18"/>
  <c r="AL166" i="18"/>
  <c r="AT166" i="18"/>
  <c r="BB166" i="18"/>
  <c r="B162" i="18"/>
  <c r="AD162" i="18"/>
  <c r="AL162" i="18"/>
  <c r="AT162" i="18"/>
  <c r="BB162" i="18"/>
  <c r="B158" i="18"/>
  <c r="AD158" i="18"/>
  <c r="AL158" i="18"/>
  <c r="AT158" i="18"/>
  <c r="BB158" i="18"/>
  <c r="B154" i="18"/>
  <c r="AD154" i="18"/>
  <c r="AL154" i="18"/>
  <c r="AT154" i="18"/>
  <c r="BB154" i="18"/>
  <c r="AL150" i="18"/>
  <c r="BB150" i="18"/>
  <c r="AL146" i="18"/>
  <c r="BB146" i="18"/>
  <c r="B142" i="18"/>
  <c r="AD142" i="18"/>
  <c r="AF341" i="18"/>
  <c r="AV341" i="18"/>
  <c r="AR341" i="18"/>
  <c r="AH341" i="18"/>
  <c r="AP341" i="18"/>
  <c r="AX341" i="18"/>
  <c r="AF337" i="18"/>
  <c r="AV337" i="18"/>
  <c r="AR337" i="18"/>
  <c r="AH337" i="18"/>
  <c r="AP337" i="18"/>
  <c r="AX337" i="18"/>
  <c r="AF333" i="18"/>
  <c r="AV333" i="18"/>
  <c r="AR333" i="18"/>
  <c r="AH333" i="18"/>
  <c r="AP333" i="18"/>
  <c r="AX333" i="18"/>
  <c r="AR329" i="18"/>
  <c r="AJ329" i="18"/>
  <c r="AF329" i="18"/>
  <c r="AV329" i="18"/>
  <c r="AH329" i="18"/>
  <c r="AP329" i="18"/>
  <c r="AX329" i="18"/>
  <c r="B325" i="18"/>
  <c r="AD325" i="18"/>
  <c r="AZ325" i="18"/>
  <c r="AF325" i="18"/>
  <c r="AV325" i="18"/>
  <c r="AH325" i="18"/>
  <c r="AP325" i="18"/>
  <c r="AX325" i="18"/>
  <c r="AR321" i="18"/>
  <c r="AJ321" i="18"/>
  <c r="AF321" i="18"/>
  <c r="AV321" i="18"/>
  <c r="AH321" i="18"/>
  <c r="AP321" i="18"/>
  <c r="AX321" i="18"/>
  <c r="B317" i="18"/>
  <c r="AD317" i="18"/>
  <c r="AZ317" i="18"/>
  <c r="AF317" i="18"/>
  <c r="AV317" i="18"/>
  <c r="AH317" i="18"/>
  <c r="AP317" i="18"/>
  <c r="AX317" i="18"/>
  <c r="AR313" i="18"/>
  <c r="AJ313" i="18"/>
  <c r="AF313" i="18"/>
  <c r="AV313" i="18"/>
  <c r="AH313" i="18"/>
  <c r="AP313" i="18"/>
  <c r="AX313" i="18"/>
  <c r="B309" i="18"/>
  <c r="AD309" i="18"/>
  <c r="AZ309" i="18"/>
  <c r="AF309" i="18"/>
  <c r="AV309" i="18"/>
  <c r="AH309" i="18"/>
  <c r="AP309" i="18"/>
  <c r="AX309" i="18"/>
  <c r="AR305" i="18"/>
  <c r="AJ305" i="18"/>
  <c r="AF305" i="18"/>
  <c r="AV305" i="18"/>
  <c r="AH305" i="18"/>
  <c r="AP305" i="18"/>
  <c r="AX305" i="18"/>
  <c r="AH340" i="18"/>
  <c r="AX340" i="18"/>
  <c r="AT340" i="18"/>
  <c r="AJ340" i="18"/>
  <c r="AR340" i="18"/>
  <c r="AZ340" i="18"/>
  <c r="AH332" i="18"/>
  <c r="AX332" i="18"/>
  <c r="AT332" i="18"/>
  <c r="AJ332" i="18"/>
  <c r="AR332" i="18"/>
  <c r="AZ332" i="18"/>
  <c r="AL338" i="18"/>
  <c r="BB338" i="18"/>
  <c r="AP338" i="18"/>
  <c r="AJ338" i="18"/>
  <c r="AR338" i="18"/>
  <c r="AZ338" i="18"/>
  <c r="AH330" i="18"/>
  <c r="AP330" i="18"/>
  <c r="AT330" i="18"/>
  <c r="AJ330" i="18"/>
  <c r="AR330" i="18"/>
  <c r="AZ330" i="18"/>
  <c r="AH322" i="18"/>
  <c r="AP322" i="18"/>
  <c r="AT322" i="18"/>
  <c r="AJ322" i="18"/>
  <c r="AR322" i="18"/>
  <c r="AZ322" i="18"/>
  <c r="AH314" i="18"/>
  <c r="AP314" i="18"/>
  <c r="AT314" i="18"/>
  <c r="AJ314" i="18"/>
  <c r="AR314" i="18"/>
  <c r="AZ314" i="18"/>
  <c r="AH306" i="18"/>
  <c r="AP306" i="18"/>
  <c r="AT306" i="18"/>
  <c r="AJ306" i="18"/>
  <c r="AR306" i="18"/>
  <c r="AZ306" i="18"/>
  <c r="AF301" i="18"/>
  <c r="AV301" i="18"/>
  <c r="AR301" i="18"/>
  <c r="AH301" i="18"/>
  <c r="AP301" i="18"/>
  <c r="AX301" i="18"/>
  <c r="AF297" i="18"/>
  <c r="AV297" i="18"/>
  <c r="AR297" i="18"/>
  <c r="AH297" i="18"/>
  <c r="AP297" i="18"/>
  <c r="AX297" i="18"/>
  <c r="AF293" i="18"/>
  <c r="AV293" i="18"/>
  <c r="AR293" i="18"/>
  <c r="AH293" i="18"/>
  <c r="AP293" i="18"/>
  <c r="AX293" i="18"/>
  <c r="AF289" i="18"/>
  <c r="AV289" i="18"/>
  <c r="AR289" i="18"/>
  <c r="AH289" i="18"/>
  <c r="AP289" i="18"/>
  <c r="AX289" i="18"/>
  <c r="AF285" i="18"/>
  <c r="AV285" i="18"/>
  <c r="AR285" i="18"/>
  <c r="AH285" i="18"/>
  <c r="AP285" i="18"/>
  <c r="AX285" i="18"/>
  <c r="AF281" i="18"/>
  <c r="AV281" i="18"/>
  <c r="AR281" i="18"/>
  <c r="AH281" i="18"/>
  <c r="AP281" i="18"/>
  <c r="AX281" i="18"/>
  <c r="AF277" i="18"/>
  <c r="AV277" i="18"/>
  <c r="AR277" i="18"/>
  <c r="AH277" i="18"/>
  <c r="AP277" i="18"/>
  <c r="AX277" i="18"/>
  <c r="AF273" i="18"/>
  <c r="AV273" i="18"/>
  <c r="AR273" i="18"/>
  <c r="AH273" i="18"/>
  <c r="AP273" i="18"/>
  <c r="AX273" i="18"/>
  <c r="AF269" i="18"/>
  <c r="AV269" i="18"/>
  <c r="AR269" i="18"/>
  <c r="AH269" i="18"/>
  <c r="AP269" i="18"/>
  <c r="AX269" i="18"/>
  <c r="AF265" i="18"/>
  <c r="AV265" i="18"/>
  <c r="AR265" i="18"/>
  <c r="AH265" i="18"/>
  <c r="AP265" i="18"/>
  <c r="AX265" i="18"/>
  <c r="AF261" i="18"/>
  <c r="AV261" i="18"/>
  <c r="AR261" i="18"/>
  <c r="AH261" i="18"/>
  <c r="AP261" i="18"/>
  <c r="AX261" i="18"/>
  <c r="AF257" i="18"/>
  <c r="AV257" i="18"/>
  <c r="AR257" i="18"/>
  <c r="AH257" i="18"/>
  <c r="AP257" i="18"/>
  <c r="AX257" i="18"/>
  <c r="AF253" i="18"/>
  <c r="AV253" i="18"/>
  <c r="AR253" i="18"/>
  <c r="AH253" i="18"/>
  <c r="AP253" i="18"/>
  <c r="AX253" i="18"/>
  <c r="AF249" i="18"/>
  <c r="AV249" i="18"/>
  <c r="AR249" i="18"/>
  <c r="AH249" i="18"/>
  <c r="AP249" i="18"/>
  <c r="AX249" i="18"/>
  <c r="AF245" i="18"/>
  <c r="AV245" i="18"/>
  <c r="AR245" i="18"/>
  <c r="AH245" i="18"/>
  <c r="AP245" i="18"/>
  <c r="AX245" i="18"/>
  <c r="AF241" i="18"/>
  <c r="AV241" i="18"/>
  <c r="AR241" i="18"/>
  <c r="AH241" i="18"/>
  <c r="AP241" i="18"/>
  <c r="AX241" i="18"/>
  <c r="AF237" i="18"/>
  <c r="AV237" i="18"/>
  <c r="AR237" i="18"/>
  <c r="AH237" i="18"/>
  <c r="AP237" i="18"/>
  <c r="AX237" i="18"/>
  <c r="AF233" i="18"/>
  <c r="AV233" i="18"/>
  <c r="AR233" i="18"/>
  <c r="AH233" i="18"/>
  <c r="AP233" i="18"/>
  <c r="AX233" i="18"/>
  <c r="AF229" i="18"/>
  <c r="AV229" i="18"/>
  <c r="AR229" i="18"/>
  <c r="AH229" i="18"/>
  <c r="AP229" i="18"/>
  <c r="AX229" i="18"/>
  <c r="AF225" i="18"/>
  <c r="AV225" i="18"/>
  <c r="AR225" i="18"/>
  <c r="AH225" i="18"/>
  <c r="AP225" i="18"/>
  <c r="AX225" i="18"/>
  <c r="AF221" i="18"/>
  <c r="AV221" i="18"/>
  <c r="AR221" i="18"/>
  <c r="AH221" i="18"/>
  <c r="AP221" i="18"/>
  <c r="AX221" i="18"/>
  <c r="AF217" i="18"/>
  <c r="AV217" i="18"/>
  <c r="AR217" i="18"/>
  <c r="AH217" i="18"/>
  <c r="AP217" i="18"/>
  <c r="AX217" i="18"/>
  <c r="AF213" i="18"/>
  <c r="AV213" i="18"/>
  <c r="AR213" i="18"/>
  <c r="AH213" i="18"/>
  <c r="AP213" i="18"/>
  <c r="AX213" i="18"/>
  <c r="AF209" i="18"/>
  <c r="AV209" i="18"/>
  <c r="AR209" i="18"/>
  <c r="AH209" i="18"/>
  <c r="AP209" i="18"/>
  <c r="AX209" i="18"/>
  <c r="AF205" i="18"/>
  <c r="AV205" i="18"/>
  <c r="AR205" i="18"/>
  <c r="AH205" i="18"/>
  <c r="AP205" i="18"/>
  <c r="AX205" i="18"/>
  <c r="AF201" i="18"/>
  <c r="AV201" i="18"/>
  <c r="AR201" i="18"/>
  <c r="AH201" i="18"/>
  <c r="AP201" i="18"/>
  <c r="AX201" i="18"/>
  <c r="AL328" i="18"/>
  <c r="AT328" i="18"/>
  <c r="AP328" i="18"/>
  <c r="AJ328" i="18"/>
  <c r="AR328" i="18"/>
  <c r="AZ328" i="18"/>
  <c r="AL312" i="18"/>
  <c r="AT312" i="18"/>
  <c r="AP312" i="18"/>
  <c r="AJ312" i="18"/>
  <c r="AR312" i="18"/>
  <c r="AZ312" i="18"/>
  <c r="AH300" i="18"/>
  <c r="AX300" i="18"/>
  <c r="AT300" i="18"/>
  <c r="AJ300" i="18"/>
  <c r="AR300" i="18"/>
  <c r="AZ300" i="18"/>
  <c r="AH292" i="18"/>
  <c r="AX292" i="18"/>
  <c r="AT292" i="18"/>
  <c r="AJ292" i="18"/>
  <c r="AR292" i="18"/>
  <c r="AZ292" i="18"/>
  <c r="AH284" i="18"/>
  <c r="AX284" i="18"/>
  <c r="AT284" i="18"/>
  <c r="AJ284" i="18"/>
  <c r="AR284" i="18"/>
  <c r="AZ284" i="18"/>
  <c r="AH276" i="18"/>
  <c r="AX276" i="18"/>
  <c r="AT276" i="18"/>
  <c r="AJ276" i="18"/>
  <c r="AR276" i="18"/>
  <c r="AZ276" i="18"/>
  <c r="AH268" i="18"/>
  <c r="AX268" i="18"/>
  <c r="AT268" i="18"/>
  <c r="AJ268" i="18"/>
  <c r="AR268" i="18"/>
  <c r="AZ268" i="18"/>
  <c r="AH260" i="18"/>
  <c r="AX260" i="18"/>
  <c r="AT260" i="18"/>
  <c r="AJ260" i="18"/>
  <c r="AR260" i="18"/>
  <c r="AZ260" i="18"/>
  <c r="AH252" i="18"/>
  <c r="AX252" i="18"/>
  <c r="AT252" i="18"/>
  <c r="AJ252" i="18"/>
  <c r="AR252" i="18"/>
  <c r="AZ252" i="18"/>
  <c r="AH244" i="18"/>
  <c r="AX244" i="18"/>
  <c r="AT244" i="18"/>
  <c r="AJ244" i="18"/>
  <c r="AR244" i="18"/>
  <c r="AZ244" i="18"/>
  <c r="AH236" i="18"/>
  <c r="AX236" i="18"/>
  <c r="AT236" i="18"/>
  <c r="AJ236" i="18"/>
  <c r="AR236" i="18"/>
  <c r="AZ236" i="18"/>
  <c r="AH228" i="18"/>
  <c r="AX228" i="18"/>
  <c r="AT228" i="18"/>
  <c r="AJ228" i="18"/>
  <c r="AR228" i="18"/>
  <c r="AZ228" i="18"/>
  <c r="AH220" i="18"/>
  <c r="AX220" i="18"/>
  <c r="AT220" i="18"/>
  <c r="AJ220" i="18"/>
  <c r="AR220" i="18"/>
  <c r="AZ220" i="18"/>
  <c r="AH212" i="18"/>
  <c r="AX212" i="18"/>
  <c r="AT212" i="18"/>
  <c r="AJ212" i="18"/>
  <c r="AR212" i="18"/>
  <c r="AZ212" i="18"/>
  <c r="AH204" i="18"/>
  <c r="AX204" i="18"/>
  <c r="AT204" i="18"/>
  <c r="AJ204" i="18"/>
  <c r="AR204" i="18"/>
  <c r="AZ204" i="18"/>
  <c r="AJ197" i="18"/>
  <c r="AR197" i="18"/>
  <c r="AZ197" i="18"/>
  <c r="AH197" i="18"/>
  <c r="AP197" i="18"/>
  <c r="AX197" i="18"/>
  <c r="AT324" i="18"/>
  <c r="BB324" i="18"/>
  <c r="AP324" i="18"/>
  <c r="AJ324" i="18"/>
  <c r="AR324" i="18"/>
  <c r="AZ324" i="18"/>
  <c r="AT308" i="18"/>
  <c r="BB308" i="18"/>
  <c r="AP308" i="18"/>
  <c r="AJ308" i="18"/>
  <c r="AR308" i="18"/>
  <c r="AZ308" i="18"/>
  <c r="AL294" i="18"/>
  <c r="BB294" i="18"/>
  <c r="AP294" i="18"/>
  <c r="AJ294" i="18"/>
  <c r="AR294" i="18"/>
  <c r="AZ294" i="18"/>
  <c r="AL286" i="18"/>
  <c r="BB286" i="18"/>
  <c r="AP286" i="18"/>
  <c r="AJ286" i="18"/>
  <c r="AR286" i="18"/>
  <c r="AZ286" i="18"/>
  <c r="AL278" i="18"/>
  <c r="BB278" i="18"/>
  <c r="AP278" i="18"/>
  <c r="AJ278" i="18"/>
  <c r="AR278" i="18"/>
  <c r="AZ278" i="18"/>
  <c r="AL270" i="18"/>
  <c r="BB270" i="18"/>
  <c r="AP270" i="18"/>
  <c r="AJ270" i="18"/>
  <c r="AR270" i="18"/>
  <c r="AZ270" i="18"/>
  <c r="AL262" i="18"/>
  <c r="BB262" i="18"/>
  <c r="AP262" i="18"/>
  <c r="AJ262" i="18"/>
  <c r="AR262" i="18"/>
  <c r="AZ262" i="18"/>
  <c r="AL254" i="18"/>
  <c r="BB254" i="18"/>
  <c r="AP254" i="18"/>
  <c r="AJ254" i="18"/>
  <c r="AR254" i="18"/>
  <c r="AZ254" i="18"/>
  <c r="AL246" i="18"/>
  <c r="BB246" i="18"/>
  <c r="AP246" i="18"/>
  <c r="AJ246" i="18"/>
  <c r="AR246" i="18"/>
  <c r="AZ246" i="18"/>
  <c r="AL238" i="18"/>
  <c r="BB238" i="18"/>
  <c r="AP238" i="18"/>
  <c r="AJ238" i="18"/>
  <c r="AR238" i="18"/>
  <c r="AZ238" i="18"/>
  <c r="AL230" i="18"/>
  <c r="BB230" i="18"/>
  <c r="AP230" i="18"/>
  <c r="AJ230" i="18"/>
  <c r="AR230" i="18"/>
  <c r="AZ230" i="18"/>
  <c r="AL222" i="18"/>
  <c r="BB222" i="18"/>
  <c r="AP222" i="18"/>
  <c r="AJ222" i="18"/>
  <c r="AR222" i="18"/>
  <c r="AZ222" i="18"/>
  <c r="AL214" i="18"/>
  <c r="BB214" i="18"/>
  <c r="AP214" i="18"/>
  <c r="AJ214" i="18"/>
  <c r="AR214" i="18"/>
  <c r="AZ214" i="18"/>
  <c r="AL206" i="18"/>
  <c r="BB206" i="18"/>
  <c r="AP206" i="18"/>
  <c r="AJ206" i="18"/>
  <c r="AR206" i="18"/>
  <c r="AZ206" i="18"/>
  <c r="BB198" i="18"/>
  <c r="AD198" i="18"/>
  <c r="B198" i="18"/>
  <c r="AH198" i="18"/>
  <c r="AX198" i="18"/>
  <c r="AJ198" i="18"/>
  <c r="AR198" i="18"/>
  <c r="AZ198" i="18"/>
  <c r="AJ194" i="18"/>
  <c r="AR194" i="18"/>
  <c r="AH194" i="18"/>
  <c r="AP194" i="18"/>
  <c r="BB194" i="18"/>
  <c r="AZ194" i="18"/>
  <c r="AJ190" i="18"/>
  <c r="AR190" i="18"/>
  <c r="AZ190" i="18"/>
  <c r="AH190" i="18"/>
  <c r="AP190" i="18"/>
  <c r="AX190" i="18"/>
  <c r="AJ186" i="18"/>
  <c r="AR186" i="18"/>
  <c r="AZ186" i="18"/>
  <c r="AH186" i="18"/>
  <c r="AP186" i="18"/>
  <c r="AX186" i="18"/>
  <c r="AJ182" i="18"/>
  <c r="AR182" i="18"/>
  <c r="AZ182" i="18"/>
  <c r="AH182" i="18"/>
  <c r="AP182" i="18"/>
  <c r="AX182" i="18"/>
  <c r="AJ178" i="18"/>
  <c r="AR178" i="18"/>
  <c r="AZ178" i="18"/>
  <c r="AH178" i="18"/>
  <c r="AP178" i="18"/>
  <c r="AX178" i="18"/>
  <c r="AJ174" i="18"/>
  <c r="AR174" i="18"/>
  <c r="AZ174" i="18"/>
  <c r="AH174" i="18"/>
  <c r="AP174" i="18"/>
  <c r="AX174" i="18"/>
  <c r="AJ170" i="18"/>
  <c r="AR170" i="18"/>
  <c r="AZ170" i="18"/>
  <c r="AH170" i="18"/>
  <c r="AP170" i="18"/>
  <c r="AX170" i="18"/>
  <c r="AJ166" i="18"/>
  <c r="AR166" i="18"/>
  <c r="AZ166" i="18"/>
  <c r="AH166" i="18"/>
  <c r="AP166" i="18"/>
  <c r="AX166" i="18"/>
  <c r="AJ162" i="18"/>
  <c r="AR162" i="18"/>
  <c r="AZ162" i="18"/>
  <c r="AH162" i="18"/>
  <c r="AP162" i="18"/>
  <c r="AX162" i="18"/>
  <c r="AJ158" i="18"/>
  <c r="AR158" i="18"/>
  <c r="AZ158" i="18"/>
  <c r="AH158" i="18"/>
  <c r="AP158" i="18"/>
  <c r="AX158" i="18"/>
  <c r="AJ154" i="18"/>
  <c r="AR154" i="18"/>
  <c r="AZ154" i="18"/>
  <c r="AH154" i="18"/>
  <c r="AP154" i="18"/>
  <c r="AX154" i="18"/>
  <c r="AJ150" i="18"/>
  <c r="AR150" i="18"/>
  <c r="AZ150" i="18"/>
  <c r="AH150" i="18"/>
  <c r="AP150" i="18"/>
  <c r="AX150" i="18"/>
  <c r="AJ146" i="18"/>
  <c r="AR146" i="18"/>
  <c r="AZ146" i="18"/>
  <c r="AH146" i="18"/>
  <c r="AP146" i="18"/>
  <c r="AX146" i="18"/>
  <c r="AJ142" i="18"/>
  <c r="AR142" i="18"/>
  <c r="AZ142" i="18"/>
  <c r="AH142" i="18"/>
  <c r="AP142" i="18"/>
  <c r="AX142" i="18"/>
  <c r="AJ138" i="18"/>
  <c r="AR138" i="18"/>
  <c r="AZ138" i="18"/>
  <c r="AH138" i="18"/>
  <c r="AP138" i="18"/>
  <c r="AX138" i="18"/>
  <c r="AJ134" i="18"/>
  <c r="AR134" i="18"/>
  <c r="AZ134" i="18"/>
  <c r="AH134" i="18"/>
  <c r="AP134" i="18"/>
  <c r="AX134" i="18"/>
  <c r="AJ130" i="18"/>
  <c r="AR130" i="18"/>
  <c r="AZ130" i="18"/>
  <c r="AH130" i="18"/>
  <c r="AP130" i="18"/>
  <c r="AX130" i="18"/>
  <c r="AJ126" i="18"/>
  <c r="AR126" i="18"/>
  <c r="AZ126" i="18"/>
  <c r="AH126" i="18"/>
  <c r="AP126" i="18"/>
  <c r="AX126" i="18"/>
  <c r="AJ122" i="18"/>
  <c r="AR122" i="18"/>
  <c r="AZ122" i="18"/>
  <c r="AH122" i="18"/>
  <c r="AP122" i="18"/>
  <c r="AX122" i="18"/>
  <c r="AJ118" i="18"/>
  <c r="AR118" i="18"/>
  <c r="AZ118" i="18"/>
  <c r="AH118" i="18"/>
  <c r="AP118" i="18"/>
  <c r="AX118" i="18"/>
  <c r="AJ114" i="18"/>
  <c r="AR114" i="18"/>
  <c r="AZ114" i="18"/>
  <c r="AH114" i="18"/>
  <c r="AP114" i="18"/>
  <c r="AX114" i="18"/>
  <c r="AJ110" i="18"/>
  <c r="AR110" i="18"/>
  <c r="AZ110" i="18"/>
  <c r="AH110" i="18"/>
  <c r="AP110" i="18"/>
  <c r="AX110" i="18"/>
  <c r="AJ107" i="18"/>
  <c r="AR107" i="18"/>
  <c r="AZ107" i="18"/>
  <c r="AH107" i="18"/>
  <c r="AP107" i="18"/>
  <c r="AX107" i="18"/>
  <c r="AJ103" i="18"/>
  <c r="AR103" i="18"/>
  <c r="AZ103" i="18"/>
  <c r="AH103" i="18"/>
  <c r="AP103" i="18"/>
  <c r="AX103" i="18"/>
  <c r="AJ99" i="18"/>
  <c r="AR99" i="18"/>
  <c r="AZ99" i="18"/>
  <c r="AH99" i="18"/>
  <c r="AP99" i="18"/>
  <c r="AX99" i="18"/>
  <c r="AJ95" i="18"/>
  <c r="AR95" i="18"/>
  <c r="AZ95" i="18"/>
  <c r="AH95" i="18"/>
  <c r="AP95" i="18"/>
  <c r="AX95" i="18"/>
  <c r="AJ91" i="18"/>
  <c r="AR91" i="18"/>
  <c r="AZ91" i="18"/>
  <c r="AH91" i="18"/>
  <c r="AP91" i="18"/>
  <c r="AX91" i="18"/>
  <c r="AJ87" i="18"/>
  <c r="AR87" i="18"/>
  <c r="AZ87" i="18"/>
  <c r="AH87" i="18"/>
  <c r="AP87" i="18"/>
  <c r="AX87" i="18"/>
  <c r="AJ83" i="18"/>
  <c r="AR83" i="18"/>
  <c r="AZ83" i="18"/>
  <c r="AH83" i="18"/>
  <c r="AP83" i="18"/>
  <c r="AX83" i="18"/>
  <c r="AJ79" i="18"/>
  <c r="AR79" i="18"/>
  <c r="AZ79" i="18"/>
  <c r="AH79" i="18"/>
  <c r="AP79" i="18"/>
  <c r="AX79" i="18"/>
  <c r="AJ75" i="18"/>
  <c r="AR75" i="18"/>
  <c r="AZ75" i="18"/>
  <c r="AH75" i="18"/>
  <c r="AP75" i="18"/>
  <c r="AX75" i="18"/>
  <c r="AJ71" i="18"/>
  <c r="AR71" i="18"/>
  <c r="AZ71" i="18"/>
  <c r="AH71" i="18"/>
  <c r="AP71" i="18"/>
  <c r="AX71" i="18"/>
  <c r="AH193" i="18"/>
  <c r="AP193" i="18"/>
  <c r="AX193" i="18"/>
  <c r="AJ193" i="18"/>
  <c r="AR193" i="18"/>
  <c r="AZ193" i="18"/>
  <c r="AH189" i="18"/>
  <c r="AP189" i="18"/>
  <c r="AX189" i="18"/>
  <c r="AJ189" i="18"/>
  <c r="AR189" i="18"/>
  <c r="AZ189" i="18"/>
  <c r="AH185" i="18"/>
  <c r="AP185" i="18"/>
  <c r="AX185" i="18"/>
  <c r="AJ185" i="18"/>
  <c r="AR185" i="18"/>
  <c r="AZ185" i="18"/>
  <c r="AH181" i="18"/>
  <c r="AP181" i="18"/>
  <c r="AX181" i="18"/>
  <c r="AJ181" i="18"/>
  <c r="AR181" i="18"/>
  <c r="AZ181" i="18"/>
  <c r="AH177" i="18"/>
  <c r="AP177" i="18"/>
  <c r="AX177" i="18"/>
  <c r="AJ177" i="18"/>
  <c r="AR177" i="18"/>
  <c r="AZ177" i="18"/>
  <c r="AH173" i="18"/>
  <c r="AP173" i="18"/>
  <c r="AX173" i="18"/>
  <c r="AJ173" i="18"/>
  <c r="AR173" i="18"/>
  <c r="AZ173" i="18"/>
  <c r="AH169" i="18"/>
  <c r="AP169" i="18"/>
  <c r="AX169" i="18"/>
  <c r="AJ169" i="18"/>
  <c r="AR169" i="18"/>
  <c r="AZ169" i="18"/>
  <c r="AH165" i="18"/>
  <c r="AP165" i="18"/>
  <c r="AX165" i="18"/>
  <c r="AJ165" i="18"/>
  <c r="AR165" i="18"/>
  <c r="AZ165" i="18"/>
  <c r="AH161" i="18"/>
  <c r="AP161" i="18"/>
  <c r="AX161" i="18"/>
  <c r="AJ161" i="18"/>
  <c r="AR161" i="18"/>
  <c r="AZ161" i="18"/>
  <c r="AH157" i="18"/>
  <c r="AP157" i="18"/>
  <c r="AX157" i="18"/>
  <c r="AJ157" i="18"/>
  <c r="AR157" i="18"/>
  <c r="AZ157" i="18"/>
  <c r="AH153" i="18"/>
  <c r="AP153" i="18"/>
  <c r="AX153" i="18"/>
  <c r="AJ153" i="18"/>
  <c r="AR153" i="18"/>
  <c r="AZ153" i="18"/>
  <c r="AH149" i="18"/>
  <c r="AP149" i="18"/>
  <c r="AX149" i="18"/>
  <c r="AJ149" i="18"/>
  <c r="AR149" i="18"/>
  <c r="AZ149" i="18"/>
  <c r="AH145" i="18"/>
  <c r="AP145" i="18"/>
  <c r="AX145" i="18"/>
  <c r="AJ145" i="18"/>
  <c r="AR145" i="18"/>
  <c r="AZ145" i="18"/>
  <c r="AH141" i="18"/>
  <c r="AP141" i="18"/>
  <c r="AX141" i="18"/>
  <c r="AJ141" i="18"/>
  <c r="AR141" i="18"/>
  <c r="AZ141" i="18"/>
  <c r="AH137" i="18"/>
  <c r="AP137" i="18"/>
  <c r="AX137" i="18"/>
  <c r="AJ137" i="18"/>
  <c r="AR137" i="18"/>
  <c r="AZ137" i="18"/>
  <c r="AH133" i="18"/>
  <c r="AP133" i="18"/>
  <c r="AX133" i="18"/>
  <c r="AJ133" i="18"/>
  <c r="AR133" i="18"/>
  <c r="AZ133" i="18"/>
  <c r="AH129" i="18"/>
  <c r="AP129" i="18"/>
  <c r="AX129" i="18"/>
  <c r="AJ129" i="18"/>
  <c r="AR129" i="18"/>
  <c r="AZ129" i="18"/>
  <c r="AH125" i="18"/>
  <c r="AP125" i="18"/>
  <c r="AX125" i="18"/>
  <c r="AJ125" i="18"/>
  <c r="AR125" i="18"/>
  <c r="AZ125" i="18"/>
  <c r="AH121" i="18"/>
  <c r="AP121" i="18"/>
  <c r="AX121" i="18"/>
  <c r="AJ121" i="18"/>
  <c r="AR121" i="18"/>
  <c r="AZ121" i="18"/>
  <c r="AH117" i="18"/>
  <c r="AP117" i="18"/>
  <c r="AX117" i="18"/>
  <c r="AJ117" i="18"/>
  <c r="AR117" i="18"/>
  <c r="AZ117" i="18"/>
  <c r="AH113" i="18"/>
  <c r="AP113" i="18"/>
  <c r="AX113" i="18"/>
  <c r="AJ113" i="18"/>
  <c r="AR113" i="18"/>
  <c r="AZ113" i="18"/>
  <c r="AH108" i="18"/>
  <c r="AP108" i="18"/>
  <c r="AX108" i="18"/>
  <c r="AJ108" i="18"/>
  <c r="AR108" i="18"/>
  <c r="AZ108" i="18"/>
  <c r="AH104" i="18"/>
  <c r="AP104" i="18"/>
  <c r="AX104" i="18"/>
  <c r="AJ104" i="18"/>
  <c r="AR104" i="18"/>
  <c r="AZ104" i="18"/>
  <c r="AH100" i="18"/>
  <c r="AP100" i="18"/>
  <c r="AX100" i="18"/>
  <c r="AJ100" i="18"/>
  <c r="AR100" i="18"/>
  <c r="AZ100" i="18"/>
  <c r="AH96" i="18"/>
  <c r="AP96" i="18"/>
  <c r="AX96" i="18"/>
  <c r="AJ96" i="18"/>
  <c r="AR96" i="18"/>
  <c r="AZ96" i="18"/>
  <c r="AH92" i="18"/>
  <c r="AP92" i="18"/>
  <c r="AX92" i="18"/>
  <c r="AJ92" i="18"/>
  <c r="AR92" i="18"/>
  <c r="AZ92" i="18"/>
  <c r="AH88" i="18"/>
  <c r="AP88" i="18"/>
  <c r="AX88" i="18"/>
  <c r="AJ88" i="18"/>
  <c r="AR88" i="18"/>
  <c r="AZ88" i="18"/>
  <c r="AH84" i="18"/>
  <c r="AP84" i="18"/>
  <c r="AX84" i="18"/>
  <c r="AJ84" i="18"/>
  <c r="AR84" i="18"/>
  <c r="AZ84" i="18"/>
  <c r="AH80" i="18"/>
  <c r="AP80" i="18"/>
  <c r="AX80" i="18"/>
  <c r="AJ80" i="18"/>
  <c r="AR80" i="18"/>
  <c r="AZ80" i="18"/>
  <c r="AH76" i="18"/>
  <c r="AP76" i="18"/>
  <c r="AX76" i="18"/>
  <c r="AJ76" i="18"/>
  <c r="AR76" i="18"/>
  <c r="AZ76" i="18"/>
  <c r="AH72" i="18"/>
  <c r="AP72" i="18"/>
  <c r="AX72" i="18"/>
  <c r="AJ72" i="18"/>
  <c r="AR72" i="18"/>
  <c r="AZ72" i="18"/>
  <c r="AR68" i="18"/>
  <c r="AF68" i="18"/>
  <c r="AV68" i="18"/>
  <c r="AH68" i="18"/>
  <c r="AP68" i="18"/>
  <c r="AX68" i="18"/>
  <c r="AJ63" i="18"/>
  <c r="AR63" i="18"/>
  <c r="AZ63" i="18"/>
  <c r="AH63" i="18"/>
  <c r="AP63" i="18"/>
  <c r="AX63" i="18"/>
  <c r="AJ59" i="18"/>
  <c r="AR59" i="18"/>
  <c r="AZ59" i="18"/>
  <c r="AH59" i="18"/>
  <c r="AP59" i="18"/>
  <c r="AX59" i="18"/>
  <c r="AJ55" i="18"/>
  <c r="AR55" i="18"/>
  <c r="AZ55" i="18"/>
  <c r="AH55" i="18"/>
  <c r="AP55" i="18"/>
  <c r="AX55" i="18"/>
  <c r="AJ51" i="18"/>
  <c r="AR51" i="18"/>
  <c r="AZ51" i="18"/>
  <c r="AH51" i="18"/>
  <c r="AP51" i="18"/>
  <c r="AX51" i="18"/>
  <c r="AJ47" i="18"/>
  <c r="AR47" i="18"/>
  <c r="AZ47" i="18"/>
  <c r="AH47" i="18"/>
  <c r="AP47" i="18"/>
  <c r="AX47" i="18"/>
  <c r="AJ43" i="18"/>
  <c r="AR43" i="18"/>
  <c r="AZ43" i="18"/>
  <c r="AH43" i="18"/>
  <c r="AP43" i="18"/>
  <c r="AX43" i="18"/>
  <c r="AJ39" i="18"/>
  <c r="AR39" i="18"/>
  <c r="AZ39" i="18"/>
  <c r="AH39" i="18"/>
  <c r="AP39" i="18"/>
  <c r="AX39" i="18"/>
  <c r="AJ35" i="18"/>
  <c r="AR35" i="18"/>
  <c r="AZ35" i="18"/>
  <c r="AH35" i="18"/>
  <c r="AP35" i="18"/>
  <c r="AX35" i="18"/>
  <c r="AJ31" i="18"/>
  <c r="AR31" i="18"/>
  <c r="AZ31" i="18"/>
  <c r="AH31" i="18"/>
  <c r="AP31" i="18"/>
  <c r="AX31" i="18"/>
  <c r="AJ27" i="18"/>
  <c r="AR27" i="18"/>
  <c r="AZ27" i="18"/>
  <c r="AH27" i="18"/>
  <c r="AP27" i="18"/>
  <c r="AX27" i="18"/>
  <c r="AJ23" i="18"/>
  <c r="AR23" i="18"/>
  <c r="AZ23" i="18"/>
  <c r="AH23" i="18"/>
  <c r="AP23" i="18"/>
  <c r="AX23" i="18"/>
  <c r="AJ19" i="18"/>
  <c r="AR19" i="18"/>
  <c r="AZ19" i="18"/>
  <c r="AH19" i="18"/>
  <c r="AP19" i="18"/>
  <c r="AX19" i="18"/>
  <c r="AJ15" i="18"/>
  <c r="AR15" i="18"/>
  <c r="AZ15" i="18"/>
  <c r="AH15" i="18"/>
  <c r="AP15" i="18"/>
  <c r="AX15" i="18"/>
  <c r="AJ11" i="18"/>
  <c r="AR11" i="18"/>
  <c r="AZ11" i="18"/>
  <c r="AH11" i="18"/>
  <c r="AP11" i="18"/>
  <c r="AX11" i="18"/>
  <c r="AL67" i="18"/>
  <c r="BB67" i="18"/>
  <c r="AP67" i="18"/>
  <c r="AJ67" i="18"/>
  <c r="AR67" i="18"/>
  <c r="AZ67" i="18"/>
  <c r="AH64" i="18"/>
  <c r="AP64" i="18"/>
  <c r="AX64" i="18"/>
  <c r="AJ64" i="18"/>
  <c r="AR64" i="18"/>
  <c r="AZ64" i="18"/>
  <c r="AH60" i="18"/>
  <c r="AP60" i="18"/>
  <c r="AX60" i="18"/>
  <c r="AJ60" i="18"/>
  <c r="AR60" i="18"/>
  <c r="AZ60" i="18"/>
  <c r="AH56" i="18"/>
  <c r="AP56" i="18"/>
  <c r="AX56" i="18"/>
  <c r="AJ56" i="18"/>
  <c r="AR56" i="18"/>
  <c r="AZ56" i="18"/>
  <c r="AH52" i="18"/>
  <c r="AP52" i="18"/>
  <c r="AX52" i="18"/>
  <c r="AJ52" i="18"/>
  <c r="AR52" i="18"/>
  <c r="AZ52" i="18"/>
  <c r="AH48" i="18"/>
  <c r="AP48" i="18"/>
  <c r="AX48" i="18"/>
  <c r="AJ48" i="18"/>
  <c r="AR48" i="18"/>
  <c r="AZ48" i="18"/>
  <c r="AH44" i="18"/>
  <c r="AP44" i="18"/>
  <c r="AX44" i="18"/>
  <c r="AJ44" i="18"/>
  <c r="AR44" i="18"/>
  <c r="AZ44" i="18"/>
  <c r="AH40" i="18"/>
  <c r="AP40" i="18"/>
  <c r="AX40" i="18"/>
  <c r="AJ40" i="18"/>
  <c r="AR40" i="18"/>
  <c r="AZ40" i="18"/>
  <c r="AH36" i="18"/>
  <c r="AP36" i="18"/>
  <c r="AX36" i="18"/>
  <c r="AJ36" i="18"/>
  <c r="AR36" i="18"/>
  <c r="AZ36" i="18"/>
  <c r="AH32" i="18"/>
  <c r="AP32" i="18"/>
  <c r="AX32" i="18"/>
  <c r="AJ32" i="18"/>
  <c r="AR32" i="18"/>
  <c r="AZ32" i="18"/>
  <c r="AH28" i="18"/>
  <c r="AP28" i="18"/>
  <c r="AX28" i="18"/>
  <c r="AJ28" i="18"/>
  <c r="AR28" i="18"/>
  <c r="AZ28" i="18"/>
  <c r="AH24" i="18"/>
  <c r="AP24" i="18"/>
  <c r="AX24" i="18"/>
  <c r="AJ24" i="18"/>
  <c r="AR24" i="18"/>
  <c r="AZ24" i="18"/>
  <c r="AH20" i="18"/>
  <c r="AP20" i="18"/>
  <c r="AX20" i="18"/>
  <c r="AJ20" i="18"/>
  <c r="AR20" i="18"/>
  <c r="AZ20" i="18"/>
  <c r="AH16" i="18"/>
  <c r="AP16" i="18"/>
  <c r="AX16" i="18"/>
  <c r="AJ16" i="18"/>
  <c r="AR16" i="18"/>
  <c r="AZ16" i="18"/>
  <c r="AH12" i="18"/>
  <c r="AP12" i="18"/>
  <c r="AX12" i="18"/>
  <c r="AJ12" i="18"/>
  <c r="AR12" i="18"/>
  <c r="AZ12" i="18"/>
  <c r="AH8" i="18"/>
  <c r="AP8" i="18"/>
  <c r="AX8" i="18"/>
  <c r="I19" i="1"/>
  <c r="I17" i="1"/>
  <c r="I15" i="1"/>
  <c r="I13" i="1"/>
  <c r="I11" i="1"/>
  <c r="I20" i="1"/>
  <c r="I18" i="1"/>
  <c r="I16" i="1"/>
  <c r="I14" i="1"/>
  <c r="I12" i="1"/>
  <c r="AJ8" i="18"/>
  <c r="AR8" i="18"/>
  <c r="AZ8" i="18"/>
  <c r="AH151" i="18"/>
  <c r="AP151" i="18"/>
  <c r="AX151" i="18"/>
  <c r="AJ151" i="18"/>
  <c r="AR151" i="18"/>
  <c r="AZ151" i="18"/>
  <c r="AH147" i="18"/>
  <c r="AP147" i="18"/>
  <c r="AX147" i="18"/>
  <c r="AJ147" i="18"/>
  <c r="AR147" i="18"/>
  <c r="AZ147" i="18"/>
  <c r="AH143" i="18"/>
  <c r="AP143" i="18"/>
  <c r="AX143" i="18"/>
  <c r="AJ143" i="18"/>
  <c r="AR143" i="18"/>
  <c r="AZ143" i="18"/>
  <c r="AH139" i="18"/>
  <c r="AP139" i="18"/>
  <c r="AX139" i="18"/>
  <c r="AJ139" i="18"/>
  <c r="AR139" i="18"/>
  <c r="AZ139" i="18"/>
  <c r="AH135" i="18"/>
  <c r="AP135" i="18"/>
  <c r="AX135" i="18"/>
  <c r="AJ135" i="18"/>
  <c r="AR135" i="18"/>
  <c r="AZ135" i="18"/>
  <c r="AH131" i="18"/>
  <c r="AP131" i="18"/>
  <c r="AX131" i="18"/>
  <c r="AJ131" i="18"/>
  <c r="AR131" i="18"/>
  <c r="AZ131" i="18"/>
  <c r="AH127" i="18"/>
  <c r="AP127" i="18"/>
  <c r="AX127" i="18"/>
  <c r="AJ127" i="18"/>
  <c r="AR127" i="18"/>
  <c r="AZ127" i="18"/>
  <c r="AH123" i="18"/>
  <c r="AP123" i="18"/>
  <c r="AX123" i="18"/>
  <c r="AJ123" i="18"/>
  <c r="AR123" i="18"/>
  <c r="AZ123" i="18"/>
  <c r="AH119" i="18"/>
  <c r="AP119" i="18"/>
  <c r="AX119" i="18"/>
  <c r="AJ119" i="18"/>
  <c r="AR119" i="18"/>
  <c r="AZ119" i="18"/>
  <c r="AH111" i="18"/>
  <c r="AP111" i="18"/>
  <c r="AX111" i="18"/>
  <c r="AJ111" i="18"/>
  <c r="AR111" i="18"/>
  <c r="AZ111" i="18"/>
  <c r="AH98" i="18"/>
  <c r="AP98" i="18"/>
  <c r="AX98" i="18"/>
  <c r="AJ98" i="18"/>
  <c r="AR98" i="18"/>
  <c r="AZ98" i="18"/>
  <c r="AJ37" i="18"/>
  <c r="AR37" i="18"/>
  <c r="AZ37" i="18"/>
  <c r="AH37" i="18"/>
  <c r="AP37" i="18"/>
  <c r="AX37" i="18"/>
  <c r="AJ29" i="18"/>
  <c r="AR29" i="18"/>
  <c r="AZ29" i="18"/>
  <c r="AH29" i="18"/>
  <c r="AP29" i="18"/>
  <c r="AX29" i="18"/>
  <c r="AJ25" i="18"/>
  <c r="AR25" i="18"/>
  <c r="AZ25" i="18"/>
  <c r="AH25" i="18"/>
  <c r="AP25" i="18"/>
  <c r="AX25" i="18"/>
  <c r="AJ17" i="18"/>
  <c r="AR17" i="18"/>
  <c r="AZ17" i="18"/>
  <c r="AH17" i="18"/>
  <c r="AP17" i="18"/>
  <c r="AX17" i="18"/>
  <c r="AJ9" i="18"/>
  <c r="AR9" i="18"/>
  <c r="AZ9" i="18"/>
  <c r="AH9" i="18"/>
  <c r="AP9" i="18"/>
  <c r="AX9" i="18"/>
  <c r="AH62" i="18"/>
  <c r="AP62" i="18"/>
  <c r="AX62" i="18"/>
  <c r="AJ62" i="18"/>
  <c r="AR62" i="18"/>
  <c r="AZ62" i="18"/>
  <c r="AH54" i="18"/>
  <c r="AP54" i="18"/>
  <c r="AX54" i="18"/>
  <c r="AJ54" i="18"/>
  <c r="AR54" i="18"/>
  <c r="AZ54" i="18"/>
  <c r="AH46" i="18"/>
  <c r="AP46" i="18"/>
  <c r="AX46" i="18"/>
  <c r="AJ46" i="18"/>
  <c r="AR46" i="18"/>
  <c r="AZ46" i="18"/>
  <c r="AH38" i="18"/>
  <c r="AP38" i="18"/>
  <c r="AX38" i="18"/>
  <c r="AJ38" i="18"/>
  <c r="AR38" i="18"/>
  <c r="AZ38" i="18"/>
  <c r="AH30" i="18"/>
  <c r="AP30" i="18"/>
  <c r="AX30" i="18"/>
  <c r="AJ30" i="18"/>
  <c r="AR30" i="18"/>
  <c r="AZ30" i="18"/>
  <c r="AH22" i="18"/>
  <c r="AP22" i="18"/>
  <c r="AX22" i="18"/>
  <c r="AJ22" i="18"/>
  <c r="AR22" i="18"/>
  <c r="AZ22" i="18"/>
  <c r="AH14" i="18"/>
  <c r="AP14" i="18"/>
  <c r="AX14" i="18"/>
  <c r="AJ14" i="18"/>
  <c r="AR14" i="18"/>
  <c r="AZ14" i="18"/>
  <c r="AR343" i="18"/>
  <c r="AF343" i="18"/>
  <c r="AV343" i="18"/>
  <c r="AH343" i="18"/>
  <c r="AP343" i="18"/>
  <c r="AX343" i="18"/>
  <c r="AR339" i="18"/>
  <c r="AF339" i="18"/>
  <c r="AV339" i="18"/>
  <c r="AH339" i="18"/>
  <c r="AP339" i="18"/>
  <c r="AX339" i="18"/>
  <c r="AR335" i="18"/>
  <c r="AF335" i="18"/>
  <c r="AV335" i="18"/>
  <c r="AH335" i="18"/>
  <c r="AP335" i="18"/>
  <c r="AX335" i="18"/>
  <c r="B331" i="18"/>
  <c r="AD331" i="18"/>
  <c r="AJ331" i="18"/>
  <c r="AZ331" i="18"/>
  <c r="AF331" i="18"/>
  <c r="AV331" i="18"/>
  <c r="AH331" i="18"/>
  <c r="AP331" i="18"/>
  <c r="AX331" i="18"/>
  <c r="AF327" i="18"/>
  <c r="AN327" i="18"/>
  <c r="AR327" i="18"/>
  <c r="AH327" i="18"/>
  <c r="AP327" i="18"/>
  <c r="AX327" i="18"/>
  <c r="AN323" i="18"/>
  <c r="AF323" i="18"/>
  <c r="AR323" i="18"/>
  <c r="AH323" i="18"/>
  <c r="AP323" i="18"/>
  <c r="AX323" i="18"/>
  <c r="AF319" i="18"/>
  <c r="AN319" i="18"/>
  <c r="AR319" i="18"/>
  <c r="AH319" i="18"/>
  <c r="AP319" i="18"/>
  <c r="AX319" i="18"/>
  <c r="AN315" i="18"/>
  <c r="AF315" i="18"/>
  <c r="AR315" i="18"/>
  <c r="AH315" i="18"/>
  <c r="AP315" i="18"/>
  <c r="AX315" i="18"/>
  <c r="AF311" i="18"/>
  <c r="AN311" i="18"/>
  <c r="AR311" i="18"/>
  <c r="AH311" i="18"/>
  <c r="AP311" i="18"/>
  <c r="AX311" i="18"/>
  <c r="AN307" i="18"/>
  <c r="AF307" i="18"/>
  <c r="AR307" i="18"/>
  <c r="AH307" i="18"/>
  <c r="AP307" i="18"/>
  <c r="AX307" i="18"/>
  <c r="AF303" i="18"/>
  <c r="AN303" i="18"/>
  <c r="AR303" i="18"/>
  <c r="AH303" i="18"/>
  <c r="AP303" i="18"/>
  <c r="AX303" i="18"/>
  <c r="AH336" i="18"/>
  <c r="AX336" i="18"/>
  <c r="AT336" i="18"/>
  <c r="AJ336" i="18"/>
  <c r="AR336" i="18"/>
  <c r="AZ336" i="18"/>
  <c r="AL342" i="18"/>
  <c r="BB342" i="18"/>
  <c r="AP342" i="18"/>
  <c r="AJ342" i="18"/>
  <c r="AR342" i="18"/>
  <c r="AZ342" i="18"/>
  <c r="AL334" i="18"/>
  <c r="BB334" i="18"/>
  <c r="AP334" i="18"/>
  <c r="AJ334" i="18"/>
  <c r="AR334" i="18"/>
  <c r="AZ334" i="18"/>
  <c r="AP326" i="18"/>
  <c r="AX326" i="18"/>
  <c r="AT326" i="18"/>
  <c r="AJ326" i="18"/>
  <c r="AR326" i="18"/>
  <c r="AZ326" i="18"/>
  <c r="AP318" i="18"/>
  <c r="AX318" i="18"/>
  <c r="AT318" i="18"/>
  <c r="AJ318" i="18"/>
  <c r="AR318" i="18"/>
  <c r="AZ318" i="18"/>
  <c r="AP310" i="18"/>
  <c r="AX310" i="18"/>
  <c r="AT310" i="18"/>
  <c r="AJ310" i="18"/>
  <c r="AR310" i="18"/>
  <c r="AZ310" i="18"/>
  <c r="AP302" i="18"/>
  <c r="AX302" i="18"/>
  <c r="AT302" i="18"/>
  <c r="AJ302" i="18"/>
  <c r="AR302" i="18"/>
  <c r="AZ302" i="18"/>
  <c r="AR299" i="18"/>
  <c r="AF299" i="18"/>
  <c r="AV299" i="18"/>
  <c r="AH299" i="18"/>
  <c r="AP299" i="18"/>
  <c r="AX299" i="18"/>
  <c r="AR295" i="18"/>
  <c r="AF295" i="18"/>
  <c r="AV295" i="18"/>
  <c r="AH295" i="18"/>
  <c r="AP295" i="18"/>
  <c r="AX295" i="18"/>
  <c r="AR291" i="18"/>
  <c r="AF291" i="18"/>
  <c r="AV291" i="18"/>
  <c r="AH291" i="18"/>
  <c r="AP291" i="18"/>
  <c r="AX291" i="18"/>
  <c r="AR287" i="18"/>
  <c r="AF287" i="18"/>
  <c r="AV287" i="18"/>
  <c r="AH287" i="18"/>
  <c r="AP287" i="18"/>
  <c r="AX287" i="18"/>
  <c r="AR283" i="18"/>
  <c r="AF283" i="18"/>
  <c r="AV283" i="18"/>
  <c r="AH283" i="18"/>
  <c r="AP283" i="18"/>
  <c r="AX283" i="18"/>
  <c r="AR279" i="18"/>
  <c r="AF279" i="18"/>
  <c r="AV279" i="18"/>
  <c r="AH279" i="18"/>
  <c r="AP279" i="18"/>
  <c r="AX279" i="18"/>
  <c r="AR275" i="18"/>
  <c r="AF275" i="18"/>
  <c r="AV275" i="18"/>
  <c r="AH275" i="18"/>
  <c r="AP275" i="18"/>
  <c r="AX275" i="18"/>
  <c r="AR271" i="18"/>
  <c r="AF271" i="18"/>
  <c r="AV271" i="18"/>
  <c r="AH271" i="18"/>
  <c r="AP271" i="18"/>
  <c r="AX271" i="18"/>
  <c r="AR267" i="18"/>
  <c r="AF267" i="18"/>
  <c r="AV267" i="18"/>
  <c r="AH267" i="18"/>
  <c r="AP267" i="18"/>
  <c r="AX267" i="18"/>
  <c r="AR263" i="18"/>
  <c r="AF263" i="18"/>
  <c r="AV263" i="18"/>
  <c r="AH263" i="18"/>
  <c r="AP263" i="18"/>
  <c r="AX263" i="18"/>
  <c r="AR259" i="18"/>
  <c r="AF259" i="18"/>
  <c r="AV259" i="18"/>
  <c r="AH259" i="18"/>
  <c r="AP259" i="18"/>
  <c r="AX259" i="18"/>
  <c r="AR255" i="18"/>
  <c r="AF255" i="18"/>
  <c r="AV255" i="18"/>
  <c r="AH255" i="18"/>
  <c r="AP255" i="18"/>
  <c r="AX255" i="18"/>
  <c r="AR251" i="18"/>
  <c r="AF251" i="18"/>
  <c r="AV251" i="18"/>
  <c r="AH251" i="18"/>
  <c r="AP251" i="18"/>
  <c r="AX251" i="18"/>
  <c r="AR247" i="18"/>
  <c r="AF247" i="18"/>
  <c r="AV247" i="18"/>
  <c r="AH247" i="18"/>
  <c r="AP247" i="18"/>
  <c r="AX247" i="18"/>
  <c r="AR243" i="18"/>
  <c r="AF243" i="18"/>
  <c r="AV243" i="18"/>
  <c r="AH243" i="18"/>
  <c r="AP243" i="18"/>
  <c r="AX243" i="18"/>
  <c r="AR239" i="18"/>
  <c r="AF239" i="18"/>
  <c r="AV239" i="18"/>
  <c r="AH239" i="18"/>
  <c r="AP239" i="18"/>
  <c r="AX239" i="18"/>
  <c r="AR235" i="18"/>
  <c r="AF235" i="18"/>
  <c r="AV235" i="18"/>
  <c r="AH235" i="18"/>
  <c r="AP235" i="18"/>
  <c r="AX235" i="18"/>
  <c r="AR231" i="18"/>
  <c r="AF231" i="18"/>
  <c r="AV231" i="18"/>
  <c r="AH231" i="18"/>
  <c r="AP231" i="18"/>
  <c r="AX231" i="18"/>
  <c r="AR227" i="18"/>
  <c r="AF227" i="18"/>
  <c r="AV227" i="18"/>
  <c r="AH227" i="18"/>
  <c r="AP227" i="18"/>
  <c r="AX227" i="18"/>
  <c r="AR223" i="18"/>
  <c r="AF223" i="18"/>
  <c r="AV223" i="18"/>
  <c r="AH223" i="18"/>
  <c r="AP223" i="18"/>
  <c r="AX223" i="18"/>
  <c r="AR219" i="18"/>
  <c r="AF219" i="18"/>
  <c r="AV219" i="18"/>
  <c r="AH219" i="18"/>
  <c r="AP219" i="18"/>
  <c r="AX219" i="18"/>
  <c r="AR215" i="18"/>
  <c r="AF215" i="18"/>
  <c r="AV215" i="18"/>
  <c r="AH215" i="18"/>
  <c r="AP215" i="18"/>
  <c r="AX215" i="18"/>
  <c r="AR211" i="18"/>
  <c r="AF211" i="18"/>
  <c r="AV211" i="18"/>
  <c r="AH211" i="18"/>
  <c r="AP211" i="18"/>
  <c r="AX211" i="18"/>
  <c r="AR207" i="18"/>
  <c r="AF207" i="18"/>
  <c r="AV207" i="18"/>
  <c r="AH207" i="18"/>
  <c r="AP207" i="18"/>
  <c r="AX207" i="18"/>
  <c r="AR203" i="18"/>
  <c r="AF203" i="18"/>
  <c r="AV203" i="18"/>
  <c r="AH203" i="18"/>
  <c r="AP203" i="18"/>
  <c r="AX203" i="18"/>
  <c r="AR199" i="18"/>
  <c r="AF199" i="18"/>
  <c r="AV199" i="18"/>
  <c r="AH199" i="18"/>
  <c r="AP199" i="18"/>
  <c r="AX199" i="18"/>
  <c r="AL320" i="18"/>
  <c r="AT320" i="18"/>
  <c r="AP320" i="18"/>
  <c r="AJ320" i="18"/>
  <c r="AR320" i="18"/>
  <c r="AZ320" i="18"/>
  <c r="AL304" i="18"/>
  <c r="AT304" i="18"/>
  <c r="AP304" i="18"/>
  <c r="AJ304" i="18"/>
  <c r="AR304" i="18"/>
  <c r="AZ304" i="18"/>
  <c r="AH296" i="18"/>
  <c r="AX296" i="18"/>
  <c r="AT296" i="18"/>
  <c r="AJ296" i="18"/>
  <c r="AR296" i="18"/>
  <c r="AZ296" i="18"/>
  <c r="AH288" i="18"/>
  <c r="AX288" i="18"/>
  <c r="AT288" i="18"/>
  <c r="AJ288" i="18"/>
  <c r="AR288" i="18"/>
  <c r="AZ288" i="18"/>
  <c r="AH280" i="18"/>
  <c r="AX280" i="18"/>
  <c r="AT280" i="18"/>
  <c r="AJ280" i="18"/>
  <c r="AR280" i="18"/>
  <c r="AZ280" i="18"/>
  <c r="AH272" i="18"/>
  <c r="AX272" i="18"/>
  <c r="AT272" i="18"/>
  <c r="AJ272" i="18"/>
  <c r="AR272" i="18"/>
  <c r="AZ272" i="18"/>
  <c r="AH264" i="18"/>
  <c r="AX264" i="18"/>
  <c r="AT264" i="18"/>
  <c r="AJ264" i="18"/>
  <c r="AR264" i="18"/>
  <c r="AZ264" i="18"/>
  <c r="AH256" i="18"/>
  <c r="AX256" i="18"/>
  <c r="AT256" i="18"/>
  <c r="AJ256" i="18"/>
  <c r="AR256" i="18"/>
  <c r="AZ256" i="18"/>
  <c r="AH248" i="18"/>
  <c r="AX248" i="18"/>
  <c r="AT248" i="18"/>
  <c r="AJ248" i="18"/>
  <c r="AR248" i="18"/>
  <c r="AZ248" i="18"/>
  <c r="AH240" i="18"/>
  <c r="AX240" i="18"/>
  <c r="AT240" i="18"/>
  <c r="AJ240" i="18"/>
  <c r="AR240" i="18"/>
  <c r="AZ240" i="18"/>
  <c r="AH232" i="18"/>
  <c r="AX232" i="18"/>
  <c r="AT232" i="18"/>
  <c r="AJ232" i="18"/>
  <c r="AR232" i="18"/>
  <c r="AZ232" i="18"/>
  <c r="AH224" i="18"/>
  <c r="AX224" i="18"/>
  <c r="AT224" i="18"/>
  <c r="AJ224" i="18"/>
  <c r="AR224" i="18"/>
  <c r="AZ224" i="18"/>
  <c r="AH216" i="18"/>
  <c r="AX216" i="18"/>
  <c r="AT216" i="18"/>
  <c r="AJ216" i="18"/>
  <c r="AR216" i="18"/>
  <c r="AZ216" i="18"/>
  <c r="AH208" i="18"/>
  <c r="AX208" i="18"/>
  <c r="AT208" i="18"/>
  <c r="AJ208" i="18"/>
  <c r="AR208" i="18"/>
  <c r="AZ208" i="18"/>
  <c r="AH200" i="18"/>
  <c r="AX200" i="18"/>
  <c r="AT200" i="18"/>
  <c r="AJ200" i="18"/>
  <c r="AR200" i="18"/>
  <c r="AZ200" i="18"/>
  <c r="AJ195" i="18"/>
  <c r="AR195" i="18"/>
  <c r="AZ195" i="18"/>
  <c r="AH195" i="18"/>
  <c r="AP195" i="18"/>
  <c r="AX195" i="18"/>
  <c r="AT316" i="18"/>
  <c r="BB316" i="18"/>
  <c r="AP316" i="18"/>
  <c r="AJ316" i="18"/>
  <c r="AR316" i="18"/>
  <c r="AZ316" i="18"/>
  <c r="AL298" i="18"/>
  <c r="BB298" i="18"/>
  <c r="AP298" i="18"/>
  <c r="AJ298" i="18"/>
  <c r="AR298" i="18"/>
  <c r="AZ298" i="18"/>
  <c r="AL290" i="18"/>
  <c r="BB290" i="18"/>
  <c r="AP290" i="18"/>
  <c r="AJ290" i="18"/>
  <c r="AR290" i="18"/>
  <c r="AZ290" i="18"/>
  <c r="AL282" i="18"/>
  <c r="BB282" i="18"/>
  <c r="AP282" i="18"/>
  <c r="AJ282" i="18"/>
  <c r="AR282" i="18"/>
  <c r="AZ282" i="18"/>
  <c r="AL274" i="18"/>
  <c r="BB274" i="18"/>
  <c r="AP274" i="18"/>
  <c r="AJ274" i="18"/>
  <c r="AR274" i="18"/>
  <c r="AZ274" i="18"/>
  <c r="AL266" i="18"/>
  <c r="BB266" i="18"/>
  <c r="AP266" i="18"/>
  <c r="AJ266" i="18"/>
  <c r="AR266" i="18"/>
  <c r="AZ266" i="18"/>
  <c r="AL258" i="18"/>
  <c r="BB258" i="18"/>
  <c r="AP258" i="18"/>
  <c r="AJ258" i="18"/>
  <c r="AR258" i="18"/>
  <c r="AZ258" i="18"/>
  <c r="AL250" i="18"/>
  <c r="BB250" i="18"/>
  <c r="AP250" i="18"/>
  <c r="AJ250" i="18"/>
  <c r="AR250" i="18"/>
  <c r="AZ250" i="18"/>
  <c r="AL242" i="18"/>
  <c r="BB242" i="18"/>
  <c r="AP242" i="18"/>
  <c r="AJ242" i="18"/>
  <c r="AR242" i="18"/>
  <c r="AZ242" i="18"/>
  <c r="AL234" i="18"/>
  <c r="BB234" i="18"/>
  <c r="AP234" i="18"/>
  <c r="AJ234" i="18"/>
  <c r="AR234" i="18"/>
  <c r="AZ234" i="18"/>
  <c r="AL226" i="18"/>
  <c r="BB226" i="18"/>
  <c r="AP226" i="18"/>
  <c r="AJ226" i="18"/>
  <c r="AR226" i="18"/>
  <c r="AZ226" i="18"/>
  <c r="AL218" i="18"/>
  <c r="BB218" i="18"/>
  <c r="AP218" i="18"/>
  <c r="AJ218" i="18"/>
  <c r="AR218" i="18"/>
  <c r="AZ218" i="18"/>
  <c r="AL210" i="18"/>
  <c r="BB210" i="18"/>
  <c r="AP210" i="18"/>
  <c r="AJ210" i="18"/>
  <c r="AR210" i="18"/>
  <c r="AZ210" i="18"/>
  <c r="AL202" i="18"/>
  <c r="BB202" i="18"/>
  <c r="AP202" i="18"/>
  <c r="AJ202" i="18"/>
  <c r="AR202" i="18"/>
  <c r="AZ202" i="18"/>
  <c r="AH196" i="18"/>
  <c r="AP196" i="18"/>
  <c r="AX196" i="18"/>
  <c r="AJ196" i="18"/>
  <c r="AR196" i="18"/>
  <c r="AZ196" i="18"/>
  <c r="AJ192" i="18"/>
  <c r="AR192" i="18"/>
  <c r="AZ192" i="18"/>
  <c r="AH192" i="18"/>
  <c r="AP192" i="18"/>
  <c r="AX192" i="18"/>
  <c r="AJ188" i="18"/>
  <c r="AR188" i="18"/>
  <c r="AZ188" i="18"/>
  <c r="AH188" i="18"/>
  <c r="AP188" i="18"/>
  <c r="AX188" i="18"/>
  <c r="AJ184" i="18"/>
  <c r="AR184" i="18"/>
  <c r="AZ184" i="18"/>
  <c r="AH184" i="18"/>
  <c r="AP184" i="18"/>
  <c r="AX184" i="18"/>
  <c r="AJ180" i="18"/>
  <c r="AR180" i="18"/>
  <c r="AZ180" i="18"/>
  <c r="AH180" i="18"/>
  <c r="AP180" i="18"/>
  <c r="AX180" i="18"/>
  <c r="AJ176" i="18"/>
  <c r="AR176" i="18"/>
  <c r="AZ176" i="18"/>
  <c r="AH176" i="18"/>
  <c r="AP176" i="18"/>
  <c r="AX176" i="18"/>
  <c r="AJ172" i="18"/>
  <c r="AR172" i="18"/>
  <c r="AZ172" i="18"/>
  <c r="AH172" i="18"/>
  <c r="AP172" i="18"/>
  <c r="AX172" i="18"/>
  <c r="AJ168" i="18"/>
  <c r="AR168" i="18"/>
  <c r="AZ168" i="18"/>
  <c r="AH168" i="18"/>
  <c r="AP168" i="18"/>
  <c r="AX168" i="18"/>
  <c r="AJ164" i="18"/>
  <c r="AR164" i="18"/>
  <c r="AZ164" i="18"/>
  <c r="AH164" i="18"/>
  <c r="AP164" i="18"/>
  <c r="AX164" i="18"/>
  <c r="AJ160" i="18"/>
  <c r="AR160" i="18"/>
  <c r="AZ160" i="18"/>
  <c r="AH160" i="18"/>
  <c r="AP160" i="18"/>
  <c r="AX160" i="18"/>
  <c r="AJ156" i="18"/>
  <c r="AR156" i="18"/>
  <c r="AZ156" i="18"/>
  <c r="AH156" i="18"/>
  <c r="AP156" i="18"/>
  <c r="AX156" i="18"/>
  <c r="AJ152" i="18"/>
  <c r="AR152" i="18"/>
  <c r="AZ152" i="18"/>
  <c r="AH152" i="18"/>
  <c r="AP152" i="18"/>
  <c r="AX152" i="18"/>
  <c r="AJ148" i="18"/>
  <c r="AR148" i="18"/>
  <c r="AZ148" i="18"/>
  <c r="AH148" i="18"/>
  <c r="AP148" i="18"/>
  <c r="AX148" i="18"/>
  <c r="AJ144" i="18"/>
  <c r="AR144" i="18"/>
  <c r="AZ144" i="18"/>
  <c r="AH144" i="18"/>
  <c r="AP144" i="18"/>
  <c r="AX144" i="18"/>
  <c r="AJ140" i="18"/>
  <c r="AR140" i="18"/>
  <c r="AZ140" i="18"/>
  <c r="AH140" i="18"/>
  <c r="AP140" i="18"/>
  <c r="AX140" i="18"/>
  <c r="AJ136" i="18"/>
  <c r="AR136" i="18"/>
  <c r="AZ136" i="18"/>
  <c r="AH136" i="18"/>
  <c r="AP136" i="18"/>
  <c r="AX136" i="18"/>
  <c r="AJ132" i="18"/>
  <c r="AR132" i="18"/>
  <c r="AZ132" i="18"/>
  <c r="AH132" i="18"/>
  <c r="AP132" i="18"/>
  <c r="AX132" i="18"/>
  <c r="AJ128" i="18"/>
  <c r="AR128" i="18"/>
  <c r="AZ128" i="18"/>
  <c r="AH128" i="18"/>
  <c r="AP128" i="18"/>
  <c r="AX128" i="18"/>
  <c r="AJ124" i="18"/>
  <c r="AR124" i="18"/>
  <c r="AZ124" i="18"/>
  <c r="AH124" i="18"/>
  <c r="AP124" i="18"/>
  <c r="AX124" i="18"/>
  <c r="AJ120" i="18"/>
  <c r="AR120" i="18"/>
  <c r="AZ120" i="18"/>
  <c r="AH120" i="18"/>
  <c r="AP120" i="18"/>
  <c r="AX120" i="18"/>
  <c r="AJ116" i="18"/>
  <c r="AR116" i="18"/>
  <c r="AZ116" i="18"/>
  <c r="AH116" i="18"/>
  <c r="AP116" i="18"/>
  <c r="AX116" i="18"/>
  <c r="AJ112" i="18"/>
  <c r="AR112" i="18"/>
  <c r="AZ112" i="18"/>
  <c r="AH112" i="18"/>
  <c r="AP112" i="18"/>
  <c r="AX112" i="18"/>
  <c r="AL109" i="18"/>
  <c r="AT109" i="18"/>
  <c r="BB109" i="18"/>
  <c r="AJ109" i="18"/>
  <c r="AR109" i="18"/>
  <c r="AZ109" i="18"/>
  <c r="AJ105" i="18"/>
  <c r="AR105" i="18"/>
  <c r="AZ105" i="18"/>
  <c r="AH105" i="18"/>
  <c r="AP105" i="18"/>
  <c r="AX105" i="18"/>
  <c r="AJ101" i="18"/>
  <c r="AR101" i="18"/>
  <c r="AZ101" i="18"/>
  <c r="AH101" i="18"/>
  <c r="AP101" i="18"/>
  <c r="AX101" i="18"/>
  <c r="AJ97" i="18"/>
  <c r="AR97" i="18"/>
  <c r="AZ97" i="18"/>
  <c r="AH97" i="18"/>
  <c r="AP97" i="18"/>
  <c r="AX97" i="18"/>
  <c r="AJ93" i="18"/>
  <c r="AR93" i="18"/>
  <c r="AZ93" i="18"/>
  <c r="AH93" i="18"/>
  <c r="AP93" i="18"/>
  <c r="AX93" i="18"/>
  <c r="AJ89" i="18"/>
  <c r="AR89" i="18"/>
  <c r="AZ89" i="18"/>
  <c r="AH89" i="18"/>
  <c r="AP89" i="18"/>
  <c r="AX89" i="18"/>
  <c r="AJ85" i="18"/>
  <c r="AR85" i="18"/>
  <c r="AZ85" i="18"/>
  <c r="AH85" i="18"/>
  <c r="AP85" i="18"/>
  <c r="AX85" i="18"/>
  <c r="AJ81" i="18"/>
  <c r="AR81" i="18"/>
  <c r="AZ81" i="18"/>
  <c r="AH81" i="18"/>
  <c r="AP81" i="18"/>
  <c r="AX81" i="18"/>
  <c r="AJ77" i="18"/>
  <c r="AR77" i="18"/>
  <c r="AZ77" i="18"/>
  <c r="AH77" i="18"/>
  <c r="AP77" i="18"/>
  <c r="AX77" i="18"/>
  <c r="AJ73" i="18"/>
  <c r="AR73" i="18"/>
  <c r="AZ73" i="18"/>
  <c r="AH73" i="18"/>
  <c r="AP73" i="18"/>
  <c r="AX73" i="18"/>
  <c r="AJ69" i="18"/>
  <c r="AR69" i="18"/>
  <c r="AZ69" i="18"/>
  <c r="AH69" i="18"/>
  <c r="AP69" i="18"/>
  <c r="AX69" i="18"/>
  <c r="AH191" i="18"/>
  <c r="AP191" i="18"/>
  <c r="AX191" i="18"/>
  <c r="AJ191" i="18"/>
  <c r="AR191" i="18"/>
  <c r="AZ191" i="18"/>
  <c r="AH187" i="18"/>
  <c r="AP187" i="18"/>
  <c r="AX187" i="18"/>
  <c r="AJ187" i="18"/>
  <c r="AR187" i="18"/>
  <c r="AZ187" i="18"/>
  <c r="AH183" i="18"/>
  <c r="AP183" i="18"/>
  <c r="AX183" i="18"/>
  <c r="AJ183" i="18"/>
  <c r="AR183" i="18"/>
  <c r="AZ183" i="18"/>
  <c r="AH179" i="18"/>
  <c r="AP179" i="18"/>
  <c r="AX179" i="18"/>
  <c r="AJ179" i="18"/>
  <c r="AR179" i="18"/>
  <c r="AZ179" i="18"/>
  <c r="AH175" i="18"/>
  <c r="AP175" i="18"/>
  <c r="AX175" i="18"/>
  <c r="AJ175" i="18"/>
  <c r="AR175" i="18"/>
  <c r="AZ175" i="18"/>
  <c r="AH171" i="18"/>
  <c r="AP171" i="18"/>
  <c r="AX171" i="18"/>
  <c r="AJ171" i="18"/>
  <c r="AR171" i="18"/>
  <c r="AZ171" i="18"/>
  <c r="AH167" i="18"/>
  <c r="AP167" i="18"/>
  <c r="AX167" i="18"/>
  <c r="AJ167" i="18"/>
  <c r="AR167" i="18"/>
  <c r="AZ167" i="18"/>
  <c r="AH163" i="18"/>
  <c r="AP163" i="18"/>
  <c r="AX163" i="18"/>
  <c r="AJ163" i="18"/>
  <c r="AR163" i="18"/>
  <c r="AZ163" i="18"/>
  <c r="AH159" i="18"/>
  <c r="AP159" i="18"/>
  <c r="AX159" i="18"/>
  <c r="AJ159" i="18"/>
  <c r="AR159" i="18"/>
  <c r="AZ159" i="18"/>
  <c r="AJ155" i="18"/>
  <c r="AR155" i="18"/>
  <c r="AZ155" i="18"/>
  <c r="AJ115" i="18"/>
  <c r="AR115" i="18"/>
  <c r="AZ115" i="18"/>
  <c r="AJ106" i="18"/>
  <c r="AR106" i="18"/>
  <c r="AZ106" i="18"/>
  <c r="AJ102" i="18"/>
  <c r="AR102" i="18"/>
  <c r="AZ102" i="18"/>
  <c r="AJ94" i="18"/>
  <c r="AR94" i="18"/>
  <c r="AZ94" i="18"/>
  <c r="AJ90" i="18"/>
  <c r="AR90" i="18"/>
  <c r="AZ90" i="18"/>
  <c r="AJ86" i="18"/>
  <c r="AR86" i="18"/>
  <c r="AZ86" i="18"/>
  <c r="AJ82" i="18"/>
  <c r="AR82" i="18"/>
  <c r="AZ82" i="18"/>
  <c r="AJ78" i="18"/>
  <c r="AR78" i="18"/>
  <c r="AZ78" i="18"/>
  <c r="AJ74" i="18"/>
  <c r="AR74" i="18"/>
  <c r="AZ74" i="18"/>
  <c r="AJ70" i="18"/>
  <c r="AR70" i="18"/>
  <c r="AZ70" i="18"/>
  <c r="AJ65" i="18"/>
  <c r="AR65" i="18"/>
  <c r="AZ65" i="18"/>
  <c r="AH65" i="18"/>
  <c r="AP65" i="18"/>
  <c r="AX65" i="18"/>
  <c r="AJ61" i="18"/>
  <c r="AR61" i="18"/>
  <c r="AZ61" i="18"/>
  <c r="AH61" i="18"/>
  <c r="AP61" i="18"/>
  <c r="AX61" i="18"/>
  <c r="AJ57" i="18"/>
  <c r="AR57" i="18"/>
  <c r="AZ57" i="18"/>
  <c r="AH57" i="18"/>
  <c r="AP57" i="18"/>
  <c r="AX57" i="18"/>
  <c r="AJ53" i="18"/>
  <c r="AR53" i="18"/>
  <c r="AZ53" i="18"/>
  <c r="AH53" i="18"/>
  <c r="AP53" i="18"/>
  <c r="AX53" i="18"/>
  <c r="AJ49" i="18"/>
  <c r="AR49" i="18"/>
  <c r="AZ49" i="18"/>
  <c r="AH49" i="18"/>
  <c r="AP49" i="18"/>
  <c r="AX49" i="18"/>
  <c r="AJ45" i="18"/>
  <c r="AR45" i="18"/>
  <c r="AZ45" i="18"/>
  <c r="AH45" i="18"/>
  <c r="AP45" i="18"/>
  <c r="AX45" i="18"/>
  <c r="AJ41" i="18"/>
  <c r="AR41" i="18"/>
  <c r="AZ41" i="18"/>
  <c r="AH41" i="18"/>
  <c r="AP41" i="18"/>
  <c r="AX41" i="18"/>
  <c r="AJ33" i="18"/>
  <c r="AR33" i="18"/>
  <c r="AZ33" i="18"/>
  <c r="AH33" i="18"/>
  <c r="AP33" i="18"/>
  <c r="AX33" i="18"/>
  <c r="AJ21" i="18"/>
  <c r="AR21" i="18"/>
  <c r="AZ21" i="18"/>
  <c r="AH21" i="18"/>
  <c r="AP21" i="18"/>
  <c r="AX21" i="18"/>
  <c r="AJ13" i="18"/>
  <c r="AR13" i="18"/>
  <c r="AZ13" i="18"/>
  <c r="AH13" i="18"/>
  <c r="AP13" i="18"/>
  <c r="AX13" i="18"/>
  <c r="AD66" i="18"/>
  <c r="B66" i="18"/>
  <c r="AF66" i="18"/>
  <c r="AN66" i="18"/>
  <c r="AZ66" i="18"/>
  <c r="AX66" i="18"/>
  <c r="AJ58" i="18"/>
  <c r="AR58" i="18"/>
  <c r="AZ58" i="18"/>
  <c r="AJ50" i="18"/>
  <c r="AR50" i="18"/>
  <c r="AZ50" i="18"/>
  <c r="AJ42" i="18"/>
  <c r="AR42" i="18"/>
  <c r="AZ42" i="18"/>
  <c r="AJ34" i="18"/>
  <c r="AR34" i="18"/>
  <c r="AZ34" i="18"/>
  <c r="AJ26" i="18"/>
  <c r="AR26" i="18"/>
  <c r="AZ26" i="18"/>
  <c r="AJ18" i="18"/>
  <c r="AR18" i="18"/>
  <c r="AZ18" i="18"/>
  <c r="AJ10" i="18"/>
  <c r="AR10" i="18"/>
  <c r="AZ10" i="18"/>
  <c r="AD306" i="18"/>
  <c r="B306" i="18"/>
  <c r="AJ301" i="18"/>
  <c r="AZ301" i="18"/>
  <c r="AT301" i="18"/>
  <c r="AL297" i="18"/>
  <c r="BB297" i="18"/>
  <c r="AZ293" i="18"/>
  <c r="AT293" i="18"/>
  <c r="B289" i="18"/>
  <c r="AD289" i="18"/>
  <c r="AJ289" i="18"/>
  <c r="AZ289" i="18"/>
  <c r="AT289" i="18"/>
  <c r="B285" i="18"/>
  <c r="AD285" i="18"/>
  <c r="AZ285" i="18"/>
  <c r="AT285" i="18"/>
  <c r="B281" i="18"/>
  <c r="AD281" i="18"/>
  <c r="AJ281" i="18"/>
  <c r="AL281" i="18"/>
  <c r="BB281" i="18"/>
  <c r="B277" i="18"/>
  <c r="AD277" i="18"/>
  <c r="AJ277" i="18"/>
  <c r="AZ277" i="18"/>
  <c r="AT277" i="18"/>
  <c r="B273" i="18"/>
  <c r="AD273" i="18"/>
  <c r="AJ273" i="18"/>
  <c r="AZ273" i="18"/>
  <c r="BB273" i="18"/>
  <c r="AZ269" i="18"/>
  <c r="AT269" i="18"/>
  <c r="B265" i="18"/>
  <c r="AD265" i="18"/>
  <c r="AJ265" i="18"/>
  <c r="AL265" i="18"/>
  <c r="BB265" i="18"/>
  <c r="AZ261" i="18"/>
  <c r="AT261" i="18"/>
  <c r="AL257" i="18"/>
  <c r="BB257" i="18"/>
  <c r="AJ253" i="18"/>
  <c r="AZ253" i="18"/>
  <c r="BB253" i="18"/>
  <c r="B249" i="18"/>
  <c r="AD249" i="18"/>
  <c r="AJ249" i="18"/>
  <c r="AL249" i="18"/>
  <c r="BB249" i="18"/>
  <c r="B245" i="18"/>
  <c r="AD245" i="18"/>
  <c r="AJ245" i="18"/>
  <c r="AL245" i="18"/>
  <c r="BB245" i="18"/>
  <c r="B241" i="18"/>
  <c r="AD241" i="18"/>
  <c r="AL241" i="18"/>
  <c r="BB241" i="18"/>
  <c r="B237" i="18"/>
  <c r="AD237" i="18"/>
  <c r="AZ237" i="18"/>
  <c r="AT237" i="18"/>
  <c r="B233" i="18"/>
  <c r="AD233" i="18"/>
  <c r="AJ233" i="18"/>
  <c r="AZ233" i="18"/>
  <c r="BB233" i="18"/>
  <c r="AZ229" i="18"/>
  <c r="AT229" i="18"/>
  <c r="AZ225" i="18"/>
  <c r="AT225" i="18"/>
  <c r="AZ221" i="18"/>
  <c r="AT221" i="18"/>
  <c r="AL217" i="18"/>
  <c r="BB217" i="18"/>
  <c r="AZ213" i="18"/>
  <c r="AT213" i="18"/>
  <c r="B209" i="18"/>
  <c r="AD209" i="18"/>
  <c r="AJ209" i="18"/>
  <c r="AL209" i="18"/>
  <c r="BB209" i="18"/>
  <c r="AZ205" i="18"/>
  <c r="AT205" i="18"/>
  <c r="B201" i="18"/>
  <c r="AD201" i="18"/>
  <c r="AZ201" i="18"/>
  <c r="AT201" i="18"/>
  <c r="AD328" i="18"/>
  <c r="B328" i="18"/>
  <c r="AD284" i="18"/>
  <c r="B284" i="18"/>
  <c r="AD276" i="18"/>
  <c r="B276" i="18"/>
  <c r="AD260" i="18"/>
  <c r="B260" i="18"/>
  <c r="B150" i="18"/>
  <c r="AD150" i="18"/>
  <c r="AT150" i="18"/>
  <c r="B146" i="18"/>
  <c r="AD146" i="18"/>
  <c r="AT146" i="18"/>
  <c r="AL142" i="18"/>
  <c r="AT142" i="18"/>
  <c r="BB142" i="18"/>
  <c r="B138" i="18"/>
  <c r="AD138" i="18"/>
  <c r="AL138" i="18"/>
  <c r="AT138" i="18"/>
  <c r="BB138" i="18"/>
  <c r="B134" i="18"/>
  <c r="AD134" i="18"/>
  <c r="AL134" i="18"/>
  <c r="AT134" i="18"/>
  <c r="BB134" i="18"/>
  <c r="B130" i="18"/>
  <c r="AD130" i="18"/>
  <c r="AL130" i="18"/>
  <c r="AT130" i="18"/>
  <c r="BB130" i="18"/>
  <c r="B126" i="18"/>
  <c r="AD126" i="18"/>
  <c r="AL126" i="18"/>
  <c r="AT126" i="18"/>
  <c r="BB126" i="18"/>
  <c r="B122" i="18"/>
  <c r="AD122" i="18"/>
  <c r="AL122" i="18"/>
  <c r="AT122" i="18"/>
  <c r="BB122" i="18"/>
  <c r="B118" i="18"/>
  <c r="AD118" i="18"/>
  <c r="AL118" i="18"/>
  <c r="AT118" i="18"/>
  <c r="BB118" i="18"/>
  <c r="B114" i="18"/>
  <c r="AD114" i="18"/>
  <c r="AL114" i="18"/>
  <c r="AT114" i="18"/>
  <c r="BB114" i="18"/>
  <c r="B110" i="18"/>
  <c r="AD110" i="18"/>
  <c r="AL110" i="18"/>
  <c r="AT110" i="18"/>
  <c r="BB110" i="18"/>
  <c r="B107" i="18"/>
  <c r="AD107" i="18"/>
  <c r="AL107" i="18"/>
  <c r="AT107" i="18"/>
  <c r="BB107" i="18"/>
  <c r="B103" i="18"/>
  <c r="AD103" i="18"/>
  <c r="AL103" i="18"/>
  <c r="AT103" i="18"/>
  <c r="BB103" i="18"/>
  <c r="B99" i="18"/>
  <c r="AD99" i="18"/>
  <c r="AL99" i="18"/>
  <c r="AT99" i="18"/>
  <c r="BB99" i="18"/>
  <c r="B95" i="18"/>
  <c r="AD95" i="18"/>
  <c r="AL95" i="18"/>
  <c r="AT95" i="18"/>
  <c r="BB95" i="18"/>
  <c r="B91" i="18"/>
  <c r="AD91" i="18"/>
  <c r="AL91" i="18"/>
  <c r="AT91" i="18"/>
  <c r="BB91" i="18"/>
  <c r="B87" i="18"/>
  <c r="AD87" i="18"/>
  <c r="AL87" i="18"/>
  <c r="AT87" i="18"/>
  <c r="BB87" i="18"/>
  <c r="B83" i="18"/>
  <c r="AD83" i="18"/>
  <c r="AL83" i="18"/>
  <c r="AT83" i="18"/>
  <c r="BB83" i="18"/>
  <c r="B79" i="18"/>
  <c r="AD79" i="18"/>
  <c r="AL79" i="18"/>
  <c r="AT79" i="18"/>
  <c r="BB79" i="18"/>
  <c r="B75" i="18"/>
  <c r="AD75" i="18"/>
  <c r="AL75" i="18"/>
  <c r="AT75" i="18"/>
  <c r="BB75" i="18"/>
  <c r="B71" i="18"/>
  <c r="AD71" i="18"/>
  <c r="AL71" i="18"/>
  <c r="AT71" i="18"/>
  <c r="BB71" i="18"/>
  <c r="AD193" i="18"/>
  <c r="B193" i="18"/>
  <c r="AD189" i="18"/>
  <c r="B189" i="18"/>
  <c r="AD185" i="18"/>
  <c r="B185" i="18"/>
  <c r="AD181" i="18"/>
  <c r="B181" i="18"/>
  <c r="AD177" i="18"/>
  <c r="B177" i="18"/>
  <c r="AD173" i="18"/>
  <c r="B173" i="18"/>
  <c r="AD169" i="18"/>
  <c r="B169" i="18"/>
  <c r="AD165" i="18"/>
  <c r="B165" i="18"/>
  <c r="AD161" i="18"/>
  <c r="B161" i="18"/>
  <c r="AD157" i="18"/>
  <c r="B157" i="18"/>
  <c r="AD153" i="18"/>
  <c r="B153" i="18"/>
  <c r="AD149" i="18"/>
  <c r="B149" i="18"/>
  <c r="AD145" i="18"/>
  <c r="B145" i="18"/>
  <c r="AD141" i="18"/>
  <c r="B141" i="18"/>
  <c r="AD137" i="18"/>
  <c r="B137" i="18"/>
  <c r="AD133" i="18"/>
  <c r="B133" i="18"/>
  <c r="AD129" i="18"/>
  <c r="B129" i="18"/>
  <c r="AD125" i="18"/>
  <c r="B125" i="18"/>
  <c r="AD121" i="18"/>
  <c r="B121" i="18"/>
  <c r="AD117" i="18"/>
  <c r="B117" i="18"/>
  <c r="AD113" i="18"/>
  <c r="B113" i="18"/>
  <c r="AD108" i="18"/>
  <c r="B108" i="18"/>
  <c r="AD104" i="18"/>
  <c r="B104" i="18"/>
  <c r="AD100" i="18"/>
  <c r="B100" i="18"/>
  <c r="AD96" i="18"/>
  <c r="B96" i="18"/>
  <c r="AD92" i="18"/>
  <c r="B92" i="18"/>
  <c r="AD88" i="18"/>
  <c r="B88" i="18"/>
  <c r="AD84" i="18"/>
  <c r="B84" i="18"/>
  <c r="AD80" i="18"/>
  <c r="B80" i="18"/>
  <c r="AD76" i="18"/>
  <c r="B76" i="18"/>
  <c r="AD72" i="18"/>
  <c r="B72" i="18"/>
  <c r="B68" i="18"/>
  <c r="AD68" i="18"/>
  <c r="AL68" i="18"/>
  <c r="AT68" i="18"/>
  <c r="BB68" i="18"/>
  <c r="B63" i="18"/>
  <c r="AD63" i="18"/>
  <c r="AL63" i="18"/>
  <c r="AT63" i="18"/>
  <c r="BB63" i="18"/>
  <c r="B59" i="18"/>
  <c r="AD59" i="18"/>
  <c r="AL59" i="18"/>
  <c r="AT59" i="18"/>
  <c r="BB59" i="18"/>
  <c r="B55" i="18"/>
  <c r="AD55" i="18"/>
  <c r="AL55" i="18"/>
  <c r="AT55" i="18"/>
  <c r="BB55" i="18"/>
  <c r="B51" i="18"/>
  <c r="AD51" i="18"/>
  <c r="AL51" i="18"/>
  <c r="AT51" i="18"/>
  <c r="BB51" i="18"/>
  <c r="B47" i="18"/>
  <c r="AD47" i="18"/>
  <c r="AL47" i="18"/>
  <c r="AT47" i="18"/>
  <c r="BB47" i="18"/>
  <c r="B43" i="18"/>
  <c r="AD43" i="18"/>
  <c r="AL43" i="18"/>
  <c r="AT43" i="18"/>
  <c r="BB43" i="18"/>
  <c r="B39" i="18"/>
  <c r="AD39" i="18"/>
  <c r="AL39" i="18"/>
  <c r="AT39" i="18"/>
  <c r="BB39" i="18"/>
  <c r="B35" i="18"/>
  <c r="AD35" i="18"/>
  <c r="AL35" i="18"/>
  <c r="AT35" i="18"/>
  <c r="BB35" i="18"/>
  <c r="B31" i="18"/>
  <c r="AD31" i="18"/>
  <c r="AL31" i="18"/>
  <c r="AT31" i="18"/>
  <c r="BB31" i="18"/>
  <c r="B27" i="18"/>
  <c r="AD27" i="18"/>
  <c r="AL27" i="18"/>
  <c r="AT27" i="18"/>
  <c r="BB27" i="18"/>
  <c r="B23" i="18"/>
  <c r="AD23" i="18"/>
  <c r="AL23" i="18"/>
  <c r="AT23" i="18"/>
  <c r="BB23" i="18"/>
  <c r="B19" i="18"/>
  <c r="AD19" i="18"/>
  <c r="AL19" i="18"/>
  <c r="AT19" i="18"/>
  <c r="BB19" i="18"/>
  <c r="B15" i="18"/>
  <c r="AD15" i="18"/>
  <c r="AL15" i="18"/>
  <c r="AT15" i="18"/>
  <c r="BB15" i="18"/>
  <c r="B11" i="18"/>
  <c r="AD11" i="18"/>
  <c r="AL11" i="18"/>
  <c r="AT11" i="18"/>
  <c r="BB11" i="18"/>
  <c r="AD67" i="18"/>
  <c r="B67" i="18"/>
  <c r="AD64" i="18"/>
  <c r="B64" i="18"/>
  <c r="AD60" i="18"/>
  <c r="B60" i="18"/>
  <c r="AD56" i="18"/>
  <c r="B56" i="18"/>
  <c r="AD52" i="18"/>
  <c r="B52" i="18"/>
  <c r="AD48" i="18"/>
  <c r="B48" i="18"/>
  <c r="AD44" i="18"/>
  <c r="B44" i="18"/>
  <c r="AD40" i="18"/>
  <c r="B40" i="18"/>
  <c r="AD36" i="18"/>
  <c r="B36" i="18"/>
  <c r="AD32" i="18"/>
  <c r="B32" i="18"/>
  <c r="AD28" i="18"/>
  <c r="B28" i="18"/>
  <c r="AD24" i="18"/>
  <c r="B24" i="18"/>
  <c r="AD20" i="18"/>
  <c r="B20" i="18"/>
  <c r="AD16" i="18"/>
  <c r="B16" i="18"/>
  <c r="AD12" i="18"/>
  <c r="B12" i="18"/>
  <c r="AD8" i="18"/>
  <c r="B8" i="18"/>
  <c r="U20" i="1"/>
  <c r="U18" i="1"/>
  <c r="U16" i="1"/>
  <c r="U14" i="1"/>
  <c r="U12" i="1"/>
  <c r="U19" i="1"/>
  <c r="U17" i="1"/>
  <c r="U15" i="1"/>
  <c r="U13" i="1"/>
  <c r="U11" i="1"/>
  <c r="AD151" i="18"/>
  <c r="B151" i="18"/>
  <c r="AD147" i="18"/>
  <c r="B147" i="18"/>
  <c r="AD143" i="18"/>
  <c r="B143" i="18"/>
  <c r="AD139" i="18"/>
  <c r="B139" i="18"/>
  <c r="AD135" i="18"/>
  <c r="B135" i="18"/>
  <c r="AD131" i="18"/>
  <c r="B131" i="18"/>
  <c r="AD127" i="18"/>
  <c r="B127" i="18"/>
  <c r="AD123" i="18"/>
  <c r="B123" i="18"/>
  <c r="AD119" i="18"/>
  <c r="B119" i="18"/>
  <c r="AD111" i="18"/>
  <c r="B111" i="18"/>
  <c r="AD98" i="18"/>
  <c r="B98" i="18"/>
  <c r="B37" i="18"/>
  <c r="AD37" i="18"/>
  <c r="AL37" i="18"/>
  <c r="AT37" i="18"/>
  <c r="BB37" i="18"/>
  <c r="B29" i="18"/>
  <c r="AD29" i="18"/>
  <c r="AL29" i="18"/>
  <c r="AT29" i="18"/>
  <c r="BB29" i="18"/>
  <c r="B25" i="18"/>
  <c r="AD25" i="18"/>
  <c r="AL25" i="18"/>
  <c r="AT25" i="18"/>
  <c r="BB25" i="18"/>
  <c r="B17" i="18"/>
  <c r="AD17" i="18"/>
  <c r="AL17" i="18"/>
  <c r="AT17" i="18"/>
  <c r="BB17" i="18"/>
  <c r="B9" i="18"/>
  <c r="AD9" i="18"/>
  <c r="AL9" i="18"/>
  <c r="AT9" i="18"/>
  <c r="BB9" i="18"/>
  <c r="AD62" i="18"/>
  <c r="B62" i="18"/>
  <c r="AD54" i="18"/>
  <c r="B54" i="18"/>
  <c r="AD46" i="18"/>
  <c r="B46" i="18"/>
  <c r="AD38" i="18"/>
  <c r="B38" i="18"/>
  <c r="AD30" i="18"/>
  <c r="B30" i="18"/>
  <c r="AD22" i="18"/>
  <c r="B22" i="18"/>
  <c r="AD14" i="18"/>
  <c r="B14" i="18"/>
  <c r="B343" i="18"/>
  <c r="AD343" i="18"/>
  <c r="AL343" i="18"/>
  <c r="AT343" i="18"/>
  <c r="BB343" i="18"/>
  <c r="B339" i="18"/>
  <c r="AD339" i="18"/>
  <c r="AL339" i="18"/>
  <c r="AT339" i="18"/>
  <c r="BB339" i="18"/>
  <c r="B335" i="18"/>
  <c r="AD335" i="18"/>
  <c r="AL335" i="18"/>
  <c r="AT335" i="18"/>
  <c r="BB335" i="18"/>
  <c r="AR331" i="18"/>
  <c r="AN331" i="18"/>
  <c r="BD327" i="18"/>
  <c r="B327" i="18"/>
  <c r="AD327" i="18"/>
  <c r="AL327" i="18"/>
  <c r="AT327" i="18"/>
  <c r="BB327" i="18"/>
  <c r="B323" i="18"/>
  <c r="AD323" i="18"/>
  <c r="AL323" i="18"/>
  <c r="AT323" i="18"/>
  <c r="BB323" i="18"/>
  <c r="BD319" i="18"/>
  <c r="B319" i="18"/>
  <c r="AD319" i="18"/>
  <c r="AL319" i="18"/>
  <c r="AT319" i="18"/>
  <c r="BB319" i="18"/>
  <c r="B315" i="18"/>
  <c r="AD315" i="18"/>
  <c r="AL315" i="18"/>
  <c r="AT315" i="18"/>
  <c r="BB315" i="18"/>
  <c r="BD311" i="18"/>
  <c r="B311" i="18"/>
  <c r="AD311" i="18"/>
  <c r="AL311" i="18"/>
  <c r="AT311" i="18"/>
  <c r="BB311" i="18"/>
  <c r="B307" i="18"/>
  <c r="AD307" i="18"/>
  <c r="AL307" i="18"/>
  <c r="AT307" i="18"/>
  <c r="BB307" i="18"/>
  <c r="BD303" i="18"/>
  <c r="B303" i="18"/>
  <c r="AD303" i="18"/>
  <c r="AL303" i="18"/>
  <c r="AT303" i="18"/>
  <c r="BB303" i="18"/>
  <c r="AD336" i="18"/>
  <c r="B336" i="18"/>
  <c r="AD342" i="18"/>
  <c r="B342" i="18"/>
  <c r="AD334" i="18"/>
  <c r="B334" i="18"/>
  <c r="AD326" i="18"/>
  <c r="B326" i="18"/>
  <c r="AD318" i="18"/>
  <c r="B318" i="18"/>
  <c r="AD310" i="18"/>
  <c r="B310" i="18"/>
  <c r="AD302" i="18"/>
  <c r="B302" i="18"/>
  <c r="B299" i="18"/>
  <c r="AD299" i="18"/>
  <c r="AL299" i="18"/>
  <c r="AT299" i="18"/>
  <c r="BB299" i="18"/>
  <c r="B295" i="18"/>
  <c r="AD295" i="18"/>
  <c r="AL295" i="18"/>
  <c r="AT295" i="18"/>
  <c r="BB295" i="18"/>
  <c r="B291" i="18"/>
  <c r="AD291" i="18"/>
  <c r="AL291" i="18"/>
  <c r="AT291" i="18"/>
  <c r="BB291" i="18"/>
  <c r="B287" i="18"/>
  <c r="AD287" i="18"/>
  <c r="AL287" i="18"/>
  <c r="AT287" i="18"/>
  <c r="BB287" i="18"/>
  <c r="B283" i="18"/>
  <c r="AD283" i="18"/>
  <c r="AL283" i="18"/>
  <c r="AT283" i="18"/>
  <c r="BB283" i="18"/>
  <c r="B279" i="18"/>
  <c r="AD279" i="18"/>
  <c r="AL279" i="18"/>
  <c r="AT279" i="18"/>
  <c r="BB279" i="18"/>
  <c r="B275" i="18"/>
  <c r="AD275" i="18"/>
  <c r="AL275" i="18"/>
  <c r="AT275" i="18"/>
  <c r="BB275" i="18"/>
  <c r="B271" i="18"/>
  <c r="AD271" i="18"/>
  <c r="AL271" i="18"/>
  <c r="AT271" i="18"/>
  <c r="BB271" i="18"/>
  <c r="B267" i="18"/>
  <c r="AD267" i="18"/>
  <c r="AL267" i="18"/>
  <c r="AT267" i="18"/>
  <c r="BB267" i="18"/>
  <c r="B263" i="18"/>
  <c r="AD263" i="18"/>
  <c r="AL263" i="18"/>
  <c r="AT263" i="18"/>
  <c r="BB263" i="18"/>
  <c r="B259" i="18"/>
  <c r="AD259" i="18"/>
  <c r="AL259" i="18"/>
  <c r="AT259" i="18"/>
  <c r="BB259" i="18"/>
  <c r="B255" i="18"/>
  <c r="AD255" i="18"/>
  <c r="AL255" i="18"/>
  <c r="AT255" i="18"/>
  <c r="BB255" i="18"/>
  <c r="B251" i="18"/>
  <c r="AD251" i="18"/>
  <c r="AL251" i="18"/>
  <c r="AT251" i="18"/>
  <c r="BB251" i="18"/>
  <c r="B247" i="18"/>
  <c r="AD247" i="18"/>
  <c r="AL247" i="18"/>
  <c r="AT247" i="18"/>
  <c r="BB247" i="18"/>
  <c r="B243" i="18"/>
  <c r="AD243" i="18"/>
  <c r="AL243" i="18"/>
  <c r="AT243" i="18"/>
  <c r="BB243" i="18"/>
  <c r="B239" i="18"/>
  <c r="AD239" i="18"/>
  <c r="AL239" i="18"/>
  <c r="AT239" i="18"/>
  <c r="BB239" i="18"/>
  <c r="B235" i="18"/>
  <c r="AD235" i="18"/>
  <c r="AL235" i="18"/>
  <c r="AT235" i="18"/>
  <c r="BB235" i="18"/>
  <c r="B231" i="18"/>
  <c r="AD231" i="18"/>
  <c r="AL231" i="18"/>
  <c r="AT231" i="18"/>
  <c r="BB231" i="18"/>
  <c r="B227" i="18"/>
  <c r="AD227" i="18"/>
  <c r="AL227" i="18"/>
  <c r="AT227" i="18"/>
  <c r="BB227" i="18"/>
  <c r="B223" i="18"/>
  <c r="AD223" i="18"/>
  <c r="AL223" i="18"/>
  <c r="AT223" i="18"/>
  <c r="BB223" i="18"/>
  <c r="B219" i="18"/>
  <c r="AD219" i="18"/>
  <c r="AL219" i="18"/>
  <c r="AT219" i="18"/>
  <c r="BB219" i="18"/>
  <c r="B215" i="18"/>
  <c r="AD215" i="18"/>
  <c r="AL215" i="18"/>
  <c r="AT215" i="18"/>
  <c r="BB215" i="18"/>
  <c r="B211" i="18"/>
  <c r="AD211" i="18"/>
  <c r="AL211" i="18"/>
  <c r="AT211" i="18"/>
  <c r="BB211" i="18"/>
  <c r="B207" i="18"/>
  <c r="AD207" i="18"/>
  <c r="AL207" i="18"/>
  <c r="AT207" i="18"/>
  <c r="BB207" i="18"/>
  <c r="B203" i="18"/>
  <c r="AD203" i="18"/>
  <c r="AL203" i="18"/>
  <c r="AT203" i="18"/>
  <c r="BB203" i="18"/>
  <c r="B199" i="18"/>
  <c r="AD199" i="18"/>
  <c r="AL199" i="18"/>
  <c r="AT199" i="18"/>
  <c r="BB199" i="18"/>
  <c r="AD320" i="18"/>
  <c r="B320" i="18"/>
  <c r="AD304" i="18"/>
  <c r="B304" i="18"/>
  <c r="AD296" i="18"/>
  <c r="B296" i="18"/>
  <c r="AD288" i="18"/>
  <c r="B288" i="18"/>
  <c r="AD280" i="18"/>
  <c r="B280" i="18"/>
  <c r="AD272" i="18"/>
  <c r="B272" i="18"/>
  <c r="AD264" i="18"/>
  <c r="B264" i="18"/>
  <c r="AD256" i="18"/>
  <c r="B256" i="18"/>
  <c r="AD248" i="18"/>
  <c r="B248" i="18"/>
  <c r="AD240" i="18"/>
  <c r="B240" i="18"/>
  <c r="AD232" i="18"/>
  <c r="B232" i="18"/>
  <c r="AD224" i="18"/>
  <c r="B224" i="18"/>
  <c r="AD216" i="18"/>
  <c r="B216" i="18"/>
  <c r="AD208" i="18"/>
  <c r="B208" i="18"/>
  <c r="AD200" i="18"/>
  <c r="B200" i="18"/>
  <c r="B195" i="18"/>
  <c r="AD195" i="18"/>
  <c r="AL195" i="18"/>
  <c r="AT195" i="18"/>
  <c r="BB195" i="18"/>
  <c r="AD316" i="18"/>
  <c r="B316" i="18"/>
  <c r="AD298" i="18"/>
  <c r="B298" i="18"/>
  <c r="AD290" i="18"/>
  <c r="B290" i="18"/>
  <c r="AD282" i="18"/>
  <c r="B282" i="18"/>
  <c r="AD274" i="18"/>
  <c r="B274" i="18"/>
  <c r="AD266" i="18"/>
  <c r="B266" i="18"/>
  <c r="AD258" i="18"/>
  <c r="B258" i="18"/>
  <c r="AD250" i="18"/>
  <c r="B250" i="18"/>
  <c r="AD242" i="18"/>
  <c r="B242" i="18"/>
  <c r="AD234" i="18"/>
  <c r="B234" i="18"/>
  <c r="AD226" i="18"/>
  <c r="B226" i="18"/>
  <c r="AD218" i="18"/>
  <c r="B218" i="18"/>
  <c r="AD210" i="18"/>
  <c r="B210" i="18"/>
  <c r="AD202" i="18"/>
  <c r="B202" i="18"/>
  <c r="AD196" i="18"/>
  <c r="B196" i="18"/>
  <c r="B192" i="18"/>
  <c r="AD192" i="18"/>
  <c r="AL192" i="18"/>
  <c r="AT192" i="18"/>
  <c r="BB192" i="18"/>
  <c r="B188" i="18"/>
  <c r="AD188" i="18"/>
  <c r="AL188" i="18"/>
  <c r="AT188" i="18"/>
  <c r="BB188" i="18"/>
  <c r="B184" i="18"/>
  <c r="AD184" i="18"/>
  <c r="AL184" i="18"/>
  <c r="AT184" i="18"/>
  <c r="BB184" i="18"/>
  <c r="B180" i="18"/>
  <c r="AD180" i="18"/>
  <c r="AL180" i="18"/>
  <c r="AT180" i="18"/>
  <c r="BB180" i="18"/>
  <c r="B176" i="18"/>
  <c r="AD176" i="18"/>
  <c r="AL176" i="18"/>
  <c r="AT176" i="18"/>
  <c r="BB176" i="18"/>
  <c r="B172" i="18"/>
  <c r="AD172" i="18"/>
  <c r="AL172" i="18"/>
  <c r="AT172" i="18"/>
  <c r="BB172" i="18"/>
  <c r="B168" i="18"/>
  <c r="AD168" i="18"/>
  <c r="AL168" i="18"/>
  <c r="AT168" i="18"/>
  <c r="BB168" i="18"/>
  <c r="B164" i="18"/>
  <c r="AD164" i="18"/>
  <c r="AL164" i="18"/>
  <c r="AT164" i="18"/>
  <c r="BB164" i="18"/>
  <c r="B160" i="18"/>
  <c r="AD160" i="18"/>
  <c r="AL160" i="18"/>
  <c r="AT160" i="18"/>
  <c r="BB160" i="18"/>
  <c r="B156" i="18"/>
  <c r="AD156" i="18"/>
  <c r="AL156" i="18"/>
  <c r="AT156" i="18"/>
  <c r="BB156" i="18"/>
  <c r="B152" i="18"/>
  <c r="AD152" i="18"/>
  <c r="AL152" i="18"/>
  <c r="AT152" i="18"/>
  <c r="BB152" i="18"/>
  <c r="B148" i="18"/>
  <c r="AD148" i="18"/>
  <c r="AL148" i="18"/>
  <c r="AT148" i="18"/>
  <c r="BB148" i="18"/>
  <c r="B144" i="18"/>
  <c r="AD144" i="18"/>
  <c r="AL144" i="18"/>
  <c r="AT144" i="18"/>
  <c r="BB144" i="18"/>
  <c r="B140" i="18"/>
  <c r="AD140" i="18"/>
  <c r="AL140" i="18"/>
  <c r="AT140" i="18"/>
  <c r="BB140" i="18"/>
  <c r="B136" i="18"/>
  <c r="AD136" i="18"/>
  <c r="AL136" i="18"/>
  <c r="AT136" i="18"/>
  <c r="BB136" i="18"/>
  <c r="B132" i="18"/>
  <c r="AD132" i="18"/>
  <c r="AL132" i="18"/>
  <c r="AT132" i="18"/>
  <c r="BB132" i="18"/>
  <c r="B128" i="18"/>
  <c r="AD128" i="18"/>
  <c r="AL128" i="18"/>
  <c r="AT128" i="18"/>
  <c r="BB128" i="18"/>
  <c r="B124" i="18"/>
  <c r="AD124" i="18"/>
  <c r="AL124" i="18"/>
  <c r="AT124" i="18"/>
  <c r="BB124" i="18"/>
  <c r="B120" i="18"/>
  <c r="AD120" i="18"/>
  <c r="AL120" i="18"/>
  <c r="AT120" i="18"/>
  <c r="BB120" i="18"/>
  <c r="B116" i="18"/>
  <c r="AD116" i="18"/>
  <c r="AL116" i="18"/>
  <c r="AT116" i="18"/>
  <c r="BB116" i="18"/>
  <c r="B112" i="18"/>
  <c r="AD112" i="18"/>
  <c r="AL112" i="18"/>
  <c r="AT112" i="18"/>
  <c r="BB112" i="18"/>
  <c r="AH109" i="18"/>
  <c r="AP109" i="18"/>
  <c r="AX109" i="18"/>
  <c r="B105" i="18"/>
  <c r="AD105" i="18"/>
  <c r="AL105" i="18"/>
  <c r="AT105" i="18"/>
  <c r="BB105" i="18"/>
  <c r="B101" i="18"/>
  <c r="AD101" i="18"/>
  <c r="AL101" i="18"/>
  <c r="AT101" i="18"/>
  <c r="BB101" i="18"/>
  <c r="B97" i="18"/>
  <c r="AD97" i="18"/>
  <c r="AL97" i="18"/>
  <c r="AT97" i="18"/>
  <c r="BB97" i="18"/>
  <c r="B93" i="18"/>
  <c r="AD93" i="18"/>
  <c r="AL93" i="18"/>
  <c r="AT93" i="18"/>
  <c r="BB93" i="18"/>
  <c r="B89" i="18"/>
  <c r="AD89" i="18"/>
  <c r="AL89" i="18"/>
  <c r="AT89" i="18"/>
  <c r="BB89" i="18"/>
  <c r="B85" i="18"/>
  <c r="AD85" i="18"/>
  <c r="AL85" i="18"/>
  <c r="AT85" i="18"/>
  <c r="BB85" i="18"/>
  <c r="B81" i="18"/>
  <c r="AD81" i="18"/>
  <c r="AL81" i="18"/>
  <c r="AT81" i="18"/>
  <c r="BB81" i="18"/>
  <c r="B77" i="18"/>
  <c r="AD77" i="18"/>
  <c r="AL77" i="18"/>
  <c r="AT77" i="18"/>
  <c r="BB77" i="18"/>
  <c r="B73" i="18"/>
  <c r="AD73" i="18"/>
  <c r="AL73" i="18"/>
  <c r="AT73" i="18"/>
  <c r="BB73" i="18"/>
  <c r="AD69" i="18"/>
  <c r="B69" i="18"/>
  <c r="AL69" i="18"/>
  <c r="AT69" i="18"/>
  <c r="BB69" i="18"/>
  <c r="AD191" i="18"/>
  <c r="B191" i="18"/>
  <c r="AD187" i="18"/>
  <c r="B187" i="18"/>
  <c r="AD183" i="18"/>
  <c r="B183" i="18"/>
  <c r="AD179" i="18"/>
  <c r="B179" i="18"/>
  <c r="AD175" i="18"/>
  <c r="B175" i="18"/>
  <c r="AD171" i="18"/>
  <c r="B171" i="18"/>
  <c r="AD167" i="18"/>
  <c r="B167" i="18"/>
  <c r="AD163" i="18"/>
  <c r="B163" i="18"/>
  <c r="AD159" i="18"/>
  <c r="B159" i="18"/>
  <c r="AD155" i="18"/>
  <c r="B155" i="18"/>
  <c r="AF155" i="18"/>
  <c r="AN155" i="18"/>
  <c r="AV155" i="18"/>
  <c r="BD155" i="18"/>
  <c r="AD115" i="18"/>
  <c r="B115" i="18"/>
  <c r="AF115" i="18"/>
  <c r="AN115" i="18"/>
  <c r="AV115" i="18"/>
  <c r="BD115" i="18"/>
  <c r="AD106" i="18"/>
  <c r="B106" i="18"/>
  <c r="AF106" i="18"/>
  <c r="AN106" i="18"/>
  <c r="AV106" i="18"/>
  <c r="BD106" i="18"/>
  <c r="AD102" i="18"/>
  <c r="B102" i="18"/>
  <c r="AF102" i="18"/>
  <c r="AN102" i="18"/>
  <c r="AV102" i="18"/>
  <c r="BD102" i="18"/>
  <c r="AD94" i="18"/>
  <c r="B94" i="18"/>
  <c r="AF94" i="18"/>
  <c r="AN94" i="18"/>
  <c r="AV94" i="18"/>
  <c r="BD94" i="18"/>
  <c r="AD90" i="18"/>
  <c r="B90" i="18"/>
  <c r="AF90" i="18"/>
  <c r="AN90" i="18"/>
  <c r="AV90" i="18"/>
  <c r="BD90" i="18"/>
  <c r="AD86" i="18"/>
  <c r="B86" i="18"/>
  <c r="AF86" i="18"/>
  <c r="AN86" i="18"/>
  <c r="AV86" i="18"/>
  <c r="BD86" i="18"/>
  <c r="AD82" i="18"/>
  <c r="B82" i="18"/>
  <c r="AF82" i="18"/>
  <c r="AN82" i="18"/>
  <c r="AV82" i="18"/>
  <c r="BD82" i="18"/>
  <c r="AD78" i="18"/>
  <c r="B78" i="18"/>
  <c r="AF78" i="18"/>
  <c r="AN78" i="18"/>
  <c r="AV78" i="18"/>
  <c r="BD78" i="18"/>
  <c r="AD74" i="18"/>
  <c r="B74" i="18"/>
  <c r="AF74" i="18"/>
  <c r="AN74" i="18"/>
  <c r="AV74" i="18"/>
  <c r="BD74" i="18"/>
  <c r="AD70" i="18"/>
  <c r="B70" i="18"/>
  <c r="AF70" i="18"/>
  <c r="AN70" i="18"/>
  <c r="AV70" i="18"/>
  <c r="BD70" i="18"/>
  <c r="B65" i="18"/>
  <c r="AD65" i="18"/>
  <c r="AF65" i="18"/>
  <c r="AN65" i="18"/>
  <c r="AV65" i="18"/>
  <c r="BD65" i="18"/>
  <c r="AL65" i="18"/>
  <c r="AT65" i="18"/>
  <c r="BB65" i="18"/>
  <c r="B61" i="18"/>
  <c r="AD61" i="18"/>
  <c r="AF61" i="18"/>
  <c r="AN61" i="18"/>
  <c r="AV61" i="18"/>
  <c r="AL61" i="18"/>
  <c r="AT61" i="18"/>
  <c r="BB61" i="18"/>
  <c r="B57" i="18"/>
  <c r="AD57" i="18"/>
  <c r="AL57" i="18"/>
  <c r="AT57" i="18"/>
  <c r="BB57" i="18"/>
  <c r="B53" i="18"/>
  <c r="AD53" i="18"/>
  <c r="AL53" i="18"/>
  <c r="AT53" i="18"/>
  <c r="BB53" i="18"/>
  <c r="B49" i="18"/>
  <c r="AD49" i="18"/>
  <c r="AL49" i="18"/>
  <c r="AT49" i="18"/>
  <c r="BB49" i="18"/>
  <c r="B45" i="18"/>
  <c r="AD45" i="18"/>
  <c r="AF45" i="18"/>
  <c r="AN45" i="18"/>
  <c r="AL45" i="18"/>
  <c r="AT45" i="18"/>
  <c r="BB45" i="18"/>
  <c r="B41" i="18"/>
  <c r="AD41" i="18"/>
  <c r="AF41" i="18"/>
  <c r="AN41" i="18"/>
  <c r="AV41" i="18"/>
  <c r="BD41" i="18"/>
  <c r="AL41" i="18"/>
  <c r="AT41" i="18"/>
  <c r="BB41" i="18"/>
  <c r="B33" i="18"/>
  <c r="AD33" i="18"/>
  <c r="AF33" i="18"/>
  <c r="AN33" i="18"/>
  <c r="AV33" i="18"/>
  <c r="BD33" i="18"/>
  <c r="AL33" i="18"/>
  <c r="AT33" i="18"/>
  <c r="BB33" i="18"/>
  <c r="B21" i="18"/>
  <c r="AD21" i="18"/>
  <c r="AF21" i="18"/>
  <c r="AN21" i="18"/>
  <c r="AV21" i="18"/>
  <c r="BD21" i="18"/>
  <c r="AL21" i="18"/>
  <c r="AT21" i="18"/>
  <c r="BB21" i="18"/>
  <c r="B13" i="18"/>
  <c r="AD13" i="18"/>
  <c r="AF13" i="18"/>
  <c r="AN13" i="18"/>
  <c r="AV13" i="18"/>
  <c r="BD13" i="18"/>
  <c r="AL13" i="18"/>
  <c r="AT13" i="18"/>
  <c r="BB13" i="18"/>
  <c r="AL66" i="18"/>
  <c r="AJ66" i="18"/>
  <c r="AR66" i="18"/>
  <c r="AT66" i="18"/>
  <c r="BB66" i="18"/>
  <c r="AD58" i="18"/>
  <c r="B58" i="18"/>
  <c r="AF58" i="18"/>
  <c r="AN58" i="18"/>
  <c r="AV58" i="18"/>
  <c r="BD58" i="18"/>
  <c r="AD50" i="18"/>
  <c r="B50" i="18"/>
  <c r="AF50" i="18"/>
  <c r="AN50" i="18"/>
  <c r="AV50" i="18"/>
  <c r="BD50" i="18"/>
  <c r="AD42" i="18"/>
  <c r="B42" i="18"/>
  <c r="AF42" i="18"/>
  <c r="AN42" i="18"/>
  <c r="AV42" i="18"/>
  <c r="BD42" i="18"/>
  <c r="AD34" i="18"/>
  <c r="B34" i="18"/>
  <c r="AF34" i="18"/>
  <c r="AN34" i="18"/>
  <c r="AV34" i="18"/>
  <c r="BD34" i="18"/>
  <c r="AD26" i="18"/>
  <c r="B26" i="18"/>
  <c r="AF26" i="18"/>
  <c r="AN26" i="18"/>
  <c r="AV26" i="18"/>
  <c r="BD26" i="18"/>
  <c r="AD18" i="18"/>
  <c r="B18" i="18"/>
  <c r="AF18" i="18"/>
  <c r="AN18" i="18"/>
  <c r="AV18" i="18"/>
  <c r="BD18" i="18"/>
  <c r="AD10" i="18"/>
  <c r="B10" i="18"/>
  <c r="AF10" i="18"/>
  <c r="AN10" i="18"/>
  <c r="AV10" i="18"/>
  <c r="BD10" i="18"/>
  <c r="R59" i="20" l="1"/>
  <c r="P59" i="20" s="1" a="1"/>
  <c r="P59" i="20" s="1"/>
  <c r="I16" i="20"/>
  <c r="F16" i="20" s="1" a="1"/>
  <c r="F16" i="20" s="1"/>
  <c r="AA45" i="20"/>
  <c r="Y45" i="20" s="1" a="1"/>
  <c r="Y45" i="20" s="1"/>
  <c r="I75" i="20"/>
  <c r="F75" i="20" s="1" a="1"/>
  <c r="F75" i="20" s="1"/>
  <c r="AA31" i="20"/>
  <c r="X31" i="20" s="1" a="1"/>
  <c r="X31" i="20" s="1"/>
  <c r="R45" i="20"/>
  <c r="P45" i="20" s="1" a="1"/>
  <c r="P45" i="20" s="1"/>
  <c r="I61" i="20"/>
  <c r="F61" i="20" s="1" a="1"/>
  <c r="F61" i="20" s="1"/>
  <c r="AA46" i="20"/>
  <c r="Y46" i="20" s="1" a="1"/>
  <c r="Y46" i="20" s="1"/>
  <c r="I76" i="20"/>
  <c r="G76" i="20" s="1" a="1"/>
  <c r="G76" i="20" s="1"/>
  <c r="R46" i="20"/>
  <c r="O46" i="20" s="1" a="1"/>
  <c r="O46" i="20" s="1"/>
  <c r="AA39" i="20"/>
  <c r="AA43" i="20"/>
  <c r="AA47" i="20"/>
  <c r="R54" i="20"/>
  <c r="R58" i="20"/>
  <c r="I69" i="20"/>
  <c r="I73" i="20"/>
  <c r="I77" i="20"/>
  <c r="I11" i="20"/>
  <c r="I15" i="20"/>
  <c r="I17" i="20"/>
  <c r="T17" i="1" a="1"/>
  <c r="T17" i="1" s="1"/>
  <c r="S17" i="1" a="1"/>
  <c r="S17" i="1" s="1"/>
  <c r="R17" i="1" a="1"/>
  <c r="R17" i="1" s="1"/>
  <c r="Q17" i="1"/>
  <c r="T16" i="1" a="1"/>
  <c r="T16" i="1" s="1"/>
  <c r="S16" i="1" a="1"/>
  <c r="S16" i="1" s="1"/>
  <c r="R16" i="1" a="1"/>
  <c r="R16" i="1" s="1"/>
  <c r="Q16" i="1"/>
  <c r="AA26" i="20"/>
  <c r="AA30" i="20"/>
  <c r="R39" i="20"/>
  <c r="R43" i="20"/>
  <c r="R47" i="20"/>
  <c r="I56" i="20"/>
  <c r="I60" i="20"/>
  <c r="H12" i="1" a="1"/>
  <c r="H12" i="1" s="1"/>
  <c r="G12" i="1" a="1"/>
  <c r="G12" i="1" s="1"/>
  <c r="F12" i="1" a="1"/>
  <c r="F12" i="1" s="1"/>
  <c r="E12" i="1"/>
  <c r="H20" i="1" a="1"/>
  <c r="H20" i="1" s="1"/>
  <c r="G20" i="1" a="1"/>
  <c r="G20" i="1" s="1"/>
  <c r="F20" i="1" a="1"/>
  <c r="F20" i="1" s="1"/>
  <c r="E20" i="1"/>
  <c r="H13" i="1" a="1"/>
  <c r="H13" i="1" s="1"/>
  <c r="G13" i="1" a="1"/>
  <c r="G13" i="1" s="1"/>
  <c r="F13" i="1" a="1"/>
  <c r="F13" i="1" s="1"/>
  <c r="E13" i="1"/>
  <c r="I32" i="20"/>
  <c r="I31" i="20"/>
  <c r="I30" i="20"/>
  <c r="I29" i="20"/>
  <c r="I28" i="20"/>
  <c r="I27" i="20"/>
  <c r="I26" i="20"/>
  <c r="I25" i="20"/>
  <c r="I24" i="20"/>
  <c r="I23" i="20"/>
  <c r="AA41" i="20"/>
  <c r="R62" i="20"/>
  <c r="R56" i="20"/>
  <c r="R60" i="20"/>
  <c r="I71" i="20"/>
  <c r="I9" i="20"/>
  <c r="I13" i="20"/>
  <c r="T13" i="1" a="1"/>
  <c r="T13" i="1" s="1"/>
  <c r="S13" i="1" a="1"/>
  <c r="S13" i="1" s="1"/>
  <c r="R13" i="1" a="1"/>
  <c r="R13" i="1" s="1"/>
  <c r="Q13" i="1"/>
  <c r="T12" i="1" a="1"/>
  <c r="T12" i="1" s="1"/>
  <c r="S12" i="1" a="1"/>
  <c r="S12" i="1" s="1"/>
  <c r="R12" i="1" a="1"/>
  <c r="R12" i="1" s="1"/>
  <c r="Q12" i="1"/>
  <c r="T20" i="1" a="1"/>
  <c r="T20" i="1" s="1"/>
  <c r="S20" i="1" a="1"/>
  <c r="S20" i="1" s="1"/>
  <c r="R20" i="1" a="1"/>
  <c r="R20" i="1" s="1"/>
  <c r="Q20" i="1"/>
  <c r="AA24" i="20"/>
  <c r="AA28" i="20"/>
  <c r="AA32" i="20"/>
  <c r="R41" i="20"/>
  <c r="I54" i="20"/>
  <c r="I58" i="20"/>
  <c r="I62" i="20"/>
  <c r="R32" i="20"/>
  <c r="R31" i="20"/>
  <c r="R30" i="20"/>
  <c r="R29" i="20"/>
  <c r="R28" i="20"/>
  <c r="R27" i="20"/>
  <c r="R26" i="20"/>
  <c r="R25" i="20"/>
  <c r="R24" i="20"/>
  <c r="R23" i="20"/>
  <c r="H16" i="1" a="1"/>
  <c r="H16" i="1" s="1"/>
  <c r="G16" i="1" a="1"/>
  <c r="G16" i="1" s="1"/>
  <c r="F16" i="1" a="1"/>
  <c r="F16" i="1" s="1"/>
  <c r="E16" i="1"/>
  <c r="H17" i="1" a="1"/>
  <c r="H17" i="1" s="1"/>
  <c r="G17" i="1" a="1"/>
  <c r="G17" i="1" s="1"/>
  <c r="F17" i="1" a="1"/>
  <c r="F17" i="1" s="1"/>
  <c r="E17" i="1"/>
  <c r="R77" i="20"/>
  <c r="R76" i="20"/>
  <c r="R75" i="20"/>
  <c r="R74" i="20"/>
  <c r="R73" i="20"/>
  <c r="R72" i="20"/>
  <c r="R71" i="20"/>
  <c r="R70" i="20"/>
  <c r="R69" i="20"/>
  <c r="R68" i="20"/>
  <c r="AA38" i="20"/>
  <c r="AA40" i="20"/>
  <c r="AA42" i="20"/>
  <c r="AA44" i="20"/>
  <c r="R61" i="20"/>
  <c r="R53" i="20"/>
  <c r="R55" i="20"/>
  <c r="R57" i="20"/>
  <c r="I68" i="20"/>
  <c r="I70" i="20"/>
  <c r="I72" i="20"/>
  <c r="I74" i="20"/>
  <c r="I8" i="20"/>
  <c r="I10" i="20"/>
  <c r="I12" i="20"/>
  <c r="I14" i="20"/>
  <c r="T11" i="1" a="1"/>
  <c r="T11" i="1" s="1"/>
  <c r="S11" i="1" a="1"/>
  <c r="S11" i="1" s="1"/>
  <c r="R11" i="1" a="1"/>
  <c r="R11" i="1" s="1"/>
  <c r="Q11" i="1"/>
  <c r="T15" i="1" a="1"/>
  <c r="T15" i="1" s="1"/>
  <c r="S15" i="1" a="1"/>
  <c r="S15" i="1" s="1"/>
  <c r="R15" i="1" a="1"/>
  <c r="R15" i="1" s="1"/>
  <c r="Q15" i="1"/>
  <c r="T19" i="1" a="1"/>
  <c r="T19" i="1" s="1"/>
  <c r="S19" i="1" a="1"/>
  <c r="S19" i="1" s="1"/>
  <c r="R19" i="1" a="1"/>
  <c r="R19" i="1" s="1"/>
  <c r="Q19" i="1"/>
  <c r="T14" i="1" a="1"/>
  <c r="T14" i="1" s="1"/>
  <c r="S14" i="1" a="1"/>
  <c r="S14" i="1" s="1"/>
  <c r="R14" i="1" a="1"/>
  <c r="R14" i="1" s="1"/>
  <c r="Q14" i="1"/>
  <c r="T18" i="1" a="1"/>
  <c r="T18" i="1" s="1"/>
  <c r="S18" i="1" a="1"/>
  <c r="S18" i="1" s="1"/>
  <c r="R18" i="1" a="1"/>
  <c r="R18" i="1" s="1"/>
  <c r="Q18" i="1"/>
  <c r="O20" i="1" a="1"/>
  <c r="O20" i="1" s="1"/>
  <c r="O18" i="1" a="1"/>
  <c r="O18" i="1" s="1"/>
  <c r="O16" i="1" a="1"/>
  <c r="O16" i="1" s="1"/>
  <c r="O14" i="1" a="1"/>
  <c r="O14" i="1" s="1"/>
  <c r="O12" i="1" a="1"/>
  <c r="O12" i="1" s="1"/>
  <c r="O19" i="1" a="1"/>
  <c r="O19" i="1" s="1"/>
  <c r="O17" i="1" a="1"/>
  <c r="O17" i="1" s="1"/>
  <c r="O15" i="1" a="1"/>
  <c r="O15" i="1" s="1"/>
  <c r="O13" i="1" a="1"/>
  <c r="O13" i="1" s="1"/>
  <c r="O11" i="1" a="1"/>
  <c r="O11" i="1" s="1"/>
  <c r="AA23" i="20"/>
  <c r="AA25" i="20"/>
  <c r="AA27" i="20"/>
  <c r="AA29" i="20"/>
  <c r="R38" i="20"/>
  <c r="R40" i="20"/>
  <c r="R42" i="20"/>
  <c r="R44" i="20"/>
  <c r="I53" i="20"/>
  <c r="I55" i="20"/>
  <c r="I57" i="20"/>
  <c r="I59" i="20"/>
  <c r="AA17" i="20"/>
  <c r="AA16" i="20"/>
  <c r="AA15" i="20"/>
  <c r="AA14" i="20"/>
  <c r="AA13" i="20"/>
  <c r="AA12" i="20"/>
  <c r="AA11" i="20"/>
  <c r="AA10" i="20"/>
  <c r="AA9" i="20"/>
  <c r="AA8" i="20"/>
  <c r="I47" i="20"/>
  <c r="I46" i="20"/>
  <c r="I45" i="20"/>
  <c r="I44" i="20"/>
  <c r="I43" i="20"/>
  <c r="I42" i="20"/>
  <c r="I41" i="20"/>
  <c r="I40" i="20"/>
  <c r="I39" i="20"/>
  <c r="I38" i="20"/>
  <c r="H14" i="1" a="1"/>
  <c r="H14" i="1" s="1"/>
  <c r="G14" i="1" a="1"/>
  <c r="G14" i="1" s="1"/>
  <c r="F14" i="1" a="1"/>
  <c r="F14" i="1" s="1"/>
  <c r="E14" i="1"/>
  <c r="H18" i="1" a="1"/>
  <c r="H18" i="1" s="1"/>
  <c r="G18" i="1" a="1"/>
  <c r="G18" i="1" s="1"/>
  <c r="F18" i="1" a="1"/>
  <c r="F18" i="1" s="1"/>
  <c r="E18" i="1"/>
  <c r="H11" i="1" a="1"/>
  <c r="H11" i="1" s="1"/>
  <c r="G11" i="1" a="1"/>
  <c r="G11" i="1" s="1"/>
  <c r="F11" i="1" a="1"/>
  <c r="F11" i="1" s="1"/>
  <c r="E11" i="1"/>
  <c r="H15" i="1" a="1"/>
  <c r="H15" i="1" s="1"/>
  <c r="G15" i="1" a="1"/>
  <c r="G15" i="1" s="1"/>
  <c r="F15" i="1" a="1"/>
  <c r="F15" i="1" s="1"/>
  <c r="E15" i="1"/>
  <c r="H19" i="1" a="1"/>
  <c r="H19" i="1" s="1"/>
  <c r="G19" i="1" a="1"/>
  <c r="G19" i="1" s="1"/>
  <c r="F19" i="1" a="1"/>
  <c r="F19" i="1" s="1"/>
  <c r="E19" i="1"/>
  <c r="R17" i="20"/>
  <c r="R16" i="20"/>
  <c r="R15" i="20"/>
  <c r="R14" i="20"/>
  <c r="R13" i="20"/>
  <c r="R12" i="20"/>
  <c r="R11" i="20"/>
  <c r="R10" i="20"/>
  <c r="R9" i="20"/>
  <c r="R8" i="20"/>
  <c r="Z45" i="20" l="1" a="1"/>
  <c r="Z45" i="20" s="1"/>
  <c r="V45" i="20" a="1"/>
  <c r="V45" i="20" s="1"/>
  <c r="W45" i="20" a="1"/>
  <c r="W45" i="20" s="1"/>
  <c r="E16" i="20" a="1"/>
  <c r="E16" i="20" s="1"/>
  <c r="T45" i="20"/>
  <c r="X45" i="20" a="1"/>
  <c r="X45" i="20" s="1"/>
  <c r="U45" i="20" a="1"/>
  <c r="U45" i="20" s="1"/>
  <c r="E75" i="20" a="1"/>
  <c r="E75" i="20" s="1"/>
  <c r="G75" i="20" a="1"/>
  <c r="G75" i="20" s="1"/>
  <c r="V46" i="20" a="1"/>
  <c r="V46" i="20" s="1"/>
  <c r="N59" i="20" a="1"/>
  <c r="N59" i="20" s="1"/>
  <c r="G16" i="20" a="1"/>
  <c r="G16" i="20" s="1"/>
  <c r="Y31" i="20" a="1"/>
  <c r="Y31" i="20" s="1"/>
  <c r="G61" i="20" a="1"/>
  <c r="G61" i="20" s="1"/>
  <c r="E61" i="20" a="1"/>
  <c r="E61" i="20" s="1"/>
  <c r="F76" i="20" a="1"/>
  <c r="F76" i="20" s="1"/>
  <c r="O59" i="20" a="1"/>
  <c r="O59" i="20" s="1"/>
  <c r="W31" i="20" a="1"/>
  <c r="W31" i="20" s="1"/>
  <c r="N46" i="20" a="1"/>
  <c r="N46" i="20" s="1"/>
  <c r="E76" i="20" a="1"/>
  <c r="E76" i="20" s="1"/>
  <c r="Z46" i="20" a="1"/>
  <c r="Z46" i="20" s="1"/>
  <c r="P46" i="20" a="1"/>
  <c r="P46" i="20" s="1"/>
  <c r="T46" i="20"/>
  <c r="X46" i="20" a="1"/>
  <c r="X46" i="20" s="1"/>
  <c r="O45" i="20" a="1"/>
  <c r="O45" i="20" s="1"/>
  <c r="U46" i="20" a="1"/>
  <c r="U46" i="20" s="1"/>
  <c r="W46" i="20" a="1"/>
  <c r="W46" i="20" s="1"/>
  <c r="N45" i="20" a="1"/>
  <c r="N45" i="20" s="1"/>
  <c r="U31" i="20" a="1"/>
  <c r="U31" i="20" s="1"/>
  <c r="L45" i="20" a="1"/>
  <c r="L45" i="20" s="1"/>
  <c r="Q9" i="20" a="1"/>
  <c r="Q9" i="20" s="1"/>
  <c r="P9" i="20" a="1"/>
  <c r="P9" i="20" s="1"/>
  <c r="O9" i="20" a="1"/>
  <c r="O9" i="20" s="1"/>
  <c r="N9" i="20" a="1"/>
  <c r="N9" i="20" s="1"/>
  <c r="M9" i="20" a="1"/>
  <c r="M9" i="20" s="1"/>
  <c r="L9" i="20" a="1"/>
  <c r="L9" i="20" s="1"/>
  <c r="K9" i="20"/>
  <c r="Q13" i="20" a="1"/>
  <c r="Q13" i="20" s="1"/>
  <c r="P13" i="20" a="1"/>
  <c r="P13" i="20" s="1"/>
  <c r="O13" i="20" a="1"/>
  <c r="O13" i="20" s="1"/>
  <c r="N13" i="20" a="1"/>
  <c r="N13" i="20" s="1"/>
  <c r="M13" i="20" a="1"/>
  <c r="M13" i="20" s="1"/>
  <c r="L13" i="20" a="1"/>
  <c r="L13" i="20" s="1"/>
  <c r="K13" i="20"/>
  <c r="Q17" i="20" a="1"/>
  <c r="Q17" i="20" s="1"/>
  <c r="P17" i="20" a="1"/>
  <c r="P17" i="20" s="1"/>
  <c r="O17" i="20" a="1"/>
  <c r="O17" i="20" s="1"/>
  <c r="N17" i="20" a="1"/>
  <c r="N17" i="20" s="1"/>
  <c r="M17" i="20" a="1"/>
  <c r="M17" i="20" s="1"/>
  <c r="L17" i="20" a="1"/>
  <c r="L17" i="20" s="1"/>
  <c r="K17" i="20"/>
  <c r="H41" i="20" a="1"/>
  <c r="H41" i="20" s="1"/>
  <c r="G41" i="20" a="1"/>
  <c r="G41" i="20" s="1"/>
  <c r="F41" i="20" a="1"/>
  <c r="F41" i="20" s="1"/>
  <c r="E41" i="20" a="1"/>
  <c r="E41" i="20" s="1"/>
  <c r="D41" i="20" a="1"/>
  <c r="D41" i="20" s="1"/>
  <c r="C41" i="20" a="1"/>
  <c r="C41" i="20" s="1"/>
  <c r="B41" i="20"/>
  <c r="H45" i="20" a="1"/>
  <c r="H45" i="20" s="1"/>
  <c r="G45" i="20" a="1"/>
  <c r="G45" i="20" s="1"/>
  <c r="F45" i="20" a="1"/>
  <c r="F45" i="20" s="1"/>
  <c r="E45" i="20" a="1"/>
  <c r="E45" i="20" s="1"/>
  <c r="D45" i="20" a="1"/>
  <c r="D45" i="20" s="1"/>
  <c r="C45" i="20" a="1"/>
  <c r="C45" i="20" s="1"/>
  <c r="B45" i="20"/>
  <c r="Z9" i="20" a="1"/>
  <c r="Z9" i="20" s="1"/>
  <c r="Y9" i="20" a="1"/>
  <c r="Y9" i="20" s="1"/>
  <c r="X9" i="20" a="1"/>
  <c r="X9" i="20" s="1"/>
  <c r="W9" i="20" a="1"/>
  <c r="W9" i="20" s="1"/>
  <c r="V9" i="20" a="1"/>
  <c r="V9" i="20" s="1"/>
  <c r="U9" i="20" a="1"/>
  <c r="U9" i="20" s="1"/>
  <c r="T9" i="20"/>
  <c r="Z15" i="20" a="1"/>
  <c r="Z15" i="20" s="1"/>
  <c r="Y15" i="20" a="1"/>
  <c r="Y15" i="20" s="1"/>
  <c r="X15" i="20" a="1"/>
  <c r="X15" i="20" s="1"/>
  <c r="W15" i="20" a="1"/>
  <c r="W15" i="20" s="1"/>
  <c r="V15" i="20" a="1"/>
  <c r="V15" i="20" s="1"/>
  <c r="U15" i="20" a="1"/>
  <c r="U15" i="20" s="1"/>
  <c r="T15" i="20"/>
  <c r="H57" i="20" a="1"/>
  <c r="H57" i="20" s="1"/>
  <c r="G57" i="20" a="1"/>
  <c r="G57" i="20" s="1"/>
  <c r="F57" i="20" a="1"/>
  <c r="F57" i="20" s="1"/>
  <c r="E57" i="20" a="1"/>
  <c r="E57" i="20" s="1"/>
  <c r="D57" i="20" a="1"/>
  <c r="D57" i="20" s="1"/>
  <c r="C57" i="20" a="1"/>
  <c r="C57" i="20" s="1"/>
  <c r="B57" i="20"/>
  <c r="H53" i="20" a="1"/>
  <c r="H53" i="20" s="1"/>
  <c r="G53" i="20" a="1"/>
  <c r="G53" i="20" s="1"/>
  <c r="F53" i="20" a="1"/>
  <c r="F53" i="20" s="1"/>
  <c r="E53" i="20" a="1"/>
  <c r="E53" i="20" s="1"/>
  <c r="D53" i="20" a="1"/>
  <c r="D53" i="20" s="1"/>
  <c r="C53" i="20" a="1"/>
  <c r="C53" i="20" s="1"/>
  <c r="B53" i="20"/>
  <c r="N13" i="1" a="1"/>
  <c r="N13" i="1" s="1"/>
  <c r="M13" i="1" a="1"/>
  <c r="M13" i="1" s="1"/>
  <c r="L13" i="1" a="1"/>
  <c r="L13" i="1" s="1"/>
  <c r="K13" i="1"/>
  <c r="N12" i="1" a="1"/>
  <c r="N12" i="1" s="1"/>
  <c r="M12" i="1" a="1"/>
  <c r="M12" i="1" s="1"/>
  <c r="L12" i="1" a="1"/>
  <c r="L12" i="1" s="1"/>
  <c r="K12" i="1"/>
  <c r="N20" i="1" a="1"/>
  <c r="N20" i="1" s="1"/>
  <c r="M20" i="1" a="1"/>
  <c r="M20" i="1" s="1"/>
  <c r="L20" i="1" a="1"/>
  <c r="L20" i="1" s="1"/>
  <c r="K20" i="1"/>
  <c r="H12" i="20" a="1"/>
  <c r="H12" i="20" s="1"/>
  <c r="G12" i="20" a="1"/>
  <c r="G12" i="20" s="1"/>
  <c r="F12" i="20" a="1"/>
  <c r="F12" i="20" s="1"/>
  <c r="E12" i="20" a="1"/>
  <c r="E12" i="20" s="1"/>
  <c r="D12" i="20" a="1"/>
  <c r="D12" i="20" s="1"/>
  <c r="C12" i="20" a="1"/>
  <c r="C12" i="20" s="1"/>
  <c r="B12" i="20"/>
  <c r="H8" i="20" a="1"/>
  <c r="H8" i="20" s="1"/>
  <c r="G8" i="20" a="1"/>
  <c r="G8" i="20" s="1"/>
  <c r="F8" i="20" a="1"/>
  <c r="F8" i="20" s="1"/>
  <c r="E8" i="20" a="1"/>
  <c r="E8" i="20" s="1"/>
  <c r="D8" i="20" a="1"/>
  <c r="D8" i="20" s="1"/>
  <c r="C8" i="20" a="1"/>
  <c r="C8" i="20" s="1"/>
  <c r="B8" i="20"/>
  <c r="H72" i="20" a="1"/>
  <c r="H72" i="20" s="1"/>
  <c r="G72" i="20" a="1"/>
  <c r="G72" i="20" s="1"/>
  <c r="F72" i="20" a="1"/>
  <c r="F72" i="20" s="1"/>
  <c r="E72" i="20" a="1"/>
  <c r="E72" i="20" s="1"/>
  <c r="D72" i="20" a="1"/>
  <c r="D72" i="20" s="1"/>
  <c r="C72" i="20" a="1"/>
  <c r="C72" i="20" s="1"/>
  <c r="B72" i="20"/>
  <c r="H68" i="20" a="1"/>
  <c r="H68" i="20" s="1"/>
  <c r="G68" i="20" a="1"/>
  <c r="G68" i="20" s="1"/>
  <c r="F68" i="20" a="1"/>
  <c r="F68" i="20" s="1"/>
  <c r="E68" i="20" a="1"/>
  <c r="E68" i="20" s="1"/>
  <c r="D68" i="20" a="1"/>
  <c r="D68" i="20" s="1"/>
  <c r="C68" i="20" a="1"/>
  <c r="C68" i="20" s="1"/>
  <c r="B68" i="20"/>
  <c r="Q55" i="20" a="1"/>
  <c r="Q55" i="20" s="1"/>
  <c r="P55" i="20" a="1"/>
  <c r="P55" i="20" s="1"/>
  <c r="O55" i="20" a="1"/>
  <c r="O55" i="20" s="1"/>
  <c r="N55" i="20" a="1"/>
  <c r="N55" i="20" s="1"/>
  <c r="M55" i="20" a="1"/>
  <c r="M55" i="20" s="1"/>
  <c r="L55" i="20" a="1"/>
  <c r="L55" i="20" s="1"/>
  <c r="K55" i="20"/>
  <c r="Q61" i="20" a="1"/>
  <c r="Q61" i="20" s="1"/>
  <c r="P61" i="20" a="1"/>
  <c r="P61" i="20" s="1"/>
  <c r="O61" i="20" a="1"/>
  <c r="O61" i="20" s="1"/>
  <c r="N61" i="20" a="1"/>
  <c r="N61" i="20" s="1"/>
  <c r="M61" i="20" a="1"/>
  <c r="M61" i="20" s="1"/>
  <c r="L61" i="20" a="1"/>
  <c r="L61" i="20" s="1"/>
  <c r="K61" i="20"/>
  <c r="Z42" i="20" a="1"/>
  <c r="Z42" i="20" s="1"/>
  <c r="Y42" i="20" a="1"/>
  <c r="Y42" i="20" s="1"/>
  <c r="X42" i="20" a="1"/>
  <c r="X42" i="20" s="1"/>
  <c r="W42" i="20" a="1"/>
  <c r="W42" i="20" s="1"/>
  <c r="V42" i="20" a="1"/>
  <c r="V42" i="20" s="1"/>
  <c r="U42" i="20" a="1"/>
  <c r="U42" i="20" s="1"/>
  <c r="T42" i="20"/>
  <c r="Z38" i="20" a="1"/>
  <c r="Z38" i="20" s="1"/>
  <c r="Y38" i="20" a="1"/>
  <c r="Y38" i="20" s="1"/>
  <c r="X38" i="20" a="1"/>
  <c r="X38" i="20" s="1"/>
  <c r="W38" i="20" a="1"/>
  <c r="W38" i="20" s="1"/>
  <c r="V38" i="20" a="1"/>
  <c r="V38" i="20" s="1"/>
  <c r="U38" i="20" a="1"/>
  <c r="U38" i="20" s="1"/>
  <c r="T38" i="20"/>
  <c r="Q69" i="20" a="1"/>
  <c r="Q69" i="20" s="1"/>
  <c r="P69" i="20" a="1"/>
  <c r="P69" i="20" s="1"/>
  <c r="O69" i="20" a="1"/>
  <c r="O69" i="20" s="1"/>
  <c r="N69" i="20" a="1"/>
  <c r="N69" i="20" s="1"/>
  <c r="M69" i="20" a="1"/>
  <c r="M69" i="20" s="1"/>
  <c r="L69" i="20" a="1"/>
  <c r="L69" i="20" s="1"/>
  <c r="K69" i="20"/>
  <c r="Q71" i="20" a="1"/>
  <c r="Q71" i="20" s="1"/>
  <c r="P71" i="20" a="1"/>
  <c r="P71" i="20" s="1"/>
  <c r="O71" i="20" a="1"/>
  <c r="O71" i="20" s="1"/>
  <c r="N71" i="20" a="1"/>
  <c r="N71" i="20" s="1"/>
  <c r="M71" i="20" a="1"/>
  <c r="M71" i="20" s="1"/>
  <c r="L71" i="20" a="1"/>
  <c r="L71" i="20" s="1"/>
  <c r="K71" i="20"/>
  <c r="Q73" i="20" a="1"/>
  <c r="Q73" i="20" s="1"/>
  <c r="P73" i="20" a="1"/>
  <c r="P73" i="20" s="1"/>
  <c r="O73" i="20" a="1"/>
  <c r="O73" i="20" s="1"/>
  <c r="N73" i="20" a="1"/>
  <c r="N73" i="20" s="1"/>
  <c r="M73" i="20" a="1"/>
  <c r="M73" i="20" s="1"/>
  <c r="L73" i="20" a="1"/>
  <c r="L73" i="20" s="1"/>
  <c r="K73" i="20"/>
  <c r="Q75" i="20" a="1"/>
  <c r="Q75" i="20" s="1"/>
  <c r="P75" i="20" a="1"/>
  <c r="P75" i="20" s="1"/>
  <c r="O75" i="20" a="1"/>
  <c r="O75" i="20" s="1"/>
  <c r="N75" i="20" a="1"/>
  <c r="N75" i="20" s="1"/>
  <c r="M75" i="20" a="1"/>
  <c r="M75" i="20" s="1"/>
  <c r="L75" i="20" a="1"/>
  <c r="L75" i="20" s="1"/>
  <c r="K75" i="20"/>
  <c r="Q77" i="20" a="1"/>
  <c r="Q77" i="20" s="1"/>
  <c r="P77" i="20" a="1"/>
  <c r="P77" i="20" s="1"/>
  <c r="O77" i="20" a="1"/>
  <c r="O77" i="20" s="1"/>
  <c r="N77" i="20" a="1"/>
  <c r="N77" i="20" s="1"/>
  <c r="M77" i="20" a="1"/>
  <c r="M77" i="20" s="1"/>
  <c r="L77" i="20" a="1"/>
  <c r="L77" i="20" s="1"/>
  <c r="K77" i="20"/>
  <c r="Q24" i="20" a="1"/>
  <c r="Q24" i="20" s="1"/>
  <c r="P24" i="20" a="1"/>
  <c r="P24" i="20" s="1"/>
  <c r="O24" i="20" a="1"/>
  <c r="O24" i="20" s="1"/>
  <c r="N24" i="20" a="1"/>
  <c r="N24" i="20" s="1"/>
  <c r="M24" i="20" a="1"/>
  <c r="M24" i="20" s="1"/>
  <c r="L24" i="20" a="1"/>
  <c r="L24" i="20" s="1"/>
  <c r="K24" i="20"/>
  <c r="Q26" i="20" a="1"/>
  <c r="Q26" i="20" s="1"/>
  <c r="P26" i="20" a="1"/>
  <c r="P26" i="20" s="1"/>
  <c r="O26" i="20" a="1"/>
  <c r="O26" i="20" s="1"/>
  <c r="N26" i="20" a="1"/>
  <c r="N26" i="20" s="1"/>
  <c r="M26" i="20" a="1"/>
  <c r="M26" i="20" s="1"/>
  <c r="L26" i="20" a="1"/>
  <c r="L26" i="20" s="1"/>
  <c r="K26" i="20"/>
  <c r="Q28" i="20" a="1"/>
  <c r="Q28" i="20" s="1"/>
  <c r="P28" i="20" a="1"/>
  <c r="P28" i="20" s="1"/>
  <c r="O28" i="20" a="1"/>
  <c r="O28" i="20" s="1"/>
  <c r="N28" i="20" a="1"/>
  <c r="N28" i="20" s="1"/>
  <c r="M28" i="20" a="1"/>
  <c r="M28" i="20" s="1"/>
  <c r="L28" i="20" a="1"/>
  <c r="L28" i="20" s="1"/>
  <c r="K28" i="20"/>
  <c r="Q30" i="20" a="1"/>
  <c r="Q30" i="20" s="1"/>
  <c r="P30" i="20" a="1"/>
  <c r="P30" i="20" s="1"/>
  <c r="O30" i="20" a="1"/>
  <c r="O30" i="20" s="1"/>
  <c r="N30" i="20" a="1"/>
  <c r="N30" i="20" s="1"/>
  <c r="M30" i="20" a="1"/>
  <c r="M30" i="20" s="1"/>
  <c r="L30" i="20" a="1"/>
  <c r="L30" i="20" s="1"/>
  <c r="K30" i="20"/>
  <c r="Q32" i="20" a="1"/>
  <c r="Q32" i="20" s="1"/>
  <c r="P32" i="20" a="1"/>
  <c r="P32" i="20" s="1"/>
  <c r="O32" i="20" a="1"/>
  <c r="O32" i="20" s="1"/>
  <c r="N32" i="20" a="1"/>
  <c r="N32" i="20" s="1"/>
  <c r="M32" i="20" a="1"/>
  <c r="M32" i="20" s="1"/>
  <c r="L32" i="20" a="1"/>
  <c r="L32" i="20" s="1"/>
  <c r="K32" i="20"/>
  <c r="Q41" i="20" a="1"/>
  <c r="Q41" i="20" s="1"/>
  <c r="P41" i="20" a="1"/>
  <c r="P41" i="20" s="1"/>
  <c r="O41" i="20" a="1"/>
  <c r="O41" i="20" s="1"/>
  <c r="N41" i="20" a="1"/>
  <c r="N41" i="20" s="1"/>
  <c r="M41" i="20" a="1"/>
  <c r="M41" i="20" s="1"/>
  <c r="L41" i="20" a="1"/>
  <c r="L41" i="20" s="1"/>
  <c r="K41" i="20"/>
  <c r="H71" i="20" a="1"/>
  <c r="H71" i="20" s="1"/>
  <c r="G71" i="20" a="1"/>
  <c r="G71" i="20" s="1"/>
  <c r="F71" i="20" a="1"/>
  <c r="F71" i="20" s="1"/>
  <c r="E71" i="20" a="1"/>
  <c r="E71" i="20" s="1"/>
  <c r="D71" i="20" a="1"/>
  <c r="D71" i="20" s="1"/>
  <c r="C71" i="20" a="1"/>
  <c r="C71" i="20" s="1"/>
  <c r="B71" i="20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/>
  <c r="H56" i="20" a="1"/>
  <c r="H56" i="20" s="1"/>
  <c r="G56" i="20" a="1"/>
  <c r="G56" i="20" s="1"/>
  <c r="F56" i="20" a="1"/>
  <c r="F56" i="20" s="1"/>
  <c r="E56" i="20" a="1"/>
  <c r="E56" i="20" s="1"/>
  <c r="D56" i="20" a="1"/>
  <c r="D56" i="20" s="1"/>
  <c r="C56" i="20" a="1"/>
  <c r="C56" i="20" s="1"/>
  <c r="B56" i="20"/>
  <c r="Q8" i="20" a="1"/>
  <c r="Q8" i="20" s="1"/>
  <c r="P8" i="20" a="1"/>
  <c r="P8" i="20" s="1"/>
  <c r="O8" i="20" a="1"/>
  <c r="O8" i="20" s="1"/>
  <c r="N8" i="20" a="1"/>
  <c r="N8" i="20" s="1"/>
  <c r="M8" i="20" a="1"/>
  <c r="M8" i="20" s="1"/>
  <c r="L8" i="20" a="1"/>
  <c r="L8" i="20" s="1"/>
  <c r="K8" i="20"/>
  <c r="Q10" i="20" a="1"/>
  <c r="Q10" i="20" s="1"/>
  <c r="P10" i="20" a="1"/>
  <c r="P10" i="20" s="1"/>
  <c r="O10" i="20" a="1"/>
  <c r="O10" i="20" s="1"/>
  <c r="N10" i="20" a="1"/>
  <c r="N10" i="20" s="1"/>
  <c r="M10" i="20" a="1"/>
  <c r="M10" i="20" s="1"/>
  <c r="L10" i="20" a="1"/>
  <c r="L10" i="20" s="1"/>
  <c r="K10" i="20"/>
  <c r="Q12" i="20" a="1"/>
  <c r="Q12" i="20" s="1"/>
  <c r="P12" i="20" a="1"/>
  <c r="P12" i="20" s="1"/>
  <c r="O12" i="20" a="1"/>
  <c r="O12" i="20" s="1"/>
  <c r="N12" i="20" a="1"/>
  <c r="N12" i="20" s="1"/>
  <c r="M12" i="20" a="1"/>
  <c r="M12" i="20" s="1"/>
  <c r="L12" i="20" a="1"/>
  <c r="L12" i="20" s="1"/>
  <c r="K12" i="20"/>
  <c r="Q14" i="20" a="1"/>
  <c r="Q14" i="20" s="1"/>
  <c r="P14" i="20" a="1"/>
  <c r="P14" i="20" s="1"/>
  <c r="O14" i="20" a="1"/>
  <c r="O14" i="20" s="1"/>
  <c r="N14" i="20" a="1"/>
  <c r="N14" i="20" s="1"/>
  <c r="M14" i="20" a="1"/>
  <c r="M14" i="20" s="1"/>
  <c r="L14" i="20" a="1"/>
  <c r="L14" i="20" s="1"/>
  <c r="K14" i="20"/>
  <c r="Q16" i="20" a="1"/>
  <c r="Q16" i="20" s="1"/>
  <c r="P16" i="20" a="1"/>
  <c r="P16" i="20" s="1"/>
  <c r="O16" i="20" a="1"/>
  <c r="O16" i="20" s="1"/>
  <c r="N16" i="20" a="1"/>
  <c r="N16" i="20" s="1"/>
  <c r="M16" i="20" a="1"/>
  <c r="M16" i="20" s="1"/>
  <c r="L16" i="20" a="1"/>
  <c r="L16" i="20" s="1"/>
  <c r="K16" i="20"/>
  <c r="H38" i="20" a="1"/>
  <c r="H38" i="20" s="1"/>
  <c r="G38" i="20" a="1"/>
  <c r="G38" i="20" s="1"/>
  <c r="F38" i="20" a="1"/>
  <c r="F38" i="20" s="1"/>
  <c r="E38" i="20" a="1"/>
  <c r="E38" i="20" s="1"/>
  <c r="D38" i="20" a="1"/>
  <c r="D38" i="20" s="1"/>
  <c r="C38" i="20" a="1"/>
  <c r="C38" i="20" s="1"/>
  <c r="B38" i="20"/>
  <c r="H40" i="20" a="1"/>
  <c r="H40" i="20" s="1"/>
  <c r="G40" i="20" a="1"/>
  <c r="G40" i="20" s="1"/>
  <c r="F40" i="20" a="1"/>
  <c r="F40" i="20" s="1"/>
  <c r="E40" i="20" a="1"/>
  <c r="E40" i="20" s="1"/>
  <c r="D40" i="20" a="1"/>
  <c r="D40" i="20" s="1"/>
  <c r="C40" i="20" a="1"/>
  <c r="C40" i="20" s="1"/>
  <c r="B40" i="20"/>
  <c r="H42" i="20" a="1"/>
  <c r="H42" i="20" s="1"/>
  <c r="G42" i="20" a="1"/>
  <c r="G42" i="20" s="1"/>
  <c r="F42" i="20" a="1"/>
  <c r="F42" i="20" s="1"/>
  <c r="E42" i="20" a="1"/>
  <c r="E42" i="20" s="1"/>
  <c r="D42" i="20" a="1"/>
  <c r="D42" i="20" s="1"/>
  <c r="C42" i="20" a="1"/>
  <c r="C42" i="20" s="1"/>
  <c r="B42" i="20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/>
  <c r="H46" i="20" a="1"/>
  <c r="H46" i="20" s="1"/>
  <c r="G46" i="20" a="1"/>
  <c r="G46" i="20" s="1"/>
  <c r="F46" i="20" a="1"/>
  <c r="F46" i="20" s="1"/>
  <c r="E46" i="20" a="1"/>
  <c r="E46" i="20" s="1"/>
  <c r="D46" i="20" a="1"/>
  <c r="D46" i="20" s="1"/>
  <c r="C46" i="20" a="1"/>
  <c r="C46" i="20" s="1"/>
  <c r="B46" i="20"/>
  <c r="Z8" i="20" a="1"/>
  <c r="Z8" i="20" s="1"/>
  <c r="Y8" i="20" a="1"/>
  <c r="Y8" i="20" s="1"/>
  <c r="X8" i="20" a="1"/>
  <c r="X8" i="20" s="1"/>
  <c r="W8" i="20" a="1"/>
  <c r="W8" i="20" s="1"/>
  <c r="V8" i="20" a="1"/>
  <c r="V8" i="20" s="1"/>
  <c r="U8" i="20" a="1"/>
  <c r="U8" i="20" s="1"/>
  <c r="T8" i="20"/>
  <c r="Z10" i="20" a="1"/>
  <c r="Z10" i="20" s="1"/>
  <c r="Y10" i="20" a="1"/>
  <c r="Y10" i="20" s="1"/>
  <c r="X10" i="20" a="1"/>
  <c r="X10" i="20" s="1"/>
  <c r="W10" i="20" a="1"/>
  <c r="W10" i="20" s="1"/>
  <c r="V10" i="20" a="1"/>
  <c r="V10" i="20" s="1"/>
  <c r="U10" i="20" a="1"/>
  <c r="U10" i="20" s="1"/>
  <c r="T10" i="20"/>
  <c r="Z12" i="20" a="1"/>
  <c r="Z12" i="20" s="1"/>
  <c r="Y12" i="20" a="1"/>
  <c r="Y12" i="20" s="1"/>
  <c r="X12" i="20" a="1"/>
  <c r="X12" i="20" s="1"/>
  <c r="W12" i="20" a="1"/>
  <c r="W12" i="20" s="1"/>
  <c r="V12" i="20" a="1"/>
  <c r="V12" i="20" s="1"/>
  <c r="U12" i="20" a="1"/>
  <c r="U12" i="20" s="1"/>
  <c r="T12" i="20"/>
  <c r="Z14" i="20" a="1"/>
  <c r="Z14" i="20" s="1"/>
  <c r="Y14" i="20" a="1"/>
  <c r="Y14" i="20" s="1"/>
  <c r="X14" i="20" a="1"/>
  <c r="X14" i="20" s="1"/>
  <c r="W14" i="20" a="1"/>
  <c r="W14" i="20" s="1"/>
  <c r="V14" i="20" a="1"/>
  <c r="V14" i="20" s="1"/>
  <c r="U14" i="20" a="1"/>
  <c r="U14" i="20" s="1"/>
  <c r="T14" i="20"/>
  <c r="Z16" i="20" a="1"/>
  <c r="Z16" i="20" s="1"/>
  <c r="Y16" i="20" a="1"/>
  <c r="Y16" i="20" s="1"/>
  <c r="X16" i="20" a="1"/>
  <c r="X16" i="20" s="1"/>
  <c r="W16" i="20" a="1"/>
  <c r="W16" i="20" s="1"/>
  <c r="V16" i="20" a="1"/>
  <c r="V16" i="20" s="1"/>
  <c r="U16" i="20" a="1"/>
  <c r="U16" i="20" s="1"/>
  <c r="T16" i="20"/>
  <c r="H59" i="20" a="1"/>
  <c r="H59" i="20" s="1"/>
  <c r="G59" i="20" a="1"/>
  <c r="G59" i="20" s="1"/>
  <c r="F59" i="20" a="1"/>
  <c r="F59" i="20" s="1"/>
  <c r="E59" i="20" a="1"/>
  <c r="E59" i="20" s="1"/>
  <c r="D59" i="20" a="1"/>
  <c r="D59" i="20" s="1"/>
  <c r="C59" i="20" a="1"/>
  <c r="C59" i="20" s="1"/>
  <c r="B59" i="20"/>
  <c r="H55" i="20" a="1"/>
  <c r="H55" i="20" s="1"/>
  <c r="G55" i="20" a="1"/>
  <c r="G55" i="20" s="1"/>
  <c r="F55" i="20" a="1"/>
  <c r="F55" i="20" s="1"/>
  <c r="E55" i="20" a="1"/>
  <c r="E55" i="20" s="1"/>
  <c r="D55" i="20" a="1"/>
  <c r="D55" i="20" s="1"/>
  <c r="C55" i="20" a="1"/>
  <c r="C55" i="20" s="1"/>
  <c r="B55" i="20"/>
  <c r="Q44" i="20" a="1"/>
  <c r="Q44" i="20" s="1"/>
  <c r="P44" i="20" a="1"/>
  <c r="P44" i="20" s="1"/>
  <c r="O44" i="20" a="1"/>
  <c r="O44" i="20" s="1"/>
  <c r="N44" i="20" a="1"/>
  <c r="N44" i="20" s="1"/>
  <c r="M44" i="20" a="1"/>
  <c r="M44" i="20" s="1"/>
  <c r="L44" i="20" a="1"/>
  <c r="L44" i="20" s="1"/>
  <c r="K44" i="20"/>
  <c r="Q40" i="20" a="1"/>
  <c r="Q40" i="20" s="1"/>
  <c r="P40" i="20" a="1"/>
  <c r="P40" i="20" s="1"/>
  <c r="O40" i="20" a="1"/>
  <c r="O40" i="20" s="1"/>
  <c r="N40" i="20" a="1"/>
  <c r="N40" i="20" s="1"/>
  <c r="M40" i="20" a="1"/>
  <c r="M40" i="20" s="1"/>
  <c r="L40" i="20" a="1"/>
  <c r="L40" i="20" s="1"/>
  <c r="K40" i="20"/>
  <c r="Z29" i="20" a="1"/>
  <c r="Z29" i="20" s="1"/>
  <c r="Y29" i="20" a="1"/>
  <c r="Y29" i="20" s="1"/>
  <c r="X29" i="20" a="1"/>
  <c r="X29" i="20" s="1"/>
  <c r="W29" i="20" a="1"/>
  <c r="W29" i="20" s="1"/>
  <c r="V29" i="20" a="1"/>
  <c r="V29" i="20" s="1"/>
  <c r="U29" i="20" a="1"/>
  <c r="U29" i="20" s="1"/>
  <c r="T29" i="20"/>
  <c r="Z25" i="20" a="1"/>
  <c r="Z25" i="20" s="1"/>
  <c r="Y25" i="20" a="1"/>
  <c r="Y25" i="20" s="1"/>
  <c r="X25" i="20" a="1"/>
  <c r="X25" i="20" s="1"/>
  <c r="W25" i="20" a="1"/>
  <c r="W25" i="20" s="1"/>
  <c r="V25" i="20" a="1"/>
  <c r="V25" i="20" s="1"/>
  <c r="U25" i="20" a="1"/>
  <c r="U25" i="20" s="1"/>
  <c r="T25" i="20"/>
  <c r="N11" i="1" a="1"/>
  <c r="N11" i="1" s="1"/>
  <c r="M11" i="1" a="1"/>
  <c r="M11" i="1" s="1"/>
  <c r="L11" i="1" a="1"/>
  <c r="L11" i="1" s="1"/>
  <c r="K11" i="1"/>
  <c r="N15" i="1" a="1"/>
  <c r="N15" i="1" s="1"/>
  <c r="M15" i="1" a="1"/>
  <c r="M15" i="1" s="1"/>
  <c r="L15" i="1" a="1"/>
  <c r="L15" i="1" s="1"/>
  <c r="K15" i="1"/>
  <c r="N19" i="1" a="1"/>
  <c r="N19" i="1" s="1"/>
  <c r="M19" i="1" a="1"/>
  <c r="M19" i="1" s="1"/>
  <c r="L19" i="1" a="1"/>
  <c r="L19" i="1" s="1"/>
  <c r="K19" i="1"/>
  <c r="N14" i="1" a="1"/>
  <c r="N14" i="1" s="1"/>
  <c r="M14" i="1" a="1"/>
  <c r="M14" i="1" s="1"/>
  <c r="L14" i="1" a="1"/>
  <c r="L14" i="1" s="1"/>
  <c r="K14" i="1"/>
  <c r="N18" i="1" a="1"/>
  <c r="N18" i="1" s="1"/>
  <c r="M18" i="1" a="1"/>
  <c r="M18" i="1" s="1"/>
  <c r="L18" i="1" a="1"/>
  <c r="L18" i="1" s="1"/>
  <c r="K18" i="1"/>
  <c r="H14" i="20" a="1"/>
  <c r="H14" i="20" s="1"/>
  <c r="G14" i="20" a="1"/>
  <c r="G14" i="20" s="1"/>
  <c r="F14" i="20" a="1"/>
  <c r="F14" i="20" s="1"/>
  <c r="E14" i="20" a="1"/>
  <c r="E14" i="20" s="1"/>
  <c r="D14" i="20" a="1"/>
  <c r="D14" i="20" s="1"/>
  <c r="C14" i="20" a="1"/>
  <c r="C14" i="20" s="1"/>
  <c r="B14" i="20"/>
  <c r="H10" i="20" a="1"/>
  <c r="H10" i="20" s="1"/>
  <c r="G10" i="20" a="1"/>
  <c r="G10" i="20" s="1"/>
  <c r="F10" i="20" a="1"/>
  <c r="F10" i="20" s="1"/>
  <c r="E10" i="20" a="1"/>
  <c r="E10" i="20" s="1"/>
  <c r="D10" i="20" a="1"/>
  <c r="D10" i="20" s="1"/>
  <c r="C10" i="20" a="1"/>
  <c r="C10" i="20" s="1"/>
  <c r="B10" i="20"/>
  <c r="H74" i="20" a="1"/>
  <c r="H74" i="20" s="1"/>
  <c r="G74" i="20" a="1"/>
  <c r="G74" i="20" s="1"/>
  <c r="F74" i="20" a="1"/>
  <c r="F74" i="20" s="1"/>
  <c r="E74" i="20" a="1"/>
  <c r="E74" i="20" s="1"/>
  <c r="D74" i="20" a="1"/>
  <c r="D74" i="20" s="1"/>
  <c r="C74" i="20" a="1"/>
  <c r="C74" i="20" s="1"/>
  <c r="B74" i="20"/>
  <c r="H70" i="20" a="1"/>
  <c r="H70" i="20" s="1"/>
  <c r="G70" i="20" a="1"/>
  <c r="G70" i="20" s="1"/>
  <c r="F70" i="20" a="1"/>
  <c r="F70" i="20" s="1"/>
  <c r="E70" i="20" a="1"/>
  <c r="E70" i="20" s="1"/>
  <c r="D70" i="20" a="1"/>
  <c r="D70" i="20" s="1"/>
  <c r="C70" i="20" a="1"/>
  <c r="C70" i="20" s="1"/>
  <c r="B70" i="20"/>
  <c r="Q57" i="20" a="1"/>
  <c r="Q57" i="20" s="1"/>
  <c r="P57" i="20" a="1"/>
  <c r="P57" i="20" s="1"/>
  <c r="O57" i="20" a="1"/>
  <c r="O57" i="20" s="1"/>
  <c r="N57" i="20" a="1"/>
  <c r="N57" i="20" s="1"/>
  <c r="M57" i="20" a="1"/>
  <c r="M57" i="20" s="1"/>
  <c r="L57" i="20" a="1"/>
  <c r="L57" i="20" s="1"/>
  <c r="K57" i="20"/>
  <c r="Q53" i="20" a="1"/>
  <c r="Q53" i="20" s="1"/>
  <c r="P53" i="20" a="1"/>
  <c r="P53" i="20" s="1"/>
  <c r="O53" i="20" a="1"/>
  <c r="O53" i="20" s="1"/>
  <c r="N53" i="20" a="1"/>
  <c r="N53" i="20" s="1"/>
  <c r="M53" i="20" a="1"/>
  <c r="M53" i="20" s="1"/>
  <c r="L53" i="20" a="1"/>
  <c r="L53" i="20" s="1"/>
  <c r="K53" i="20"/>
  <c r="Z44" i="20" a="1"/>
  <c r="Z44" i="20" s="1"/>
  <c r="Y44" i="20" a="1"/>
  <c r="Y44" i="20" s="1"/>
  <c r="X44" i="20" a="1"/>
  <c r="X44" i="20" s="1"/>
  <c r="W44" i="20" a="1"/>
  <c r="W44" i="20" s="1"/>
  <c r="V44" i="20" a="1"/>
  <c r="V44" i="20" s="1"/>
  <c r="U44" i="20" a="1"/>
  <c r="U44" i="20" s="1"/>
  <c r="T44" i="20"/>
  <c r="Z40" i="20" a="1"/>
  <c r="Z40" i="20" s="1"/>
  <c r="Y40" i="20" a="1"/>
  <c r="Y40" i="20" s="1"/>
  <c r="X40" i="20" a="1"/>
  <c r="X40" i="20" s="1"/>
  <c r="W40" i="20" a="1"/>
  <c r="W40" i="20" s="1"/>
  <c r="V40" i="20" a="1"/>
  <c r="V40" i="20" s="1"/>
  <c r="U40" i="20" a="1"/>
  <c r="U40" i="20" s="1"/>
  <c r="T40" i="20"/>
  <c r="Q68" i="20" a="1"/>
  <c r="Q68" i="20" s="1"/>
  <c r="P68" i="20" a="1"/>
  <c r="P68" i="20" s="1"/>
  <c r="O68" i="20" a="1"/>
  <c r="O68" i="20" s="1"/>
  <c r="N68" i="20" a="1"/>
  <c r="N68" i="20" s="1"/>
  <c r="M68" i="20" a="1"/>
  <c r="M68" i="20" s="1"/>
  <c r="L68" i="20" a="1"/>
  <c r="L68" i="20" s="1"/>
  <c r="K68" i="20"/>
  <c r="Q70" i="20" a="1"/>
  <c r="Q70" i="20" s="1"/>
  <c r="P70" i="20" a="1"/>
  <c r="P70" i="20" s="1"/>
  <c r="O70" i="20" a="1"/>
  <c r="O70" i="20" s="1"/>
  <c r="N70" i="20" a="1"/>
  <c r="N70" i="20" s="1"/>
  <c r="M70" i="20" a="1"/>
  <c r="M70" i="20" s="1"/>
  <c r="L70" i="20" a="1"/>
  <c r="L70" i="20" s="1"/>
  <c r="K70" i="20"/>
  <c r="Q72" i="20" a="1"/>
  <c r="Q72" i="20" s="1"/>
  <c r="P72" i="20" a="1"/>
  <c r="P72" i="20" s="1"/>
  <c r="O72" i="20" a="1"/>
  <c r="O72" i="20" s="1"/>
  <c r="N72" i="20" a="1"/>
  <c r="N72" i="20" s="1"/>
  <c r="M72" i="20" a="1"/>
  <c r="M72" i="20" s="1"/>
  <c r="L72" i="20" a="1"/>
  <c r="L72" i="20" s="1"/>
  <c r="K72" i="20"/>
  <c r="Q74" i="20" a="1"/>
  <c r="Q74" i="20" s="1"/>
  <c r="P74" i="20" a="1"/>
  <c r="P74" i="20" s="1"/>
  <c r="O74" i="20" a="1"/>
  <c r="O74" i="20" s="1"/>
  <c r="N74" i="20" a="1"/>
  <c r="N74" i="20" s="1"/>
  <c r="M74" i="20" a="1"/>
  <c r="M74" i="20" s="1"/>
  <c r="L74" i="20" a="1"/>
  <c r="L74" i="20" s="1"/>
  <c r="K74" i="20"/>
  <c r="Q76" i="20" a="1"/>
  <c r="Q76" i="20" s="1"/>
  <c r="P76" i="20" a="1"/>
  <c r="P76" i="20" s="1"/>
  <c r="O76" i="20" a="1"/>
  <c r="O76" i="20" s="1"/>
  <c r="N76" i="20" a="1"/>
  <c r="N76" i="20" s="1"/>
  <c r="M76" i="20" a="1"/>
  <c r="M76" i="20" s="1"/>
  <c r="L76" i="20" a="1"/>
  <c r="L76" i="20" s="1"/>
  <c r="K76" i="20"/>
  <c r="Q23" i="20" a="1"/>
  <c r="Q23" i="20" s="1"/>
  <c r="P23" i="20" a="1"/>
  <c r="P23" i="20" s="1"/>
  <c r="O23" i="20" a="1"/>
  <c r="O23" i="20" s="1"/>
  <c r="N23" i="20" a="1"/>
  <c r="N23" i="20" s="1"/>
  <c r="M23" i="20" a="1"/>
  <c r="M23" i="20" s="1"/>
  <c r="L23" i="20" a="1"/>
  <c r="L23" i="20" s="1"/>
  <c r="K23" i="20"/>
  <c r="Q25" i="20" a="1"/>
  <c r="Q25" i="20" s="1"/>
  <c r="P25" i="20" a="1"/>
  <c r="P25" i="20" s="1"/>
  <c r="O25" i="20" a="1"/>
  <c r="O25" i="20" s="1"/>
  <c r="N25" i="20" a="1"/>
  <c r="N25" i="20" s="1"/>
  <c r="M25" i="20" a="1"/>
  <c r="M25" i="20" s="1"/>
  <c r="L25" i="20" a="1"/>
  <c r="L25" i="20" s="1"/>
  <c r="K25" i="20"/>
  <c r="Q27" i="20" a="1"/>
  <c r="Q27" i="20" s="1"/>
  <c r="P27" i="20" a="1"/>
  <c r="P27" i="20" s="1"/>
  <c r="O27" i="20" a="1"/>
  <c r="O27" i="20" s="1"/>
  <c r="N27" i="20" a="1"/>
  <c r="N27" i="20" s="1"/>
  <c r="M27" i="20" a="1"/>
  <c r="M27" i="20" s="1"/>
  <c r="L27" i="20" a="1"/>
  <c r="L27" i="20" s="1"/>
  <c r="K27" i="20"/>
  <c r="Q29" i="20" a="1"/>
  <c r="Q29" i="20" s="1"/>
  <c r="P29" i="20" a="1"/>
  <c r="P29" i="20" s="1"/>
  <c r="O29" i="20" a="1"/>
  <c r="O29" i="20" s="1"/>
  <c r="N29" i="20" a="1"/>
  <c r="N29" i="20" s="1"/>
  <c r="M29" i="20" a="1"/>
  <c r="M29" i="20" s="1"/>
  <c r="L29" i="20" a="1"/>
  <c r="L29" i="20" s="1"/>
  <c r="K29" i="20"/>
  <c r="Q31" i="20" a="1"/>
  <c r="Q31" i="20" s="1"/>
  <c r="P31" i="20" a="1"/>
  <c r="P31" i="20" s="1"/>
  <c r="O31" i="20" a="1"/>
  <c r="O31" i="20" s="1"/>
  <c r="N31" i="20" a="1"/>
  <c r="N31" i="20" s="1"/>
  <c r="M31" i="20" a="1"/>
  <c r="M31" i="20" s="1"/>
  <c r="L31" i="20" a="1"/>
  <c r="L31" i="20" s="1"/>
  <c r="K31" i="20"/>
  <c r="H62" i="20" a="1"/>
  <c r="H62" i="20" s="1"/>
  <c r="G62" i="20" a="1"/>
  <c r="G62" i="20" s="1"/>
  <c r="F62" i="20" a="1"/>
  <c r="F62" i="20" s="1"/>
  <c r="E62" i="20" a="1"/>
  <c r="E62" i="20" s="1"/>
  <c r="D62" i="20" a="1"/>
  <c r="D62" i="20" s="1"/>
  <c r="C62" i="20" a="1"/>
  <c r="C62" i="20" s="1"/>
  <c r="B62" i="20"/>
  <c r="H54" i="20" a="1"/>
  <c r="H54" i="20" s="1"/>
  <c r="G54" i="20" a="1"/>
  <c r="G54" i="20" s="1"/>
  <c r="F54" i="20" a="1"/>
  <c r="F54" i="20" s="1"/>
  <c r="E54" i="20" a="1"/>
  <c r="E54" i="20" s="1"/>
  <c r="D54" i="20" a="1"/>
  <c r="D54" i="20" s="1"/>
  <c r="C54" i="20" a="1"/>
  <c r="C54" i="20" s="1"/>
  <c r="B54" i="20"/>
  <c r="Z32" i="20" a="1"/>
  <c r="Z32" i="20" s="1"/>
  <c r="Y32" i="20" a="1"/>
  <c r="Y32" i="20" s="1"/>
  <c r="X32" i="20" a="1"/>
  <c r="X32" i="20" s="1"/>
  <c r="W32" i="20" a="1"/>
  <c r="W32" i="20" s="1"/>
  <c r="V32" i="20" a="1"/>
  <c r="V32" i="20" s="1"/>
  <c r="U32" i="20" a="1"/>
  <c r="U32" i="20" s="1"/>
  <c r="T32" i="20"/>
  <c r="Z24" i="20" a="1"/>
  <c r="Z24" i="20" s="1"/>
  <c r="Y24" i="20" a="1"/>
  <c r="Y24" i="20" s="1"/>
  <c r="X24" i="20" a="1"/>
  <c r="X24" i="20" s="1"/>
  <c r="W24" i="20" a="1"/>
  <c r="W24" i="20" s="1"/>
  <c r="V24" i="20" a="1"/>
  <c r="V24" i="20" s="1"/>
  <c r="U24" i="20" a="1"/>
  <c r="U24" i="20" s="1"/>
  <c r="T24" i="20"/>
  <c r="H9" i="20" a="1"/>
  <c r="H9" i="20" s="1"/>
  <c r="G9" i="20" a="1"/>
  <c r="G9" i="20" s="1"/>
  <c r="F9" i="20" a="1"/>
  <c r="F9" i="20" s="1"/>
  <c r="E9" i="20" a="1"/>
  <c r="E9" i="20" s="1"/>
  <c r="D9" i="20" a="1"/>
  <c r="D9" i="20" s="1"/>
  <c r="C9" i="20" a="1"/>
  <c r="C9" i="20" s="1"/>
  <c r="B9" i="20"/>
  <c r="Q60" i="20" a="1"/>
  <c r="Q60" i="20" s="1"/>
  <c r="P60" i="20" a="1"/>
  <c r="P60" i="20" s="1"/>
  <c r="O60" i="20" a="1"/>
  <c r="O60" i="20" s="1"/>
  <c r="N60" i="20" a="1"/>
  <c r="N60" i="20" s="1"/>
  <c r="M60" i="20" a="1"/>
  <c r="M60" i="20" s="1"/>
  <c r="L60" i="20" a="1"/>
  <c r="L60" i="20" s="1"/>
  <c r="K60" i="20"/>
  <c r="Q62" i="20" a="1"/>
  <c r="Q62" i="20" s="1"/>
  <c r="P62" i="20" a="1"/>
  <c r="P62" i="20" s="1"/>
  <c r="O62" i="20" a="1"/>
  <c r="O62" i="20" s="1"/>
  <c r="N62" i="20" a="1"/>
  <c r="N62" i="20" s="1"/>
  <c r="M62" i="20" a="1"/>
  <c r="M62" i="20" s="1"/>
  <c r="L62" i="20" a="1"/>
  <c r="L62" i="20" s="1"/>
  <c r="K62" i="20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/>
  <c r="H25" i="20" a="1"/>
  <c r="H25" i="20" s="1"/>
  <c r="G25" i="20" a="1"/>
  <c r="G25" i="20" s="1"/>
  <c r="F25" i="20" a="1"/>
  <c r="F25" i="20" s="1"/>
  <c r="E25" i="20" a="1"/>
  <c r="E25" i="20" s="1"/>
  <c r="D25" i="20" a="1"/>
  <c r="D25" i="20" s="1"/>
  <c r="C25" i="20" a="1"/>
  <c r="C25" i="20" s="1"/>
  <c r="B25" i="20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/>
  <c r="H60" i="20" a="1"/>
  <c r="H60" i="20" s="1"/>
  <c r="G60" i="20" a="1"/>
  <c r="G60" i="20" s="1"/>
  <c r="F60" i="20" a="1"/>
  <c r="F60" i="20" s="1"/>
  <c r="E60" i="20" a="1"/>
  <c r="E60" i="20" s="1"/>
  <c r="D60" i="20" a="1"/>
  <c r="D60" i="20" s="1"/>
  <c r="C60" i="20" a="1"/>
  <c r="C60" i="20" s="1"/>
  <c r="B60" i="20"/>
  <c r="Q47" i="20" a="1"/>
  <c r="Q47" i="20" s="1"/>
  <c r="P47" i="20" a="1"/>
  <c r="P47" i="20" s="1"/>
  <c r="O47" i="20" a="1"/>
  <c r="O47" i="20" s="1"/>
  <c r="N47" i="20" a="1"/>
  <c r="N47" i="20" s="1"/>
  <c r="M47" i="20" a="1"/>
  <c r="M47" i="20" s="1"/>
  <c r="L47" i="20" a="1"/>
  <c r="L47" i="20" s="1"/>
  <c r="K47" i="20"/>
  <c r="Q39" i="20" a="1"/>
  <c r="Q39" i="20" s="1"/>
  <c r="P39" i="20" a="1"/>
  <c r="P39" i="20" s="1"/>
  <c r="O39" i="20" a="1"/>
  <c r="O39" i="20" s="1"/>
  <c r="N39" i="20" a="1"/>
  <c r="N39" i="20" s="1"/>
  <c r="M39" i="20" a="1"/>
  <c r="M39" i="20" s="1"/>
  <c r="L39" i="20" a="1"/>
  <c r="L39" i="20" s="1"/>
  <c r="K39" i="20"/>
  <c r="Z26" i="20" a="1"/>
  <c r="Z26" i="20" s="1"/>
  <c r="Y26" i="20" a="1"/>
  <c r="Y26" i="20" s="1"/>
  <c r="X26" i="20" a="1"/>
  <c r="X26" i="20" s="1"/>
  <c r="W26" i="20" a="1"/>
  <c r="W26" i="20" s="1"/>
  <c r="V26" i="20" a="1"/>
  <c r="V26" i="20" s="1"/>
  <c r="U26" i="20" a="1"/>
  <c r="U26" i="20" s="1"/>
  <c r="T26" i="20"/>
  <c r="H15" i="20" a="1"/>
  <c r="H15" i="20" s="1"/>
  <c r="G15" i="20" a="1"/>
  <c r="G15" i="20" s="1"/>
  <c r="F15" i="20" a="1"/>
  <c r="F15" i="20" s="1"/>
  <c r="E15" i="20" a="1"/>
  <c r="E15" i="20" s="1"/>
  <c r="D15" i="20" a="1"/>
  <c r="D15" i="20" s="1"/>
  <c r="C15" i="20" a="1"/>
  <c r="C15" i="20" s="1"/>
  <c r="B15" i="20"/>
  <c r="H77" i="20" a="1"/>
  <c r="H77" i="20" s="1"/>
  <c r="G77" i="20" a="1"/>
  <c r="G77" i="20" s="1"/>
  <c r="F77" i="20" a="1"/>
  <c r="F77" i="20" s="1"/>
  <c r="E77" i="20" a="1"/>
  <c r="E77" i="20" s="1"/>
  <c r="D77" i="20" a="1"/>
  <c r="D77" i="20" s="1"/>
  <c r="C77" i="20" a="1"/>
  <c r="C77" i="20" s="1"/>
  <c r="B77" i="20"/>
  <c r="H69" i="20" a="1"/>
  <c r="H69" i="20" s="1"/>
  <c r="G69" i="20" a="1"/>
  <c r="G69" i="20" s="1"/>
  <c r="F69" i="20" a="1"/>
  <c r="F69" i="20" s="1"/>
  <c r="E69" i="20" a="1"/>
  <c r="E69" i="20" s="1"/>
  <c r="D69" i="20" a="1"/>
  <c r="D69" i="20" s="1"/>
  <c r="C69" i="20" a="1"/>
  <c r="C69" i="20" s="1"/>
  <c r="B69" i="20"/>
  <c r="Q54" i="20" a="1"/>
  <c r="Q54" i="20" s="1"/>
  <c r="P54" i="20" a="1"/>
  <c r="P54" i="20" s="1"/>
  <c r="O54" i="20" a="1"/>
  <c r="O54" i="20" s="1"/>
  <c r="N54" i="20" a="1"/>
  <c r="N54" i="20" s="1"/>
  <c r="M54" i="20" a="1"/>
  <c r="M54" i="20" s="1"/>
  <c r="L54" i="20" a="1"/>
  <c r="L54" i="20" s="1"/>
  <c r="K54" i="20"/>
  <c r="Z43" i="20" a="1"/>
  <c r="Z43" i="20" s="1"/>
  <c r="Y43" i="20" a="1"/>
  <c r="Y43" i="20" s="1"/>
  <c r="X43" i="20" a="1"/>
  <c r="X43" i="20" s="1"/>
  <c r="W43" i="20" a="1"/>
  <c r="W43" i="20" s="1"/>
  <c r="V43" i="20" a="1"/>
  <c r="V43" i="20" s="1"/>
  <c r="U43" i="20" a="1"/>
  <c r="U43" i="20" s="1"/>
  <c r="T43" i="20"/>
  <c r="K46" i="20"/>
  <c r="M46" i="20" a="1"/>
  <c r="M46" i="20" s="1"/>
  <c r="Q46" i="20" a="1"/>
  <c r="Q46" i="20" s="1"/>
  <c r="C76" i="20" a="1"/>
  <c r="C76" i="20" s="1"/>
  <c r="B61" i="20"/>
  <c r="D61" i="20" a="1"/>
  <c r="D61" i="20" s="1"/>
  <c r="H61" i="20" a="1"/>
  <c r="H61" i="20" s="1"/>
  <c r="B75" i="20"/>
  <c r="D75" i="20" a="1"/>
  <c r="D75" i="20" s="1"/>
  <c r="H75" i="20" a="1"/>
  <c r="H75" i="20" s="1"/>
  <c r="B16" i="20"/>
  <c r="D16" i="20" a="1"/>
  <c r="D16" i="20" s="1"/>
  <c r="H16" i="20" a="1"/>
  <c r="H16" i="20" s="1"/>
  <c r="L59" i="20" a="1"/>
  <c r="L59" i="20" s="1"/>
  <c r="Q11" i="20" a="1"/>
  <c r="Q11" i="20" s="1"/>
  <c r="P11" i="20" a="1"/>
  <c r="P11" i="20" s="1"/>
  <c r="O11" i="20" a="1"/>
  <c r="O11" i="20" s="1"/>
  <c r="N11" i="20" a="1"/>
  <c r="N11" i="20" s="1"/>
  <c r="M11" i="20" a="1"/>
  <c r="M11" i="20" s="1"/>
  <c r="L11" i="20" a="1"/>
  <c r="L11" i="20" s="1"/>
  <c r="K11" i="20"/>
  <c r="Q15" i="20" a="1"/>
  <c r="Q15" i="20" s="1"/>
  <c r="P15" i="20" a="1"/>
  <c r="P15" i="20" s="1"/>
  <c r="O15" i="20" a="1"/>
  <c r="O15" i="20" s="1"/>
  <c r="N15" i="20" a="1"/>
  <c r="N15" i="20" s="1"/>
  <c r="M15" i="20" a="1"/>
  <c r="M15" i="20" s="1"/>
  <c r="L15" i="20" a="1"/>
  <c r="L15" i="20" s="1"/>
  <c r="K15" i="20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/>
  <c r="H43" i="20" a="1"/>
  <c r="H43" i="20" s="1"/>
  <c r="G43" i="20" a="1"/>
  <c r="G43" i="20" s="1"/>
  <c r="F43" i="20" a="1"/>
  <c r="F43" i="20" s="1"/>
  <c r="E43" i="20" a="1"/>
  <c r="E43" i="20" s="1"/>
  <c r="D43" i="20" a="1"/>
  <c r="D43" i="20" s="1"/>
  <c r="C43" i="20" a="1"/>
  <c r="C43" i="20" s="1"/>
  <c r="B43" i="20"/>
  <c r="H47" i="20" a="1"/>
  <c r="H47" i="20" s="1"/>
  <c r="G47" i="20" a="1"/>
  <c r="G47" i="20" s="1"/>
  <c r="F47" i="20" a="1"/>
  <c r="F47" i="20" s="1"/>
  <c r="E47" i="20" a="1"/>
  <c r="E47" i="20" s="1"/>
  <c r="D47" i="20" a="1"/>
  <c r="D47" i="20" s="1"/>
  <c r="C47" i="20" a="1"/>
  <c r="C47" i="20" s="1"/>
  <c r="B47" i="20"/>
  <c r="Z11" i="20" a="1"/>
  <c r="Z11" i="20" s="1"/>
  <c r="Y11" i="20" a="1"/>
  <c r="Y11" i="20" s="1"/>
  <c r="X11" i="20" a="1"/>
  <c r="X11" i="20" s="1"/>
  <c r="W11" i="20" a="1"/>
  <c r="W11" i="20" s="1"/>
  <c r="V11" i="20" a="1"/>
  <c r="V11" i="20" s="1"/>
  <c r="U11" i="20" a="1"/>
  <c r="U11" i="20" s="1"/>
  <c r="T11" i="20"/>
  <c r="Z13" i="20" a="1"/>
  <c r="Z13" i="20" s="1"/>
  <c r="Y13" i="20" a="1"/>
  <c r="Y13" i="20" s="1"/>
  <c r="X13" i="20" a="1"/>
  <c r="X13" i="20" s="1"/>
  <c r="W13" i="20" a="1"/>
  <c r="W13" i="20" s="1"/>
  <c r="V13" i="20" a="1"/>
  <c r="V13" i="20" s="1"/>
  <c r="U13" i="20" a="1"/>
  <c r="U13" i="20" s="1"/>
  <c r="T13" i="20"/>
  <c r="Z17" i="20" a="1"/>
  <c r="Z17" i="20" s="1"/>
  <c r="Y17" i="20" a="1"/>
  <c r="Y17" i="20" s="1"/>
  <c r="X17" i="20" a="1"/>
  <c r="X17" i="20" s="1"/>
  <c r="W17" i="20" a="1"/>
  <c r="W17" i="20" s="1"/>
  <c r="V17" i="20" a="1"/>
  <c r="V17" i="20" s="1"/>
  <c r="U17" i="20" a="1"/>
  <c r="U17" i="20" s="1"/>
  <c r="T17" i="20"/>
  <c r="Q42" i="20" a="1"/>
  <c r="Q42" i="20" s="1"/>
  <c r="P42" i="20" a="1"/>
  <c r="P42" i="20" s="1"/>
  <c r="O42" i="20" a="1"/>
  <c r="O42" i="20" s="1"/>
  <c r="N42" i="20" a="1"/>
  <c r="N42" i="20" s="1"/>
  <c r="M42" i="20" a="1"/>
  <c r="M42" i="20" s="1"/>
  <c r="L42" i="20" a="1"/>
  <c r="L42" i="20" s="1"/>
  <c r="K42" i="20"/>
  <c r="Q38" i="20" a="1"/>
  <c r="Q38" i="20" s="1"/>
  <c r="P38" i="20" a="1"/>
  <c r="P38" i="20" s="1"/>
  <c r="O38" i="20" a="1"/>
  <c r="O38" i="20" s="1"/>
  <c r="N38" i="20" a="1"/>
  <c r="N38" i="20" s="1"/>
  <c r="M38" i="20" a="1"/>
  <c r="M38" i="20" s="1"/>
  <c r="L38" i="20" a="1"/>
  <c r="L38" i="20" s="1"/>
  <c r="K38" i="20"/>
  <c r="Z27" i="20" a="1"/>
  <c r="Z27" i="20" s="1"/>
  <c r="Y27" i="20" a="1"/>
  <c r="Y27" i="20" s="1"/>
  <c r="X27" i="20" a="1"/>
  <c r="X27" i="20" s="1"/>
  <c r="W27" i="20" a="1"/>
  <c r="W27" i="20" s="1"/>
  <c r="V27" i="20" a="1"/>
  <c r="V27" i="20" s="1"/>
  <c r="U27" i="20" a="1"/>
  <c r="U27" i="20" s="1"/>
  <c r="T27" i="20"/>
  <c r="Z23" i="20" a="1"/>
  <c r="Z23" i="20" s="1"/>
  <c r="Y23" i="20" a="1"/>
  <c r="Y23" i="20" s="1"/>
  <c r="X23" i="20" a="1"/>
  <c r="X23" i="20" s="1"/>
  <c r="W23" i="20" a="1"/>
  <c r="W23" i="20" s="1"/>
  <c r="V23" i="20" a="1"/>
  <c r="V23" i="20" s="1"/>
  <c r="U23" i="20" a="1"/>
  <c r="U23" i="20" s="1"/>
  <c r="T23" i="20"/>
  <c r="N17" i="1" a="1"/>
  <c r="N17" i="1" s="1"/>
  <c r="M17" i="1" a="1"/>
  <c r="M17" i="1" s="1"/>
  <c r="L17" i="1" a="1"/>
  <c r="L17" i="1" s="1"/>
  <c r="K17" i="1"/>
  <c r="N16" i="1" a="1"/>
  <c r="N16" i="1" s="1"/>
  <c r="M16" i="1" a="1"/>
  <c r="M16" i="1" s="1"/>
  <c r="L16" i="1" a="1"/>
  <c r="L16" i="1" s="1"/>
  <c r="K16" i="1"/>
  <c r="H58" i="20" a="1"/>
  <c r="H58" i="20" s="1"/>
  <c r="G58" i="20" a="1"/>
  <c r="G58" i="20" s="1"/>
  <c r="F58" i="20" a="1"/>
  <c r="F58" i="20" s="1"/>
  <c r="E58" i="20" a="1"/>
  <c r="E58" i="20" s="1"/>
  <c r="D58" i="20" a="1"/>
  <c r="D58" i="20" s="1"/>
  <c r="C58" i="20" a="1"/>
  <c r="C58" i="20" s="1"/>
  <c r="B58" i="20"/>
  <c r="Z28" i="20" a="1"/>
  <c r="Z28" i="20" s="1"/>
  <c r="Y28" i="20" a="1"/>
  <c r="Y28" i="20" s="1"/>
  <c r="X28" i="20" a="1"/>
  <c r="X28" i="20" s="1"/>
  <c r="W28" i="20" a="1"/>
  <c r="W28" i="20" s="1"/>
  <c r="V28" i="20" a="1"/>
  <c r="V28" i="20" s="1"/>
  <c r="U28" i="20" a="1"/>
  <c r="U28" i="20" s="1"/>
  <c r="T28" i="20"/>
  <c r="H13" i="20" a="1"/>
  <c r="H13" i="20" s="1"/>
  <c r="G13" i="20" a="1"/>
  <c r="G13" i="20" s="1"/>
  <c r="F13" i="20" a="1"/>
  <c r="F13" i="20" s="1"/>
  <c r="E13" i="20" a="1"/>
  <c r="E13" i="20" s="1"/>
  <c r="D13" i="20" a="1"/>
  <c r="D13" i="20" s="1"/>
  <c r="C13" i="20" a="1"/>
  <c r="C13" i="20" s="1"/>
  <c r="B13" i="20"/>
  <c r="Q56" i="20" a="1"/>
  <c r="Q56" i="20" s="1"/>
  <c r="P56" i="20" a="1"/>
  <c r="P56" i="20" s="1"/>
  <c r="O56" i="20" a="1"/>
  <c r="O56" i="20" s="1"/>
  <c r="N56" i="20" a="1"/>
  <c r="N56" i="20" s="1"/>
  <c r="M56" i="20" a="1"/>
  <c r="M56" i="20" s="1"/>
  <c r="L56" i="20" a="1"/>
  <c r="L56" i="20" s="1"/>
  <c r="K56" i="20"/>
  <c r="Z41" i="20" a="1"/>
  <c r="Z41" i="20" s="1"/>
  <c r="Y41" i="20" a="1"/>
  <c r="Y41" i="20" s="1"/>
  <c r="X41" i="20" a="1"/>
  <c r="X41" i="20" s="1"/>
  <c r="W41" i="20" a="1"/>
  <c r="W41" i="20" s="1"/>
  <c r="V41" i="20" a="1"/>
  <c r="V41" i="20" s="1"/>
  <c r="U41" i="20" a="1"/>
  <c r="U41" i="20" s="1"/>
  <c r="T41" i="20"/>
  <c r="H26" i="20" a="1"/>
  <c r="H26" i="20" s="1"/>
  <c r="G26" i="20" a="1"/>
  <c r="G26" i="20" s="1"/>
  <c r="F26" i="20" a="1"/>
  <c r="F26" i="20" s="1"/>
  <c r="E26" i="20" a="1"/>
  <c r="E26" i="20" s="1"/>
  <c r="D26" i="20" a="1"/>
  <c r="D26" i="20" s="1"/>
  <c r="C26" i="20" a="1"/>
  <c r="C26" i="20" s="1"/>
  <c r="B26" i="20"/>
  <c r="H30" i="20" a="1"/>
  <c r="H30" i="20" s="1"/>
  <c r="G30" i="20" a="1"/>
  <c r="G30" i="20" s="1"/>
  <c r="F30" i="20" a="1"/>
  <c r="F30" i="20" s="1"/>
  <c r="E30" i="20" a="1"/>
  <c r="E30" i="20" s="1"/>
  <c r="D30" i="20" a="1"/>
  <c r="D30" i="20" s="1"/>
  <c r="C30" i="20" a="1"/>
  <c r="C30" i="20" s="1"/>
  <c r="B30" i="20"/>
  <c r="H32" i="20" a="1"/>
  <c r="H32" i="20" s="1"/>
  <c r="G32" i="20" a="1"/>
  <c r="G32" i="20" s="1"/>
  <c r="F32" i="20" a="1"/>
  <c r="F32" i="20" s="1"/>
  <c r="E32" i="20" a="1"/>
  <c r="E32" i="20" s="1"/>
  <c r="D32" i="20" a="1"/>
  <c r="D32" i="20" s="1"/>
  <c r="C32" i="20" a="1"/>
  <c r="C32" i="20" s="1"/>
  <c r="B32" i="20"/>
  <c r="Q43" i="20" a="1"/>
  <c r="Q43" i="20" s="1"/>
  <c r="P43" i="20" a="1"/>
  <c r="P43" i="20" s="1"/>
  <c r="O43" i="20" a="1"/>
  <c r="O43" i="20" s="1"/>
  <c r="N43" i="20" a="1"/>
  <c r="N43" i="20" s="1"/>
  <c r="M43" i="20" a="1"/>
  <c r="M43" i="20" s="1"/>
  <c r="L43" i="20" a="1"/>
  <c r="L43" i="20" s="1"/>
  <c r="K43" i="20"/>
  <c r="Z30" i="20" a="1"/>
  <c r="Z30" i="20" s="1"/>
  <c r="Y30" i="20" a="1"/>
  <c r="Y30" i="20" s="1"/>
  <c r="X30" i="20" a="1"/>
  <c r="X30" i="20" s="1"/>
  <c r="W30" i="20" a="1"/>
  <c r="W30" i="20" s="1"/>
  <c r="V30" i="20" a="1"/>
  <c r="V30" i="20" s="1"/>
  <c r="U30" i="20" a="1"/>
  <c r="U30" i="20" s="1"/>
  <c r="T30" i="20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/>
  <c r="H11" i="20" a="1"/>
  <c r="H11" i="20" s="1"/>
  <c r="G11" i="20" a="1"/>
  <c r="G11" i="20" s="1"/>
  <c r="F11" i="20" a="1"/>
  <c r="F11" i="20" s="1"/>
  <c r="E11" i="20" a="1"/>
  <c r="E11" i="20" s="1"/>
  <c r="D11" i="20" a="1"/>
  <c r="D11" i="20" s="1"/>
  <c r="C11" i="20" a="1"/>
  <c r="C11" i="20" s="1"/>
  <c r="B11" i="20"/>
  <c r="H73" i="20" a="1"/>
  <c r="H73" i="20" s="1"/>
  <c r="G73" i="20" a="1"/>
  <c r="G73" i="20" s="1"/>
  <c r="F73" i="20" a="1"/>
  <c r="F73" i="20" s="1"/>
  <c r="E73" i="20" a="1"/>
  <c r="E73" i="20" s="1"/>
  <c r="D73" i="20" a="1"/>
  <c r="D73" i="20" s="1"/>
  <c r="C73" i="20" a="1"/>
  <c r="C73" i="20" s="1"/>
  <c r="B73" i="20"/>
  <c r="Q58" i="20" a="1"/>
  <c r="Q58" i="20" s="1"/>
  <c r="P58" i="20" a="1"/>
  <c r="P58" i="20" s="1"/>
  <c r="O58" i="20" a="1"/>
  <c r="O58" i="20" s="1"/>
  <c r="N58" i="20" a="1"/>
  <c r="N58" i="20" s="1"/>
  <c r="M58" i="20" a="1"/>
  <c r="M58" i="20" s="1"/>
  <c r="L58" i="20" a="1"/>
  <c r="L58" i="20" s="1"/>
  <c r="K58" i="20"/>
  <c r="Z47" i="20" a="1"/>
  <c r="Z47" i="20" s="1"/>
  <c r="Y47" i="20" a="1"/>
  <c r="Y47" i="20" s="1"/>
  <c r="X47" i="20" a="1"/>
  <c r="X47" i="20" s="1"/>
  <c r="W47" i="20" a="1"/>
  <c r="W47" i="20" s="1"/>
  <c r="V47" i="20" a="1"/>
  <c r="V47" i="20" s="1"/>
  <c r="U47" i="20" a="1"/>
  <c r="U47" i="20" s="1"/>
  <c r="T47" i="20"/>
  <c r="Z39" i="20" a="1"/>
  <c r="Z39" i="20" s="1"/>
  <c r="Y39" i="20" a="1"/>
  <c r="Y39" i="20" s="1"/>
  <c r="X39" i="20" a="1"/>
  <c r="X39" i="20" s="1"/>
  <c r="W39" i="20" a="1"/>
  <c r="W39" i="20" s="1"/>
  <c r="V39" i="20" a="1"/>
  <c r="V39" i="20" s="1"/>
  <c r="U39" i="20" a="1"/>
  <c r="U39" i="20" s="1"/>
  <c r="T39" i="20"/>
  <c r="L46" i="20" a="1"/>
  <c r="L46" i="20" s="1"/>
  <c r="B76" i="20"/>
  <c r="D76" i="20" a="1"/>
  <c r="D76" i="20" s="1"/>
  <c r="H76" i="20" a="1"/>
  <c r="H76" i="20" s="1"/>
  <c r="K45" i="20"/>
  <c r="M45" i="20" a="1"/>
  <c r="M45" i="20" s="1"/>
  <c r="Q45" i="20" a="1"/>
  <c r="Q45" i="20" s="1"/>
  <c r="C61" i="20" a="1"/>
  <c r="C61" i="20" s="1"/>
  <c r="T31" i="20"/>
  <c r="V31" i="20" a="1"/>
  <c r="V31" i="20" s="1"/>
  <c r="Z31" i="20" a="1"/>
  <c r="Z31" i="20" s="1"/>
  <c r="C75" i="20" a="1"/>
  <c r="C75" i="20" s="1"/>
  <c r="C16" i="20" a="1"/>
  <c r="C16" i="20" s="1"/>
  <c r="K59" i="20"/>
  <c r="M59" i="20" a="1"/>
  <c r="M59" i="20" s="1"/>
  <c r="Q59" i="20" a="1"/>
  <c r="Q59" i="20" s="1"/>
</calcChain>
</file>

<file path=xl/sharedStrings.xml><?xml version="1.0" encoding="utf-8"?>
<sst xmlns="http://schemas.openxmlformats.org/spreadsheetml/2006/main" count="2535" uniqueCount="405">
  <si>
    <t>Dorset Superleague Mens Superleague Performance Summary 2021 / 2022 Season</t>
  </si>
  <si>
    <t>Most Wins</t>
  </si>
  <si>
    <t>Highest Actual Average 66% Rule Applied</t>
  </si>
  <si>
    <t>Most 180's</t>
  </si>
  <si>
    <t>Rank</t>
  </si>
  <si>
    <t>Player</t>
  </si>
  <si>
    <t>Team</t>
  </si>
  <si>
    <t>P</t>
  </si>
  <si>
    <t>W</t>
  </si>
  <si>
    <t>Avg</t>
  </si>
  <si>
    <t>180's</t>
  </si>
  <si>
    <t>Mens Table Preview</t>
  </si>
  <si>
    <t>Number of 180's Hit by Team</t>
  </si>
  <si>
    <t>Pts</t>
  </si>
  <si>
    <t>Dorset County Darts Association Superleague Fixtures 2021 / 2022 Season</t>
  </si>
  <si>
    <t>Parkstone</t>
  </si>
  <si>
    <t>Alderney</t>
  </si>
  <si>
    <t>Weymouth</t>
  </si>
  <si>
    <t>Dorchester</t>
  </si>
  <si>
    <t>Boscombe</t>
  </si>
  <si>
    <t>Bridport</t>
  </si>
  <si>
    <t>Shaftesbury</t>
  </si>
  <si>
    <t>Alderholt</t>
  </si>
  <si>
    <t>Poole</t>
  </si>
  <si>
    <t>Lytchett</t>
  </si>
  <si>
    <t>Portland</t>
  </si>
  <si>
    <t>Swanage</t>
  </si>
  <si>
    <t>Bournemouth</t>
  </si>
  <si>
    <t>Christchurch</t>
  </si>
  <si>
    <t>04.09.21</t>
  </si>
  <si>
    <t>25.09.21</t>
  </si>
  <si>
    <t>09.10.21</t>
  </si>
  <si>
    <t>16.10.21</t>
  </si>
  <si>
    <t>13.11.21</t>
  </si>
  <si>
    <t>`</t>
  </si>
  <si>
    <t>Week 1</t>
  </si>
  <si>
    <t>Week 2</t>
  </si>
  <si>
    <t>Week 3</t>
  </si>
  <si>
    <t>Week 4</t>
  </si>
  <si>
    <t>Week 5</t>
  </si>
  <si>
    <t>v</t>
  </si>
  <si>
    <t>04.12.21</t>
  </si>
  <si>
    <t>15.01.22</t>
  </si>
  <si>
    <t>29.01.22</t>
  </si>
  <si>
    <t>19.02.22</t>
  </si>
  <si>
    <t>05.03.22</t>
  </si>
  <si>
    <t>Week 6</t>
  </si>
  <si>
    <t>Week 7</t>
  </si>
  <si>
    <t>Week 8</t>
  </si>
  <si>
    <t>Week 9</t>
  </si>
  <si>
    <t>Week 10</t>
  </si>
  <si>
    <t>12.03.22</t>
  </si>
  <si>
    <t>02.04.22</t>
  </si>
  <si>
    <t>07.05.22</t>
  </si>
  <si>
    <t>Week 11</t>
  </si>
  <si>
    <t>Week 12</t>
  </si>
  <si>
    <t>Week 13</t>
  </si>
  <si>
    <t>IMPORTANT:</t>
  </si>
  <si>
    <t>All fixtures to be played no later than 28th May 2022</t>
  </si>
  <si>
    <t>ALDERHOLT MENS SUPERLEAGUE 2021 / 2022 SEASON</t>
  </si>
  <si>
    <t>TEAM RESULTS</t>
  </si>
  <si>
    <t>S. NO</t>
  </si>
  <si>
    <t>NAME</t>
  </si>
  <si>
    <t>L</t>
  </si>
  <si>
    <t>F</t>
  </si>
  <si>
    <t>A</t>
  </si>
  <si>
    <t>180'S</t>
  </si>
  <si>
    <t>AVE</t>
  </si>
  <si>
    <t>D/AVE</t>
  </si>
  <si>
    <t>WEEK</t>
  </si>
  <si>
    <t>OPPOSITION</t>
  </si>
  <si>
    <t>DATE</t>
  </si>
  <si>
    <t>WON</t>
  </si>
  <si>
    <t xml:space="preserve">DRAWN </t>
  </si>
  <si>
    <t xml:space="preserve">LOST </t>
  </si>
  <si>
    <t>POINTS</t>
  </si>
  <si>
    <t>Steve O'marah</t>
  </si>
  <si>
    <t>4*0</t>
  </si>
  <si>
    <t>4*1</t>
  </si>
  <si>
    <t>4*1(1)</t>
  </si>
  <si>
    <t>4*2(4)</t>
  </si>
  <si>
    <t>0*4</t>
  </si>
  <si>
    <t>Robbie Martin</t>
  </si>
  <si>
    <t>3*4(1)</t>
  </si>
  <si>
    <t>4*2</t>
  </si>
  <si>
    <t>4*2(1)</t>
  </si>
  <si>
    <t>4*0(1)</t>
  </si>
  <si>
    <t>Les Browning</t>
  </si>
  <si>
    <t>3*4</t>
  </si>
  <si>
    <t>Tim Clothier</t>
  </si>
  <si>
    <t>1*4</t>
  </si>
  <si>
    <t>2*4(1)</t>
  </si>
  <si>
    <t>4*1(2)</t>
  </si>
  <si>
    <t>4*3</t>
  </si>
  <si>
    <t>4*3(1)</t>
  </si>
  <si>
    <t>Matt Woodhouse</t>
  </si>
  <si>
    <t>Steve Alden</t>
  </si>
  <si>
    <t>1*4(1)</t>
  </si>
  <si>
    <t>Steven Small</t>
  </si>
  <si>
    <t>2*4</t>
  </si>
  <si>
    <t>0*4(1)</t>
  </si>
  <si>
    <t>Mark Sheen</t>
  </si>
  <si>
    <t>Season Total</t>
  </si>
  <si>
    <t>Lee Shiel</t>
  </si>
  <si>
    <t>Luke Arnold</t>
  </si>
  <si>
    <t>Tom Moors</t>
  </si>
  <si>
    <t>Carl Rigler</t>
  </si>
  <si>
    <t>Joe Carpenter</t>
  </si>
  <si>
    <t>No Player so forfeit</t>
  </si>
  <si>
    <t>Pairs</t>
  </si>
  <si>
    <t>Result</t>
  </si>
  <si>
    <t>ALDERNEY MENS SUPERLEAGUE 2021 / 2022 SEASON</t>
  </si>
  <si>
    <t>Kevin Bassil</t>
  </si>
  <si>
    <t>Dave Roberts</t>
  </si>
  <si>
    <t>Steve Bullock</t>
  </si>
  <si>
    <t>Scott Wyeth</t>
  </si>
  <si>
    <t>Luke Powell</t>
  </si>
  <si>
    <t>James Smith</t>
  </si>
  <si>
    <t>Geordie Grant</t>
  </si>
  <si>
    <t>4*3(2)</t>
  </si>
  <si>
    <t>Sean Penney</t>
  </si>
  <si>
    <t>Ricky Powell</t>
  </si>
  <si>
    <t>Connor Morris</t>
  </si>
  <si>
    <t>Aaron Eyres</t>
  </si>
  <si>
    <t>Liam Roberts</t>
  </si>
  <si>
    <t>Rhys Smith</t>
  </si>
  <si>
    <t>BOSCOMBE MENS SUPERLEAGUE 2021 / 2022 SEASON</t>
  </si>
  <si>
    <t>Rob Channing</t>
  </si>
  <si>
    <t>2*4(2)</t>
  </si>
  <si>
    <t>Colin Earley</t>
  </si>
  <si>
    <t>Graham Platt</t>
  </si>
  <si>
    <t>Richard Alcock</t>
  </si>
  <si>
    <t>Gary Rafferty</t>
  </si>
  <si>
    <t>Paul Burnham</t>
  </si>
  <si>
    <t>Mike Stokes</t>
  </si>
  <si>
    <t>Nigel Gallimore</t>
  </si>
  <si>
    <t>Grant Barnett</t>
  </si>
  <si>
    <t>Colin Valentine</t>
  </si>
  <si>
    <t>Jack Mitchell</t>
  </si>
  <si>
    <t>Mike Parkes</t>
  </si>
  <si>
    <t>Dave Millis</t>
  </si>
  <si>
    <t>Liam Kemp</t>
  </si>
  <si>
    <t>Calum King</t>
  </si>
  <si>
    <t>Gordon Penn</t>
  </si>
  <si>
    <t>Colin Freeman</t>
  </si>
  <si>
    <t>Richard Clark</t>
  </si>
  <si>
    <t>Pip Cooke</t>
  </si>
  <si>
    <t>BOURNEMOUTH MENS SUPERLEAGUE 2021 / 2022 SEASON</t>
  </si>
  <si>
    <t>Dean Morris</t>
  </si>
  <si>
    <t>1*4(2)</t>
  </si>
  <si>
    <t>Paul Carter</t>
  </si>
  <si>
    <t>4*0(2)</t>
  </si>
  <si>
    <t>David Cronin</t>
  </si>
  <si>
    <t>Luke Dawe</t>
  </si>
  <si>
    <t>Wayne Mabey</t>
  </si>
  <si>
    <t>Paul Cooper</t>
  </si>
  <si>
    <t>Shaun Hibbert</t>
  </si>
  <si>
    <t>Chris Martin</t>
  </si>
  <si>
    <t>Jonathon Gillingham-Smithers</t>
  </si>
  <si>
    <t>3*4(2)</t>
  </si>
  <si>
    <t>Charlie Falder</t>
  </si>
  <si>
    <t>David Taylor</t>
  </si>
  <si>
    <t>Martin Snelling</t>
  </si>
  <si>
    <t>Andy Miller</t>
  </si>
  <si>
    <t>Sam Hardy</t>
  </si>
  <si>
    <t>BRIDPORT MENS SUPERLEAGUE 2021 / 2022 SEASON</t>
  </si>
  <si>
    <t>Ryan Cross</t>
  </si>
  <si>
    <t>Sam Legg</t>
  </si>
  <si>
    <t>Mickey Gilmore</t>
  </si>
  <si>
    <t>Wayne Singleton</t>
  </si>
  <si>
    <t>Sam Kapur</t>
  </si>
  <si>
    <t>Joe Carter</t>
  </si>
  <si>
    <t>Daniel Rawlings</t>
  </si>
  <si>
    <t>Steve Smith</t>
  </si>
  <si>
    <t xml:space="preserve">Chris Topp </t>
  </si>
  <si>
    <t xml:space="preserve">Rob Millward </t>
  </si>
  <si>
    <t xml:space="preserve">Nigel Davey </t>
  </si>
  <si>
    <t xml:space="preserve">Matt Goodier </t>
  </si>
  <si>
    <t>Dan Baggs</t>
  </si>
  <si>
    <t>Ollie Mears</t>
  </si>
  <si>
    <t>CHRISTCHURCH MENS SUPERLEAGUE 2021 / 2022 SEASON</t>
  </si>
  <si>
    <t>Declan Harris</t>
  </si>
  <si>
    <t>Dan Walker</t>
  </si>
  <si>
    <t>Mark Grimes</t>
  </si>
  <si>
    <t>4*2(3)</t>
  </si>
  <si>
    <t>4*1(3)</t>
  </si>
  <si>
    <t>Gary Howlett</t>
  </si>
  <si>
    <t>Graham Inniss</t>
  </si>
  <si>
    <t>Phillip Weeks</t>
  </si>
  <si>
    <t>Tommy Morris</t>
  </si>
  <si>
    <t>4*0(3)</t>
  </si>
  <si>
    <t>Eddie White</t>
  </si>
  <si>
    <t>Tony Dunning</t>
  </si>
  <si>
    <t>Martin Wood</t>
  </si>
  <si>
    <t>Scott Bailey</t>
  </si>
  <si>
    <t>Nick Matthius</t>
  </si>
  <si>
    <t>DORCHESTER MENS SUPERLEAGUE 2021 / 2022 SEASON</t>
  </si>
  <si>
    <t>Henry Cooper</t>
  </si>
  <si>
    <t>Matt Yarrow</t>
  </si>
  <si>
    <t>Neil Read</t>
  </si>
  <si>
    <t>Robby Morris</t>
  </si>
  <si>
    <t>Liam Blakeley</t>
  </si>
  <si>
    <t>4*2(2)</t>
  </si>
  <si>
    <t>Simon Coles</t>
  </si>
  <si>
    <t>Graham Knight</t>
  </si>
  <si>
    <t>Richard Wright</t>
  </si>
  <si>
    <t>Matt Read</t>
  </si>
  <si>
    <t>Matt Payne</t>
  </si>
  <si>
    <t>Mark Long</t>
  </si>
  <si>
    <t>Alan Ayres</t>
  </si>
  <si>
    <t>LYTCHETT MENS SUPERLEAGUE 2021 / 2022 SEASON</t>
  </si>
  <si>
    <t>Richard Perry</t>
  </si>
  <si>
    <t>Daniel Perry</t>
  </si>
  <si>
    <t>4*3(3)</t>
  </si>
  <si>
    <t>Derek Legg</t>
  </si>
  <si>
    <t>Scott Mitchell</t>
  </si>
  <si>
    <t>John Clark</t>
  </si>
  <si>
    <t>Ryan Mabey</t>
  </si>
  <si>
    <t>Steve Penney</t>
  </si>
  <si>
    <t>Mark Porter</t>
  </si>
  <si>
    <t>Dale Masterman</t>
  </si>
  <si>
    <t>4*1(4)</t>
  </si>
  <si>
    <t>Bryan Pearson</t>
  </si>
  <si>
    <t>Danny Pearce</t>
  </si>
  <si>
    <t>Mike Warren</t>
  </si>
  <si>
    <t>Lee Matthews</t>
  </si>
  <si>
    <t>Danny Aplin</t>
  </si>
  <si>
    <t>Jamie Marten</t>
  </si>
  <si>
    <t>PARKSTONE MENS SUPERLEAGUE 2021 / 2022 SEASON</t>
  </si>
  <si>
    <t>Andy Willis</t>
  </si>
  <si>
    <t>Andy Barnes</t>
  </si>
  <si>
    <t>Nick Turner</t>
  </si>
  <si>
    <t>Simon Cross</t>
  </si>
  <si>
    <t>Jason James</t>
  </si>
  <si>
    <t>Lawrence Prodger</t>
  </si>
  <si>
    <t>Brian Quilter</t>
  </si>
  <si>
    <t>Marc Bayliss</t>
  </si>
  <si>
    <t>Dan Adams</t>
  </si>
  <si>
    <t>Craig Morris</t>
  </si>
  <si>
    <t>Ian Roff</t>
  </si>
  <si>
    <t>Paul Allen</t>
  </si>
  <si>
    <t>POOLE MENS SUPERLEAGUE 2021 / 2022 SEASON</t>
  </si>
  <si>
    <t>Carl Beattie</t>
  </si>
  <si>
    <t>Steven Earley</t>
  </si>
  <si>
    <t>Paul Grisedale</t>
  </si>
  <si>
    <t>Damian Mudge</t>
  </si>
  <si>
    <t>Paddy Stewart</t>
  </si>
  <si>
    <t>Richard Hutley</t>
  </si>
  <si>
    <t>Kevin Smith</t>
  </si>
  <si>
    <t>Sam Barker</t>
  </si>
  <si>
    <t>Robert Marshallsay</t>
  </si>
  <si>
    <t>Jake Carton</t>
  </si>
  <si>
    <t>Chris Tuvey</t>
  </si>
  <si>
    <t>Sam Ward</t>
  </si>
  <si>
    <t>PORTLAND MENS SUPERLEAGUE 2021 / 2022 SEASON</t>
  </si>
  <si>
    <t>Nathen Cornish</t>
  </si>
  <si>
    <t>Andy Masters</t>
  </si>
  <si>
    <t>Sonny Mabey</t>
  </si>
  <si>
    <t>Len Pitman</t>
  </si>
  <si>
    <t>Mick Hopkins</t>
  </si>
  <si>
    <t>Steven Jones</t>
  </si>
  <si>
    <t>Mark Samways</t>
  </si>
  <si>
    <t>Kelvin Wilkie</t>
  </si>
  <si>
    <t>Mark Jones</t>
  </si>
  <si>
    <t>Kieren Espley</t>
  </si>
  <si>
    <t>Colin Richards</t>
  </si>
  <si>
    <t>Sean Williams</t>
  </si>
  <si>
    <t>Chris Stones</t>
  </si>
  <si>
    <t>SHAFTESBURY MENS SUPERLEAGUE 2021 / 2022 SEASON</t>
  </si>
  <si>
    <t>Dean Gale</t>
  </si>
  <si>
    <t>Bob Winton</t>
  </si>
  <si>
    <t>Nigel Lamb</t>
  </si>
  <si>
    <t>Nigel Edwards</t>
  </si>
  <si>
    <t>Antoni Dyke</t>
  </si>
  <si>
    <t>Tony Williams</t>
  </si>
  <si>
    <t>Ivor Sargeant</t>
  </si>
  <si>
    <t>Tim Gill</t>
  </si>
  <si>
    <t>Peter Rigler</t>
  </si>
  <si>
    <t>Steve Stone</t>
  </si>
  <si>
    <t>Owen Bowden</t>
  </si>
  <si>
    <t>SWANAGE MENS SUPERLEAGUE 2021 / 2022 SEASON</t>
  </si>
  <si>
    <t>John Hampton</t>
  </si>
  <si>
    <t>Roy Pidgeon</t>
  </si>
  <si>
    <t>Colin Littlecott</t>
  </si>
  <si>
    <t>Richard Onions</t>
  </si>
  <si>
    <t>Ricky King</t>
  </si>
  <si>
    <t>Graham Churchill</t>
  </si>
  <si>
    <t>0*4(2)</t>
  </si>
  <si>
    <t>Jamie Elm</t>
  </si>
  <si>
    <t>David Elm</t>
  </si>
  <si>
    <t>Colin Mutter</t>
  </si>
  <si>
    <t>Rich Sawyer</t>
  </si>
  <si>
    <t>Ryan Norman</t>
  </si>
  <si>
    <t>James Green</t>
  </si>
  <si>
    <t>Marc Plummer</t>
  </si>
  <si>
    <t xml:space="preserve">Tom Moon </t>
  </si>
  <si>
    <t>Kaine Pragnell</t>
  </si>
  <si>
    <t>WEYMOUTH MENS SUPERLEAGUE 2021 / 2022 SEASON</t>
  </si>
  <si>
    <t>Ryan Gowans</t>
  </si>
  <si>
    <t>Paul Farwell</t>
  </si>
  <si>
    <t>Ray Atree</t>
  </si>
  <si>
    <t>Mark Farwell</t>
  </si>
  <si>
    <t>Frank Courage</t>
  </si>
  <si>
    <t>Matt Brown</t>
  </si>
  <si>
    <t>Terry Gowans</t>
  </si>
  <si>
    <t>Dave Pay</t>
  </si>
  <si>
    <t>Richard Gomm</t>
  </si>
  <si>
    <t>Ian Spann</t>
  </si>
  <si>
    <t>Martin Attree</t>
  </si>
  <si>
    <t>Jack Seymour</t>
  </si>
  <si>
    <t>Adam Mckay</t>
  </si>
  <si>
    <t>Paul Dormer</t>
  </si>
  <si>
    <t>Trevor Stimpson</t>
  </si>
  <si>
    <t>Jordan Sharpe</t>
  </si>
  <si>
    <t>Michael Beauchamp</t>
  </si>
  <si>
    <t>Jack Bellingham</t>
  </si>
  <si>
    <t>Mens Superleague Table For 2021 / 2022 Season</t>
  </si>
  <si>
    <t>POS.</t>
  </si>
  <si>
    <t>MENS SECTION</t>
  </si>
  <si>
    <t>D</t>
  </si>
  <si>
    <t>Mens Dorset Superleague Averages 2021 / 2022 Season</t>
  </si>
  <si>
    <t>POS</t>
  </si>
  <si>
    <t>P1</t>
  </si>
  <si>
    <t>TM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</si>
  <si>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</si>
  <si>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</si>
  <si>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</si>
  <si>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</si>
  <si>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</si>
  <si>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</si>
  <si>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</si>
  <si>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</si>
  <si>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</si>
  <si>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</si>
  <si>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</si>
  <si>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</si>
  <si>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</si>
  <si>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AVG</t>
  </si>
  <si>
    <t>B/AVG</t>
  </si>
  <si>
    <t>Active</t>
  </si>
  <si>
    <t>S1</t>
  </si>
  <si>
    <t>S1 D</t>
  </si>
  <si>
    <t>S2</t>
  </si>
  <si>
    <t>S2 D</t>
  </si>
  <si>
    <t>S3</t>
  </si>
  <si>
    <t>S3 D</t>
  </si>
  <si>
    <t>S4</t>
  </si>
  <si>
    <t>S4 D</t>
  </si>
  <si>
    <t>S5</t>
  </si>
  <si>
    <t>S5 D</t>
  </si>
  <si>
    <t>S6</t>
  </si>
  <si>
    <t>S6 D</t>
  </si>
  <si>
    <t>S7</t>
  </si>
  <si>
    <t>S7 D</t>
  </si>
  <si>
    <t>S8</t>
  </si>
  <si>
    <t>S8 D</t>
  </si>
  <si>
    <t>S9</t>
  </si>
  <si>
    <t>S9 D</t>
  </si>
  <si>
    <t>S10</t>
  </si>
  <si>
    <t>S10 D</t>
  </si>
  <si>
    <t>S11</t>
  </si>
  <si>
    <t>S11 D</t>
  </si>
  <si>
    <t>S12</t>
  </si>
  <si>
    <t>S12 D</t>
  </si>
  <si>
    <t>S13</t>
  </si>
  <si>
    <t>S13 D</t>
  </si>
  <si>
    <t>Dorset County Darts Association Superleague Results 2021 / 2022 Season</t>
  </si>
  <si>
    <t>Mens Dorset Superleague Weekly Top 10's 2021 / 2022 Season</t>
  </si>
  <si>
    <t>Wk 1</t>
  </si>
  <si>
    <t>Name</t>
  </si>
  <si>
    <t>B/Avg</t>
  </si>
  <si>
    <t>Wk 6</t>
  </si>
  <si>
    <t>Wk 11</t>
  </si>
  <si>
    <t>Wk 2</t>
  </si>
  <si>
    <t>Wk 7</t>
  </si>
  <si>
    <t>Wk 12</t>
  </si>
  <si>
    <t>Wk 3</t>
  </si>
  <si>
    <t>Wk 8</t>
  </si>
  <si>
    <t>Wk 13</t>
  </si>
  <si>
    <t>Wk 4</t>
  </si>
  <si>
    <t>Wk 9</t>
  </si>
  <si>
    <t>Wk 5</t>
  </si>
  <si>
    <t>Wk 10</t>
  </si>
  <si>
    <t>Mens Superleague Team Statistics 2021 / 2022 Season</t>
  </si>
  <si>
    <t>TEAM</t>
  </si>
  <si>
    <t>For</t>
  </si>
  <si>
    <t>Against</t>
  </si>
  <si>
    <t>Played</t>
  </si>
  <si>
    <t>Won</t>
  </si>
  <si>
    <t>Draw</t>
  </si>
  <si>
    <t>Lost</t>
  </si>
  <si>
    <t>Mens Superleague Individual Statistics 2021 / 2022 Season</t>
  </si>
  <si>
    <t>Dave</t>
  </si>
  <si>
    <t>Wins</t>
  </si>
  <si>
    <t>Losses</t>
  </si>
  <si>
    <t>Alyderney</t>
  </si>
  <si>
    <t>Shaftsbury</t>
  </si>
  <si>
    <t>John Lamb</t>
  </si>
  <si>
    <t>Pete Honeybun</t>
  </si>
  <si>
    <t>Jon Honeybun</t>
  </si>
  <si>
    <t>Dave Symes</t>
  </si>
  <si>
    <t>3*4(3)</t>
  </si>
  <si>
    <t>Jay Hibbert</t>
  </si>
  <si>
    <t>Andy Crane</t>
  </si>
  <si>
    <t>Luke Sargeant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</si>
</sst>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/m/yyyy"/>
  </numFmts>
  <fonts count="26" x14ac:knownFonts="1">
    <font>
      <sz val="10"/>
      <color rgb="FF000000"/>
      <name val="Calibri"/>
      <scheme val="minor"/>
    </font>
    <font>
      <sz val="10"/>
      <color theme="1"/>
      <name val="Arial"/>
    </font>
    <font>
      <sz val="16"/>
      <color rgb="FFFFFF00"/>
      <name val="Arial"/>
    </font>
    <font>
      <sz val="10"/>
      <name val="Calibri"/>
    </font>
    <font>
      <sz val="10"/>
      <color rgb="FFFFFF00"/>
      <name val="Arial"/>
    </font>
    <font>
      <sz val="11"/>
      <color rgb="FFFFFF00"/>
      <name val="Calibri"/>
    </font>
    <font>
      <u/>
      <sz val="10"/>
      <color rgb="FF0000FF"/>
      <name val="Arial"/>
    </font>
    <font>
      <b/>
      <sz val="10"/>
      <color theme="1"/>
      <name val="Arial"/>
    </font>
    <font>
      <sz val="14"/>
      <color rgb="FFFFFF00"/>
      <name val="Arial"/>
    </font>
    <font>
      <u/>
      <sz val="10"/>
      <color rgb="FF0000FF"/>
      <name val="Arial"/>
    </font>
    <font>
      <sz val="16"/>
      <color theme="1"/>
      <name val="Arial"/>
    </font>
    <font>
      <sz val="9"/>
      <color theme="1"/>
      <name val="Arial"/>
    </font>
    <font>
      <sz val="9"/>
      <color rgb="FF000000"/>
      <name val="Arial"/>
    </font>
    <font>
      <sz val="9"/>
      <color rgb="FF3366FF"/>
      <name val="Arial"/>
    </font>
    <font>
      <sz val="9"/>
      <color rgb="FF008000"/>
      <name val="Arial"/>
    </font>
    <font>
      <sz val="10"/>
      <color rgb="FF00FF00"/>
      <name val="Arial"/>
    </font>
    <font>
      <sz val="10"/>
      <color rgb="FFFF0000"/>
      <name val="Arial"/>
    </font>
    <font>
      <b/>
      <sz val="10"/>
      <color rgb="FFFFFF00"/>
      <name val="Arial"/>
    </font>
    <font>
      <sz val="10"/>
      <color theme="0"/>
      <name val="Arial"/>
    </font>
    <font>
      <u/>
      <sz val="10"/>
      <color rgb="FF0000FF"/>
      <name val="Arial"/>
    </font>
    <font>
      <sz val="16"/>
      <color theme="0"/>
      <name val="Arial"/>
    </font>
    <font>
      <b/>
      <sz val="10"/>
      <color theme="0"/>
      <name val="Arial"/>
    </font>
    <font>
      <sz val="10"/>
      <color rgb="FF008000"/>
      <name val="Arial"/>
    </font>
    <font>
      <sz val="10"/>
      <color theme="1"/>
      <name val="Calibri"/>
    </font>
    <font>
      <sz val="10"/>
      <color rgb="FF0000FF"/>
      <name val="Arial"/>
    </font>
    <font>
      <sz val="10"/>
      <color rgb="FF339966"/>
      <name val="Arial"/>
    </font>
  </fonts>
  <fills count="9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F0000"/>
        <bgColor rgb="FFFF0000"/>
      </patternFill>
    </fill>
    <fill>
      <patternFill patternType="solid">
        <fgColor rgb="FF008000"/>
        <bgColor rgb="FF008000"/>
      </patternFill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indexed="64"/>
      </patternFill>
    </fill>
  </fills>
  <borders count="13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7F7F7F"/>
      </left>
      <right style="hair">
        <color rgb="FF7F7F7F"/>
      </right>
      <top style="double">
        <color rgb="FF7F7F7F"/>
      </top>
      <bottom style="hair">
        <color rgb="FF7F7F7F"/>
      </bottom>
      <diagonal/>
    </border>
    <border>
      <left style="hair">
        <color rgb="FF7F7F7F"/>
      </left>
      <right style="hair">
        <color rgb="FF7F7F7F"/>
      </right>
      <top style="double">
        <color rgb="FF7F7F7F"/>
      </top>
      <bottom style="hair">
        <color rgb="FF7F7F7F"/>
      </bottom>
      <diagonal/>
    </border>
    <border>
      <left style="hair">
        <color rgb="FF7F7F7F"/>
      </left>
      <right style="double">
        <color rgb="FF7F7F7F"/>
      </right>
      <top style="double">
        <color rgb="FF7F7F7F"/>
      </top>
      <bottom style="hair">
        <color rgb="FF7F7F7F"/>
      </bottom>
      <diagonal/>
    </border>
    <border>
      <left style="double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hair">
        <color rgb="FF7F7F7F"/>
      </left>
      <right style="double">
        <color rgb="FF7F7F7F"/>
      </right>
      <top style="hair">
        <color rgb="FF7F7F7F"/>
      </top>
      <bottom style="hair">
        <color rgb="FF7F7F7F"/>
      </bottom>
      <diagonal/>
    </border>
    <border>
      <left style="double">
        <color rgb="FF7F7F7F"/>
      </left>
      <right style="hair">
        <color rgb="FF7F7F7F"/>
      </right>
      <top style="hair">
        <color rgb="FF7F7F7F"/>
      </top>
      <bottom style="double">
        <color rgb="FF7F7F7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double">
        <color rgb="FF7F7F7F"/>
      </bottom>
      <diagonal/>
    </border>
    <border>
      <left style="hair">
        <color rgb="FF7F7F7F"/>
      </left>
      <right style="double">
        <color rgb="FF7F7F7F"/>
      </right>
      <top style="hair">
        <color rgb="FF7F7F7F"/>
      </top>
      <bottom style="double">
        <color rgb="FF7F7F7F"/>
      </bottom>
      <diagonal/>
    </border>
    <border>
      <left style="thin">
        <color rgb="FF7F7F7F"/>
      </left>
      <right style="hair">
        <color rgb="FF7F7F7F"/>
      </right>
      <top style="thin">
        <color rgb="FF7F7F7F"/>
      </top>
      <bottom style="hair">
        <color rgb="FF7F7F7F"/>
      </bottom>
      <diagonal/>
    </border>
    <border>
      <left style="hair">
        <color rgb="FF7F7F7F"/>
      </left>
      <right style="hair">
        <color rgb="FF7F7F7F"/>
      </right>
      <top style="thin">
        <color rgb="FF7F7F7F"/>
      </top>
      <bottom style="hair">
        <color rgb="FF7F7F7F"/>
      </bottom>
      <diagonal/>
    </border>
    <border>
      <left style="hair">
        <color rgb="FF7F7F7F"/>
      </left>
      <right style="thin">
        <color rgb="FF7F7F7F"/>
      </right>
      <top style="thin">
        <color rgb="FF7F7F7F"/>
      </top>
      <bottom style="hair">
        <color rgb="FF7F7F7F"/>
      </bottom>
      <diagonal/>
    </border>
    <border>
      <left style="thin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hair">
        <color rgb="FF7F7F7F"/>
      </left>
      <right style="thin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7F7F7F"/>
      </left>
      <right style="hair">
        <color rgb="FF7F7F7F"/>
      </right>
      <top style="hair">
        <color rgb="FF7F7F7F"/>
      </top>
      <bottom style="thin">
        <color rgb="FF7F7F7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thin">
        <color rgb="FF7F7F7F"/>
      </bottom>
      <diagonal/>
    </border>
    <border>
      <left style="hair">
        <color rgb="FF7F7F7F"/>
      </left>
      <right style="thin">
        <color rgb="FF7F7F7F"/>
      </right>
      <top style="hair">
        <color rgb="FF7F7F7F"/>
      </top>
      <bottom style="thin">
        <color rgb="FF7F7F7F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/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rgb="FFA5A5A5"/>
      </right>
      <top/>
      <bottom style="thin">
        <color rgb="FFA5A5A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double">
        <color rgb="FF7F7F7F"/>
      </right>
      <top/>
      <bottom/>
      <diagonal/>
    </border>
    <border>
      <left/>
      <right style="double">
        <color rgb="FF7F7F7F"/>
      </right>
      <top/>
      <bottom/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/>
      <diagonal/>
    </border>
    <border>
      <left style="double">
        <color rgb="FF7F7F7F"/>
      </left>
      <right style="hair">
        <color rgb="FF7F7F7F"/>
      </right>
      <top style="double">
        <color rgb="FF7F7F7F"/>
      </top>
      <bottom/>
      <diagonal/>
    </border>
    <border>
      <left style="hair">
        <color rgb="FF7F7F7F"/>
      </left>
      <right style="hair">
        <color rgb="FF7F7F7F"/>
      </right>
      <top style="double">
        <color rgb="FF7F7F7F"/>
      </top>
      <bottom/>
      <diagonal/>
    </border>
    <border>
      <left style="hair">
        <color rgb="FF7F7F7F"/>
      </left>
      <right style="double">
        <color rgb="FF7F7F7F"/>
      </right>
      <top style="double">
        <color rgb="FF7F7F7F"/>
      </top>
      <bottom/>
      <diagonal/>
    </border>
    <border>
      <left style="double">
        <color rgb="FF7F7F7F"/>
      </left>
      <right style="double">
        <color rgb="FF7F7F7F"/>
      </right>
      <top/>
      <bottom style="double">
        <color rgb="FF7F7F7F"/>
      </bottom>
      <diagonal/>
    </border>
    <border>
      <left style="double">
        <color rgb="FF7F7F7F"/>
      </left>
      <right style="hair">
        <color rgb="FF7F7F7F"/>
      </right>
      <top/>
      <bottom style="double">
        <color rgb="FF7F7F7F"/>
      </bottom>
      <diagonal/>
    </border>
    <border>
      <left style="hair">
        <color rgb="FF7F7F7F"/>
      </left>
      <right style="hair">
        <color rgb="FF7F7F7F"/>
      </right>
      <top/>
      <bottom style="double">
        <color rgb="FF7F7F7F"/>
      </bottom>
      <diagonal/>
    </border>
    <border>
      <left style="hair">
        <color rgb="FF7F7F7F"/>
      </left>
      <right style="double">
        <color rgb="FF7F7F7F"/>
      </right>
      <top/>
      <bottom style="double">
        <color rgb="FF7F7F7F"/>
      </bottom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 style="hair">
        <color rgb="FF7F7F7F"/>
      </bottom>
      <diagonal/>
    </border>
    <border>
      <left style="double">
        <color rgb="FF7F7F7F"/>
      </left>
      <right style="thin">
        <color rgb="FF7F7F7F"/>
      </right>
      <top/>
      <bottom/>
      <diagonal/>
    </border>
    <border>
      <left style="double">
        <color rgb="FF7F7F7F"/>
      </left>
      <right style="double">
        <color rgb="FF7F7F7F"/>
      </right>
      <top style="hair">
        <color rgb="FF7F7F7F"/>
      </top>
      <bottom style="hair">
        <color rgb="FF7F7F7F"/>
      </bottom>
      <diagonal/>
    </border>
    <border>
      <left style="double">
        <color rgb="FF7F7F7F"/>
      </left>
      <right style="double">
        <color rgb="FF7F7F7F"/>
      </right>
      <top style="hair">
        <color rgb="FF7F7F7F"/>
      </top>
      <bottom style="double">
        <color rgb="FF7F7F7F"/>
      </bottom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/>
      <diagonal/>
    </border>
    <border>
      <left style="double">
        <color rgb="FF7F7F7F"/>
      </left>
      <right style="hair">
        <color rgb="FF7F7F7F"/>
      </right>
      <top style="double">
        <color rgb="FF7F7F7F"/>
      </top>
      <bottom/>
      <diagonal/>
    </border>
    <border>
      <left style="hair">
        <color rgb="FF7F7F7F"/>
      </left>
      <right style="hair">
        <color rgb="FF7F7F7F"/>
      </right>
      <top style="double">
        <color rgb="FF7F7F7F"/>
      </top>
      <bottom/>
      <diagonal/>
    </border>
    <border>
      <left style="hair">
        <color rgb="FF7F7F7F"/>
      </left>
      <right style="double">
        <color rgb="FF7F7F7F"/>
      </right>
      <top style="double">
        <color rgb="FF7F7F7F"/>
      </top>
      <bottom/>
      <diagonal/>
    </border>
    <border>
      <left style="double">
        <color rgb="FF7F7F7F"/>
      </left>
      <right style="double">
        <color rgb="FF7F7F7F"/>
      </right>
      <top/>
      <bottom style="double">
        <color rgb="FF7F7F7F"/>
      </bottom>
      <diagonal/>
    </border>
    <border>
      <left style="double">
        <color rgb="FF7F7F7F"/>
      </left>
      <right style="hair">
        <color rgb="FF7F7F7F"/>
      </right>
      <top/>
      <bottom style="double">
        <color rgb="FF7F7F7F"/>
      </bottom>
      <diagonal/>
    </border>
    <border>
      <left style="hair">
        <color rgb="FF7F7F7F"/>
      </left>
      <right style="hair">
        <color rgb="FF7F7F7F"/>
      </right>
      <top/>
      <bottom style="double">
        <color rgb="FF7F7F7F"/>
      </bottom>
      <diagonal/>
    </border>
    <border>
      <left style="hair">
        <color rgb="FF7F7F7F"/>
      </left>
      <right style="double">
        <color rgb="FF7F7F7F"/>
      </right>
      <top/>
      <bottom style="double">
        <color rgb="FF7F7F7F"/>
      </bottom>
      <diagonal/>
    </border>
    <border>
      <left style="double">
        <color rgb="FF7F7F7F"/>
      </left>
      <right style="hair">
        <color rgb="FF7F7F7F"/>
      </right>
      <top/>
      <bottom style="hair">
        <color rgb="FF7F7F7F"/>
      </bottom>
      <diagonal/>
    </border>
    <border>
      <left style="hair">
        <color rgb="FF7F7F7F"/>
      </left>
      <right style="hair">
        <color rgb="FF7F7F7F"/>
      </right>
      <top/>
      <bottom style="hair">
        <color rgb="FF7F7F7F"/>
      </bottom>
      <diagonal/>
    </border>
    <border>
      <left style="double">
        <color rgb="FF7F7F7F"/>
      </left>
      <right style="double">
        <color rgb="FF7F7F7F"/>
      </right>
      <top/>
      <bottom style="hair">
        <color rgb="FF7F7F7F"/>
      </bottom>
      <diagonal/>
    </border>
    <border>
      <left style="double">
        <color rgb="FF7F7F7F"/>
      </left>
      <right/>
      <top style="double">
        <color rgb="FF7F7F7F"/>
      </top>
      <bottom style="hair">
        <color rgb="FF7F7F7F"/>
      </bottom>
      <diagonal/>
    </border>
    <border>
      <left/>
      <right style="hair">
        <color rgb="FF7F7F7F"/>
      </right>
      <top style="double">
        <color rgb="FF7F7F7F"/>
      </top>
      <bottom style="hair">
        <color rgb="FF7F7F7F"/>
      </bottom>
      <diagonal/>
    </border>
    <border>
      <left style="double">
        <color rgb="FF7F7F7F"/>
      </left>
      <right/>
      <top style="hair">
        <color rgb="FF7F7F7F"/>
      </top>
      <bottom style="hair">
        <color rgb="FF7F7F7F"/>
      </bottom>
      <diagonal/>
    </border>
    <border>
      <left/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uble">
        <color rgb="FF7F7F7F"/>
      </left>
      <right style="double">
        <color rgb="FF7F7F7F"/>
      </right>
      <top/>
      <bottom/>
      <diagonal/>
    </border>
    <border>
      <left style="double">
        <color rgb="FF7F7F7F"/>
      </left>
      <right/>
      <top style="hair">
        <color rgb="FF7F7F7F"/>
      </top>
      <bottom style="double">
        <color rgb="FF7F7F7F"/>
      </bottom>
      <diagonal/>
    </border>
    <border>
      <left/>
      <right style="hair">
        <color rgb="FF7F7F7F"/>
      </right>
      <top style="hair">
        <color rgb="FF7F7F7F"/>
      </top>
      <bottom style="double">
        <color rgb="FF7F7F7F"/>
      </bottom>
      <diagonal/>
    </border>
    <border>
      <left style="thin">
        <color rgb="FF7F7F7F"/>
      </left>
      <right/>
      <top style="thin">
        <color rgb="FF7F7F7F"/>
      </top>
      <bottom style="dotted">
        <color rgb="FF7F7F7F"/>
      </bottom>
      <diagonal/>
    </border>
    <border>
      <left style="thin">
        <color rgb="FF7F7F7F"/>
      </left>
      <right style="hair">
        <color rgb="FF7F7F7F"/>
      </right>
      <top style="thin">
        <color rgb="FF7F7F7F"/>
      </top>
      <bottom style="dotted">
        <color rgb="FF7F7F7F"/>
      </bottom>
      <diagonal/>
    </border>
    <border>
      <left style="hair">
        <color rgb="FF7F7F7F"/>
      </left>
      <right style="hair">
        <color rgb="FF7F7F7F"/>
      </right>
      <top style="thin">
        <color rgb="FF7F7F7F"/>
      </top>
      <bottom style="dotted">
        <color rgb="FF7F7F7F"/>
      </bottom>
      <diagonal/>
    </border>
    <border>
      <left style="hair">
        <color rgb="FF7F7F7F"/>
      </left>
      <right style="thin">
        <color rgb="FF7F7F7F"/>
      </right>
      <top style="thin">
        <color rgb="FF7F7F7F"/>
      </top>
      <bottom style="dotted">
        <color rgb="FF7F7F7F"/>
      </bottom>
      <diagonal/>
    </border>
    <border>
      <left/>
      <right style="thin">
        <color rgb="FF7F7F7F"/>
      </right>
      <top style="thin">
        <color rgb="FF7F7F7F"/>
      </top>
      <bottom style="dotted">
        <color rgb="FF7F7F7F"/>
      </bottom>
      <diagonal/>
    </border>
    <border>
      <left style="thin">
        <color rgb="FF7F7F7F"/>
      </left>
      <right/>
      <top style="dotted">
        <color rgb="FF7F7F7F"/>
      </top>
      <bottom style="dotted">
        <color rgb="FF7F7F7F"/>
      </bottom>
      <diagonal/>
    </border>
    <border>
      <left style="thin">
        <color rgb="FF7F7F7F"/>
      </left>
      <right style="hair">
        <color rgb="FF7F7F7F"/>
      </right>
      <top style="dotted">
        <color rgb="FF7F7F7F"/>
      </top>
      <bottom style="dotted">
        <color rgb="FF7F7F7F"/>
      </bottom>
      <diagonal/>
    </border>
    <border>
      <left style="hair">
        <color rgb="FF7F7F7F"/>
      </left>
      <right style="hair">
        <color rgb="FF7F7F7F"/>
      </right>
      <top style="dotted">
        <color rgb="FF7F7F7F"/>
      </top>
      <bottom style="dotted">
        <color rgb="FF7F7F7F"/>
      </bottom>
      <diagonal/>
    </border>
    <border>
      <left style="hair">
        <color rgb="FF7F7F7F"/>
      </left>
      <right style="thin">
        <color rgb="FF7F7F7F"/>
      </right>
      <top style="dotted">
        <color rgb="FF7F7F7F"/>
      </top>
      <bottom style="dotted">
        <color rgb="FF7F7F7F"/>
      </bottom>
      <diagonal/>
    </border>
    <border>
      <left/>
      <right style="thin">
        <color rgb="FF7F7F7F"/>
      </right>
      <top style="dotted">
        <color rgb="FF7F7F7F"/>
      </top>
      <bottom style="dotted">
        <color rgb="FF7F7F7F"/>
      </bottom>
      <diagonal/>
    </border>
    <border>
      <left style="thin">
        <color rgb="FFA5A5A5"/>
      </left>
      <right/>
      <top/>
      <bottom/>
      <diagonal/>
    </border>
    <border>
      <left/>
      <right style="double">
        <color rgb="FFA5A5A5"/>
      </right>
      <top/>
      <bottom/>
      <diagonal/>
    </border>
    <border>
      <left style="thin">
        <color rgb="FFA5A5A5"/>
      </left>
      <right/>
      <top/>
      <bottom/>
      <diagonal/>
    </border>
    <border>
      <left style="double">
        <color rgb="FF7F7F7F"/>
      </left>
      <right style="thin">
        <color rgb="FF7F7F7F"/>
      </right>
      <top style="double">
        <color rgb="FF7F7F7F"/>
      </top>
      <bottom/>
      <diagonal/>
    </border>
    <border>
      <left style="thin">
        <color rgb="FF7F7F7F"/>
      </left>
      <right style="thin">
        <color rgb="FF7F7F7F"/>
      </right>
      <top style="double">
        <color rgb="FF7F7F7F"/>
      </top>
      <bottom/>
      <diagonal/>
    </border>
    <border>
      <left style="thin">
        <color rgb="FF7F7F7F"/>
      </left>
      <right style="double">
        <color rgb="FF7F7F7F"/>
      </right>
      <top style="double">
        <color rgb="FF7F7F7F"/>
      </top>
      <bottom/>
      <diagonal/>
    </border>
    <border>
      <left style="double">
        <color rgb="FF7F7F7F"/>
      </left>
      <right style="thin">
        <color rgb="FF7F7F7F"/>
      </right>
      <top/>
      <bottom style="double">
        <color rgb="FF7F7F7F"/>
      </bottom>
      <diagonal/>
    </border>
    <border>
      <left style="thin">
        <color rgb="FF7F7F7F"/>
      </left>
      <right style="thin">
        <color rgb="FF7F7F7F"/>
      </right>
      <top/>
      <bottom style="double">
        <color rgb="FF7F7F7F"/>
      </bottom>
      <diagonal/>
    </border>
    <border>
      <left style="thin">
        <color rgb="FF7F7F7F"/>
      </left>
      <right style="double">
        <color rgb="FF7F7F7F"/>
      </right>
      <top/>
      <bottom style="double">
        <color rgb="FF7F7F7F"/>
      </bottom>
      <diagonal/>
    </border>
    <border>
      <left style="double">
        <color rgb="FF7F7F7F"/>
      </left>
      <right style="thin">
        <color rgb="FF7F7F7F"/>
      </right>
      <top style="double">
        <color rgb="FF7F7F7F"/>
      </top>
      <bottom style="hair">
        <color rgb="FF7F7F7F"/>
      </bottom>
      <diagonal/>
    </border>
    <border>
      <left style="thin">
        <color rgb="FF7F7F7F"/>
      </left>
      <right style="thin">
        <color rgb="FF7F7F7F"/>
      </right>
      <top style="double">
        <color rgb="FF7F7F7F"/>
      </top>
      <bottom style="hair">
        <color rgb="FF7F7F7F"/>
      </bottom>
      <diagonal/>
    </border>
    <border>
      <left style="thin">
        <color rgb="FF7F7F7F"/>
      </left>
      <right style="double">
        <color rgb="FF7F7F7F"/>
      </right>
      <top style="double">
        <color rgb="FF7F7F7F"/>
      </top>
      <bottom style="hair">
        <color rgb="FF7F7F7F"/>
      </bottom>
      <diagonal/>
    </border>
    <border>
      <left style="double">
        <color rgb="FF7F7F7F"/>
      </left>
      <right style="thin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7F7F7F"/>
      </left>
      <right style="thin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7F7F7F"/>
      </left>
      <right style="double">
        <color rgb="FF7F7F7F"/>
      </right>
      <top style="hair">
        <color rgb="FF7F7F7F"/>
      </top>
      <bottom style="hair">
        <color rgb="FF7F7F7F"/>
      </bottom>
      <diagonal/>
    </border>
    <border>
      <left style="double">
        <color rgb="FF7F7F7F"/>
      </left>
      <right style="thin">
        <color rgb="FF7F7F7F"/>
      </right>
      <top style="hair">
        <color rgb="FF7F7F7F"/>
      </top>
      <bottom style="double">
        <color rgb="FF7F7F7F"/>
      </bottom>
      <diagonal/>
    </border>
    <border>
      <left style="thin">
        <color rgb="FF7F7F7F"/>
      </left>
      <right style="thin">
        <color rgb="FF7F7F7F"/>
      </right>
      <top style="hair">
        <color rgb="FF7F7F7F"/>
      </top>
      <bottom style="double">
        <color rgb="FF7F7F7F"/>
      </bottom>
      <diagonal/>
    </border>
    <border>
      <left style="thin">
        <color rgb="FF7F7F7F"/>
      </left>
      <right style="double">
        <color rgb="FF7F7F7F"/>
      </right>
      <top style="hair">
        <color rgb="FF7F7F7F"/>
      </top>
      <bottom style="double">
        <color rgb="FF7F7F7F"/>
      </bottom>
      <diagonal/>
    </border>
    <border>
      <left style="double">
        <color rgb="FFA5A5A5"/>
      </left>
      <right/>
      <top/>
      <bottom/>
      <diagonal/>
    </border>
    <border>
      <left style="double">
        <color rgb="FFA5A5A5"/>
      </left>
      <right/>
      <top/>
      <bottom/>
      <diagonal/>
    </border>
    <border>
      <left style="double">
        <color rgb="FF7F7F7F"/>
      </left>
      <right style="thin">
        <color rgb="FF7F7F7F"/>
      </right>
      <top style="double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double">
        <color rgb="FF7F7F7F"/>
      </top>
      <bottom style="thin">
        <color rgb="FF7F7F7F"/>
      </bottom>
      <diagonal/>
    </border>
    <border>
      <left style="double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double">
        <color rgb="FF7F7F7F"/>
      </right>
      <top/>
      <bottom style="thin">
        <color rgb="FF7F7F7F"/>
      </bottom>
      <diagonal/>
    </border>
    <border>
      <left style="double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7F7F7F"/>
      </left>
      <right style="double">
        <color rgb="FF7F7F7F"/>
      </right>
      <top/>
      <bottom style="thin">
        <color rgb="FF7F7F7F"/>
      </bottom>
      <diagonal/>
    </border>
    <border>
      <left style="double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double">
        <color rgb="FF7F7F7F"/>
      </right>
      <top style="thin">
        <color rgb="FF7F7F7F"/>
      </top>
      <bottom/>
      <diagonal/>
    </border>
    <border>
      <left style="double">
        <color rgb="FF7F7F7F"/>
      </left>
      <right style="thin">
        <color rgb="FF7F7F7F"/>
      </right>
      <top style="thin">
        <color rgb="FF7F7F7F"/>
      </top>
      <bottom style="double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rgb="FF7F7F7F"/>
      </bottom>
      <diagonal/>
    </border>
    <border>
      <left/>
      <right/>
      <top style="thin">
        <color rgb="FFA5A5A5"/>
      </top>
      <bottom/>
      <diagonal/>
    </border>
    <border>
      <left/>
      <right/>
      <top/>
      <bottom style="thin">
        <color rgb="FFA5A5A5"/>
      </bottom>
      <diagonal/>
    </border>
    <border>
      <left style="double">
        <color rgb="FF7F7F7F"/>
      </left>
      <right/>
      <top style="double">
        <color rgb="FF7F7F7F"/>
      </top>
      <bottom/>
      <diagonal/>
    </border>
    <border>
      <left/>
      <right style="thin">
        <color rgb="FF7F7F7F"/>
      </right>
      <top style="double">
        <color rgb="FF7F7F7F"/>
      </top>
      <bottom style="thin">
        <color rgb="FF7F7F7F"/>
      </bottom>
      <diagonal/>
    </border>
    <border>
      <left/>
      <right style="thin">
        <color rgb="FF7F7F7F"/>
      </right>
      <top style="double">
        <color rgb="FF7F7F7F"/>
      </top>
      <bottom/>
      <diagonal/>
    </border>
    <border>
      <left style="double">
        <color rgb="FF7F7F7F"/>
      </left>
      <right/>
      <top/>
      <bottom style="thin">
        <color rgb="FF7F7F7F"/>
      </bottom>
      <diagonal/>
    </border>
    <border>
      <left style="double">
        <color rgb="FF7F7F7F"/>
      </left>
      <right/>
      <top style="thin">
        <color rgb="FF7F7F7F"/>
      </top>
      <bottom/>
      <diagonal/>
    </border>
    <border>
      <left style="double">
        <color rgb="FF7F7F7F"/>
      </left>
      <right style="double">
        <color rgb="FF7F7F7F"/>
      </right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7F7F7F"/>
      </left>
      <right/>
      <top/>
      <bottom style="double">
        <color rgb="FF7F7F7F"/>
      </bottom>
      <diagonal/>
    </border>
    <border>
      <left/>
      <right style="thin">
        <color rgb="FF7F7F7F"/>
      </right>
      <top style="thin">
        <color rgb="FF7F7F7F"/>
      </top>
      <bottom style="double">
        <color rgb="FF7F7F7F"/>
      </bottom>
      <diagonal/>
    </border>
    <border>
      <left/>
      <right style="thin">
        <color rgb="FF7F7F7F"/>
      </right>
      <top/>
      <bottom style="double">
        <color rgb="FF7F7F7F"/>
      </bottom>
      <diagonal/>
    </border>
    <border>
      <left style="double">
        <color rgb="FF7F7F7F"/>
      </left>
      <right/>
      <top style="double">
        <color rgb="FF7F7F7F"/>
      </top>
      <bottom/>
      <diagonal/>
    </border>
    <border>
      <left style="double">
        <color rgb="FF7F7F7F"/>
      </left>
      <right/>
      <top/>
      <bottom/>
      <diagonal/>
    </border>
    <border>
      <left style="double">
        <color rgb="FF7F7F7F"/>
      </left>
      <right/>
      <top/>
      <bottom style="double">
        <color rgb="FF7F7F7F"/>
      </bottom>
      <diagonal/>
    </border>
    <border>
      <left style="double">
        <color rgb="FF7F7F7F"/>
      </left>
      <right style="double">
        <color rgb="FF7F7F7F"/>
      </right>
      <top/>
      <bottom/>
      <diagonal/>
    </border>
  </borders>
  <cellStyleXfs count="1">
    <xf numFmtId="0" fontId="0" fillId="0" borderId="0"/>
  </cellStyleXfs>
  <cellXfs count="282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2" fontId="1" fillId="0" borderId="16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2" fontId="1" fillId="0" borderId="17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2" fontId="1" fillId="0" borderId="19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2" fontId="1" fillId="0" borderId="2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/>
    <xf numFmtId="0" fontId="10" fillId="0" borderId="0" xfId="0" applyFont="1" applyAlignment="1">
      <alignment horizontal="center" vertical="center"/>
    </xf>
    <xf numFmtId="0" fontId="11" fillId="0" borderId="38" xfId="0" applyFont="1" applyBorder="1"/>
    <xf numFmtId="1" fontId="11" fillId="0" borderId="39" xfId="0" applyNumberFormat="1" applyFont="1" applyBorder="1" applyAlignment="1">
      <alignment horizontal="center"/>
    </xf>
    <xf numFmtId="2" fontId="12" fillId="0" borderId="40" xfId="0" applyNumberFormat="1" applyFont="1" applyBorder="1" applyAlignment="1">
      <alignment horizontal="center"/>
    </xf>
    <xf numFmtId="2" fontId="11" fillId="0" borderId="40" xfId="0" applyNumberFormat="1" applyFont="1" applyBorder="1" applyAlignment="1">
      <alignment horizontal="center"/>
    </xf>
    <xf numFmtId="2" fontId="11" fillId="0" borderId="41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16" fontId="1" fillId="0" borderId="40" xfId="0" applyNumberFormat="1" applyFont="1" applyBorder="1" applyAlignment="1">
      <alignment horizontal="center" vertical="center"/>
    </xf>
    <xf numFmtId="16" fontId="1" fillId="0" borderId="0" xfId="0" applyNumberFormat="1" applyFont="1" applyAlignment="1">
      <alignment horizontal="center" vertical="center"/>
    </xf>
    <xf numFmtId="0" fontId="11" fillId="0" borderId="39" xfId="0" applyFont="1" applyBorder="1" applyAlignment="1">
      <alignment horizontal="center"/>
    </xf>
    <xf numFmtId="16" fontId="1" fillId="0" borderId="0" xfId="0" applyNumberFormat="1" applyFont="1" applyAlignment="1">
      <alignment horizontal="center"/>
    </xf>
    <xf numFmtId="0" fontId="15" fillId="0" borderId="0" xfId="0" applyFont="1"/>
    <xf numFmtId="1" fontId="14" fillId="0" borderId="0" xfId="0" applyNumberFormat="1" applyFont="1" applyAlignment="1">
      <alignment horizontal="center" vertical="center"/>
    </xf>
    <xf numFmtId="0" fontId="16" fillId="0" borderId="0" xfId="0" applyFont="1"/>
    <xf numFmtId="2" fontId="11" fillId="0" borderId="40" xfId="0" applyNumberFormat="1" applyFont="1" applyBorder="1"/>
    <xf numFmtId="1" fontId="11" fillId="0" borderId="38" xfId="0" applyNumberFormat="1" applyFont="1" applyBorder="1" applyAlignment="1">
      <alignment horizontal="center"/>
    </xf>
    <xf numFmtId="2" fontId="11" fillId="0" borderId="42" xfId="0" applyNumberFormat="1" applyFont="1" applyBorder="1" applyAlignment="1">
      <alignment horizontal="center"/>
    </xf>
    <xf numFmtId="2" fontId="11" fillId="0" borderId="42" xfId="0" applyNumberFormat="1" applyFont="1" applyBorder="1"/>
    <xf numFmtId="2" fontId="11" fillId="0" borderId="38" xfId="0" applyNumberFormat="1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0" xfId="0" applyFont="1"/>
    <xf numFmtId="0" fontId="1" fillId="0" borderId="39" xfId="0" applyFont="1" applyBorder="1" applyAlignment="1">
      <alignment horizontal="center"/>
    </xf>
    <xf numFmtId="2" fontId="11" fillId="0" borderId="40" xfId="0" applyNumberFormat="1" applyFont="1" applyBorder="1" applyAlignment="1">
      <alignment horizontal="center"/>
    </xf>
    <xf numFmtId="0" fontId="1" fillId="0" borderId="40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8" fillId="0" borderId="0" xfId="0" applyFont="1"/>
    <xf numFmtId="2" fontId="1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21" fillId="3" borderId="59" xfId="0" applyNumberFormat="1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7" fillId="2" borderId="64" xfId="0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horizontal="center" vertical="center"/>
    </xf>
    <xf numFmtId="2" fontId="17" fillId="2" borderId="65" xfId="0" applyNumberFormat="1" applyFont="1" applyFill="1" applyBorder="1" applyAlignment="1">
      <alignment horizontal="center" vertical="center"/>
    </xf>
    <xf numFmtId="2" fontId="17" fillId="2" borderId="66" xfId="0" applyNumberFormat="1" applyFont="1" applyFill="1" applyBorder="1" applyAlignment="1">
      <alignment horizontal="center" vertical="center"/>
    </xf>
    <xf numFmtId="0" fontId="21" fillId="3" borderId="62" xfId="0" applyFont="1" applyFill="1" applyBorder="1" applyAlignment="1">
      <alignment horizontal="center" vertical="center"/>
    </xf>
    <xf numFmtId="0" fontId="17" fillId="2" borderId="67" xfId="0" applyFont="1" applyFill="1" applyBorder="1" applyAlignment="1">
      <alignment horizontal="center" vertical="center"/>
    </xf>
    <xf numFmtId="0" fontId="17" fillId="2" borderId="68" xfId="0" applyFont="1" applyFill="1" applyBorder="1" applyAlignment="1">
      <alignment horizontal="center" vertical="center"/>
    </xf>
    <xf numFmtId="0" fontId="17" fillId="2" borderId="69" xfId="0" applyFont="1" applyFill="1" applyBorder="1" applyAlignment="1">
      <alignment horizontal="center" vertical="center"/>
    </xf>
    <xf numFmtId="2" fontId="17" fillId="2" borderId="69" xfId="0" applyNumberFormat="1" applyFont="1" applyFill="1" applyBorder="1" applyAlignment="1">
      <alignment horizontal="center" vertical="center"/>
    </xf>
    <xf numFmtId="2" fontId="17" fillId="2" borderId="70" xfId="0" applyNumberFormat="1" applyFont="1" applyFill="1" applyBorder="1" applyAlignment="1">
      <alignment horizontal="center" vertical="center"/>
    </xf>
    <xf numFmtId="0" fontId="1" fillId="0" borderId="73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2" fontId="1" fillId="0" borderId="59" xfId="0" applyNumberFormat="1" applyFont="1" applyBorder="1" applyAlignment="1">
      <alignment horizontal="center" vertical="center"/>
    </xf>
    <xf numFmtId="1" fontId="1" fillId="0" borderId="13" xfId="0" applyNumberFormat="1" applyFont="1" applyBorder="1" applyAlignment="1">
      <alignment horizontal="center" vertical="center"/>
    </xf>
    <xf numFmtId="1" fontId="1" fillId="0" borderId="14" xfId="0" applyNumberFormat="1" applyFont="1" applyBorder="1" applyAlignment="1">
      <alignment horizontal="center" vertical="center"/>
    </xf>
    <xf numFmtId="2" fontId="1" fillId="0" borderId="75" xfId="0" applyNumberFormat="1" applyFont="1" applyBorder="1" applyAlignment="1">
      <alignment horizontal="center" vertical="center"/>
    </xf>
    <xf numFmtId="2" fontId="1" fillId="0" borderId="13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/>
    </xf>
    <xf numFmtId="2" fontId="1" fillId="0" borderId="16" xfId="0" applyNumberFormat="1" applyFont="1" applyBorder="1" applyAlignment="1">
      <alignment horizontal="center" vertical="center"/>
    </xf>
    <xf numFmtId="2" fontId="1" fillId="0" borderId="0" xfId="0" applyNumberFormat="1" applyFont="1"/>
    <xf numFmtId="0" fontId="1" fillId="0" borderId="76" xfId="0" applyFont="1" applyBorder="1" applyAlignment="1">
      <alignment horizontal="center" vertical="center"/>
    </xf>
    <xf numFmtId="2" fontId="1" fillId="0" borderId="61" xfId="0" applyNumberFormat="1" applyFon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/>
    </xf>
    <xf numFmtId="2" fontId="1" fillId="0" borderId="77" xfId="0" applyNumberFormat="1" applyFont="1" applyBorder="1" applyAlignment="1">
      <alignment horizontal="center" vertical="center"/>
    </xf>
    <xf numFmtId="2" fontId="22" fillId="0" borderId="17" xfId="0" applyNumberFormat="1" applyFont="1" applyBorder="1" applyAlignment="1">
      <alignment horizontal="center" vertical="center"/>
    </xf>
    <xf numFmtId="0" fontId="1" fillId="0" borderId="78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79" xfId="0" applyFont="1" applyBorder="1" applyAlignment="1">
      <alignment horizontal="center" vertical="center"/>
    </xf>
    <xf numFmtId="2" fontId="1" fillId="0" borderId="80" xfId="0" applyNumberFormat="1" applyFont="1" applyBorder="1" applyAlignment="1">
      <alignment horizontal="center" vertical="center"/>
    </xf>
    <xf numFmtId="2" fontId="1" fillId="0" borderId="19" xfId="0" applyNumberFormat="1" applyFont="1" applyBorder="1" applyAlignment="1">
      <alignment horizontal="center" vertical="center"/>
    </xf>
    <xf numFmtId="1" fontId="1" fillId="0" borderId="19" xfId="0" applyNumberFormat="1" applyFont="1" applyBorder="1" applyAlignment="1">
      <alignment horizontal="center" vertical="center"/>
    </xf>
    <xf numFmtId="2" fontId="22" fillId="0" borderId="20" xfId="0" applyNumberFormat="1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1" fillId="0" borderId="81" xfId="0" applyFont="1" applyBorder="1" applyAlignment="1">
      <alignment horizontal="center"/>
    </xf>
    <xf numFmtId="0" fontId="1" fillId="0" borderId="82" xfId="0" applyFont="1" applyBorder="1" applyAlignment="1">
      <alignment horizontal="center"/>
    </xf>
    <xf numFmtId="0" fontId="1" fillId="0" borderId="83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0" fontId="1" fillId="0" borderId="85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" fillId="0" borderId="89" xfId="0" applyFont="1" applyBorder="1" applyAlignment="1">
      <alignment horizontal="center"/>
    </xf>
    <xf numFmtId="0" fontId="1" fillId="0" borderId="90" xfId="0" applyFont="1" applyBorder="1" applyAlignment="1">
      <alignment horizontal="center"/>
    </xf>
    <xf numFmtId="1" fontId="1" fillId="0" borderId="89" xfId="0" applyNumberFormat="1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23" fillId="0" borderId="0" xfId="0" applyFont="1"/>
    <xf numFmtId="0" fontId="2" fillId="0" borderId="92" xfId="0" applyFont="1" applyBorder="1" applyAlignment="1">
      <alignment vertical="center"/>
    </xf>
    <xf numFmtId="0" fontId="1" fillId="0" borderId="100" xfId="0" applyFont="1" applyBorder="1" applyAlignment="1">
      <alignment horizontal="center" vertical="center"/>
    </xf>
    <xf numFmtId="2" fontId="1" fillId="0" borderId="101" xfId="0" applyNumberFormat="1" applyFont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2" fontId="1" fillId="0" borderId="102" xfId="0" applyNumberFormat="1" applyFont="1" applyBorder="1" applyAlignment="1">
      <alignment horizontal="center" vertical="center"/>
    </xf>
    <xf numFmtId="0" fontId="1" fillId="0" borderId="103" xfId="0" applyFont="1" applyBorder="1" applyAlignment="1">
      <alignment horizontal="center" vertical="center"/>
    </xf>
    <xf numFmtId="2" fontId="1" fillId="0" borderId="104" xfId="0" applyNumberFormat="1" applyFont="1" applyBorder="1" applyAlignment="1">
      <alignment horizontal="center" vertical="center"/>
    </xf>
    <xf numFmtId="0" fontId="1" fillId="0" borderId="104" xfId="0" applyFont="1" applyBorder="1" applyAlignment="1">
      <alignment horizontal="center" vertical="center"/>
    </xf>
    <xf numFmtId="2" fontId="1" fillId="0" borderId="105" xfId="0" applyNumberFormat="1" applyFont="1" applyBorder="1" applyAlignment="1">
      <alignment horizontal="center" vertical="center"/>
    </xf>
    <xf numFmtId="0" fontId="1" fillId="0" borderId="106" xfId="0" applyFont="1" applyBorder="1" applyAlignment="1">
      <alignment horizontal="center" vertical="center"/>
    </xf>
    <xf numFmtId="2" fontId="1" fillId="0" borderId="107" xfId="0" applyNumberFormat="1" applyFont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2" fontId="1" fillId="0" borderId="108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2" fontId="1" fillId="0" borderId="111" xfId="0" applyNumberFormat="1" applyFont="1" applyBorder="1" applyAlignment="1">
      <alignment horizontal="center" vertical="center"/>
    </xf>
    <xf numFmtId="2" fontId="1" fillId="0" borderId="112" xfId="0" applyNumberFormat="1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1" fillId="0" borderId="119" xfId="0" applyFont="1" applyBorder="1" applyAlignment="1">
      <alignment horizontal="center" vertical="center"/>
    </xf>
    <xf numFmtId="0" fontId="1" fillId="0" borderId="120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11" fillId="0" borderId="124" xfId="0" applyNumberFormat="1" applyFont="1" applyBorder="1" applyAlignment="1">
      <alignment horizontal="center"/>
    </xf>
    <xf numFmtId="2" fontId="11" fillId="0" borderId="112" xfId="0" applyNumberFormat="1" applyFont="1" applyBorder="1" applyAlignment="1">
      <alignment horizontal="center"/>
    </xf>
    <xf numFmtId="2" fontId="11" fillId="0" borderId="129" xfId="0" applyNumberFormat="1" applyFont="1" applyBorder="1" applyAlignment="1">
      <alignment horizontal="center"/>
    </xf>
    <xf numFmtId="2" fontId="11" fillId="0" borderId="131" xfId="0" applyNumberFormat="1" applyFont="1" applyBorder="1" applyAlignment="1">
      <alignment horizontal="center"/>
    </xf>
    <xf numFmtId="2" fontId="11" fillId="0" borderId="120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0" fillId="0" borderId="0" xfId="0" applyFont="1" applyAlignment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5" fillId="2" borderId="9" xfId="0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5" fillId="2" borderId="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3" fillId="0" borderId="42" xfId="0" applyFont="1" applyBorder="1"/>
    <xf numFmtId="2" fontId="13" fillId="0" borderId="37" xfId="0" applyNumberFormat="1" applyFont="1" applyBorder="1" applyAlignment="1">
      <alignment horizontal="center" vertical="center"/>
    </xf>
    <xf numFmtId="2" fontId="14" fillId="0" borderId="37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1" fontId="11" fillId="0" borderId="37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3" fillId="0" borderId="33" xfId="0" applyFont="1" applyBorder="1"/>
    <xf numFmtId="0" fontId="10" fillId="0" borderId="30" xfId="0" applyFont="1" applyBorder="1" applyAlignment="1">
      <alignment horizontal="center" vertical="center"/>
    </xf>
    <xf numFmtId="0" fontId="3" fillId="0" borderId="31" xfId="0" applyFont="1" applyBorder="1"/>
    <xf numFmtId="0" fontId="3" fillId="0" borderId="32" xfId="0" applyFont="1" applyBorder="1"/>
    <xf numFmtId="0" fontId="3" fillId="0" borderId="34" xfId="0" applyFont="1" applyBorder="1"/>
    <xf numFmtId="0" fontId="3" fillId="0" borderId="35" xfId="0" applyFont="1" applyBorder="1"/>
    <xf numFmtId="0" fontId="3" fillId="0" borderId="36" xfId="0" applyFont="1" applyBorder="1"/>
    <xf numFmtId="0" fontId="10" fillId="0" borderId="37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3" fillId="0" borderId="44" xfId="0" applyFont="1" applyBorder="1"/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0" fontId="11" fillId="7" borderId="37" xfId="0" applyFont="1" applyFill="1" applyBorder="1" applyAlignment="1">
      <alignment horizontal="center" vertical="center"/>
    </xf>
    <xf numFmtId="0" fontId="3" fillId="8" borderId="42" xfId="0" applyFont="1" applyFill="1" applyBorder="1"/>
    <xf numFmtId="0" fontId="17" fillId="2" borderId="53" xfId="0" applyFont="1" applyFill="1" applyBorder="1" applyAlignment="1">
      <alignment horizontal="center" vertical="center"/>
    </xf>
    <xf numFmtId="0" fontId="3" fillId="0" borderId="57" xfId="0" applyFont="1" applyBorder="1"/>
    <xf numFmtId="0" fontId="17" fillId="2" borderId="54" xfId="0" applyFont="1" applyFill="1" applyBorder="1" applyAlignment="1">
      <alignment horizontal="center" vertical="center"/>
    </xf>
    <xf numFmtId="0" fontId="3" fillId="0" borderId="58" xfId="0" applyFont="1" applyBorder="1"/>
    <xf numFmtId="0" fontId="3" fillId="0" borderId="49" xfId="0" applyFont="1" applyBorder="1"/>
    <xf numFmtId="0" fontId="3" fillId="0" borderId="50" xfId="0" applyFont="1" applyBorder="1"/>
    <xf numFmtId="0" fontId="17" fillId="2" borderId="51" xfId="0" applyFont="1" applyFill="1" applyBorder="1" applyAlignment="1">
      <alignment horizontal="center" vertical="center"/>
    </xf>
    <xf numFmtId="0" fontId="3" fillId="0" borderId="55" xfId="0" applyFont="1" applyBorder="1"/>
    <xf numFmtId="0" fontId="17" fillId="2" borderId="52" xfId="0" applyFont="1" applyFill="1" applyBorder="1" applyAlignment="1">
      <alignment horizontal="center" vertical="center"/>
    </xf>
    <xf numFmtId="0" fontId="3" fillId="0" borderId="56" xfId="0" applyFont="1" applyBorder="1"/>
    <xf numFmtId="2" fontId="17" fillId="4" borderId="53" xfId="0" applyNumberFormat="1" applyFont="1" applyFill="1" applyBorder="1" applyAlignment="1">
      <alignment horizontal="center" vertical="center"/>
    </xf>
    <xf numFmtId="0" fontId="3" fillId="0" borderId="72" xfId="0" applyFont="1" applyBorder="1"/>
    <xf numFmtId="2" fontId="7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17" fillId="4" borderId="52" xfId="0" applyNumberFormat="1" applyFont="1" applyFill="1" applyBorder="1" applyAlignment="1">
      <alignment horizontal="center" vertical="center"/>
    </xf>
    <xf numFmtId="0" fontId="3" fillId="0" borderId="71" xfId="0" applyFont="1" applyBorder="1"/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7" fillId="2" borderId="94" xfId="0" applyFont="1" applyFill="1" applyBorder="1" applyAlignment="1">
      <alignment horizontal="center" vertical="center"/>
    </xf>
    <xf numFmtId="0" fontId="3" fillId="0" borderId="97" xfId="0" applyFont="1" applyBorder="1"/>
    <xf numFmtId="0" fontId="17" fillId="2" borderId="95" xfId="0" applyFont="1" applyFill="1" applyBorder="1" applyAlignment="1">
      <alignment horizontal="center" vertical="center"/>
    </xf>
    <xf numFmtId="0" fontId="3" fillId="0" borderId="98" xfId="0" applyFont="1" applyBorder="1"/>
    <xf numFmtId="0" fontId="17" fillId="0" borderId="0" xfId="0" applyFont="1" applyAlignment="1">
      <alignment horizontal="center" vertical="center"/>
    </xf>
    <xf numFmtId="0" fontId="17" fillId="2" borderId="96" xfId="0" applyFont="1" applyFill="1" applyBorder="1" applyAlignment="1">
      <alignment horizontal="center" vertical="center"/>
    </xf>
    <xf numFmtId="0" fontId="3" fillId="0" borderId="99" xfId="0" applyFont="1" applyBorder="1"/>
    <xf numFmtId="0" fontId="2" fillId="2" borderId="91" xfId="0" applyFont="1" applyFill="1" applyBorder="1" applyAlignment="1">
      <alignment horizontal="center" vertical="center"/>
    </xf>
    <xf numFmtId="0" fontId="3" fillId="0" borderId="93" xfId="0" applyFont="1" applyBorder="1"/>
    <xf numFmtId="0" fontId="1" fillId="0" borderId="0" xfId="0" applyFont="1" applyAlignment="1">
      <alignment horizontal="center" vertical="center"/>
    </xf>
    <xf numFmtId="0" fontId="1" fillId="0" borderId="118" xfId="0" applyFont="1" applyBorder="1" applyAlignment="1">
      <alignment horizontal="center" vertical="center"/>
    </xf>
    <xf numFmtId="0" fontId="3" fillId="0" borderId="114" xfId="0" applyFont="1" applyBorder="1"/>
    <xf numFmtId="2" fontId="1" fillId="0" borderId="51" xfId="0" applyNumberFormat="1" applyFont="1" applyBorder="1" applyAlignment="1">
      <alignment horizontal="center" vertical="center"/>
    </xf>
    <xf numFmtId="0" fontId="3" fillId="0" borderId="116" xfId="0" applyFont="1" applyBorder="1"/>
    <xf numFmtId="0" fontId="2" fillId="2" borderId="109" xfId="0" applyFont="1" applyFill="1" applyBorder="1" applyAlignment="1">
      <alignment horizontal="center" vertical="center"/>
    </xf>
    <xf numFmtId="0" fontId="3" fillId="0" borderId="110" xfId="0" applyFont="1" applyBorder="1"/>
    <xf numFmtId="0" fontId="1" fillId="0" borderId="94" xfId="0" applyFont="1" applyBorder="1" applyAlignment="1">
      <alignment horizontal="center" vertical="center"/>
    </xf>
    <xf numFmtId="0" fontId="3" fillId="0" borderId="113" xfId="0" applyFont="1" applyBorder="1"/>
    <xf numFmtId="0" fontId="1" fillId="0" borderId="95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1" fillId="0" borderId="117" xfId="0" applyFont="1" applyBorder="1" applyAlignment="1">
      <alignment horizontal="center" vertical="center"/>
    </xf>
    <xf numFmtId="2" fontId="1" fillId="0" borderId="37" xfId="0" applyNumberFormat="1" applyFont="1" applyBorder="1" applyAlignment="1">
      <alignment horizontal="center" vertical="center"/>
    </xf>
    <xf numFmtId="2" fontId="11" fillId="0" borderId="37" xfId="0" applyNumberFormat="1" applyFont="1" applyBorder="1" applyAlignment="1">
      <alignment horizontal="center" vertical="center"/>
    </xf>
    <xf numFmtId="2" fontId="11" fillId="0" borderId="118" xfId="0" applyNumberFormat="1" applyFont="1" applyBorder="1" applyAlignment="1">
      <alignment horizontal="center" vertical="center"/>
    </xf>
    <xf numFmtId="2" fontId="1" fillId="0" borderId="117" xfId="0" applyNumberFormat="1" applyFont="1" applyBorder="1" applyAlignment="1">
      <alignment horizontal="center" vertical="center"/>
    </xf>
    <xf numFmtId="1" fontId="1" fillId="0" borderId="37" xfId="0" applyNumberFormat="1" applyFont="1" applyBorder="1" applyAlignment="1">
      <alignment horizontal="center" vertical="center"/>
    </xf>
    <xf numFmtId="2" fontId="1" fillId="0" borderId="118" xfId="0" applyNumberFormat="1" applyFont="1" applyBorder="1" applyAlignment="1">
      <alignment horizontal="center" vertical="center"/>
    </xf>
    <xf numFmtId="1" fontId="11" fillId="0" borderId="45" xfId="0" applyNumberFormat="1" applyFont="1" applyBorder="1" applyAlignment="1">
      <alignment horizontal="center" vertical="center"/>
    </xf>
    <xf numFmtId="0" fontId="11" fillId="0" borderId="118" xfId="0" applyFont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/>
    </xf>
    <xf numFmtId="1" fontId="11" fillId="0" borderId="118" xfId="0" applyNumberFormat="1" applyFont="1" applyBorder="1" applyAlignment="1">
      <alignment horizontal="center" vertical="center"/>
    </xf>
    <xf numFmtId="1" fontId="11" fillId="0" borderId="95" xfId="0" applyNumberFormat="1" applyFont="1" applyBorder="1" applyAlignment="1">
      <alignment horizontal="center" vertical="center"/>
    </xf>
    <xf numFmtId="2" fontId="11" fillId="0" borderId="95" xfId="0" applyNumberFormat="1" applyFont="1" applyBorder="1" applyAlignment="1">
      <alignment horizontal="center" vertical="center"/>
    </xf>
    <xf numFmtId="2" fontId="11" fillId="0" borderId="96" xfId="0" applyNumberFormat="1" applyFont="1" applyBorder="1" applyAlignment="1">
      <alignment horizontal="center" vertical="center"/>
    </xf>
    <xf numFmtId="0" fontId="11" fillId="0" borderId="94" xfId="0" applyFont="1" applyBorder="1" applyAlignment="1">
      <alignment horizontal="center" vertical="center"/>
    </xf>
    <xf numFmtId="0" fontId="11" fillId="0" borderId="95" xfId="0" applyFont="1" applyBorder="1" applyAlignment="1">
      <alignment horizontal="center" vertical="center"/>
    </xf>
    <xf numFmtId="1" fontId="11" fillId="0" borderId="96" xfId="0" applyNumberFormat="1" applyFont="1" applyBorder="1" applyAlignment="1">
      <alignment horizontal="center" vertical="center"/>
    </xf>
    <xf numFmtId="2" fontId="1" fillId="6" borderId="128" xfId="0" applyNumberFormat="1" applyFont="1" applyFill="1" applyBorder="1" applyAlignment="1">
      <alignment horizontal="center" vertical="center"/>
    </xf>
    <xf numFmtId="2" fontId="1" fillId="6" borderId="51" xfId="0" applyNumberFormat="1" applyFont="1" applyFill="1" applyBorder="1" applyAlignment="1">
      <alignment horizontal="center" vertical="center"/>
    </xf>
    <xf numFmtId="0" fontId="3" fillId="0" borderId="132" xfId="0" applyFont="1" applyBorder="1"/>
    <xf numFmtId="1" fontId="11" fillId="0" borderId="125" xfId="0" applyNumberFormat="1" applyFont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/>
    </xf>
    <xf numFmtId="0" fontId="1" fillId="5" borderId="51" xfId="0" applyFont="1" applyFill="1" applyBorder="1" applyAlignment="1">
      <alignment horizontal="center" vertical="center" textRotation="90"/>
    </xf>
    <xf numFmtId="0" fontId="3" fillId="0" borderId="78" xfId="0" applyFont="1" applyBorder="1"/>
    <xf numFmtId="0" fontId="1" fillId="5" borderId="133" xfId="0" applyFont="1" applyFill="1" applyBorder="1" applyAlignment="1">
      <alignment horizontal="center" vertical="center" textRotation="90"/>
    </xf>
    <xf numFmtId="0" fontId="3" fillId="0" borderId="134" xfId="0" applyFont="1" applyBorder="1"/>
    <xf numFmtId="0" fontId="3" fillId="0" borderId="135" xfId="0" applyFont="1" applyBorder="1"/>
    <xf numFmtId="0" fontId="1" fillId="5" borderId="136" xfId="0" applyFont="1" applyFill="1" applyBorder="1" applyAlignment="1">
      <alignment horizontal="center" vertical="center" textRotation="90"/>
    </xf>
    <xf numFmtId="0" fontId="11" fillId="0" borderId="127" xfId="0" applyFont="1" applyBorder="1" applyAlignment="1">
      <alignment horizontal="center" vertical="center"/>
    </xf>
    <xf numFmtId="0" fontId="3" fillId="0" borderId="126" xfId="0" applyFont="1" applyBorder="1"/>
    <xf numFmtId="0" fontId="11" fillId="0" borderId="123" xfId="0" applyFont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3" fillId="0" borderId="121" xfId="0" applyFont="1" applyBorder="1"/>
    <xf numFmtId="0" fontId="3" fillId="0" borderId="122" xfId="0" applyFont="1" applyBorder="1"/>
    <xf numFmtId="0" fontId="3" fillId="0" borderId="130" xfId="0" applyFont="1" applyBorder="1"/>
    <xf numFmtId="2" fontId="1" fillId="0" borderId="95" xfId="0" applyNumberFormat="1" applyFont="1" applyBorder="1" applyAlignment="1">
      <alignment horizontal="center" vertical="center"/>
    </xf>
    <xf numFmtId="1" fontId="1" fillId="0" borderId="95" xfId="0" applyNumberFormat="1" applyFont="1" applyBorder="1" applyAlignment="1">
      <alignment horizontal="center" vertical="center"/>
    </xf>
    <xf numFmtId="2" fontId="1" fillId="0" borderId="96" xfId="0" applyNumberFormat="1" applyFont="1" applyBorder="1" applyAlignment="1">
      <alignment horizontal="center" vertical="center"/>
    </xf>
    <xf numFmtId="2" fontId="1" fillId="0" borderId="94" xfId="0" applyNumberFormat="1" applyFont="1" applyBorder="1" applyAlignment="1">
      <alignment horizontal="center" vertical="center"/>
    </xf>
  </cellXfs>
  <cellStyles count="1">
    <cellStyle name="Normal" xfId="0" builtinId="0"/>
  </cellStyles>
  <dxfs count="155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548135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33333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'League Table'!$D$8:$D$21</c:f>
              <c:strCache>
                <c:ptCount val="14"/>
                <c:pt idx="0">
                  <c:v>Lytchett</c:v>
                </c:pt>
                <c:pt idx="1">
                  <c:v>Christchurch</c:v>
                </c:pt>
                <c:pt idx="2">
                  <c:v>Dorchester</c:v>
                </c:pt>
                <c:pt idx="3">
                  <c:v>Poole</c:v>
                </c:pt>
                <c:pt idx="4">
                  <c:v>Swanage</c:v>
                </c:pt>
                <c:pt idx="5">
                  <c:v>Alderholt</c:v>
                </c:pt>
                <c:pt idx="6">
                  <c:v>Bridport</c:v>
                </c:pt>
                <c:pt idx="7">
                  <c:v>Parkstone</c:v>
                </c:pt>
                <c:pt idx="8">
                  <c:v>Boscombe</c:v>
                </c:pt>
                <c:pt idx="9">
                  <c:v>Shaftesbury</c:v>
                </c:pt>
                <c:pt idx="10">
                  <c:v>Bournemouth</c:v>
                </c:pt>
                <c:pt idx="11">
                  <c:v>Weymouth</c:v>
                </c:pt>
                <c:pt idx="12">
                  <c:v>Portland</c:v>
                </c:pt>
                <c:pt idx="13">
                  <c:v>Alderney</c:v>
                </c:pt>
              </c:strCache>
            </c:strRef>
          </c:cat>
          <c:val>
            <c:numRef>
              <c:f>'League Table'!$L$8:$L$21</c:f>
              <c:numCache>
                <c:formatCode>General</c:formatCode>
                <c:ptCount val="14"/>
                <c:pt idx="0">
                  <c:v>52</c:v>
                </c:pt>
                <c:pt idx="1">
                  <c:v>39</c:v>
                </c:pt>
                <c:pt idx="2">
                  <c:v>27</c:v>
                </c:pt>
                <c:pt idx="3">
                  <c:v>33</c:v>
                </c:pt>
                <c:pt idx="4">
                  <c:v>27</c:v>
                </c:pt>
                <c:pt idx="5">
                  <c:v>27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31</c:v>
                </c:pt>
                <c:pt idx="10">
                  <c:v>18</c:v>
                </c:pt>
                <c:pt idx="11">
                  <c:v>32</c:v>
                </c:pt>
                <c:pt idx="12">
                  <c:v>11</c:v>
                </c:pt>
                <c:pt idx="13">
                  <c:v>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23F-4957-99B9-94966687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50076"/>
        <c:axId val="1614496347"/>
      </c:barChart>
      <c:catAx>
        <c:axId val="1705500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14496347"/>
        <c:crosses val="autoZero"/>
        <c:auto val="1"/>
        <c:lblAlgn val="ctr"/>
        <c:lblOffset val="100"/>
        <c:noMultiLvlLbl val="1"/>
      </c:catAx>
      <c:valAx>
        <c:axId val="16144963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055007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26</xdr:row>
      <xdr:rowOff>19050</xdr:rowOff>
    </xdr:from>
    <xdr:ext cx="6315075" cy="2476500"/>
    <xdr:graphicFrame macro="">
      <xdr:nvGraphicFramePr>
        <xdr:cNvPr id="20893361" name="Chart 1" descr="Chart 0">
          <a:extLst>
            <a:ext uri="{FF2B5EF4-FFF2-40B4-BE49-F238E27FC236}">
              <a16:creationId xmlns:a16="http://schemas.microsoft.com/office/drawing/2014/main" id="{00000000-0008-0000-0000-0000B1CE3E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114300</xdr:colOff>
      <xdr:row>8</xdr:row>
      <xdr:rowOff>95250</xdr:rowOff>
    </xdr:from>
    <xdr:ext cx="1495425" cy="52101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03050" y="1179675"/>
          <a:ext cx="1485900" cy="5200650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190500</xdr:colOff>
      <xdr:row>7</xdr:row>
      <xdr:rowOff>0</xdr:rowOff>
    </xdr:from>
    <xdr:ext cx="1343025" cy="2190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679250" y="3675225"/>
          <a:ext cx="1333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95250</xdr:rowOff>
    </xdr:from>
    <xdr:ext cx="1485900" cy="3333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607813" y="3618075"/>
          <a:ext cx="1476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85725</xdr:rowOff>
    </xdr:from>
    <xdr:ext cx="1485900" cy="2095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30</xdr:row>
      <xdr:rowOff>0</xdr:rowOff>
    </xdr:from>
    <xdr:ext cx="1485900" cy="3143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607813" y="3627600"/>
          <a:ext cx="14763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114300</xdr:rowOff>
    </xdr:from>
    <xdr:ext cx="1485900" cy="2190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607813" y="3675225"/>
          <a:ext cx="147637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485900" cy="2095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28575</xdr:rowOff>
    </xdr:from>
    <xdr:ext cx="1485900" cy="2095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15</xdr:row>
      <xdr:rowOff>57150</xdr:rowOff>
    </xdr:from>
    <xdr:ext cx="1485900" cy="2000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607813" y="3684750"/>
          <a:ext cx="147637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85725</xdr:rowOff>
    </xdr:from>
    <xdr:ext cx="1485900" cy="2095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0</xdr:rowOff>
    </xdr:from>
    <xdr:ext cx="1485900" cy="2095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20</xdr:row>
      <xdr:rowOff>19050</xdr:rowOff>
    </xdr:from>
    <xdr:ext cx="1485900" cy="2000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607813" y="3684750"/>
          <a:ext cx="147637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19</xdr:row>
      <xdr:rowOff>9525</xdr:rowOff>
    </xdr:from>
    <xdr:ext cx="1485900" cy="2095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0</xdr:rowOff>
    </xdr:from>
    <xdr:ext cx="1485900" cy="2095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21</xdr:row>
      <xdr:rowOff>47625</xdr:rowOff>
    </xdr:from>
    <xdr:ext cx="1485900" cy="219075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607813" y="3675225"/>
          <a:ext cx="147637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22</xdr:row>
      <xdr:rowOff>95250</xdr:rowOff>
    </xdr:from>
    <xdr:ext cx="1485900" cy="209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23</xdr:row>
      <xdr:rowOff>123825</xdr:rowOff>
    </xdr:from>
    <xdr:ext cx="1476375" cy="21907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612575" y="3675225"/>
          <a:ext cx="14668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0</xdr:rowOff>
    </xdr:from>
    <xdr:ext cx="1485900" cy="2095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32</xdr:row>
      <xdr:rowOff>85725</xdr:rowOff>
    </xdr:from>
    <xdr:ext cx="1485900" cy="20002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607813" y="3684750"/>
          <a:ext cx="147637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34</xdr:row>
      <xdr:rowOff>0</xdr:rowOff>
    </xdr:from>
    <xdr:ext cx="1485900" cy="200025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607813" y="3684750"/>
          <a:ext cx="147637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36</xdr:row>
      <xdr:rowOff>38100</xdr:rowOff>
    </xdr:from>
    <xdr:ext cx="1485900" cy="20955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37</xdr:row>
      <xdr:rowOff>85725</xdr:rowOff>
    </xdr:from>
    <xdr:ext cx="1485900" cy="209550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35</xdr:row>
      <xdr:rowOff>0</xdr:rowOff>
    </xdr:from>
    <xdr:ext cx="1485900" cy="20955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607813" y="3679988"/>
          <a:ext cx="14763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Results</a:t>
          </a:r>
          <a:endParaRPr sz="1400"/>
        </a:p>
      </xdr:txBody>
    </xdr:sp>
    <xdr:clientData fLocksWithSheet="0"/>
  </xdr:oneCellAnchor>
  <xdr:oneCellAnchor>
    <xdr:from>
      <xdr:col>0</xdr:col>
      <xdr:colOff>161925</xdr:colOff>
      <xdr:row>0</xdr:row>
      <xdr:rowOff>152400</xdr:rowOff>
    </xdr:from>
    <xdr:ext cx="1476375" cy="857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197" name="Shape 197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104775</xdr:rowOff>
    </xdr:from>
    <xdr:ext cx="1209675" cy="314325"/>
    <xdr:sp macro="" textlink="">
      <xdr:nvSpPr>
        <xdr:cNvPr id="198" name="Shape 198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47625</xdr:rowOff>
    </xdr:from>
    <xdr:ext cx="1209675" cy="209550"/>
    <xdr:sp macro="" textlink="">
      <xdr:nvSpPr>
        <xdr:cNvPr id="199" name="Shape 199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85725</xdr:rowOff>
    </xdr:from>
    <xdr:ext cx="1209675" cy="314325"/>
    <xdr:sp macro="" textlink="">
      <xdr:nvSpPr>
        <xdr:cNvPr id="200" name="Shape 200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28575</xdr:rowOff>
    </xdr:from>
    <xdr:ext cx="1209675" cy="228600"/>
    <xdr:sp macro="" textlink="">
      <xdr:nvSpPr>
        <xdr:cNvPr id="201" name="Shape 201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19050</xdr:rowOff>
    </xdr:from>
    <xdr:ext cx="1209675" cy="219075"/>
    <xdr:sp macro="" textlink="">
      <xdr:nvSpPr>
        <xdr:cNvPr id="202" name="Shape 202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9525</xdr:rowOff>
    </xdr:from>
    <xdr:ext cx="1209675" cy="219075"/>
    <xdr:sp macro="" textlink="">
      <xdr:nvSpPr>
        <xdr:cNvPr id="203" name="Shape 203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0</xdr:rowOff>
    </xdr:from>
    <xdr:ext cx="1209675" cy="209550"/>
    <xdr:sp macro="" textlink="">
      <xdr:nvSpPr>
        <xdr:cNvPr id="204" name="Shape 204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205" name="Shape 205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206" name="Shape 206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152400</xdr:rowOff>
    </xdr:from>
    <xdr:ext cx="1209675" cy="209550"/>
    <xdr:sp macro="" textlink="">
      <xdr:nvSpPr>
        <xdr:cNvPr id="207" name="Shape 207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0</xdr:rowOff>
    </xdr:from>
    <xdr:ext cx="1209675" cy="209550"/>
    <xdr:sp macro="" textlink="">
      <xdr:nvSpPr>
        <xdr:cNvPr id="208" name="Shape 208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19</xdr:row>
      <xdr:rowOff>76200</xdr:rowOff>
    </xdr:from>
    <xdr:ext cx="1209675" cy="219075"/>
    <xdr:sp macro="" textlink="">
      <xdr:nvSpPr>
        <xdr:cNvPr id="209" name="Shape 209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142875</xdr:rowOff>
    </xdr:from>
    <xdr:ext cx="1209675" cy="219075"/>
    <xdr:sp macro="" textlink="">
      <xdr:nvSpPr>
        <xdr:cNvPr id="210" name="Shape 210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133350</xdr:rowOff>
    </xdr:from>
    <xdr:ext cx="1209675" cy="219075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114300</xdr:rowOff>
    </xdr:from>
    <xdr:ext cx="1209675" cy="228600"/>
    <xdr:sp macro="" textlink="">
      <xdr:nvSpPr>
        <xdr:cNvPr id="212" name="Shape 212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104775</xdr:rowOff>
    </xdr:from>
    <xdr:ext cx="1209675" cy="219075"/>
    <xdr:sp macro="" textlink="">
      <xdr:nvSpPr>
        <xdr:cNvPr id="213" name="Shape 213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123825</xdr:rowOff>
    </xdr:from>
    <xdr:ext cx="1209675" cy="219075"/>
    <xdr:sp macro="" textlink="">
      <xdr:nvSpPr>
        <xdr:cNvPr id="214" name="Shape 214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104775</xdr:rowOff>
    </xdr:from>
    <xdr:ext cx="1209675" cy="219075"/>
    <xdr:sp macro="" textlink="">
      <xdr:nvSpPr>
        <xdr:cNvPr id="215" name="Shape 215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85725</xdr:rowOff>
    </xdr:from>
    <xdr:ext cx="1209675" cy="219075"/>
    <xdr:sp macro="" textlink="">
      <xdr:nvSpPr>
        <xdr:cNvPr id="216" name="Shape 216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85725</xdr:rowOff>
    </xdr:from>
    <xdr:ext cx="1209675" cy="219075"/>
    <xdr:sp macro="" textlink="">
      <xdr:nvSpPr>
        <xdr:cNvPr id="217" name="Shape 217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104775</xdr:rowOff>
    </xdr:from>
    <xdr:ext cx="1200150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218" name="Shape 218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114300</xdr:rowOff>
    </xdr:from>
    <xdr:ext cx="1209675" cy="304800"/>
    <xdr:sp macro="" textlink="">
      <xdr:nvSpPr>
        <xdr:cNvPr id="219" name="Shape 219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57150</xdr:rowOff>
    </xdr:from>
    <xdr:ext cx="1209675" cy="228600"/>
    <xdr:sp macro="" textlink="">
      <xdr:nvSpPr>
        <xdr:cNvPr id="220" name="Shape 220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104775</xdr:rowOff>
    </xdr:from>
    <xdr:ext cx="1209675" cy="295275"/>
    <xdr:sp macro="" textlink="">
      <xdr:nvSpPr>
        <xdr:cNvPr id="221" name="Shape 221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47625</xdr:rowOff>
    </xdr:from>
    <xdr:ext cx="1209675" cy="219075"/>
    <xdr:sp macro="" textlink="">
      <xdr:nvSpPr>
        <xdr:cNvPr id="222" name="Shape 222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28575</xdr:rowOff>
    </xdr:from>
    <xdr:ext cx="1209675" cy="228600"/>
    <xdr:sp macro="" textlink="">
      <xdr:nvSpPr>
        <xdr:cNvPr id="223" name="Shape 223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19050</xdr:rowOff>
    </xdr:from>
    <xdr:ext cx="1209675" cy="228600"/>
    <xdr:sp macro="" textlink="">
      <xdr:nvSpPr>
        <xdr:cNvPr id="224" name="Shape 224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9525</xdr:rowOff>
    </xdr:from>
    <xdr:ext cx="1209675" cy="228600"/>
    <xdr:sp macro="" textlink="">
      <xdr:nvSpPr>
        <xdr:cNvPr id="225" name="Shape 225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226" name="Shape 226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227" name="Shape 227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0</xdr:rowOff>
    </xdr:from>
    <xdr:ext cx="1209675" cy="209550"/>
    <xdr:sp macro="" textlink="">
      <xdr:nvSpPr>
        <xdr:cNvPr id="228" name="Shape 228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161925</xdr:rowOff>
    </xdr:from>
    <xdr:ext cx="1209675" cy="228600"/>
    <xdr:sp macro="" textlink="">
      <xdr:nvSpPr>
        <xdr:cNvPr id="229" name="Shape 229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104775</xdr:rowOff>
    </xdr:from>
    <xdr:ext cx="1209675" cy="219075"/>
    <xdr:sp macro="" textlink="">
      <xdr:nvSpPr>
        <xdr:cNvPr id="230" name="Shape 230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152400</xdr:rowOff>
    </xdr:from>
    <xdr:ext cx="1209675" cy="219075"/>
    <xdr:sp macro="" textlink="">
      <xdr:nvSpPr>
        <xdr:cNvPr id="231" name="Shape 23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142875</xdr:rowOff>
    </xdr:from>
    <xdr:ext cx="1209675" cy="209550"/>
    <xdr:sp macro="" textlink="">
      <xdr:nvSpPr>
        <xdr:cNvPr id="232" name="Shape 232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142875</xdr:rowOff>
    </xdr:from>
    <xdr:ext cx="1209675" cy="219075"/>
    <xdr:sp macro="" textlink="">
      <xdr:nvSpPr>
        <xdr:cNvPr id="233" name="Shape 233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133350</xdr:rowOff>
    </xdr:from>
    <xdr:ext cx="1209675" cy="219075"/>
    <xdr:sp macro="" textlink="">
      <xdr:nvSpPr>
        <xdr:cNvPr id="234" name="Shape 234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133350</xdr:rowOff>
    </xdr:from>
    <xdr:ext cx="1209675" cy="219075"/>
    <xdr:sp macro="" textlink="">
      <xdr:nvSpPr>
        <xdr:cNvPr id="235" name="Shape 235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114300</xdr:rowOff>
    </xdr:from>
    <xdr:ext cx="1209675" cy="209550"/>
    <xdr:sp macro="" textlink="">
      <xdr:nvSpPr>
        <xdr:cNvPr id="236" name="Shape 236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104775</xdr:rowOff>
    </xdr:from>
    <xdr:ext cx="1209675" cy="219075"/>
    <xdr:sp macro="" textlink="">
      <xdr:nvSpPr>
        <xdr:cNvPr id="237" name="Shape 237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95250</xdr:rowOff>
    </xdr:from>
    <xdr:ext cx="1209675" cy="209550"/>
    <xdr:sp macro="" textlink="">
      <xdr:nvSpPr>
        <xdr:cNvPr id="238" name="Shape 238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200150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239" name="Shape 239"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104775</xdr:rowOff>
    </xdr:from>
    <xdr:ext cx="1209675" cy="314325"/>
    <xdr:sp macro="" textlink="">
      <xdr:nvSpPr>
        <xdr:cNvPr id="240" name="Shape 240"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47625</xdr:rowOff>
    </xdr:from>
    <xdr:ext cx="1209675" cy="209550"/>
    <xdr:sp macro="" textlink="">
      <xdr:nvSpPr>
        <xdr:cNvPr id="241" name="Shape 241"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85725</xdr:rowOff>
    </xdr:from>
    <xdr:ext cx="1209675" cy="314325"/>
    <xdr:sp macro="" textlink="">
      <xdr:nvSpPr>
        <xdr:cNvPr id="242" name="Shape 242"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28575</xdr:rowOff>
    </xdr:from>
    <xdr:ext cx="1209675" cy="228600"/>
    <xdr:sp macro="" textlink="">
      <xdr:nvSpPr>
        <xdr:cNvPr id="243" name="Shape 243"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19050</xdr:rowOff>
    </xdr:from>
    <xdr:ext cx="1209675" cy="219075"/>
    <xdr:sp macro="" textlink="">
      <xdr:nvSpPr>
        <xdr:cNvPr id="244" name="Shape 244"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9525</xdr:rowOff>
    </xdr:from>
    <xdr:ext cx="1209675" cy="219075"/>
    <xdr:sp macro="" textlink="">
      <xdr:nvSpPr>
        <xdr:cNvPr id="245" name="Shape 245"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0</xdr:rowOff>
    </xdr:from>
    <xdr:ext cx="1209675" cy="209550"/>
    <xdr:sp macro="" textlink="">
      <xdr:nvSpPr>
        <xdr:cNvPr id="246" name="Shape 246"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247" name="Shape 247"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248" name="Shape 248"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152400</xdr:rowOff>
    </xdr:from>
    <xdr:ext cx="1209675" cy="209550"/>
    <xdr:sp macro="" textlink="">
      <xdr:nvSpPr>
        <xdr:cNvPr id="249" name="Shape 249"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0</xdr:rowOff>
    </xdr:from>
    <xdr:ext cx="1209675" cy="209550"/>
    <xdr:sp macro="" textlink="">
      <xdr:nvSpPr>
        <xdr:cNvPr id="250" name="Shape 250"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76200</xdr:rowOff>
    </xdr:from>
    <xdr:ext cx="1209675" cy="228600"/>
    <xdr:sp macro="" textlink="">
      <xdr:nvSpPr>
        <xdr:cNvPr id="251" name="Shape 251"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142875</xdr:rowOff>
    </xdr:from>
    <xdr:ext cx="1209675" cy="219075"/>
    <xdr:sp macro="" textlink="">
      <xdr:nvSpPr>
        <xdr:cNvPr id="252" name="Shape 252"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133350</xdr:rowOff>
    </xdr:from>
    <xdr:ext cx="1209675" cy="219075"/>
    <xdr:sp macro="" textlink="">
      <xdr:nvSpPr>
        <xdr:cNvPr id="253" name="Shape 253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114300</xdr:rowOff>
    </xdr:from>
    <xdr:ext cx="1209675" cy="228600"/>
    <xdr:sp macro="" textlink="">
      <xdr:nvSpPr>
        <xdr:cNvPr id="254" name="Shape 254"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104775</xdr:rowOff>
    </xdr:from>
    <xdr:ext cx="1209675" cy="219075"/>
    <xdr:sp macro="" textlink="">
      <xdr:nvSpPr>
        <xdr:cNvPr id="255" name="Shape 255"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123825</xdr:rowOff>
    </xdr:from>
    <xdr:ext cx="1209675" cy="219075"/>
    <xdr:sp macro="" textlink="">
      <xdr:nvSpPr>
        <xdr:cNvPr id="256" name="Shape 256"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104775</xdr:rowOff>
    </xdr:from>
    <xdr:ext cx="1209675" cy="219075"/>
    <xdr:sp macro="" textlink="">
      <xdr:nvSpPr>
        <xdr:cNvPr id="257" name="Shape 257"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85725</xdr:rowOff>
    </xdr:from>
    <xdr:ext cx="1209675" cy="219075"/>
    <xdr:sp macro="" textlink="">
      <xdr:nvSpPr>
        <xdr:cNvPr id="258" name="Shape 258"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85725</xdr:rowOff>
    </xdr:from>
    <xdr:ext cx="1209675" cy="219075"/>
    <xdr:sp macro="" textlink="">
      <xdr:nvSpPr>
        <xdr:cNvPr id="259" name="Shape 259"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190625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260" name="Shape 260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114300</xdr:rowOff>
    </xdr:from>
    <xdr:ext cx="1209675" cy="304800"/>
    <xdr:sp macro="" textlink="">
      <xdr:nvSpPr>
        <xdr:cNvPr id="261" name="Shape 261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57150</xdr:rowOff>
    </xdr:from>
    <xdr:ext cx="1209675" cy="228600"/>
    <xdr:sp macro="" textlink="">
      <xdr:nvSpPr>
        <xdr:cNvPr id="262" name="Shape 262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104775</xdr:rowOff>
    </xdr:from>
    <xdr:ext cx="1209675" cy="295275"/>
    <xdr:sp macro="" textlink="">
      <xdr:nvSpPr>
        <xdr:cNvPr id="263" name="Shape 263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47625</xdr:rowOff>
    </xdr:from>
    <xdr:ext cx="1209675" cy="219075"/>
    <xdr:sp macro="" textlink="">
      <xdr:nvSpPr>
        <xdr:cNvPr id="264" name="Shape 264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28575</xdr:rowOff>
    </xdr:from>
    <xdr:ext cx="1209675" cy="228600"/>
    <xdr:sp macro="" textlink="">
      <xdr:nvSpPr>
        <xdr:cNvPr id="265" name="Shape 265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19050</xdr:rowOff>
    </xdr:from>
    <xdr:ext cx="1209675" cy="228600"/>
    <xdr:sp macro="" textlink="">
      <xdr:nvSpPr>
        <xdr:cNvPr id="266" name="Shape 266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9525</xdr:rowOff>
    </xdr:from>
    <xdr:ext cx="1209675" cy="228600"/>
    <xdr:sp macro="" textlink="">
      <xdr:nvSpPr>
        <xdr:cNvPr id="267" name="Shape 267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268" name="Shape 268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269" name="Shape 269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0</xdr:rowOff>
    </xdr:from>
    <xdr:ext cx="1209675" cy="209550"/>
    <xdr:sp macro="" textlink="">
      <xdr:nvSpPr>
        <xdr:cNvPr id="270" name="Shape 270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161925</xdr:rowOff>
    </xdr:from>
    <xdr:ext cx="1209675" cy="228600"/>
    <xdr:sp macro="" textlink="">
      <xdr:nvSpPr>
        <xdr:cNvPr id="271" name="Shape 271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19</xdr:row>
      <xdr:rowOff>104775</xdr:rowOff>
    </xdr:from>
    <xdr:ext cx="1209675" cy="209550"/>
    <xdr:sp macro="" textlink="">
      <xdr:nvSpPr>
        <xdr:cNvPr id="272" name="Shape 272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152400</xdr:rowOff>
    </xdr:from>
    <xdr:ext cx="1209675" cy="219075"/>
    <xdr:sp macro="" textlink="">
      <xdr:nvSpPr>
        <xdr:cNvPr id="273" name="Shape 273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16</xdr:row>
      <xdr:rowOff>142875</xdr:rowOff>
    </xdr:from>
    <xdr:ext cx="1209675" cy="209550"/>
    <xdr:sp macro="" textlink="">
      <xdr:nvSpPr>
        <xdr:cNvPr id="274" name="Shape 274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142875</xdr:rowOff>
    </xdr:from>
    <xdr:ext cx="1209675" cy="219075"/>
    <xdr:sp macro="" textlink="">
      <xdr:nvSpPr>
        <xdr:cNvPr id="275" name="Shape 275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133350</xdr:rowOff>
    </xdr:from>
    <xdr:ext cx="1209675" cy="219075"/>
    <xdr:sp macro="" textlink="">
      <xdr:nvSpPr>
        <xdr:cNvPr id="276" name="Shape 276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133350</xdr:rowOff>
    </xdr:from>
    <xdr:ext cx="1209675" cy="219075"/>
    <xdr:sp macro="" textlink="">
      <xdr:nvSpPr>
        <xdr:cNvPr id="277" name="Shape 277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114300</xdr:rowOff>
    </xdr:from>
    <xdr:ext cx="1209675" cy="209550"/>
    <xdr:sp macro="" textlink="">
      <xdr:nvSpPr>
        <xdr:cNvPr id="278" name="Shape 278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104775</xdr:rowOff>
    </xdr:from>
    <xdr:ext cx="1209675" cy="219075"/>
    <xdr:sp macro="" textlink="">
      <xdr:nvSpPr>
        <xdr:cNvPr id="279" name="Shape 279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95250</xdr:rowOff>
    </xdr:from>
    <xdr:ext cx="1209675" cy="209550"/>
    <xdr:sp macro="" textlink="">
      <xdr:nvSpPr>
        <xdr:cNvPr id="280" name="Shape 280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1200150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281" name="Shape 281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104775</xdr:rowOff>
    </xdr:from>
    <xdr:ext cx="1209675" cy="314325"/>
    <xdr:sp macro="" textlink="">
      <xdr:nvSpPr>
        <xdr:cNvPr id="282" name="Shape 282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47625</xdr:rowOff>
    </xdr:from>
    <xdr:ext cx="1209675" cy="209550"/>
    <xdr:sp macro="" textlink="">
      <xdr:nvSpPr>
        <xdr:cNvPr id="283" name="Shape 283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85725</xdr:rowOff>
    </xdr:from>
    <xdr:ext cx="1209675" cy="314325"/>
    <xdr:sp macro="" textlink="">
      <xdr:nvSpPr>
        <xdr:cNvPr id="284" name="Shape 284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28575</xdr:rowOff>
    </xdr:from>
    <xdr:ext cx="1209675" cy="228600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19050</xdr:rowOff>
    </xdr:from>
    <xdr:ext cx="1209675" cy="21907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9525</xdr:rowOff>
    </xdr:from>
    <xdr:ext cx="1209675" cy="21907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0</xdr:rowOff>
    </xdr:from>
    <xdr:ext cx="1209675" cy="209550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152400</xdr:rowOff>
    </xdr:from>
    <xdr:ext cx="1209675" cy="209550"/>
    <xdr:sp macro="" textlink="">
      <xdr:nvSpPr>
        <xdr:cNvPr id="291" name="Shape 291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0</xdr:rowOff>
    </xdr:from>
    <xdr:ext cx="1209675" cy="209550"/>
    <xdr:sp macro="" textlink="">
      <xdr:nvSpPr>
        <xdr:cNvPr id="292" name="Shape 292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19</xdr:row>
      <xdr:rowOff>85725</xdr:rowOff>
    </xdr:from>
    <xdr:ext cx="1209675" cy="228600"/>
    <xdr:sp macro="" textlink="">
      <xdr:nvSpPr>
        <xdr:cNvPr id="293" name="Shape 293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15</xdr:row>
      <xdr:rowOff>142875</xdr:rowOff>
    </xdr:from>
    <xdr:ext cx="1209675" cy="219075"/>
    <xdr:sp macro="" textlink="">
      <xdr:nvSpPr>
        <xdr:cNvPr id="294" name="Shape 294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133350</xdr:rowOff>
    </xdr:from>
    <xdr:ext cx="1209675" cy="219075"/>
    <xdr:sp macro="" textlink="">
      <xdr:nvSpPr>
        <xdr:cNvPr id="295" name="Shape 295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114300</xdr:rowOff>
    </xdr:from>
    <xdr:ext cx="1209675" cy="228600"/>
    <xdr:sp macro="" textlink="">
      <xdr:nvSpPr>
        <xdr:cNvPr id="296" name="Shape 296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104775</xdr:rowOff>
    </xdr:from>
    <xdr:ext cx="1209675" cy="219075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123825</xdr:rowOff>
    </xdr:from>
    <xdr:ext cx="1209675" cy="219075"/>
    <xdr:sp macro="" textlink="">
      <xdr:nvSpPr>
        <xdr:cNvPr id="298" name="Shape 298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104775</xdr:rowOff>
    </xdr:from>
    <xdr:ext cx="1209675" cy="219075"/>
    <xdr:sp macro="" textlink="">
      <xdr:nvSpPr>
        <xdr:cNvPr id="299" name="Shape 299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85725</xdr:rowOff>
    </xdr:from>
    <xdr:ext cx="1209675" cy="219075"/>
    <xdr:sp macro="" textlink="">
      <xdr:nvSpPr>
        <xdr:cNvPr id="300" name="Shape 300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85725</xdr:rowOff>
    </xdr:from>
    <xdr:ext cx="1209675" cy="219075"/>
    <xdr:sp macro="" textlink="">
      <xdr:nvSpPr>
        <xdr:cNvPr id="301" name="Shape 301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85725</xdr:rowOff>
    </xdr:from>
    <xdr:ext cx="1190625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302" name="Shape 302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104775</xdr:rowOff>
    </xdr:from>
    <xdr:ext cx="1209675" cy="314325"/>
    <xdr:sp macro="" textlink="">
      <xdr:nvSpPr>
        <xdr:cNvPr id="303" name="Shape 303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47625</xdr:rowOff>
    </xdr:from>
    <xdr:ext cx="1209675" cy="209550"/>
    <xdr:sp macro="" textlink="">
      <xdr:nvSpPr>
        <xdr:cNvPr id="304" name="Shape 304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85725</xdr:rowOff>
    </xdr:from>
    <xdr:ext cx="1209675" cy="314325"/>
    <xdr:sp macro="" textlink="">
      <xdr:nvSpPr>
        <xdr:cNvPr id="305" name="Shape 305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28575</xdr:rowOff>
    </xdr:from>
    <xdr:ext cx="1209675" cy="228600"/>
    <xdr:sp macro="" textlink="">
      <xdr:nvSpPr>
        <xdr:cNvPr id="306" name="Shape 306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19050</xdr:rowOff>
    </xdr:from>
    <xdr:ext cx="1209675" cy="219075"/>
    <xdr:sp macro="" textlink="">
      <xdr:nvSpPr>
        <xdr:cNvPr id="307" name="Shape 307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9525</xdr:rowOff>
    </xdr:from>
    <xdr:ext cx="1209675" cy="219075"/>
    <xdr:sp macro="" textlink="">
      <xdr:nvSpPr>
        <xdr:cNvPr id="308" name="Shape 308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0</xdr:rowOff>
    </xdr:from>
    <xdr:ext cx="1209675" cy="209550"/>
    <xdr:sp macro="" textlink="">
      <xdr:nvSpPr>
        <xdr:cNvPr id="309" name="Shape 309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310" name="Shape 310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311" name="Shape 311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152400</xdr:rowOff>
    </xdr:from>
    <xdr:ext cx="1209675" cy="209550"/>
    <xdr:sp macro="" textlink="">
      <xdr:nvSpPr>
        <xdr:cNvPr id="312" name="Shape 312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14</xdr:row>
      <xdr:rowOff>0</xdr:rowOff>
    </xdr:from>
    <xdr:ext cx="1209675" cy="209550"/>
    <xdr:sp macro="" textlink="">
      <xdr:nvSpPr>
        <xdr:cNvPr id="313" name="Shape 313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19</xdr:row>
      <xdr:rowOff>85725</xdr:rowOff>
    </xdr:from>
    <xdr:ext cx="1209675" cy="219075"/>
    <xdr:sp macro="" textlink="">
      <xdr:nvSpPr>
        <xdr:cNvPr id="314" name="Shape 314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142875</xdr:rowOff>
    </xdr:from>
    <xdr:ext cx="1209675" cy="219075"/>
    <xdr:sp macro="" textlink="">
      <xdr:nvSpPr>
        <xdr:cNvPr id="315" name="Shape 315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16</xdr:row>
      <xdr:rowOff>133350</xdr:rowOff>
    </xdr:from>
    <xdr:ext cx="1209675" cy="219075"/>
    <xdr:sp macro="" textlink="">
      <xdr:nvSpPr>
        <xdr:cNvPr id="316" name="Shape 316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114300</xdr:rowOff>
    </xdr:from>
    <xdr:ext cx="1209675" cy="228600"/>
    <xdr:sp macro="" textlink="">
      <xdr:nvSpPr>
        <xdr:cNvPr id="317" name="Shape 317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104775</xdr:rowOff>
    </xdr:from>
    <xdr:ext cx="1209675" cy="219075"/>
    <xdr:sp macro="" textlink="">
      <xdr:nvSpPr>
        <xdr:cNvPr id="318" name="Shape 318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123825</xdr:rowOff>
    </xdr:from>
    <xdr:ext cx="1209675" cy="219075"/>
    <xdr:sp macro="" textlink="">
      <xdr:nvSpPr>
        <xdr:cNvPr id="319" name="Shape 319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104775</xdr:rowOff>
    </xdr:from>
    <xdr:ext cx="1209675" cy="219075"/>
    <xdr:sp macro="" textlink="">
      <xdr:nvSpPr>
        <xdr:cNvPr id="320" name="Shape 320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85725</xdr:rowOff>
    </xdr:from>
    <xdr:ext cx="1209675" cy="219075"/>
    <xdr:sp macro="" textlink="">
      <xdr:nvSpPr>
        <xdr:cNvPr id="321" name="Shape 321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85725</xdr:rowOff>
    </xdr:from>
    <xdr:ext cx="1209675" cy="219075"/>
    <xdr:sp macro="" textlink="">
      <xdr:nvSpPr>
        <xdr:cNvPr id="322" name="Shape 322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190625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609600</xdr:colOff>
      <xdr:row>0</xdr:row>
      <xdr:rowOff>152400</xdr:rowOff>
    </xdr:from>
    <xdr:ext cx="60007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28575</xdr:colOff>
      <xdr:row>1</xdr:row>
      <xdr:rowOff>0</xdr:rowOff>
    </xdr:from>
    <xdr:ext cx="609600" cy="3048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61975" cy="3238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314325</xdr:colOff>
      <xdr:row>1</xdr:row>
      <xdr:rowOff>0</xdr:rowOff>
    </xdr:from>
    <xdr:ext cx="600075" cy="3238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1</xdr:row>
      <xdr:rowOff>0</xdr:rowOff>
    </xdr:from>
    <xdr:ext cx="600075" cy="3238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438150</xdr:colOff>
      <xdr:row>1</xdr:row>
      <xdr:rowOff>0</xdr:rowOff>
    </xdr:from>
    <xdr:ext cx="600075" cy="3238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0</xdr:rowOff>
    </xdr:from>
    <xdr:ext cx="466725" cy="323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114300</xdr:colOff>
      <xdr:row>1</xdr:row>
      <xdr:rowOff>0</xdr:rowOff>
    </xdr:from>
    <xdr:ext cx="476250" cy="3238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000625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741163" y="1284450"/>
          <a:ext cx="1209675" cy="4991100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114300</xdr:rowOff>
    </xdr:from>
    <xdr:ext cx="1209675" cy="29527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57150</xdr:rowOff>
    </xdr:from>
    <xdr:ext cx="1209675" cy="209550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104775</xdr:rowOff>
    </xdr:from>
    <xdr:ext cx="1209675" cy="27622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4745925" y="3646650"/>
          <a:ext cx="12001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47625</xdr:rowOff>
    </xdr:from>
    <xdr:ext cx="1209675" cy="209550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28575</xdr:rowOff>
    </xdr:from>
    <xdr:ext cx="1209675" cy="209550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9525</xdr:rowOff>
    </xdr:from>
    <xdr:ext cx="1209675" cy="20955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0</xdr:rowOff>
    </xdr:from>
    <xdr:ext cx="1209675" cy="20002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09550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161925</xdr:rowOff>
    </xdr:from>
    <xdr:ext cx="1209675" cy="2095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114300</xdr:rowOff>
    </xdr:from>
    <xdr:ext cx="1209675" cy="219075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142875</xdr:rowOff>
    </xdr:from>
    <xdr:ext cx="1209675" cy="209550"/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28575</xdr:rowOff>
    </xdr:from>
    <xdr:ext cx="1209675" cy="209550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104775</xdr:rowOff>
    </xdr:from>
    <xdr:ext cx="1209675" cy="200025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85725</xdr:rowOff>
    </xdr:from>
    <xdr:ext cx="1209675" cy="2000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76200</xdr:rowOff>
    </xdr:from>
    <xdr:ext cx="1209675" cy="209550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57150</xdr:rowOff>
    </xdr:from>
    <xdr:ext cx="1209675" cy="20002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133350</xdr:rowOff>
    </xdr:from>
    <xdr:ext cx="1209675" cy="209550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114300</xdr:rowOff>
    </xdr:from>
    <xdr:ext cx="1209675" cy="20002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104775</xdr:rowOff>
    </xdr:from>
    <xdr:ext cx="1209675" cy="209550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95250</xdr:rowOff>
    </xdr:from>
    <xdr:ext cx="1209675" cy="200025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4745925" y="3684750"/>
          <a:ext cx="120015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209675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104775</xdr:rowOff>
    </xdr:from>
    <xdr:ext cx="1209675" cy="314325"/>
    <xdr:sp macro="" textlink="">
      <xdr:nvSpPr>
        <xdr:cNvPr id="50" name="Shape 50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47625</xdr:rowOff>
    </xdr:from>
    <xdr:ext cx="1209675" cy="209550"/>
    <xdr:sp macro="" textlink="">
      <xdr:nvSpPr>
        <xdr:cNvPr id="51" name="Shape 5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85725</xdr:rowOff>
    </xdr:from>
    <xdr:ext cx="1209675" cy="314325"/>
    <xdr:sp macro="" textlink="">
      <xdr:nvSpPr>
        <xdr:cNvPr id="52" name="Shape 52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28575</xdr:rowOff>
    </xdr:from>
    <xdr:ext cx="1209675" cy="228600"/>
    <xdr:sp macro="" textlink="">
      <xdr:nvSpPr>
        <xdr:cNvPr id="53" name="Shape 5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19050</xdr:rowOff>
    </xdr:from>
    <xdr:ext cx="1209675" cy="219075"/>
    <xdr:sp macro="" textlink="">
      <xdr:nvSpPr>
        <xdr:cNvPr id="54" name="Shape 54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9525</xdr:rowOff>
    </xdr:from>
    <xdr:ext cx="1209675" cy="219075"/>
    <xdr:sp macro="" textlink="">
      <xdr:nvSpPr>
        <xdr:cNvPr id="55" name="Shape 5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0</xdr:rowOff>
    </xdr:from>
    <xdr:ext cx="1209675" cy="209550"/>
    <xdr:sp macro="" textlink="">
      <xdr:nvSpPr>
        <xdr:cNvPr id="56" name="Shape 5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57" name="Shape 57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58" name="Shape 58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14</xdr:row>
      <xdr:rowOff>152400</xdr:rowOff>
    </xdr:from>
    <xdr:ext cx="1209675" cy="209550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14</xdr:row>
      <xdr:rowOff>0</xdr:rowOff>
    </xdr:from>
    <xdr:ext cx="1209675" cy="209550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142875</xdr:rowOff>
    </xdr:from>
    <xdr:ext cx="1209675" cy="219075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133350</xdr:rowOff>
    </xdr:from>
    <xdr:ext cx="1209675" cy="219075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114300</xdr:rowOff>
    </xdr:from>
    <xdr:ext cx="1209675" cy="228600"/>
    <xdr:sp macro="" textlink="">
      <xdr:nvSpPr>
        <xdr:cNvPr id="63" name="Shape 6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104775</xdr:rowOff>
    </xdr:from>
    <xdr:ext cx="1209675" cy="219075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19</xdr:row>
      <xdr:rowOff>104775</xdr:rowOff>
    </xdr:from>
    <xdr:ext cx="1209675" cy="21907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123825</xdr:rowOff>
    </xdr:from>
    <xdr:ext cx="1209675" cy="2190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104775</xdr:rowOff>
    </xdr:from>
    <xdr:ext cx="1209675" cy="219075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85725</xdr:rowOff>
    </xdr:from>
    <xdr:ext cx="1209675" cy="219075"/>
    <xdr:sp macro="" textlink="">
      <xdr:nvSpPr>
        <xdr:cNvPr id="68" name="Shape 68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85725</xdr:rowOff>
    </xdr:from>
    <xdr:ext cx="1209675" cy="219075"/>
    <xdr:sp macro="" textlink="">
      <xdr:nvSpPr>
        <xdr:cNvPr id="69" name="Shape 69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85725</xdr:rowOff>
    </xdr:from>
    <xdr:ext cx="1200150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104775</xdr:rowOff>
    </xdr:from>
    <xdr:ext cx="1209675" cy="314325"/>
    <xdr:sp macro="" textlink="">
      <xdr:nvSpPr>
        <xdr:cNvPr id="71" name="Shape 7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47625</xdr:rowOff>
    </xdr:from>
    <xdr:ext cx="1209675" cy="2095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85725</xdr:rowOff>
    </xdr:from>
    <xdr:ext cx="1209675" cy="314325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/>
      </xdr:nvSpPr>
      <xdr:spPr>
        <a:xfrm>
          <a:off x="4745925" y="3627600"/>
          <a:ext cx="12001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28575</xdr:rowOff>
    </xdr:from>
    <xdr:ext cx="1209675" cy="228600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19050</xdr:rowOff>
    </xdr:from>
    <xdr:ext cx="1209675" cy="219075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9525</xdr:rowOff>
    </xdr:from>
    <xdr:ext cx="1209675" cy="219075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0</xdr:rowOff>
    </xdr:from>
    <xdr:ext cx="1209675" cy="209550"/>
    <xdr:sp macro="" textlink="">
      <xdr:nvSpPr>
        <xdr:cNvPr id="77" name="Shape 77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79" name="Shape 79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133350</xdr:rowOff>
    </xdr:from>
    <xdr:ext cx="1209675" cy="219075"/>
    <xdr:sp macro="" textlink="">
      <xdr:nvSpPr>
        <xdr:cNvPr id="80" name="Shape 80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152400</xdr:rowOff>
    </xdr:from>
    <xdr:ext cx="1209675" cy="2190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19050</xdr:rowOff>
    </xdr:from>
    <xdr:ext cx="1209675" cy="2286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114300</xdr:rowOff>
    </xdr:from>
    <xdr:ext cx="1209675" cy="209550"/>
    <xdr:sp macro="" textlink="">
      <xdr:nvSpPr>
        <xdr:cNvPr id="83" name="Shape 83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95250</xdr:rowOff>
    </xdr:from>
    <xdr:ext cx="1209675" cy="219075"/>
    <xdr:sp macro="" textlink="">
      <xdr:nvSpPr>
        <xdr:cNvPr id="84" name="Shape 84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66675</xdr:rowOff>
    </xdr:from>
    <xdr:ext cx="1209675" cy="219075"/>
    <xdr:sp macro="" textlink="">
      <xdr:nvSpPr>
        <xdr:cNvPr id="85" name="Shape 85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47625</xdr:rowOff>
    </xdr:from>
    <xdr:ext cx="1209675" cy="219075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123825</xdr:rowOff>
    </xdr:from>
    <xdr:ext cx="1209675" cy="219075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104775</xdr:rowOff>
    </xdr:from>
    <xdr:ext cx="1209675" cy="219075"/>
    <xdr:sp macro="" textlink="">
      <xdr:nvSpPr>
        <xdr:cNvPr id="88" name="Shape 88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85725</xdr:rowOff>
    </xdr:from>
    <xdr:ext cx="1209675" cy="219075"/>
    <xdr:sp macro="" textlink="">
      <xdr:nvSpPr>
        <xdr:cNvPr id="89" name="Shape 89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85725</xdr:rowOff>
    </xdr:from>
    <xdr:ext cx="1209675" cy="219075"/>
    <xdr:sp macro="" textlink="">
      <xdr:nvSpPr>
        <xdr:cNvPr id="90" name="Shape 90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200150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91" name="Shape 9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114300</xdr:rowOff>
    </xdr:from>
    <xdr:ext cx="1209675" cy="304800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57150</xdr:rowOff>
    </xdr:from>
    <xdr:ext cx="1209675" cy="228600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104775</xdr:rowOff>
    </xdr:from>
    <xdr:ext cx="1209675" cy="295275"/>
    <xdr:sp macro="" textlink="">
      <xdr:nvSpPr>
        <xdr:cNvPr id="94" name="Shape 94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47625</xdr:rowOff>
    </xdr:from>
    <xdr:ext cx="1209675" cy="219075"/>
    <xdr:sp macro="" textlink="">
      <xdr:nvSpPr>
        <xdr:cNvPr id="95" name="Shape 95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28575</xdr:rowOff>
    </xdr:from>
    <xdr:ext cx="1209675" cy="228600"/>
    <xdr:sp macro="" textlink="">
      <xdr:nvSpPr>
        <xdr:cNvPr id="96" name="Shape 96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19050</xdr:rowOff>
    </xdr:from>
    <xdr:ext cx="1209675" cy="228600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9525</xdr:rowOff>
    </xdr:from>
    <xdr:ext cx="1209675" cy="228600"/>
    <xdr:sp macro="" textlink="">
      <xdr:nvSpPr>
        <xdr:cNvPr id="98" name="Shape 98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99" name="Shape 99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0</xdr:rowOff>
    </xdr:from>
    <xdr:ext cx="1209675" cy="209550"/>
    <xdr:sp macro="" textlink="">
      <xdr:nvSpPr>
        <xdr:cNvPr id="101" name="Shape 101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161925</xdr:rowOff>
    </xdr:from>
    <xdr:ext cx="1209675" cy="228600"/>
    <xdr:sp macro="" textlink="">
      <xdr:nvSpPr>
        <xdr:cNvPr id="102" name="Shape 102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19</xdr:row>
      <xdr:rowOff>123825</xdr:rowOff>
    </xdr:from>
    <xdr:ext cx="1209675" cy="209550"/>
    <xdr:sp macro="" textlink="">
      <xdr:nvSpPr>
        <xdr:cNvPr id="103" name="Shape 103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152400</xdr:rowOff>
    </xdr:from>
    <xdr:ext cx="1209675" cy="219075"/>
    <xdr:sp macro="" textlink="">
      <xdr:nvSpPr>
        <xdr:cNvPr id="104" name="Shape 104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142875</xdr:rowOff>
    </xdr:from>
    <xdr:ext cx="1209675" cy="209550"/>
    <xdr:sp macro="" textlink="">
      <xdr:nvSpPr>
        <xdr:cNvPr id="105" name="Shape 105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142875</xdr:rowOff>
    </xdr:from>
    <xdr:ext cx="1209675" cy="219075"/>
    <xdr:sp macro="" textlink="">
      <xdr:nvSpPr>
        <xdr:cNvPr id="106" name="Shape 106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133350</xdr:rowOff>
    </xdr:from>
    <xdr:ext cx="1209675" cy="219075"/>
    <xdr:sp macro="" textlink="">
      <xdr:nvSpPr>
        <xdr:cNvPr id="107" name="Shape 107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133350</xdr:rowOff>
    </xdr:from>
    <xdr:ext cx="1209675" cy="219075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114300</xdr:rowOff>
    </xdr:from>
    <xdr:ext cx="1209675" cy="209550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104775</xdr:rowOff>
    </xdr:from>
    <xdr:ext cx="1209675" cy="219075"/>
    <xdr:sp macro="" textlink="">
      <xdr:nvSpPr>
        <xdr:cNvPr id="110" name="Shape 110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95250</xdr:rowOff>
    </xdr:from>
    <xdr:ext cx="1209675" cy="209550"/>
    <xdr:sp macro="" textlink="">
      <xdr:nvSpPr>
        <xdr:cNvPr id="111" name="Shape 111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76200</xdr:rowOff>
    </xdr:from>
    <xdr:ext cx="1200150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161925</xdr:colOff>
      <xdr:row>4</xdr:row>
      <xdr:rowOff>0</xdr:rowOff>
    </xdr:from>
    <xdr:ext cx="1076325" cy="219075"/>
    <xdr:sp macro="" textlink="">
      <xdr:nvSpPr>
        <xdr:cNvPr id="112" name="Shape 112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5</xdr:row>
      <xdr:rowOff>114300</xdr:rowOff>
    </xdr:from>
    <xdr:ext cx="1209675" cy="304800"/>
    <xdr:sp macro="" textlink="">
      <xdr:nvSpPr>
        <xdr:cNvPr id="113" name="Shape 113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7</xdr:row>
      <xdr:rowOff>57150</xdr:rowOff>
    </xdr:from>
    <xdr:ext cx="1209675" cy="228600"/>
    <xdr:sp macro="" textlink="">
      <xdr:nvSpPr>
        <xdr:cNvPr id="114" name="Shape 114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23</xdr:row>
      <xdr:rowOff>104775</xdr:rowOff>
    </xdr:from>
    <xdr:ext cx="1209675" cy="295275"/>
    <xdr:sp macro="" textlink="">
      <xdr:nvSpPr>
        <xdr:cNvPr id="115" name="Shape 115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8</xdr:row>
      <xdr:rowOff>47625</xdr:rowOff>
    </xdr:from>
    <xdr:ext cx="1209675" cy="219075"/>
    <xdr:sp macro="" textlink="">
      <xdr:nvSpPr>
        <xdr:cNvPr id="116" name="Shape 116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9</xdr:row>
      <xdr:rowOff>28575</xdr:rowOff>
    </xdr:from>
    <xdr:ext cx="1209675" cy="228600"/>
    <xdr:sp macro="" textlink="">
      <xdr:nvSpPr>
        <xdr:cNvPr id="117" name="Shape 117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10</xdr:row>
      <xdr:rowOff>19050</xdr:rowOff>
    </xdr:from>
    <xdr:ext cx="1209675" cy="22860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11</xdr:row>
      <xdr:rowOff>9525</xdr:rowOff>
    </xdr:from>
    <xdr:ext cx="1209675" cy="228600"/>
    <xdr:sp macro="" textlink="">
      <xdr:nvSpPr>
        <xdr:cNvPr id="119" name="Shape 119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12</xdr:row>
      <xdr:rowOff>0</xdr:rowOff>
    </xdr:from>
    <xdr:ext cx="1209675" cy="219075"/>
    <xdr:sp macro="" textlink="">
      <xdr:nvSpPr>
        <xdr:cNvPr id="120" name="Shape 120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13</xdr:row>
      <xdr:rowOff>0</xdr:rowOff>
    </xdr:from>
    <xdr:ext cx="1209675" cy="219075"/>
    <xdr:sp macro="" textlink="">
      <xdr:nvSpPr>
        <xdr:cNvPr id="121" name="Shape 121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14</xdr:row>
      <xdr:rowOff>152400</xdr:rowOff>
    </xdr:from>
    <xdr:ext cx="1209675" cy="219075"/>
    <xdr:sp macro="" textlink="">
      <xdr:nvSpPr>
        <xdr:cNvPr id="122" name="Shape 122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13</xdr:row>
      <xdr:rowOff>161925</xdr:rowOff>
    </xdr:from>
    <xdr:ext cx="1209675" cy="228600"/>
    <xdr:sp macro="" textlink="">
      <xdr:nvSpPr>
        <xdr:cNvPr id="123" name="Shape 123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19</xdr:row>
      <xdr:rowOff>85725</xdr:rowOff>
    </xdr:from>
    <xdr:ext cx="1209675" cy="228600"/>
    <xdr:sp macro="" textlink="">
      <xdr:nvSpPr>
        <xdr:cNvPr id="124" name="Shape 124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15</xdr:row>
      <xdr:rowOff>133350</xdr:rowOff>
    </xdr:from>
    <xdr:ext cx="1209675" cy="228600"/>
    <xdr:sp macro="" textlink="">
      <xdr:nvSpPr>
        <xdr:cNvPr id="125" name="Shape 125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123825</xdr:rowOff>
    </xdr:from>
    <xdr:ext cx="1209675" cy="22860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17</xdr:row>
      <xdr:rowOff>114300</xdr:rowOff>
    </xdr:from>
    <xdr:ext cx="1209675" cy="228600"/>
    <xdr:sp macro="" textlink="">
      <xdr:nvSpPr>
        <xdr:cNvPr id="127" name="Shape 127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18</xdr:row>
      <xdr:rowOff>104775</xdr:rowOff>
    </xdr:from>
    <xdr:ext cx="1209675" cy="219075"/>
    <xdr:sp macro="" textlink="">
      <xdr:nvSpPr>
        <xdr:cNvPr id="128" name="Shape 128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25</xdr:row>
      <xdr:rowOff>133350</xdr:rowOff>
    </xdr:from>
    <xdr:ext cx="1209675" cy="219075"/>
    <xdr:sp macro="" textlink="">
      <xdr:nvSpPr>
        <xdr:cNvPr id="129" name="Shape 129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26</xdr:row>
      <xdr:rowOff>114300</xdr:rowOff>
    </xdr:from>
    <xdr:ext cx="1209675" cy="20955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27</xdr:row>
      <xdr:rowOff>104775</xdr:rowOff>
    </xdr:from>
    <xdr:ext cx="1209675" cy="219075"/>
    <xdr:sp macro="" textlink="">
      <xdr:nvSpPr>
        <xdr:cNvPr id="131" name="Shape 131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28</xdr:row>
      <xdr:rowOff>95250</xdr:rowOff>
    </xdr:from>
    <xdr:ext cx="1209675" cy="209550"/>
    <xdr:sp macro="" textlink="">
      <xdr:nvSpPr>
        <xdr:cNvPr id="132" name="Shape 132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95250</xdr:rowOff>
    </xdr:from>
    <xdr:ext cx="1200150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133" name="Shape 133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114300</xdr:rowOff>
    </xdr:from>
    <xdr:ext cx="1209675" cy="304800"/>
    <xdr:sp macro="" textlink="">
      <xdr:nvSpPr>
        <xdr:cNvPr id="134" name="Shape 134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57150</xdr:rowOff>
    </xdr:from>
    <xdr:ext cx="1209675" cy="228600"/>
    <xdr:sp macro="" textlink="">
      <xdr:nvSpPr>
        <xdr:cNvPr id="135" name="Shape 135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209675" cy="295275"/>
    <xdr:sp macro="" textlink="">
      <xdr:nvSpPr>
        <xdr:cNvPr id="136" name="Shape 136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47625</xdr:rowOff>
    </xdr:from>
    <xdr:ext cx="1209675" cy="219075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28575</xdr:rowOff>
    </xdr:from>
    <xdr:ext cx="1209675" cy="22860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19050</xdr:rowOff>
    </xdr:from>
    <xdr:ext cx="1209675" cy="228600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9525</xdr:rowOff>
    </xdr:from>
    <xdr:ext cx="1209675" cy="228600"/>
    <xdr:sp macro="" textlink="">
      <xdr:nvSpPr>
        <xdr:cNvPr id="140" name="Shape 140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141" name="Shape 141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142" name="Shape 142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152400</xdr:rowOff>
    </xdr:from>
    <xdr:ext cx="1209675" cy="219075"/>
    <xdr:sp macro="" textlink="">
      <xdr:nvSpPr>
        <xdr:cNvPr id="143" name="Shape 143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161925</xdr:rowOff>
    </xdr:from>
    <xdr:ext cx="1209675" cy="228600"/>
    <xdr:sp macro="" textlink="">
      <xdr:nvSpPr>
        <xdr:cNvPr id="144" name="Shape 144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85725</xdr:rowOff>
    </xdr:from>
    <xdr:ext cx="1209675" cy="209550"/>
    <xdr:sp macro="" textlink="">
      <xdr:nvSpPr>
        <xdr:cNvPr id="145" name="Shape 145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142875</xdr:rowOff>
    </xdr:from>
    <xdr:ext cx="1209675" cy="209550"/>
    <xdr:sp macro="" textlink="">
      <xdr:nvSpPr>
        <xdr:cNvPr id="146" name="Shape 146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123825</xdr:rowOff>
    </xdr:from>
    <xdr:ext cx="1209675" cy="228600"/>
    <xdr:sp macro="" textlink="">
      <xdr:nvSpPr>
        <xdr:cNvPr id="147" name="Shape 147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114300</xdr:rowOff>
    </xdr:from>
    <xdr:ext cx="1209675" cy="209550"/>
    <xdr:sp macro="" textlink="">
      <xdr:nvSpPr>
        <xdr:cNvPr id="148" name="Shape 148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95250</xdr:rowOff>
    </xdr:from>
    <xdr:ext cx="1209675" cy="209550"/>
    <xdr:sp macro="" textlink="">
      <xdr:nvSpPr>
        <xdr:cNvPr id="149" name="Shape 149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133350</xdr:rowOff>
    </xdr:from>
    <xdr:ext cx="1209675" cy="219075"/>
    <xdr:sp macro="" textlink="">
      <xdr:nvSpPr>
        <xdr:cNvPr id="150" name="Shape 150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114300</xdr:rowOff>
    </xdr:from>
    <xdr:ext cx="1209675" cy="209550"/>
    <xdr:sp macro="" textlink="">
      <xdr:nvSpPr>
        <xdr:cNvPr id="151" name="Shape 151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104775</xdr:rowOff>
    </xdr:from>
    <xdr:ext cx="1209675" cy="219075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95250</xdr:rowOff>
    </xdr:from>
    <xdr:ext cx="1209675" cy="209550"/>
    <xdr:sp macro="" textlink="">
      <xdr:nvSpPr>
        <xdr:cNvPr id="153" name="Shape 153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76200</xdr:rowOff>
    </xdr:from>
    <xdr:ext cx="1200150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154" name="Shape 154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114300</xdr:rowOff>
    </xdr:from>
    <xdr:ext cx="1209675" cy="304800"/>
    <xdr:sp macro="" textlink="">
      <xdr:nvSpPr>
        <xdr:cNvPr id="155" name="Shape 155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57150</xdr:rowOff>
    </xdr:from>
    <xdr:ext cx="1209675" cy="228600"/>
    <xdr:sp macro="" textlink="">
      <xdr:nvSpPr>
        <xdr:cNvPr id="156" name="Shape 156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209675" cy="295275"/>
    <xdr:sp macro="" textlink="">
      <xdr:nvSpPr>
        <xdr:cNvPr id="157" name="Shape 157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47625</xdr:rowOff>
    </xdr:from>
    <xdr:ext cx="1209675" cy="219075"/>
    <xdr:sp macro="" textlink="">
      <xdr:nvSpPr>
        <xdr:cNvPr id="158" name="Shape 158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28575</xdr:rowOff>
    </xdr:from>
    <xdr:ext cx="1209675" cy="228600"/>
    <xdr:sp macro="" textlink="">
      <xdr:nvSpPr>
        <xdr:cNvPr id="159" name="Shape 159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19050</xdr:rowOff>
    </xdr:from>
    <xdr:ext cx="1209675" cy="228600"/>
    <xdr:sp macro="" textlink="">
      <xdr:nvSpPr>
        <xdr:cNvPr id="160" name="Shape 160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9525</xdr:rowOff>
    </xdr:from>
    <xdr:ext cx="1209675" cy="228600"/>
    <xdr:sp macro="" textlink="">
      <xdr:nvSpPr>
        <xdr:cNvPr id="161" name="Shape 161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162" name="Shape 162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163" name="Shape 163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152400</xdr:rowOff>
    </xdr:from>
    <xdr:ext cx="1209675" cy="219075"/>
    <xdr:sp macro="" textlink="">
      <xdr:nvSpPr>
        <xdr:cNvPr id="164" name="Shape 164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161925</xdr:rowOff>
    </xdr:from>
    <xdr:ext cx="1209675" cy="219075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104775</xdr:rowOff>
    </xdr:from>
    <xdr:ext cx="1209675" cy="219075"/>
    <xdr:sp macro="" textlink="">
      <xdr:nvSpPr>
        <xdr:cNvPr id="166" name="Shape 166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142875</xdr:rowOff>
    </xdr:from>
    <xdr:ext cx="1209675" cy="209550"/>
    <xdr:sp macro="" textlink="">
      <xdr:nvSpPr>
        <xdr:cNvPr id="167" name="Shape 167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142875</xdr:rowOff>
    </xdr:from>
    <xdr:ext cx="1209675" cy="219075"/>
    <xdr:sp macro="" textlink="">
      <xdr:nvSpPr>
        <xdr:cNvPr id="168" name="Shape 168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133350</xdr:rowOff>
    </xdr:from>
    <xdr:ext cx="1209675" cy="219075"/>
    <xdr:sp macro="" textlink="">
      <xdr:nvSpPr>
        <xdr:cNvPr id="169" name="Shape 169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123825</xdr:rowOff>
    </xdr:from>
    <xdr:ext cx="1209675" cy="228600"/>
    <xdr:sp macro="" textlink="">
      <xdr:nvSpPr>
        <xdr:cNvPr id="170" name="Shape 170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Sherborne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21</xdr:row>
      <xdr:rowOff>95250</xdr:rowOff>
    </xdr:from>
    <xdr:ext cx="1209675" cy="209550"/>
    <xdr:sp macro="" textlink="">
      <xdr:nvSpPr>
        <xdr:cNvPr id="171" name="Shape 171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Wyke Regis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133350</xdr:rowOff>
    </xdr:from>
    <xdr:ext cx="1209675" cy="219075"/>
    <xdr:sp macro="" textlink="">
      <xdr:nvSpPr>
        <xdr:cNvPr id="172" name="Shape 172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114300</xdr:rowOff>
    </xdr:from>
    <xdr:ext cx="1209675" cy="209550"/>
    <xdr:sp macro="" textlink="">
      <xdr:nvSpPr>
        <xdr:cNvPr id="173" name="Shape 173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104775</xdr:rowOff>
    </xdr:from>
    <xdr:ext cx="1209675" cy="219075"/>
    <xdr:sp macro="" textlink="">
      <xdr:nvSpPr>
        <xdr:cNvPr id="174" name="Shape 174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95250</xdr:rowOff>
    </xdr:from>
    <xdr:ext cx="1209675" cy="209550"/>
    <xdr:sp macro="" textlink="">
      <xdr:nvSpPr>
        <xdr:cNvPr id="175" name="Shape 175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0</xdr:row>
      <xdr:rowOff>104775</xdr:rowOff>
    </xdr:from>
    <xdr:ext cx="1209675" cy="704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5</xdr:row>
      <xdr:rowOff>95250</xdr:rowOff>
    </xdr:from>
    <xdr:ext cx="1219200" cy="5238750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/>
      </xdr:nvSpPr>
      <xdr:spPr>
        <a:xfrm>
          <a:off x="4741163" y="1165388"/>
          <a:ext cx="1209675" cy="5229225"/>
        </a:xfrm>
        <a:prstGeom prst="flowChartAlternateProcess">
          <a:avLst/>
        </a:prstGeom>
        <a:solidFill>
          <a:srgbClr val="A9D18E"/>
        </a:solidFill>
        <a:ln w="12700" cap="flat" cmpd="sng">
          <a:solidFill>
            <a:srgbClr val="41719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4</xdr:row>
      <xdr:rowOff>0</xdr:rowOff>
    </xdr:from>
    <xdr:ext cx="1076325" cy="219075"/>
    <xdr:sp macro="" textlink="">
      <xdr:nvSpPr>
        <xdr:cNvPr id="176" name="Shape 176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SpPr/>
      </xdr:nvSpPr>
      <xdr:spPr>
        <a:xfrm>
          <a:off x="4812600" y="3675225"/>
          <a:ext cx="10668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5</xdr:row>
      <xdr:rowOff>114300</xdr:rowOff>
    </xdr:from>
    <xdr:ext cx="1209675" cy="304800"/>
    <xdr:sp macro="" textlink="">
      <xdr:nvSpPr>
        <xdr:cNvPr id="177" name="Shape 177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SpPr/>
      </xdr:nvSpPr>
      <xdr:spPr>
        <a:xfrm>
          <a:off x="4745925" y="3632363"/>
          <a:ext cx="12001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57150</xdr:rowOff>
    </xdr:from>
    <xdr:ext cx="1209675" cy="228600"/>
    <xdr:sp macro="" textlink="">
      <xdr:nvSpPr>
        <xdr:cNvPr id="178" name="Shape 178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209675" cy="295275"/>
    <xdr:sp macro="" textlink="">
      <xdr:nvSpPr>
        <xdr:cNvPr id="179" name="Shape 179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/>
      </xdr:nvSpPr>
      <xdr:spPr>
        <a:xfrm>
          <a:off x="4745925" y="3637125"/>
          <a:ext cx="12001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8</xdr:row>
      <xdr:rowOff>47625</xdr:rowOff>
    </xdr:from>
    <xdr:ext cx="1209675" cy="219075"/>
    <xdr:sp macro="" textlink="">
      <xdr:nvSpPr>
        <xdr:cNvPr id="180" name="Shape 180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9</xdr:row>
      <xdr:rowOff>28575</xdr:rowOff>
    </xdr:from>
    <xdr:ext cx="1209675" cy="228600"/>
    <xdr:sp macro="" textlink="">
      <xdr:nvSpPr>
        <xdr:cNvPr id="181" name="Shape 181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19050</xdr:rowOff>
    </xdr:from>
    <xdr:ext cx="1209675" cy="228600"/>
    <xdr:sp macro="" textlink="">
      <xdr:nvSpPr>
        <xdr:cNvPr id="182" name="Shape 182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11</xdr:row>
      <xdr:rowOff>9525</xdr:rowOff>
    </xdr:from>
    <xdr:ext cx="1209675" cy="228600"/>
    <xdr:sp macro="" textlink="">
      <xdr:nvSpPr>
        <xdr:cNvPr id="183" name="Shape 183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209675" cy="219075"/>
    <xdr:sp macro="" textlink="">
      <xdr:nvSpPr>
        <xdr:cNvPr id="184" name="Shape 184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209675" cy="219075"/>
    <xdr:sp macro="" textlink="">
      <xdr:nvSpPr>
        <xdr:cNvPr id="185" name="Shape 185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142875</xdr:rowOff>
    </xdr:from>
    <xdr:ext cx="1209675" cy="219075"/>
    <xdr:sp macro="" textlink="">
      <xdr:nvSpPr>
        <xdr:cNvPr id="186" name="Shape 186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161925</xdr:rowOff>
    </xdr:from>
    <xdr:ext cx="1209675" cy="219075"/>
    <xdr:sp macro="" textlink="">
      <xdr:nvSpPr>
        <xdr:cNvPr id="187" name="Shape 187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104775</xdr:rowOff>
    </xdr:from>
    <xdr:ext cx="1219200" cy="209550"/>
    <xdr:sp macro="" textlink="">
      <xdr:nvSpPr>
        <xdr:cNvPr id="188" name="Shape 188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SpPr/>
      </xdr:nvSpPr>
      <xdr:spPr>
        <a:xfrm>
          <a:off x="4741163" y="3679988"/>
          <a:ext cx="12096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133350</xdr:rowOff>
    </xdr:from>
    <xdr:ext cx="1209675" cy="228600"/>
    <xdr:sp macro="" textlink="">
      <xdr:nvSpPr>
        <xdr:cNvPr id="189" name="Shape 189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16</xdr:row>
      <xdr:rowOff>123825</xdr:rowOff>
    </xdr:from>
    <xdr:ext cx="1209675" cy="228600"/>
    <xdr:sp macro="" textlink="">
      <xdr:nvSpPr>
        <xdr:cNvPr id="190" name="Shape 190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17</xdr:row>
      <xdr:rowOff>114300</xdr:rowOff>
    </xdr:from>
    <xdr:ext cx="1209675" cy="228600"/>
    <xdr:sp macro="" textlink="">
      <xdr:nvSpPr>
        <xdr:cNvPr id="191" name="Shape 191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SpPr/>
      </xdr:nvSpPr>
      <xdr:spPr>
        <a:xfrm>
          <a:off x="4745925" y="3670463"/>
          <a:ext cx="12001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18</xdr:row>
      <xdr:rowOff>114300</xdr:rowOff>
    </xdr:from>
    <xdr:ext cx="1209675" cy="209550"/>
    <xdr:sp macro="" textlink="">
      <xdr:nvSpPr>
        <xdr:cNvPr id="192" name="Shape 192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25</xdr:row>
      <xdr:rowOff>133350</xdr:rowOff>
    </xdr:from>
    <xdr:ext cx="1209675" cy="219075"/>
    <xdr:sp macro="" textlink="">
      <xdr:nvSpPr>
        <xdr:cNvPr id="193" name="Shape 193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26</xdr:row>
      <xdr:rowOff>114300</xdr:rowOff>
    </xdr:from>
    <xdr:ext cx="1209675" cy="209550"/>
    <xdr:sp macro="" textlink="">
      <xdr:nvSpPr>
        <xdr:cNvPr id="194" name="Shape 194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27</xdr:row>
      <xdr:rowOff>104775</xdr:rowOff>
    </xdr:from>
    <xdr:ext cx="1209675" cy="219075"/>
    <xdr:sp macro="" textlink="">
      <xdr:nvSpPr>
        <xdr:cNvPr id="195" name="Shape 195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SpPr/>
      </xdr:nvSpPr>
      <xdr:spPr>
        <a:xfrm>
          <a:off x="4745925" y="3675225"/>
          <a:ext cx="1200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28</xdr:row>
      <xdr:rowOff>95250</xdr:rowOff>
    </xdr:from>
    <xdr:ext cx="1209675" cy="209550"/>
    <xdr:sp macro="" textlink="">
      <xdr:nvSpPr>
        <xdr:cNvPr id="196" name="Shape 196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SpPr/>
      </xdr:nvSpPr>
      <xdr:spPr>
        <a:xfrm>
          <a:off x="4745925" y="3679988"/>
          <a:ext cx="12001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lang="en-US" sz="1100" i="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76200</xdr:rowOff>
    </xdr:from>
    <xdr:ext cx="1209675" cy="695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opLeftCell="D1" workbookViewId="0"/>
  </sheetViews>
  <sheetFormatPr defaultColWidth="14.42578125" defaultRowHeight="15" customHeight="1" x14ac:dyDescent="0.2"/>
  <cols>
    <col min="1" max="3" width="9" customWidth="1"/>
    <col min="4" max="4" width="3" customWidth="1"/>
    <col min="5" max="5" width="6.28515625" customWidth="1"/>
    <col min="6" max="6" width="19.42578125" customWidth="1"/>
    <col min="7" max="9" width="6.140625" customWidth="1"/>
    <col min="10" max="11" width="6.28515625" customWidth="1"/>
    <col min="12" max="12" width="19.42578125" customWidth="1"/>
    <col min="13" max="15" width="6.140625" customWidth="1"/>
    <col min="16" max="17" width="6.28515625" customWidth="1"/>
    <col min="18" max="18" width="19.42578125" customWidth="1"/>
    <col min="19" max="21" width="6.140625" customWidth="1"/>
    <col min="22" max="26" width="8" customWidth="1"/>
  </cols>
  <sheetData>
    <row r="1" spans="1:26" ht="12" customHeight="1" x14ac:dyDescent="0.2">
      <c r="A1" s="1"/>
      <c r="B1" s="1"/>
      <c r="C1" s="1"/>
      <c r="D1" s="1"/>
      <c r="E1" s="1"/>
      <c r="F1" s="1"/>
      <c r="G1" s="2"/>
      <c r="H1" s="2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66" t="s">
        <v>0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8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1"/>
      <c r="E3" s="169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72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4"/>
      <c r="V4" s="1"/>
      <c r="W4" s="1"/>
      <c r="X4" s="1"/>
      <c r="Y4" s="1"/>
      <c r="Z4" s="1"/>
    </row>
    <row r="5" spans="1:26" ht="12" customHeight="1" x14ac:dyDescent="0.2">
      <c r="A5" s="1"/>
      <c r="B5" s="1"/>
      <c r="C5" s="1"/>
      <c r="D5" s="1"/>
      <c r="E5" s="1"/>
      <c r="F5" s="1"/>
      <c r="G5" s="2"/>
      <c r="H5" s="2"/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"/>
      <c r="C6" s="1"/>
      <c r="D6" s="1"/>
      <c r="E6" s="1"/>
      <c r="F6" s="1"/>
      <c r="G6" s="2"/>
      <c r="H6" s="2"/>
      <c r="I6" s="2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"/>
      <c r="C7" s="1"/>
      <c r="D7" s="1"/>
      <c r="E7" s="1"/>
      <c r="F7" s="1"/>
      <c r="G7" s="2"/>
      <c r="H7" s="2"/>
      <c r="I7" s="2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3"/>
      <c r="D8" s="3"/>
      <c r="E8" s="175" t="s">
        <v>1</v>
      </c>
      <c r="F8" s="176"/>
      <c r="G8" s="176"/>
      <c r="H8" s="176"/>
      <c r="I8" s="177"/>
      <c r="J8" s="2"/>
      <c r="K8" s="175" t="s">
        <v>2</v>
      </c>
      <c r="L8" s="176"/>
      <c r="M8" s="176"/>
      <c r="N8" s="176"/>
      <c r="O8" s="177"/>
      <c r="P8" s="1"/>
      <c r="Q8" s="175" t="s">
        <v>3</v>
      </c>
      <c r="R8" s="176"/>
      <c r="S8" s="176"/>
      <c r="T8" s="176"/>
      <c r="U8" s="177"/>
      <c r="V8" s="1"/>
      <c r="W8" s="1"/>
      <c r="X8" s="1"/>
      <c r="Y8" s="1"/>
      <c r="Z8" s="1"/>
    </row>
    <row r="9" spans="1:26" ht="12" customHeight="1" x14ac:dyDescent="0.2">
      <c r="A9" s="1"/>
      <c r="B9" s="1"/>
      <c r="C9" s="1"/>
      <c r="D9" s="1"/>
      <c r="E9" s="1"/>
      <c r="F9" s="1"/>
      <c r="G9" s="2"/>
      <c r="H9" s="2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1"/>
      <c r="B10" s="1"/>
      <c r="C10" s="4"/>
      <c r="D10" s="4"/>
      <c r="E10" s="5" t="s">
        <v>4</v>
      </c>
      <c r="F10" s="5" t="s">
        <v>5</v>
      </c>
      <c r="G10" s="6" t="s">
        <v>6</v>
      </c>
      <c r="H10" s="6" t="s">
        <v>7</v>
      </c>
      <c r="I10" s="6" t="s">
        <v>8</v>
      </c>
      <c r="J10" s="2"/>
      <c r="K10" s="5" t="s">
        <v>4</v>
      </c>
      <c r="L10" s="5" t="s">
        <v>5</v>
      </c>
      <c r="M10" s="6" t="s">
        <v>6</v>
      </c>
      <c r="N10" s="6" t="s">
        <v>7</v>
      </c>
      <c r="O10" s="6" t="s">
        <v>9</v>
      </c>
      <c r="P10" s="1"/>
      <c r="Q10" s="5" t="s">
        <v>4</v>
      </c>
      <c r="R10" s="5" t="s">
        <v>5</v>
      </c>
      <c r="S10" s="6" t="s">
        <v>6</v>
      </c>
      <c r="T10" s="6" t="s">
        <v>7</v>
      </c>
      <c r="U10" s="6" t="s">
        <v>10</v>
      </c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4"/>
      <c r="D11" s="4"/>
      <c r="E11" s="7">
        <f t="shared" ref="E11:E20" si="0">IF(ISERROR(RANK(I11,$I$11:$I$20)),"",(RANK(I11,$I$11:$I$20)))</f>
        <v>1</v>
      </c>
      <c r="F11" s="8" t="str">
        <f t="array" ref="F11">IF(ISNUMBER(I11),INDEX('Mens Averages'!$G$8:$G$343,SMALL(IF('Mens Averages'!$J$8:$J$343=I11,ROW('Mens Averages'!$J$8:$J$343)-ROW('Mens Averages'!$J$8)+1),COUNTIF(I$11:I11,I11))),"")</f>
        <v>Tommy Morris</v>
      </c>
      <c r="G11" s="9" t="str">
        <f t="array" ref="G11">IF(ISNUMBER(I11),INDEX('Mens Averages'!$H$8:$H$343,SMALL(IF('Mens Averages'!$J$8:$J$343=I11,ROW('Mens Averages'!$J$8:$J$343)-ROW('Mens Averages'!$J$8)+1),COUNTIF(I$11:I11,I11))),"")</f>
        <v>Chr</v>
      </c>
      <c r="H11" s="8">
        <f t="array" ref="H11">IF(ISNUMBER(I11),INDEX('Mens Averages'!$I$8:$I$343,SMALL(IF('Mens Averages'!$J$8:$J$343=I11,ROW('Mens Averages'!$J$8:$J$343)-ROW('Mens Averages'!$J$8)+1),COUNTIF(I$11:I11,I11))),"")</f>
        <v>13</v>
      </c>
      <c r="I11" s="10">
        <f>IF(ISERROR(LARGE('Mens Averages'!$J$8:J$343,1)),"",(LARGE('Mens Averages'!$J$8:$J$343,1)))</f>
        <v>13</v>
      </c>
      <c r="J11" s="11"/>
      <c r="K11" s="7">
        <f t="shared" ref="K11:K20" si="1">IF(ISERROR(RANK(O11,$O$11:$O$20)),"",(RANK(O11,$O$11:$O$20)))</f>
        <v>1</v>
      </c>
      <c r="L11" s="8" t="str">
        <f t="array" ref="L11">IF(ISERROR(IF(ISNUMBER(O11),INDEX('Mens Averages'!$G$8:$G$343,SMALL(IF('Mens Averages'!$AB$8:$AB$343=O11,ROW('Mens Averages'!$AB$8:$AB$343)-ROW('Mens Averages'!$AB$8)+1),COUNTIF(O$11:O11,O11))),"")),"",(IF(ISNUMBER(O11),INDEX('Mens Averages'!$G$8:$G$343,SMALL(IF('Mens Averages'!$AB$8:$AB$343=O11,ROW('Mens Averages'!$AB$8:$AB$343)-ROW('Mens Averages'!$AB$8)+1),COUNTIF(O$11:O11,O11))),"")))</f>
        <v>Scott Mitchell</v>
      </c>
      <c r="M11" s="9" t="str">
        <f t="array" ref="M11">IF(ISERROR(IF(ISNUMBER(O11),INDEX('Mens Averages'!$H$8:$H$343,SMALL(IF('Mens Averages'!$AB$8:$AB$343=O11,ROW('Mens Averages'!$AB$8:$AB$343)-ROW('Mens Averages'!$AB$8)+1),COUNTIF(O$11:O11,O11))),"")),"",(IF(ISNUMBER(O11),INDEX('Mens Averages'!$H$8:$H$343,SMALL(IF('Mens Averages'!$AB$8:$AB$343=O11,ROW('Mens Averages'!$AB$8:$AB$343)-ROW('Mens Averages'!$AB$8)+1),COUNTIF(O$11:O11,O11))),"")))</f>
        <v>Lyt</v>
      </c>
      <c r="N11" s="8">
        <f t="array" ref="N11">IF(ISERROR(IF(ISNUMBER(O11),INDEX('Mens Averages'!$I$8:$I$343,SMALL(IF('Mens Averages'!$AB$8:$AB$343=O11,ROW('Mens Averages'!$AB$8:$AB$343)-ROW('Mens Averages'!$AB$8)+1),COUNTIF(O$11:O11,O11))),"")),"",(IF(ISNUMBER(O11),INDEX('Mens Averages'!$I$8:$I$343,SMALL(IF('Mens Averages'!$AB$8:$AB$343=O11,ROW('Mens Averages'!$AB$8:$AB$343)-ROW('Mens Averages'!$AB$8)+1),COUNTIF(O$11:O11,O11))),"")))</f>
        <v>13</v>
      </c>
      <c r="O11" s="12">
        <f t="array" ref="O11">IF(ISERROR(LARGE(IF('Mens Averages'!$B$8:$B$343="Y",'Mens Averages'!$AB$8:AB$343),1)),0,(LARGE(IF('Mens Averages'!$B$8:$B$343="Y",'Mens Averages'!$AB$8:AB$343),1)))</f>
        <v>28.369999999999997</v>
      </c>
      <c r="P11" s="11"/>
      <c r="Q11" s="7">
        <f t="shared" ref="Q11:Q20" si="2">IF(ISERROR(RANK(U11,$U$11:$U$20)),"",(RANK(U11,$U$11:$U$20)))</f>
        <v>1</v>
      </c>
      <c r="R11" s="8" t="str">
        <f t="array" ref="R11">IF(ISNUMBER(U11),INDEX('Mens Averages'!$G$8:$G$343,SMALL(IF('Mens Averages'!$AA$8:$AA$343=U11,ROW('Mens Averages'!$AA$8:$AA$343)-ROW('Mens Averages'!$AA$8)+1),COUNTIF(U$11:U11,U11))),"")</f>
        <v>Scott Mitchell</v>
      </c>
      <c r="S11" s="9" t="str">
        <f t="array" ref="S11">IF(ISNUMBER(U11),INDEX('Mens Averages'!$H$8:$H$343,SMALL(IF('Mens Averages'!$AA$8:$AA$343=U11,ROW('Mens Averages'!$AA$8:$AA$343)-ROW('Mens Averages'!$AA$8)+1),COUNTIF(U$11:U11,U11))),"")</f>
        <v>Lyt</v>
      </c>
      <c r="T11" s="8">
        <f t="array" ref="T11">IF(ISNUMBER(U11),INDEX('Mens Averages'!$I$8:$I$343,SMALL(IF('Mens Averages'!$AA$8:$AA$343=U11,ROW('Mens Averages'!$AA$8:$AA$343)-ROW('Mens Averages'!$AA$8)+1),COUNTIF(U$11:U11,U11))),"")</f>
        <v>13</v>
      </c>
      <c r="U11" s="10">
        <f>IF(ISERROR(LARGE('Mens Averages'!$AA$8:AA$343,1)),"",(LARGE('Mens Averages'!$AA$8:$AA$343,1)))</f>
        <v>17</v>
      </c>
      <c r="V11" s="1"/>
      <c r="W11" s="1"/>
      <c r="X11" s="1"/>
      <c r="Y11" s="1"/>
      <c r="Z11" s="1"/>
    </row>
    <row r="12" spans="1:26" ht="12" customHeight="1" x14ac:dyDescent="0.2">
      <c r="A12" s="1"/>
      <c r="B12" s="1"/>
      <c r="C12" s="4"/>
      <c r="D12" s="4"/>
      <c r="E12" s="13">
        <f t="shared" si="0"/>
        <v>2</v>
      </c>
      <c r="F12" s="14" t="str">
        <f t="array" ref="F12">IF(ISNUMBER(I12),INDEX('Mens Averages'!$G$8:$G$343,SMALL(IF('Mens Averages'!$J$8:$J$343=I12,ROW('Mens Averages'!$J$8:$J$343)-ROW('Mens Averages'!$J$8)+1),COUNTIF(I$11:I12,I12))),"")</f>
        <v>Scott Mitchell</v>
      </c>
      <c r="G12" s="15" t="str">
        <f t="array" ref="G12">IF(ISNUMBER(I12),INDEX('Mens Averages'!$H$8:$H$343,SMALL(IF('Mens Averages'!$J$8:$J$343=I12,ROW('Mens Averages'!$J$8:$J$343)-ROW('Mens Averages'!$J$8)+1),COUNTIF(I$11:I12,I12))),"")</f>
        <v>Lyt</v>
      </c>
      <c r="H12" s="14">
        <f t="array" ref="H12">IF(ISNUMBER(I12),INDEX('Mens Averages'!$I$8:$I$343,SMALL(IF('Mens Averages'!$J$8:$J$343=I12,ROW('Mens Averages'!$J$8:$J$343)-ROW('Mens Averages'!$J$8)+1),COUNTIF(I$11:I12,I12))),"")</f>
        <v>13</v>
      </c>
      <c r="I12" s="16">
        <f>IF(ISERROR(LARGE('Mens Averages'!$J$8:J$343,2)),"",(LARGE('Mens Averages'!$J$8:$J$343,2)))</f>
        <v>12</v>
      </c>
      <c r="J12" s="11"/>
      <c r="K12" s="13">
        <f t="shared" si="1"/>
        <v>2</v>
      </c>
      <c r="L12" s="14" t="str">
        <f t="array" ref="L12">IF(ISERROR(IF(ISNUMBER(O12),INDEX('Mens Averages'!$G$8:$G$343,SMALL(IF('Mens Averages'!$AB$8:$AB$343=O12,ROW('Mens Averages'!$AB$8:$AB$343)-ROW('Mens Averages'!$AB$8)+1),COUNTIF(O$11:O12,O12))),"")),"",(IF(ISNUMBER(O12),INDEX('Mens Averages'!$G$8:$G$343,SMALL(IF('Mens Averages'!$AB$8:$AB$343=O12,ROW('Mens Averages'!$AB$8:$AB$343)-ROW('Mens Averages'!$AB$8)+1),COUNTIF(O$11:O12,O12))),"")))</f>
        <v>Tommy Morris</v>
      </c>
      <c r="M12" s="15" t="str">
        <f t="array" ref="M12">IF(ISERROR(IF(ISNUMBER(O12),INDEX('Mens Averages'!$H$8:$H$343,SMALL(IF('Mens Averages'!$AB$8:$AB$343=O12,ROW('Mens Averages'!$AB$8:$AB$343)-ROW('Mens Averages'!$AB$8)+1),COUNTIF(O$11:O12,O12))),"")),"",(IF(ISNUMBER(O12),INDEX('Mens Averages'!$H$8:$H$343,SMALL(IF('Mens Averages'!$AB$8:$AB$343=O12,ROW('Mens Averages'!$AB$8:$AB$343)-ROW('Mens Averages'!$AB$8)+1),COUNTIF(O$11:O12,O12))),"")))</f>
        <v>Chr</v>
      </c>
      <c r="N12" s="14">
        <f t="array" ref="N12">IF(ISERROR(IF(ISNUMBER(O12),INDEX('Mens Averages'!$I$8:$I$343,SMALL(IF('Mens Averages'!$AB$8:$AB$343=O12,ROW('Mens Averages'!$AB$8:$AB$343)-ROW('Mens Averages'!$AB$8)+1),COUNTIF(O$11:O12,O12))),"")),"",(IF(ISNUMBER(O12),INDEX('Mens Averages'!$I$8:$I$343,SMALL(IF('Mens Averages'!$AB$8:$AB$343=O12,ROW('Mens Averages'!$AB$8:$AB$343)-ROW('Mens Averages'!$AB$8)+1),COUNTIF(O$11:O12,O12))),"")))</f>
        <v>13</v>
      </c>
      <c r="O12" s="17">
        <f t="array" ref="O12">IF(ISERROR(LARGE(IF('Mens Averages'!$B$8:$B$343="Y",'Mens Averages'!$AB$8:AB$343),1)),0,(LARGE(IF('Mens Averages'!$B$8:$B$343="Y",'Mens Averages'!$AB$8:AB$343),2)))</f>
        <v>26.913846153846155</v>
      </c>
      <c r="P12" s="11"/>
      <c r="Q12" s="13">
        <f t="shared" si="2"/>
        <v>2</v>
      </c>
      <c r="R12" s="14" t="str">
        <f t="array" ref="R12">IF(ISNUMBER(U12),INDEX('Mens Averages'!$G$8:$G$343,SMALL(IF('Mens Averages'!$AA$8:$AA$343=U12,ROW('Mens Averages'!$AA$8:$AA$343)-ROW('Mens Averages'!$AA$8)+1),COUNTIF(U$11:U12,U12))),"")</f>
        <v>Mark Grimes</v>
      </c>
      <c r="S12" s="15" t="str">
        <f t="array" ref="S12">IF(ISNUMBER(U12),INDEX('Mens Averages'!$H$8:$H$343,SMALL(IF('Mens Averages'!$AA$8:$AA$343=U12,ROW('Mens Averages'!$AA$8:$AA$343)-ROW('Mens Averages'!$AA$8)+1),COUNTIF(U$11:U12,U12))),"")</f>
        <v>Chr</v>
      </c>
      <c r="T12" s="14">
        <f t="array" ref="T12">IF(ISNUMBER(U12),INDEX('Mens Averages'!$I$8:$I$343,SMALL(IF('Mens Averages'!$AA$8:$AA$343=U12,ROW('Mens Averages'!$AA$8:$AA$343)-ROW('Mens Averages'!$AA$8)+1),COUNTIF(U$11:U12,U12))),"")</f>
        <v>12</v>
      </c>
      <c r="U12" s="16">
        <f>IF(ISERROR(LARGE('Mens Averages'!$AA$8:AA$343,2)),"",(LARGE('Mens Averages'!$AA$8:$AA$343,2)))</f>
        <v>15</v>
      </c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4"/>
      <c r="D13" s="4"/>
      <c r="E13" s="13">
        <f t="shared" si="0"/>
        <v>2</v>
      </c>
      <c r="F13" s="14" t="str">
        <f t="array" ref="F13">IF(ISNUMBER(I13),INDEX('Mens Averages'!$G$8:$G$343,SMALL(IF('Mens Averages'!$J$8:$J$343=I13,ROW('Mens Averages'!$J$8:$J$343)-ROW('Mens Averages'!$J$8)+1),COUNTIF(I$11:I13,I13))),"")</f>
        <v>Carl Beattie</v>
      </c>
      <c r="G13" s="15" t="str">
        <f t="array" ref="G13">IF(ISNUMBER(I13),INDEX('Mens Averages'!$H$8:$H$343,SMALL(IF('Mens Averages'!$J$8:$J$343=I13,ROW('Mens Averages'!$J$8:$J$343)-ROW('Mens Averages'!$J$8)+1),COUNTIF(I$11:I13,I13))),"")</f>
        <v>Poo</v>
      </c>
      <c r="H13" s="14">
        <f t="array" ref="H13">IF(ISNUMBER(I13),INDEX('Mens Averages'!$I$8:$I$343,SMALL(IF('Mens Averages'!$J$8:$J$343=I13,ROW('Mens Averages'!$J$8:$J$343)-ROW('Mens Averages'!$J$8)+1),COUNTIF(I$11:I13,I13))),"")</f>
        <v>13</v>
      </c>
      <c r="I13" s="16">
        <f>IF(ISERROR(LARGE('Mens Averages'!$J$8:J$343,3)),"",(LARGE('Mens Averages'!$J$8:$J$343,3)))</f>
        <v>12</v>
      </c>
      <c r="J13" s="11"/>
      <c r="K13" s="13">
        <f t="shared" si="1"/>
        <v>3</v>
      </c>
      <c r="L13" s="14" t="str">
        <f t="array" ref="L13">IF(ISERROR(IF(ISNUMBER(O13),INDEX('Mens Averages'!$G$8:$G$343,SMALL(IF('Mens Averages'!$AB$8:$AB$343=O13,ROW('Mens Averages'!$AB$8:$AB$343)-ROW('Mens Averages'!$AB$8)+1),COUNTIF(O$11:O13,O13))),"")),"",(IF(ISNUMBER(O13),INDEX('Mens Averages'!$G$8:$G$343,SMALL(IF('Mens Averages'!$AB$8:$AB$343=O13,ROW('Mens Averages'!$AB$8:$AB$343)-ROW('Mens Averages'!$AB$8)+1),COUNTIF(O$11:O13,O13))),"")))</f>
        <v>Ricky King</v>
      </c>
      <c r="M13" s="15" t="str">
        <f t="array" ref="M13">IF(ISERROR(IF(ISNUMBER(O13),INDEX('Mens Averages'!$H$8:$H$343,SMALL(IF('Mens Averages'!$AB$8:$AB$343=O13,ROW('Mens Averages'!$AB$8:$AB$343)-ROW('Mens Averages'!$AB$8)+1),COUNTIF(O$11:O13,O13))),"")),"",(IF(ISNUMBER(O13),INDEX('Mens Averages'!$H$8:$H$343,SMALL(IF('Mens Averages'!$AB$8:$AB$343=O13,ROW('Mens Averages'!$AB$8:$AB$343)-ROW('Mens Averages'!$AB$8)+1),COUNTIF(O$11:O13,O13))),"")))</f>
        <v>Swa</v>
      </c>
      <c r="N13" s="14">
        <f t="array" ref="N13">IF(ISERROR(IF(ISNUMBER(O13),INDEX('Mens Averages'!$I$8:$I$343,SMALL(IF('Mens Averages'!$AB$8:$AB$343=O13,ROW('Mens Averages'!$AB$8:$AB$343)-ROW('Mens Averages'!$AB$8)+1),COUNTIF(O$11:O13,O13))),"")),"",(IF(ISNUMBER(O13),INDEX('Mens Averages'!$I$8:$I$343,SMALL(IF('Mens Averages'!$AB$8:$AB$343=O13,ROW('Mens Averages'!$AB$8:$AB$343)-ROW('Mens Averages'!$AB$8)+1),COUNTIF(O$11:O13,O13))),"")))</f>
        <v>11</v>
      </c>
      <c r="O13" s="17">
        <f t="array" ref="O13">IF(ISERROR(LARGE(IF('Mens Averages'!$B$8:$B$343="Y",'Mens Averages'!$AB$8:AB$343),1)),0,(LARGE(IF('Mens Averages'!$B$8:$B$343="Y",'Mens Averages'!$AB$8:AB$343),3)))</f>
        <v>26.318181818181817</v>
      </c>
      <c r="P13" s="11"/>
      <c r="Q13" s="13">
        <f t="shared" si="2"/>
        <v>3</v>
      </c>
      <c r="R13" s="14" t="str">
        <f t="array" ref="R13">IF(ISNUMBER(U13),INDEX('Mens Averages'!$G$8:$G$343,SMALL(IF('Mens Averages'!$AA$8:$AA$343=U13,ROW('Mens Averages'!$AA$8:$AA$343)-ROW('Mens Averages'!$AA$8)+1),COUNTIF(U$11:U13,U13))),"")</f>
        <v>Carl Beattie</v>
      </c>
      <c r="S13" s="15" t="str">
        <f t="array" ref="S13">IF(ISNUMBER(U13),INDEX('Mens Averages'!$H$8:$H$343,SMALL(IF('Mens Averages'!$AA$8:$AA$343=U13,ROW('Mens Averages'!$AA$8:$AA$343)-ROW('Mens Averages'!$AA$8)+1),COUNTIF(U$11:U13,U13))),"")</f>
        <v>Poo</v>
      </c>
      <c r="T13" s="14">
        <f t="array" ref="T13">IF(ISNUMBER(U13),INDEX('Mens Averages'!$I$8:$I$343,SMALL(IF('Mens Averages'!$AA$8:$AA$343=U13,ROW('Mens Averages'!$AA$8:$AA$343)-ROW('Mens Averages'!$AA$8)+1),COUNTIF(U$11:U13,U13))),"")</f>
        <v>13</v>
      </c>
      <c r="U13" s="16">
        <f>IF(ISERROR(LARGE('Mens Averages'!$AA$8:AA$343,3)),"",(LARGE('Mens Averages'!$AA$8:$AA$343,3)))</f>
        <v>13</v>
      </c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4"/>
      <c r="D14" s="4"/>
      <c r="E14" s="13">
        <f t="shared" si="0"/>
        <v>2</v>
      </c>
      <c r="F14" s="14" t="str">
        <f t="array" ref="F14">IF(ISNUMBER(I14),INDEX('Mens Averages'!$G$8:$G$343,SMALL(IF('Mens Averages'!$J$8:$J$343=I14,ROW('Mens Averages'!$J$8:$J$343)-ROW('Mens Averages'!$J$8)+1),COUNTIF(I$11:I14,I14))),"")</f>
        <v>Henry Cooper</v>
      </c>
      <c r="G14" s="15" t="str">
        <f t="array" ref="G14">IF(ISNUMBER(I14),INDEX('Mens Averages'!$H$8:$H$343,SMALL(IF('Mens Averages'!$J$8:$J$343=I14,ROW('Mens Averages'!$J$8:$J$343)-ROW('Mens Averages'!$J$8)+1),COUNTIF(I$11:I14,I14))),"")</f>
        <v>Dor</v>
      </c>
      <c r="H14" s="14">
        <f t="array" ref="H14">IF(ISNUMBER(I14),INDEX('Mens Averages'!$I$8:$I$343,SMALL(IF('Mens Averages'!$J$8:$J$343=I14,ROW('Mens Averages'!$J$8:$J$343)-ROW('Mens Averages'!$J$8)+1),COUNTIF(I$11:I14,I14))),"")</f>
        <v>13</v>
      </c>
      <c r="I14" s="16">
        <f>IF(ISERROR(LARGE('Mens Averages'!$J$8:J$343,4)),"",(LARGE('Mens Averages'!$J$8:$J$343,4)))</f>
        <v>12</v>
      </c>
      <c r="J14" s="2"/>
      <c r="K14" s="13">
        <f t="shared" si="1"/>
        <v>4</v>
      </c>
      <c r="L14" s="14" t="str">
        <f t="array" ref="L14">IF(ISERROR(IF(ISNUMBER(O14),INDEX('Mens Averages'!$G$8:$G$343,SMALL(IF('Mens Averages'!$AB$8:$AB$343=O14,ROW('Mens Averages'!$AB$8:$AB$343)-ROW('Mens Averages'!$AB$8)+1),COUNTIF(O$11:O14,O14))),"")),"",(IF(ISNUMBER(O14),INDEX('Mens Averages'!$G$8:$G$343,SMALL(IF('Mens Averages'!$AB$8:$AB$343=O14,ROW('Mens Averages'!$AB$8:$AB$343)-ROW('Mens Averages'!$AB$8)+1),COUNTIF(O$11:O14,O14))),"")))</f>
        <v>Mark Grimes</v>
      </c>
      <c r="M14" s="15" t="str">
        <f t="array" ref="M14">IF(ISERROR(IF(ISNUMBER(O14),INDEX('Mens Averages'!$H$8:$H$343,SMALL(IF('Mens Averages'!$AB$8:$AB$343=O14,ROW('Mens Averages'!$AB$8:$AB$343)-ROW('Mens Averages'!$AB$8)+1),COUNTIF(O$11:O14,O14))),"")),"",(IF(ISNUMBER(O14),INDEX('Mens Averages'!$H$8:$H$343,SMALL(IF('Mens Averages'!$AB$8:$AB$343=O14,ROW('Mens Averages'!$AB$8:$AB$343)-ROW('Mens Averages'!$AB$8)+1),COUNTIF(O$11:O14,O14))),"")))</f>
        <v>Chr</v>
      </c>
      <c r="N14" s="14">
        <f t="array" ref="N14">IF(ISERROR(IF(ISNUMBER(O14),INDEX('Mens Averages'!$I$8:$I$343,SMALL(IF('Mens Averages'!$AB$8:$AB$343=O14,ROW('Mens Averages'!$AB$8:$AB$343)-ROW('Mens Averages'!$AB$8)+1),COUNTIF(O$11:O14,O14))),"")),"",(IF(ISNUMBER(O14),INDEX('Mens Averages'!$I$8:$I$343,SMALL(IF('Mens Averages'!$AB$8:$AB$343=O14,ROW('Mens Averages'!$AB$8:$AB$343)-ROW('Mens Averages'!$AB$8)+1),COUNTIF(O$11:O14,O14))),"")))</f>
        <v>12</v>
      </c>
      <c r="O14" s="17">
        <f t="array" ref="O14">IF(ISERROR(LARGE(IF('Mens Averages'!$B$8:$B$343="Y",'Mens Averages'!$AB$8:AB$343),1)),0,(LARGE(IF('Mens Averages'!$B$8:$B$343="Y",'Mens Averages'!$AB$8:AB$343),4)))</f>
        <v>25.944166666666664</v>
      </c>
      <c r="P14" s="11"/>
      <c r="Q14" s="13">
        <f t="shared" si="2"/>
        <v>4</v>
      </c>
      <c r="R14" s="14" t="str">
        <f t="array" ref="R14">IF(ISNUMBER(U14),INDEX('Mens Averages'!$G$8:$G$343,SMALL(IF('Mens Averages'!$AA$8:$AA$343=U14,ROW('Mens Averages'!$AA$8:$AA$343)-ROW('Mens Averages'!$AA$8)+1),COUNTIF(U$11:U14,U14))),"")</f>
        <v>Ricky King</v>
      </c>
      <c r="S14" s="15" t="str">
        <f t="array" ref="S14">IF(ISNUMBER(U14),INDEX('Mens Averages'!$H$8:$H$343,SMALL(IF('Mens Averages'!$AA$8:$AA$343=U14,ROW('Mens Averages'!$AA$8:$AA$343)-ROW('Mens Averages'!$AA$8)+1),COUNTIF(U$11:U14,U14))),"")</f>
        <v>Swa</v>
      </c>
      <c r="T14" s="14">
        <f t="array" ref="T14">IF(ISNUMBER(U14),INDEX('Mens Averages'!$I$8:$I$343,SMALL(IF('Mens Averages'!$AA$8:$AA$343=U14,ROW('Mens Averages'!$AA$8:$AA$343)-ROW('Mens Averages'!$AA$8)+1),COUNTIF(U$11:U14,U14))),"")</f>
        <v>11</v>
      </c>
      <c r="U14" s="16">
        <f>IF(ISERROR(LARGE('Mens Averages'!$AA$8:AA$343,4)),"",(LARGE('Mens Averages'!$AA$8:$AA$343,4)))</f>
        <v>8</v>
      </c>
      <c r="V14" s="1"/>
      <c r="W14" s="1"/>
      <c r="X14" s="1"/>
      <c r="Y14" s="1"/>
      <c r="Z14" s="1"/>
    </row>
    <row r="15" spans="1:26" ht="12" customHeight="1" x14ac:dyDescent="0.2">
      <c r="A15" s="1"/>
      <c r="B15" s="1"/>
      <c r="C15" s="4"/>
      <c r="D15" s="4"/>
      <c r="E15" s="13">
        <f t="shared" si="0"/>
        <v>5</v>
      </c>
      <c r="F15" s="14" t="str">
        <f t="array" ref="F15">IF(ISNUMBER(I15),INDEX('Mens Averages'!$G$8:$G$343,SMALL(IF('Mens Averages'!$J$8:$J$343=I15,ROW('Mens Averages'!$J$8:$J$343)-ROW('Mens Averages'!$J$8)+1),COUNTIF(I$11:I15,I15))),"")</f>
        <v>Paul Carter</v>
      </c>
      <c r="G15" s="15" t="str">
        <f t="array" ref="G15">IF(ISNUMBER(I15),INDEX('Mens Averages'!$H$8:$H$343,SMALL(IF('Mens Averages'!$J$8:$J$343=I15,ROW('Mens Averages'!$J$8:$J$343)-ROW('Mens Averages'!$J$8)+1),COUNTIF(I$11:I15,I15))),"")</f>
        <v>Bou</v>
      </c>
      <c r="H15" s="14">
        <f t="array" ref="H15">IF(ISNUMBER(I15),INDEX('Mens Averages'!$I$8:$I$343,SMALL(IF('Mens Averages'!$J$8:$J$343=I15,ROW('Mens Averages'!$J$8:$J$343)-ROW('Mens Averages'!$J$8)+1),COUNTIF(I$11:I15,I15))),"")</f>
        <v>13</v>
      </c>
      <c r="I15" s="16">
        <f>IF(ISERROR(LARGE('Mens Averages'!$J$8:J$343,5)),"",(LARGE('Mens Averages'!$J$8:$J$343,5)))</f>
        <v>11</v>
      </c>
      <c r="J15" s="2"/>
      <c r="K15" s="13">
        <f t="shared" si="1"/>
        <v>5</v>
      </c>
      <c r="L15" s="14" t="str">
        <f t="array" ref="L15">IF(ISERROR(IF(ISNUMBER(O15),INDEX('Mens Averages'!$G$8:$G$343,SMALL(IF('Mens Averages'!$AB$8:$AB$343=O15,ROW('Mens Averages'!$AB$8:$AB$343)-ROW('Mens Averages'!$AB$8)+1),COUNTIF(O$11:O15,O15))),"")),"",(IF(ISNUMBER(O15),INDEX('Mens Averages'!$G$8:$G$343,SMALL(IF('Mens Averages'!$AB$8:$AB$343=O15,ROW('Mens Averages'!$AB$8:$AB$343)-ROW('Mens Averages'!$AB$8)+1),COUNTIF(O$11:O15,O15))),"")))</f>
        <v>Dale Masterman</v>
      </c>
      <c r="M15" s="15" t="str">
        <f t="array" ref="M15">IF(ISERROR(IF(ISNUMBER(O15),INDEX('Mens Averages'!$H$8:$H$343,SMALL(IF('Mens Averages'!$AB$8:$AB$343=O15,ROW('Mens Averages'!$AB$8:$AB$343)-ROW('Mens Averages'!$AB$8)+1),COUNTIF(O$11:O15,O15))),"")),"",(IF(ISNUMBER(O15),INDEX('Mens Averages'!$H$8:$H$343,SMALL(IF('Mens Averages'!$AB$8:$AB$343=O15,ROW('Mens Averages'!$AB$8:$AB$343)-ROW('Mens Averages'!$AB$8)+1),COUNTIF(O$11:O15,O15))),"")))</f>
        <v>Lyt</v>
      </c>
      <c r="N15" s="14">
        <f t="array" ref="N15">IF(ISERROR(IF(ISNUMBER(O15),INDEX('Mens Averages'!$I$8:$I$343,SMALL(IF('Mens Averages'!$AB$8:$AB$343=O15,ROW('Mens Averages'!$AB$8:$AB$343)-ROW('Mens Averages'!$AB$8)+1),COUNTIF(O$11:O15,O15))),"")),"",(IF(ISNUMBER(O15),INDEX('Mens Averages'!$I$8:$I$343,SMALL(IF('Mens Averages'!$AB$8:$AB$343=O15,ROW('Mens Averages'!$AB$8:$AB$343)-ROW('Mens Averages'!$AB$8)+1),COUNTIF(O$11:O15,O15))),"")))</f>
        <v>10</v>
      </c>
      <c r="O15" s="17">
        <f t="array" ref="O15">IF(ISERROR(LARGE(IF('Mens Averages'!$B$8:$B$343="Y",'Mens Averages'!$AB$8:AB$343),1)),0,(LARGE(IF('Mens Averages'!$B$8:$B$343="Y",'Mens Averages'!$AB$8:AB$343),5)))</f>
        <v>25.503999999999998</v>
      </c>
      <c r="P15" s="11"/>
      <c r="Q15" s="13">
        <f t="shared" si="2"/>
        <v>4</v>
      </c>
      <c r="R15" s="14" t="str">
        <f t="array" ref="R15">IF(ISNUMBER(U15),INDEX('Mens Averages'!$G$8:$G$343,SMALL(IF('Mens Averages'!$AA$8:$AA$343=U15,ROW('Mens Averages'!$AA$8:$AA$343)-ROW('Mens Averages'!$AA$8)+1),COUNTIF(U$11:U15,U15))),"")</f>
        <v>Dale Masterman</v>
      </c>
      <c r="S15" s="15" t="str">
        <f t="array" ref="S15">IF(ISNUMBER(U15),INDEX('Mens Averages'!$H$8:$H$343,SMALL(IF('Mens Averages'!$AA$8:$AA$343=U15,ROW('Mens Averages'!$AA$8:$AA$343)-ROW('Mens Averages'!$AA$8)+1),COUNTIF(U$11:U15,U15))),"")</f>
        <v>Lyt</v>
      </c>
      <c r="T15" s="14">
        <f t="array" ref="T15">IF(ISNUMBER(U15),INDEX('Mens Averages'!$I$8:$I$343,SMALL(IF('Mens Averages'!$AA$8:$AA$343=U15,ROW('Mens Averages'!$AA$8:$AA$343)-ROW('Mens Averages'!$AA$8)+1),COUNTIF(U$11:U15,U15))),"")</f>
        <v>10</v>
      </c>
      <c r="U15" s="16">
        <f>IF(ISERROR(LARGE('Mens Averages'!$AA$8:AA$343,5)),"",(LARGE('Mens Averages'!$AA$8:$AA$343,5)))</f>
        <v>8</v>
      </c>
      <c r="V15" s="1"/>
      <c r="W15" s="1"/>
      <c r="X15" s="1"/>
      <c r="Y15" s="1"/>
      <c r="Z15" s="1"/>
    </row>
    <row r="16" spans="1:26" ht="12" customHeight="1" x14ac:dyDescent="0.2">
      <c r="A16" s="1"/>
      <c r="B16" s="1"/>
      <c r="C16" s="4"/>
      <c r="D16" s="4"/>
      <c r="E16" s="13">
        <f t="shared" si="0"/>
        <v>5</v>
      </c>
      <c r="F16" s="14" t="str">
        <f t="array" ref="F16">IF(ISNUMBER(I16),INDEX('Mens Averages'!$G$8:$G$343,SMALL(IF('Mens Averages'!$J$8:$J$343=I16,ROW('Mens Averages'!$J$8:$J$343)-ROW('Mens Averages'!$J$8)+1),COUNTIF(I$11:I16,I16))),"")</f>
        <v>Kevin Smith</v>
      </c>
      <c r="G16" s="15" t="str">
        <f t="array" ref="G16">IF(ISNUMBER(I16),INDEX('Mens Averages'!$H$8:$H$343,SMALL(IF('Mens Averages'!$J$8:$J$343=I16,ROW('Mens Averages'!$J$8:$J$343)-ROW('Mens Averages'!$J$8)+1),COUNTIF(I$11:I16,I16))),"")</f>
        <v>Poo</v>
      </c>
      <c r="H16" s="14">
        <f t="array" ref="H16">IF(ISNUMBER(I16),INDEX('Mens Averages'!$I$8:$I$343,SMALL(IF('Mens Averages'!$J$8:$J$343=I16,ROW('Mens Averages'!$J$8:$J$343)-ROW('Mens Averages'!$J$8)+1),COUNTIF(I$11:I16,I16))),"")</f>
        <v>13</v>
      </c>
      <c r="I16" s="16">
        <f>IF(ISERROR(LARGE('Mens Averages'!$J$8:J$343,6)),"",(LARGE('Mens Averages'!$J$8:$J$343,6)))</f>
        <v>11</v>
      </c>
      <c r="J16" s="2"/>
      <c r="K16" s="13">
        <f t="shared" si="1"/>
        <v>6</v>
      </c>
      <c r="L16" s="14" t="str">
        <f t="array" ref="L16">IF(ISERROR(IF(ISNUMBER(O16),INDEX('Mens Averages'!$G$8:$G$343,SMALL(IF('Mens Averages'!$AB$8:$AB$343=O16,ROW('Mens Averages'!$AB$8:$AB$343)-ROW('Mens Averages'!$AB$8)+1),COUNTIF(O$11:O16,O16))),"")),"",(IF(ISNUMBER(O16),INDEX('Mens Averages'!$G$8:$G$343,SMALL(IF('Mens Averages'!$AB$8:$AB$343=O16,ROW('Mens Averages'!$AB$8:$AB$343)-ROW('Mens Averages'!$AB$8)+1),COUNTIF(O$11:O16,O16))),"")))</f>
        <v>Daniel Rawlings</v>
      </c>
      <c r="M16" s="15" t="str">
        <f t="array" ref="M16">IF(ISERROR(IF(ISNUMBER(O16),INDEX('Mens Averages'!$H$8:$H$343,SMALL(IF('Mens Averages'!$AB$8:$AB$343=O16,ROW('Mens Averages'!$AB$8:$AB$343)-ROW('Mens Averages'!$AB$8)+1),COUNTIF(O$11:O16,O16))),"")),"",(IF(ISNUMBER(O16),INDEX('Mens Averages'!$H$8:$H$343,SMALL(IF('Mens Averages'!$AB$8:$AB$343=O16,ROW('Mens Averages'!$AB$8:$AB$343)-ROW('Mens Averages'!$AB$8)+1),COUNTIF(O$11:O16,O16))),"")))</f>
        <v>Bri</v>
      </c>
      <c r="N16" s="14">
        <f t="array" ref="N16">IF(ISERROR(IF(ISNUMBER(O16),INDEX('Mens Averages'!$I$8:$I$343,SMALL(IF('Mens Averages'!$AB$8:$AB$343=O16,ROW('Mens Averages'!$AB$8:$AB$343)-ROW('Mens Averages'!$AB$8)+1),COUNTIF(O$11:O16,O16))),"")),"",(IF(ISNUMBER(O16),INDEX('Mens Averages'!$I$8:$I$343,SMALL(IF('Mens Averages'!$AB$8:$AB$343=O16,ROW('Mens Averages'!$AB$8:$AB$343)-ROW('Mens Averages'!$AB$8)+1),COUNTIF(O$11:O16,O16))),"")))</f>
        <v>11</v>
      </c>
      <c r="O16" s="17">
        <f t="array" ref="O16">IF(ISERROR(LARGE(IF('Mens Averages'!$B$8:$B$343="Y",'Mens Averages'!$AB$8:AB$343),1)),0,(LARGE(IF('Mens Averages'!$B$8:$B$343="Y",'Mens Averages'!$AB$8:AB$343),6)))</f>
        <v>25.433636363636364</v>
      </c>
      <c r="P16" s="11"/>
      <c r="Q16" s="13">
        <f t="shared" si="2"/>
        <v>4</v>
      </c>
      <c r="R16" s="14" t="str">
        <f t="array" ref="R16">IF(ISNUMBER(U16),INDEX('Mens Averages'!$G$8:$G$343,SMALL(IF('Mens Averages'!$AA$8:$AA$343=U16,ROW('Mens Averages'!$AA$8:$AA$343)-ROW('Mens Averages'!$AA$8)+1),COUNTIF(U$11:U16,U16))),"")</f>
        <v>Ian Spann</v>
      </c>
      <c r="S16" s="15" t="str">
        <f t="array" ref="S16">IF(ISNUMBER(U16),INDEX('Mens Averages'!$H$8:$H$343,SMALL(IF('Mens Averages'!$AA$8:$AA$343=U16,ROW('Mens Averages'!$AA$8:$AA$343)-ROW('Mens Averages'!$AA$8)+1),COUNTIF(U$11:U16,U16))),"")</f>
        <v>Wey</v>
      </c>
      <c r="T16" s="14">
        <f t="array" ref="T16">IF(ISNUMBER(U16),INDEX('Mens Averages'!$I$8:$I$343,SMALL(IF('Mens Averages'!$AA$8:$AA$343=U16,ROW('Mens Averages'!$AA$8:$AA$343)-ROW('Mens Averages'!$AA$8)+1),COUNTIF(U$11:U16,U16))),"")</f>
        <v>11</v>
      </c>
      <c r="U16" s="16">
        <f>IF(ISERROR(LARGE('Mens Averages'!$AA$8:AA$343,6)),"",(LARGE('Mens Averages'!$AA$8:$AA$343,6)))</f>
        <v>8</v>
      </c>
      <c r="V16" s="1"/>
      <c r="W16" s="1"/>
      <c r="X16" s="1"/>
      <c r="Y16" s="1"/>
      <c r="Z16" s="1"/>
    </row>
    <row r="17" spans="1:26" ht="12" customHeight="1" x14ac:dyDescent="0.2">
      <c r="A17" s="1"/>
      <c r="B17" s="1"/>
      <c r="C17" s="4"/>
      <c r="D17" s="4"/>
      <c r="E17" s="13">
        <f t="shared" si="0"/>
        <v>7</v>
      </c>
      <c r="F17" s="14" t="str">
        <f t="array" ref="F17">IF(ISNUMBER(I17),INDEX('Mens Averages'!$G$8:$G$343,SMALL(IF('Mens Averages'!$J$8:$J$343=I17,ROW('Mens Averages'!$J$8:$J$343)-ROW('Mens Averages'!$J$8)+1),COUNTIF(I$11:I17,I17))),"")</f>
        <v>Ricky King</v>
      </c>
      <c r="G17" s="15" t="str">
        <f t="array" ref="G17">IF(ISNUMBER(I17),INDEX('Mens Averages'!$H$8:$H$343,SMALL(IF('Mens Averages'!$J$8:$J$343=I17,ROW('Mens Averages'!$J$8:$J$343)-ROW('Mens Averages'!$J$8)+1),COUNTIF(I$11:I17,I17))),"")</f>
        <v>Swa</v>
      </c>
      <c r="H17" s="14">
        <f t="array" ref="H17">IF(ISNUMBER(I17),INDEX('Mens Averages'!$I$8:$I$343,SMALL(IF('Mens Averages'!$J$8:$J$343=I17,ROW('Mens Averages'!$J$8:$J$343)-ROW('Mens Averages'!$J$8)+1),COUNTIF(I$11:I17,I17))),"")</f>
        <v>11</v>
      </c>
      <c r="I17" s="16">
        <f>IF(ISERROR(LARGE('Mens Averages'!$J$8:J$343,7)),"",(LARGE('Mens Averages'!$J$8:$J$343,7)))</f>
        <v>10</v>
      </c>
      <c r="J17" s="2"/>
      <c r="K17" s="13">
        <f t="shared" si="1"/>
        <v>7</v>
      </c>
      <c r="L17" s="14" t="str">
        <f t="array" ref="L17">IF(ISERROR(IF(ISNUMBER(O17),INDEX('Mens Averages'!$G$8:$G$343,SMALL(IF('Mens Averages'!$AB$8:$AB$343=O17,ROW('Mens Averages'!$AB$8:$AB$343)-ROW('Mens Averages'!$AB$8)+1),COUNTIF(O$11:O17,O17))),"")),"",(IF(ISNUMBER(O17),INDEX('Mens Averages'!$G$8:$G$343,SMALL(IF('Mens Averages'!$AB$8:$AB$343=O17,ROW('Mens Averages'!$AB$8:$AB$343)-ROW('Mens Averages'!$AB$8)+1),COUNTIF(O$11:O17,O17))),"")))</f>
        <v>Daniel Perry</v>
      </c>
      <c r="M17" s="15" t="str">
        <f t="array" ref="M17">IF(ISERROR(IF(ISNUMBER(O17),INDEX('Mens Averages'!$H$8:$H$343,SMALL(IF('Mens Averages'!$AB$8:$AB$343=O17,ROW('Mens Averages'!$AB$8:$AB$343)-ROW('Mens Averages'!$AB$8)+1),COUNTIF(O$11:O17,O17))),"")),"",(IF(ISNUMBER(O17),INDEX('Mens Averages'!$H$8:$H$343,SMALL(IF('Mens Averages'!$AB$8:$AB$343=O17,ROW('Mens Averages'!$AB$8:$AB$343)-ROW('Mens Averages'!$AB$8)+1),COUNTIF(O$11:O17,O17))),"")))</f>
        <v>Lyt</v>
      </c>
      <c r="N17" s="14">
        <f t="array" ref="N17">IF(ISERROR(IF(ISNUMBER(O17),INDEX('Mens Averages'!$I$8:$I$343,SMALL(IF('Mens Averages'!$AB$8:$AB$343=O17,ROW('Mens Averages'!$AB$8:$AB$343)-ROW('Mens Averages'!$AB$8)+1),COUNTIF(O$11:O17,O17))),"")),"",(IF(ISNUMBER(O17),INDEX('Mens Averages'!$I$8:$I$343,SMALL(IF('Mens Averages'!$AB$8:$AB$343=O17,ROW('Mens Averages'!$AB$8:$AB$343)-ROW('Mens Averages'!$AB$8)+1),COUNTIF(O$11:O17,O17))),"")))</f>
        <v>11</v>
      </c>
      <c r="O17" s="17">
        <f t="array" ref="O17">IF(ISERROR(LARGE(IF('Mens Averages'!$B$8:$B$343="Y",'Mens Averages'!$AB$8:AB$343),1)),0,(LARGE(IF('Mens Averages'!$B$8:$B$343="Y",'Mens Averages'!$AB$8:AB$343),7)))</f>
        <v>25.326363636363638</v>
      </c>
      <c r="P17" s="11"/>
      <c r="Q17" s="13">
        <f t="shared" si="2"/>
        <v>4</v>
      </c>
      <c r="R17" s="14" t="str">
        <f t="array" ref="R17">IF(ISNUMBER(U17),INDEX('Mens Averages'!$G$8:$G$343,SMALL(IF('Mens Averages'!$AA$8:$AA$343=U17,ROW('Mens Averages'!$AA$8:$AA$343)-ROW('Mens Averages'!$AA$8)+1),COUNTIF(U$11:U17,U17))),"")</f>
        <v>Nigel Edwards</v>
      </c>
      <c r="S17" s="15" t="str">
        <f t="array" ref="S17">IF(ISNUMBER(U17),INDEX('Mens Averages'!$H$8:$H$343,SMALL(IF('Mens Averages'!$AA$8:$AA$343=U17,ROW('Mens Averages'!$AA$8:$AA$343)-ROW('Mens Averages'!$AA$8)+1),COUNTIF(U$11:U17,U17))),"")</f>
        <v>Sha</v>
      </c>
      <c r="T17" s="14">
        <f t="array" ref="T17">IF(ISNUMBER(U17),INDEX('Mens Averages'!$I$8:$I$343,SMALL(IF('Mens Averages'!$AA$8:$AA$343=U17,ROW('Mens Averages'!$AA$8:$AA$343)-ROW('Mens Averages'!$AA$8)+1),COUNTIF(U$11:U17,U17))),"")</f>
        <v>12</v>
      </c>
      <c r="U17" s="16">
        <f>IF(ISERROR(LARGE('Mens Averages'!$AA$8:AA$343,7)),"",(LARGE('Mens Averages'!$AA$8:$AA$343,7)))</f>
        <v>8</v>
      </c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4"/>
      <c r="D18" s="4"/>
      <c r="E18" s="13">
        <f t="shared" si="0"/>
        <v>7</v>
      </c>
      <c r="F18" s="14" t="str">
        <f t="array" ref="F18">IF(ISNUMBER(I18),INDEX('Mens Averages'!$G$8:$G$343,SMALL(IF('Mens Averages'!$J$8:$J$343=I18,ROW('Mens Averages'!$J$8:$J$343)-ROW('Mens Averages'!$J$8)+1),COUNTIF(I$11:I18,I18))),"")</f>
        <v>Daniel Rawlings</v>
      </c>
      <c r="G18" s="15" t="str">
        <f t="array" ref="G18">IF(ISNUMBER(I18),INDEX('Mens Averages'!$H$8:$H$343,SMALL(IF('Mens Averages'!$J$8:$J$343=I18,ROW('Mens Averages'!$J$8:$J$343)-ROW('Mens Averages'!$J$8)+1),COUNTIF(I$11:I18,I18))),"")</f>
        <v>Bri</v>
      </c>
      <c r="H18" s="14">
        <f t="array" ref="H18">IF(ISNUMBER(I18),INDEX('Mens Averages'!$I$8:$I$343,SMALL(IF('Mens Averages'!$J$8:$J$343=I18,ROW('Mens Averages'!$J$8:$J$343)-ROW('Mens Averages'!$J$8)+1),COUNTIF(I$11:I18,I18))),"")</f>
        <v>11</v>
      </c>
      <c r="I18" s="16">
        <f>IF(ISERROR(LARGE('Mens Averages'!$J$8:J$343,8)),"",(LARGE('Mens Averages'!$J$8:$J$343,8)))</f>
        <v>10</v>
      </c>
      <c r="J18" s="2"/>
      <c r="K18" s="13">
        <f t="shared" si="1"/>
        <v>8</v>
      </c>
      <c r="L18" s="14" t="str">
        <f t="array" ref="L18">IF(ISERROR(IF(ISNUMBER(O18),INDEX('Mens Averages'!$G$8:$G$343,SMALL(IF('Mens Averages'!$AB$8:$AB$343=O18,ROW('Mens Averages'!$AB$8:$AB$343)-ROW('Mens Averages'!$AB$8)+1),COUNTIF(O$11:O18,O18))),"")),"",(IF(ISNUMBER(O18),INDEX('Mens Averages'!$G$8:$G$343,SMALL(IF('Mens Averages'!$AB$8:$AB$343=O18,ROW('Mens Averages'!$AB$8:$AB$343)-ROW('Mens Averages'!$AB$8)+1),COUNTIF(O$11:O18,O18))),"")))</f>
        <v>Robbie Martin</v>
      </c>
      <c r="M18" s="15" t="str">
        <f t="array" ref="M18">IF(ISERROR(IF(ISNUMBER(O18),INDEX('Mens Averages'!$H$8:$H$343,SMALL(IF('Mens Averages'!$AB$8:$AB$343=O18,ROW('Mens Averages'!$AB$8:$AB$343)-ROW('Mens Averages'!$AB$8)+1),COUNTIF(O$11:O18,O18))),"")),"",(IF(ISNUMBER(O18),INDEX('Mens Averages'!$H$8:$H$343,SMALL(IF('Mens Averages'!$AB$8:$AB$343=O18,ROW('Mens Averages'!$AB$8:$AB$343)-ROW('Mens Averages'!$AB$8)+1),COUNTIF(O$11:O18,O18))),"")))</f>
        <v>Ald</v>
      </c>
      <c r="N18" s="14">
        <f t="array" ref="N18">IF(ISERROR(IF(ISNUMBER(O18),INDEX('Mens Averages'!$I$8:$I$343,SMALL(IF('Mens Averages'!$AB$8:$AB$343=O18,ROW('Mens Averages'!$AB$8:$AB$343)-ROW('Mens Averages'!$AB$8)+1),COUNTIF(O$11:O18,O18))),"")),"",(IF(ISNUMBER(O18),INDEX('Mens Averages'!$I$8:$I$343,SMALL(IF('Mens Averages'!$AB$8:$AB$343=O18,ROW('Mens Averages'!$AB$8:$AB$343)-ROW('Mens Averages'!$AB$8)+1),COUNTIF(O$11:O18,O18))),"")))</f>
        <v>10</v>
      </c>
      <c r="O18" s="17">
        <f t="array" ref="O18">IF(ISERROR(LARGE(IF('Mens Averages'!$B$8:$B$343="Y",'Mens Averages'!$AB$8:AB$343),1)),0,(LARGE(IF('Mens Averages'!$B$8:$B$343="Y",'Mens Averages'!$AB$8:AB$343),8)))</f>
        <v>25.204000000000001</v>
      </c>
      <c r="P18" s="11"/>
      <c r="Q18" s="13">
        <f t="shared" si="2"/>
        <v>8</v>
      </c>
      <c r="R18" s="14" t="str">
        <f t="array" ref="R18">IF(ISNUMBER(U18),INDEX('Mens Averages'!$G$8:$G$343,SMALL(IF('Mens Averages'!$AA$8:$AA$343=U18,ROW('Mens Averages'!$AA$8:$AA$343)-ROW('Mens Averages'!$AA$8)+1),COUNTIF(U$11:U18,U18))),"")</f>
        <v>Daniel Perry</v>
      </c>
      <c r="S18" s="15" t="str">
        <f t="array" ref="S18">IF(ISNUMBER(U18),INDEX('Mens Averages'!$H$8:$H$343,SMALL(IF('Mens Averages'!$AA$8:$AA$343=U18,ROW('Mens Averages'!$AA$8:$AA$343)-ROW('Mens Averages'!$AA$8)+1),COUNTIF(U$11:U18,U18))),"")</f>
        <v>Lyt</v>
      </c>
      <c r="T18" s="14">
        <f t="array" ref="T18">IF(ISNUMBER(U18),INDEX('Mens Averages'!$I$8:$I$343,SMALL(IF('Mens Averages'!$AA$8:$AA$343=U18,ROW('Mens Averages'!$AA$8:$AA$343)-ROW('Mens Averages'!$AA$8)+1),COUNTIF(U$11:U18,U18))),"")</f>
        <v>11</v>
      </c>
      <c r="U18" s="16">
        <f>IF(ISERROR(LARGE('Mens Averages'!$AA$8:AA$343,8)),"",(LARGE('Mens Averages'!$AA$8:$AA$343,8)))</f>
        <v>7</v>
      </c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4"/>
      <c r="D19" s="4"/>
      <c r="E19" s="13">
        <f t="shared" si="0"/>
        <v>7</v>
      </c>
      <c r="F19" s="14" t="str">
        <f t="array" ref="F19">IF(ISNUMBER(I19),INDEX('Mens Averages'!$G$8:$G$343,SMALL(IF('Mens Averages'!$J$8:$J$343=I19,ROW('Mens Averages'!$J$8:$J$343)-ROW('Mens Averages'!$J$8)+1),COUNTIF(I$11:I19,I19))),"")</f>
        <v>Daniel Perry</v>
      </c>
      <c r="G19" s="15" t="str">
        <f t="array" ref="G19">IF(ISNUMBER(I19),INDEX('Mens Averages'!$H$8:$H$343,SMALL(IF('Mens Averages'!$J$8:$J$343=I19,ROW('Mens Averages'!$J$8:$J$343)-ROW('Mens Averages'!$J$8)+1),COUNTIF(I$11:I19,I19))),"")</f>
        <v>Lyt</v>
      </c>
      <c r="H19" s="14">
        <f t="array" ref="H19">IF(ISNUMBER(I19),INDEX('Mens Averages'!$I$8:$I$343,SMALL(IF('Mens Averages'!$J$8:$J$343=I19,ROW('Mens Averages'!$J$8:$J$343)-ROW('Mens Averages'!$J$8)+1),COUNTIF(I$11:I19,I19))),"")</f>
        <v>11</v>
      </c>
      <c r="I19" s="16">
        <f>IF(ISERROR(LARGE('Mens Averages'!$J$8:J$343,9)),"",(LARGE('Mens Averages'!$J$8:$J$343,9)))</f>
        <v>10</v>
      </c>
      <c r="J19" s="2"/>
      <c r="K19" s="13">
        <f t="shared" si="1"/>
        <v>9</v>
      </c>
      <c r="L19" s="14" t="str">
        <f t="array" ref="L19">IF(ISERROR(IF(ISNUMBER(O19),INDEX('Mens Averages'!$G$8:$G$343,SMALL(IF('Mens Averages'!$AB$8:$AB$343=O19,ROW('Mens Averages'!$AB$8:$AB$343)-ROW('Mens Averages'!$AB$8)+1),COUNTIF(O$11:O19,O19))),"")),"",(IF(ISNUMBER(O19),INDEX('Mens Averages'!$G$8:$G$343,SMALL(IF('Mens Averages'!$AB$8:$AB$343=O19,ROW('Mens Averages'!$AB$8:$AB$343)-ROW('Mens Averages'!$AB$8)+1),COUNTIF(O$11:O19,O19))),"")))</f>
        <v>Matt Yarrow</v>
      </c>
      <c r="M19" s="15" t="str">
        <f t="array" ref="M19">IF(ISERROR(IF(ISNUMBER(O19),INDEX('Mens Averages'!$H$8:$H$343,SMALL(IF('Mens Averages'!$AB$8:$AB$343=O19,ROW('Mens Averages'!$AB$8:$AB$343)-ROW('Mens Averages'!$AB$8)+1),COUNTIF(O$11:O19,O19))),"")),"",(IF(ISNUMBER(O19),INDEX('Mens Averages'!$H$8:$H$343,SMALL(IF('Mens Averages'!$AB$8:$AB$343=O19,ROW('Mens Averages'!$AB$8:$AB$343)-ROW('Mens Averages'!$AB$8)+1),COUNTIF(O$11:O19,O19))),"")))</f>
        <v>Dor</v>
      </c>
      <c r="N19" s="14">
        <f t="array" ref="N19">IF(ISERROR(IF(ISNUMBER(O19),INDEX('Mens Averages'!$I$8:$I$343,SMALL(IF('Mens Averages'!$AB$8:$AB$343=O19,ROW('Mens Averages'!$AB$8:$AB$343)-ROW('Mens Averages'!$AB$8)+1),COUNTIF(O$11:O19,O19))),"")),"",(IF(ISNUMBER(O19),INDEX('Mens Averages'!$I$8:$I$343,SMALL(IF('Mens Averages'!$AB$8:$AB$343=O19,ROW('Mens Averages'!$AB$8:$AB$343)-ROW('Mens Averages'!$AB$8)+1),COUNTIF(O$11:O19,O19))),"")))</f>
        <v>12</v>
      </c>
      <c r="O19" s="17">
        <f t="array" ref="O19">IF(ISERROR(LARGE(IF('Mens Averages'!$B$8:$B$343="Y",'Mens Averages'!$AB$8:AB$343),1)),0,(LARGE(IF('Mens Averages'!$B$8:$B$343="Y",'Mens Averages'!$AB$8:AB$343),9)))</f>
        <v>25.182500000000001</v>
      </c>
      <c r="P19" s="11"/>
      <c r="Q19" s="13">
        <f t="shared" si="2"/>
        <v>8</v>
      </c>
      <c r="R19" s="14" t="str">
        <f t="array" ref="R19">IF(ISNUMBER(U19),INDEX('Mens Averages'!$G$8:$G$343,SMALL(IF('Mens Averages'!$AA$8:$AA$343=U19,ROW('Mens Averages'!$AA$8:$AA$343)-ROW('Mens Averages'!$AA$8)+1),COUNTIF(U$11:U19,U19))),"")</f>
        <v>Danny Pearce</v>
      </c>
      <c r="S19" s="15" t="str">
        <f t="array" ref="S19">IF(ISNUMBER(U19),INDEX('Mens Averages'!$H$8:$H$343,SMALL(IF('Mens Averages'!$AA$8:$AA$343=U19,ROW('Mens Averages'!$AA$8:$AA$343)-ROW('Mens Averages'!$AA$8)+1),COUNTIF(U$11:U19,U19))),"")</f>
        <v>Lyt</v>
      </c>
      <c r="T19" s="14">
        <f t="array" ref="T19">IF(ISNUMBER(U19),INDEX('Mens Averages'!$I$8:$I$343,SMALL(IF('Mens Averages'!$AA$8:$AA$343=U19,ROW('Mens Averages'!$AA$8:$AA$343)-ROW('Mens Averages'!$AA$8)+1),COUNTIF(U$11:U19,U19))),"")</f>
        <v>12</v>
      </c>
      <c r="U19" s="16">
        <f>IF(ISERROR(LARGE('Mens Averages'!$AA$8:AA$343,9)),"",(LARGE('Mens Averages'!$AA$8:$AA$343,9)))</f>
        <v>7</v>
      </c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4"/>
      <c r="D20" s="4"/>
      <c r="E20" s="18">
        <f t="shared" si="0"/>
        <v>7</v>
      </c>
      <c r="F20" s="19" t="str">
        <f t="array" ref="F20">IF(ISNUMBER(I20),INDEX('Mens Averages'!$G$8:$G$343,SMALL(IF('Mens Averages'!$J$8:$J$343=I20,ROW('Mens Averages'!$J$8:$J$343)-ROW('Mens Averages'!$J$8)+1),COUNTIF(I$11:I20,I20))),"")</f>
        <v>Matt Yarrow</v>
      </c>
      <c r="G20" s="20" t="str">
        <f t="array" ref="G20">IF(ISNUMBER(I20),INDEX('Mens Averages'!$H$8:$H$343,SMALL(IF('Mens Averages'!$J$8:$J$343=I20,ROW('Mens Averages'!$J$8:$J$343)-ROW('Mens Averages'!$J$8)+1),COUNTIF(I$11:I20,I20))),"")</f>
        <v>Dor</v>
      </c>
      <c r="H20" s="19">
        <f t="array" ref="H20">IF(ISNUMBER(I20),INDEX('Mens Averages'!$I$8:$I$343,SMALL(IF('Mens Averages'!$J$8:$J$343=I20,ROW('Mens Averages'!$J$8:$J$343)-ROW('Mens Averages'!$J$8)+1),COUNTIF(I$11:I20,I20))),"")</f>
        <v>12</v>
      </c>
      <c r="I20" s="21">
        <f>IF(ISERROR(LARGE('Mens Averages'!$J$8:J$343,10)),"",(LARGE('Mens Averages'!$J$8:$J$343,10)))</f>
        <v>10</v>
      </c>
      <c r="J20" s="2"/>
      <c r="K20" s="18">
        <f t="shared" si="1"/>
        <v>10</v>
      </c>
      <c r="L20" s="19" t="str">
        <f t="array" ref="L20">IF(ISERROR(IF(ISNUMBER(O20),INDEX('Mens Averages'!$G$8:$G$343,SMALL(IF('Mens Averages'!$AB$8:$AB$343=O20,ROW('Mens Averages'!$AB$8:$AB$343)-ROW('Mens Averages'!$AB$8)+1),COUNTIF(O$11:O20,O20))),"")),"",(IF(ISNUMBER(O20),INDEX('Mens Averages'!$G$8:$G$343,SMALL(IF('Mens Averages'!$AB$8:$AB$343=O20,ROW('Mens Averages'!$AB$8:$AB$343)-ROW('Mens Averages'!$AB$8)+1),COUNTIF(O$11:O20,O20))),"")))</f>
        <v>Paul Carter</v>
      </c>
      <c r="M20" s="20" t="str">
        <f t="array" ref="M20">IF(ISERROR(IF(ISNUMBER(O20),INDEX('Mens Averages'!$H$8:$H$343,SMALL(IF('Mens Averages'!$AB$8:$AB$343=O20,ROW('Mens Averages'!$AB$8:$AB$343)-ROW('Mens Averages'!$AB$8)+1),COUNTIF(O$11:O20,O20))),"")),"",(IF(ISNUMBER(O20),INDEX('Mens Averages'!$H$8:$H$343,SMALL(IF('Mens Averages'!$AB$8:$AB$343=O20,ROW('Mens Averages'!$AB$8:$AB$343)-ROW('Mens Averages'!$AB$8)+1),COUNTIF(O$11:O20,O20))),"")))</f>
        <v>Bou</v>
      </c>
      <c r="N20" s="19">
        <f t="array" ref="N20">IF(ISERROR(IF(ISNUMBER(O20),INDEX('Mens Averages'!$I$8:$I$343,SMALL(IF('Mens Averages'!$AB$8:$AB$343=O20,ROW('Mens Averages'!$AB$8:$AB$343)-ROW('Mens Averages'!$AB$8)+1),COUNTIF(O$11:O20,O20))),"")),"",(IF(ISNUMBER(O20),INDEX('Mens Averages'!$I$8:$I$343,SMALL(IF('Mens Averages'!$AB$8:$AB$343=O20,ROW('Mens Averages'!$AB$8:$AB$343)-ROW('Mens Averages'!$AB$8)+1),COUNTIF(O$11:O20,O20))),"")))</f>
        <v>13</v>
      </c>
      <c r="O20" s="22">
        <f t="array" ref="O20">IF(ISERROR(LARGE(IF('Mens Averages'!$B$8:$B$343="Y",'Mens Averages'!$AB$8:AB$343),1)),0,(LARGE(IF('Mens Averages'!$B$8:$B$343="Y",'Mens Averages'!$AB$8:AB$343),10)))</f>
        <v>25.106923076923081</v>
      </c>
      <c r="P20" s="11"/>
      <c r="Q20" s="18">
        <f t="shared" si="2"/>
        <v>8</v>
      </c>
      <c r="R20" s="19" t="str">
        <f t="array" ref="R20">IF(ISNUMBER(U20),INDEX('Mens Averages'!$G$8:$G$343,SMALL(IF('Mens Averages'!$AA$8:$AA$343=U20,ROW('Mens Averages'!$AA$8:$AA$343)-ROW('Mens Averages'!$AA$8)+1),COUNTIF(U$11:U20,U20))),"")</f>
        <v>Tim Clothier</v>
      </c>
      <c r="S20" s="20" t="str">
        <f t="array" ref="S20">IF(ISNUMBER(U20),INDEX('Mens Averages'!$H$8:$H$343,SMALL(IF('Mens Averages'!$AA$8:$AA$343=U20,ROW('Mens Averages'!$AA$8:$AA$343)-ROW('Mens Averages'!$AA$8)+1),COUNTIF(U$11:U20,U20))),"")</f>
        <v>Ald</v>
      </c>
      <c r="T20" s="19">
        <f t="array" ref="T20">IF(ISNUMBER(U20),INDEX('Mens Averages'!$I$8:$I$343,SMALL(IF('Mens Averages'!$AA$8:$AA$343=U20,ROW('Mens Averages'!$AA$8:$AA$343)-ROW('Mens Averages'!$AA$8)+1),COUNTIF(U$11:U20,U20))),"")</f>
        <v>12</v>
      </c>
      <c r="U20" s="21">
        <f>IF(ISERROR(LARGE('Mens Averages'!$AA$8:AA$343,10)),"",(LARGE('Mens Averages'!$AA$8:$AA$343,10)))</f>
        <v>7</v>
      </c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4"/>
      <c r="D21" s="4"/>
      <c r="E21" s="1"/>
      <c r="F21" s="1"/>
      <c r="G21" s="2"/>
      <c r="H21" s="2"/>
      <c r="I21" s="2"/>
      <c r="J21" s="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4"/>
      <c r="D22" s="4"/>
      <c r="E22" s="1"/>
      <c r="F22" s="1"/>
      <c r="G22" s="1"/>
      <c r="H22" s="1"/>
      <c r="I22" s="2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4"/>
      <c r="D23" s="4"/>
      <c r="E23" s="1"/>
      <c r="F23" s="1"/>
      <c r="G23" s="1"/>
      <c r="H23" s="1"/>
      <c r="I23" s="2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1"/>
      <c r="B24" s="1"/>
      <c r="C24" s="4"/>
      <c r="D24" s="4"/>
      <c r="E24" s="178" t="s">
        <v>11</v>
      </c>
      <c r="F24" s="176"/>
      <c r="G24" s="176"/>
      <c r="H24" s="176"/>
      <c r="I24" s="177"/>
      <c r="J24" s="2"/>
      <c r="K24" s="178" t="s">
        <v>12</v>
      </c>
      <c r="L24" s="176"/>
      <c r="M24" s="176"/>
      <c r="N24" s="176"/>
      <c r="O24" s="176"/>
      <c r="P24" s="176"/>
      <c r="Q24" s="176"/>
      <c r="R24" s="176"/>
      <c r="S24" s="176"/>
      <c r="T24" s="176"/>
      <c r="U24" s="177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4"/>
      <c r="D25" s="4"/>
      <c r="E25" s="1"/>
      <c r="F25" s="1"/>
      <c r="G25" s="2"/>
      <c r="H25" s="2"/>
      <c r="I25" s="2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"/>
      <c r="B26" s="1"/>
      <c r="C26" s="4"/>
      <c r="D26" s="4"/>
      <c r="E26" s="5" t="s">
        <v>4</v>
      </c>
      <c r="F26" s="5" t="s">
        <v>6</v>
      </c>
      <c r="G26" s="6" t="s">
        <v>7</v>
      </c>
      <c r="H26" s="6" t="s">
        <v>8</v>
      </c>
      <c r="I26" s="6" t="s">
        <v>13</v>
      </c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1"/>
      <c r="D27" s="11"/>
      <c r="E27" s="7">
        <f>'League Table'!B8</f>
        <v>1</v>
      </c>
      <c r="F27" s="8" t="str">
        <f>'League Table'!D8</f>
        <v>Lytchett</v>
      </c>
      <c r="G27" s="8">
        <f>'League Table'!E8</f>
        <v>13</v>
      </c>
      <c r="H27" s="8">
        <f>'League Table'!F8</f>
        <v>13</v>
      </c>
      <c r="I27" s="10">
        <f>'League Table'!K8</f>
        <v>126</v>
      </c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3">
        <f>'League Table'!B9</f>
        <v>2</v>
      </c>
      <c r="F28" s="14" t="str">
        <f>'League Table'!D9</f>
        <v>Christchurch</v>
      </c>
      <c r="G28" s="14">
        <f>'League Table'!E9</f>
        <v>13</v>
      </c>
      <c r="H28" s="14">
        <f>'League Table'!F9</f>
        <v>10</v>
      </c>
      <c r="I28" s="16">
        <f>'League Table'!K9</f>
        <v>110</v>
      </c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3"/>
      <c r="D29" s="3"/>
      <c r="E29" s="13">
        <f>'League Table'!B10</f>
        <v>2</v>
      </c>
      <c r="F29" s="14" t="str">
        <f>'League Table'!D10</f>
        <v>Dorchester</v>
      </c>
      <c r="G29" s="14">
        <f>'League Table'!E10</f>
        <v>13</v>
      </c>
      <c r="H29" s="14">
        <f>'League Table'!F10</f>
        <v>11</v>
      </c>
      <c r="I29" s="16">
        <f>'League Table'!K10</f>
        <v>110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3">
        <f>'League Table'!B11</f>
        <v>4</v>
      </c>
      <c r="F30" s="14" t="str">
        <f>'League Table'!D11</f>
        <v>Poole</v>
      </c>
      <c r="G30" s="14">
        <f>'League Table'!E11</f>
        <v>13</v>
      </c>
      <c r="H30" s="14">
        <f>'League Table'!F11</f>
        <v>7</v>
      </c>
      <c r="I30" s="16">
        <f>'League Table'!K11</f>
        <v>88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4"/>
      <c r="D31" s="4"/>
      <c r="E31" s="13">
        <f>'League Table'!B12</f>
        <v>5</v>
      </c>
      <c r="F31" s="14" t="str">
        <f>'League Table'!D12</f>
        <v>Swanage</v>
      </c>
      <c r="G31" s="14">
        <f>'League Table'!E12</f>
        <v>13</v>
      </c>
      <c r="H31" s="14">
        <f>'League Table'!F12</f>
        <v>7</v>
      </c>
      <c r="I31" s="16">
        <f>'League Table'!K12</f>
        <v>85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4"/>
      <c r="D32" s="4"/>
      <c r="E32" s="13">
        <f>'League Table'!B13</f>
        <v>6</v>
      </c>
      <c r="F32" s="14" t="str">
        <f>'League Table'!D13</f>
        <v>Alderholt</v>
      </c>
      <c r="G32" s="14">
        <f>'League Table'!E13</f>
        <v>13</v>
      </c>
      <c r="H32" s="14">
        <f>'League Table'!F13</f>
        <v>6</v>
      </c>
      <c r="I32" s="16">
        <f>'League Table'!K13</f>
        <v>80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1"/>
      <c r="D33" s="11"/>
      <c r="E33" s="13">
        <f>'League Table'!B14</f>
        <v>7</v>
      </c>
      <c r="F33" s="14" t="str">
        <f>'League Table'!D14</f>
        <v>Bridport</v>
      </c>
      <c r="G33" s="14">
        <f>'League Table'!E14</f>
        <v>13</v>
      </c>
      <c r="H33" s="14">
        <f>'League Table'!F14</f>
        <v>6</v>
      </c>
      <c r="I33" s="16">
        <f>'League Table'!K14</f>
        <v>75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3">
        <f>'League Table'!B15</f>
        <v>8</v>
      </c>
      <c r="F34" s="14" t="str">
        <f>'League Table'!D15</f>
        <v>Parkstone</v>
      </c>
      <c r="G34" s="14">
        <f>'League Table'!E15</f>
        <v>13</v>
      </c>
      <c r="H34" s="14">
        <f>'League Table'!F15</f>
        <v>4</v>
      </c>
      <c r="I34" s="16">
        <f>'League Table'!K15</f>
        <v>69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3"/>
      <c r="D35" s="3"/>
      <c r="E35" s="13">
        <f>'League Table'!B16</f>
        <v>9</v>
      </c>
      <c r="F35" s="14" t="str">
        <f>'League Table'!D16</f>
        <v>Boscombe</v>
      </c>
      <c r="G35" s="14">
        <f>'League Table'!E16</f>
        <v>13</v>
      </c>
      <c r="H35" s="14">
        <f>'League Table'!F16</f>
        <v>5</v>
      </c>
      <c r="I35" s="16">
        <f>'League Table'!K16</f>
        <v>65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1"/>
      <c r="D36" s="11"/>
      <c r="E36" s="13">
        <f>'League Table'!B17</f>
        <v>9</v>
      </c>
      <c r="F36" s="14" t="str">
        <f>'League Table'!D17</f>
        <v>Shaftesbury</v>
      </c>
      <c r="G36" s="14">
        <f>'League Table'!E17</f>
        <v>13</v>
      </c>
      <c r="H36" s="14">
        <f>'League Table'!F17</f>
        <v>4</v>
      </c>
      <c r="I36" s="16">
        <f>'League Table'!K17</f>
        <v>65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4"/>
      <c r="D37" s="4"/>
      <c r="E37" s="13">
        <f>'League Table'!B18</f>
        <v>11</v>
      </c>
      <c r="F37" s="14" t="str">
        <f>'League Table'!D18</f>
        <v>Bournemouth</v>
      </c>
      <c r="G37" s="14">
        <f>'League Table'!E18</f>
        <v>13</v>
      </c>
      <c r="H37" s="14">
        <f>'League Table'!F18</f>
        <v>4</v>
      </c>
      <c r="I37" s="16">
        <f>'League Table'!K18</f>
        <v>61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4"/>
      <c r="D38" s="4"/>
      <c r="E38" s="13">
        <f>'League Table'!B19</f>
        <v>11</v>
      </c>
      <c r="F38" s="14" t="str">
        <f>'League Table'!D19</f>
        <v>Weymouth</v>
      </c>
      <c r="G38" s="14">
        <f>'League Table'!E19</f>
        <v>13</v>
      </c>
      <c r="H38" s="14">
        <f>'League Table'!F19</f>
        <v>1</v>
      </c>
      <c r="I38" s="16">
        <f>'League Table'!K19</f>
        <v>61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4"/>
      <c r="D39" s="4"/>
      <c r="E39" s="13">
        <f>'League Table'!B20</f>
        <v>13</v>
      </c>
      <c r="F39" s="14" t="str">
        <f>'League Table'!D20</f>
        <v>Portland</v>
      </c>
      <c r="G39" s="14">
        <f>'League Table'!E20</f>
        <v>13</v>
      </c>
      <c r="H39" s="14">
        <f>'League Table'!F20</f>
        <v>2</v>
      </c>
      <c r="I39" s="16">
        <f>'League Table'!K20</f>
        <v>54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3">
        <f>'League Table'!B21</f>
        <v>14</v>
      </c>
      <c r="F40" s="14" t="str">
        <f>'League Table'!D21</f>
        <v>Alderney</v>
      </c>
      <c r="G40" s="14">
        <f>'League Table'!E21</f>
        <v>13</v>
      </c>
      <c r="H40" s="14">
        <f>'League Table'!F21</f>
        <v>0</v>
      </c>
      <c r="I40" s="16">
        <f>'League Table'!K21</f>
        <v>41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3" t="e">
        <f>'League Table'!#REF!</f>
        <v>#REF!</v>
      </c>
      <c r="F41" s="14" t="e">
        <f>'League Table'!#REF!</f>
        <v>#REF!</v>
      </c>
      <c r="G41" s="14" t="e">
        <f>'League Table'!#REF!</f>
        <v>#REF!</v>
      </c>
      <c r="H41" s="14" t="e">
        <f>'League Table'!#REF!</f>
        <v>#REF!</v>
      </c>
      <c r="I41" s="16" t="e">
        <f>'League Table'!#REF!</f>
        <v>#REF!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8" t="e">
        <f>'League Table'!#REF!</f>
        <v>#REF!</v>
      </c>
      <c r="F42" s="19" t="e">
        <f>'League Table'!#REF!</f>
        <v>#REF!</v>
      </c>
      <c r="G42" s="19" t="e">
        <f>'League Table'!#REF!</f>
        <v>#REF!</v>
      </c>
      <c r="H42" s="19" t="e">
        <f>'League Table'!#REF!</f>
        <v>#REF!</v>
      </c>
      <c r="I42" s="21" t="e">
        <f>'League Table'!#REF!</f>
        <v>#REF!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hidden="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hidden="1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hidden="1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hidden="1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hidden="1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hidden="1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2"/>
      <c r="H64" s="2"/>
      <c r="I64" s="2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2"/>
      <c r="H65" s="2"/>
      <c r="I65" s="2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2"/>
      <c r="H66" s="2"/>
      <c r="I66" s="2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2"/>
      <c r="H67" s="2"/>
      <c r="I67" s="2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2"/>
      <c r="H68" s="2"/>
      <c r="I68" s="2"/>
      <c r="J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2"/>
      <c r="H69" s="2"/>
      <c r="I69" s="2"/>
      <c r="J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2"/>
      <c r="H70" s="2"/>
      <c r="I70" s="2"/>
      <c r="J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2"/>
      <c r="H71" s="2"/>
      <c r="I71" s="2"/>
      <c r="J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2"/>
      <c r="H72" s="2"/>
      <c r="I72" s="2"/>
      <c r="J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2"/>
      <c r="H73" s="2"/>
      <c r="I73" s="2"/>
      <c r="J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2"/>
      <c r="H74" s="2"/>
      <c r="I74" s="2"/>
      <c r="J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2"/>
      <c r="H75" s="2"/>
      <c r="I75" s="2"/>
      <c r="J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2"/>
      <c r="H76" s="2"/>
      <c r="I76" s="2"/>
      <c r="J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2"/>
      <c r="H77" s="2"/>
      <c r="I77" s="2"/>
      <c r="J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2"/>
      <c r="H78" s="2"/>
      <c r="I78" s="2"/>
      <c r="J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2"/>
      <c r="H79" s="2"/>
      <c r="I79" s="2"/>
      <c r="J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2"/>
      <c r="H80" s="2"/>
      <c r="I80" s="2"/>
      <c r="J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2"/>
      <c r="H81" s="2"/>
      <c r="I81" s="2"/>
      <c r="J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2"/>
      <c r="H82" s="2"/>
      <c r="I82" s="2"/>
      <c r="J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2"/>
      <c r="H83" s="2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2"/>
      <c r="H84" s="2"/>
      <c r="I84" s="2"/>
      <c r="J84" s="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2"/>
      <c r="H85" s="2"/>
      <c r="I85" s="2"/>
      <c r="J85" s="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2"/>
      <c r="H86" s="2"/>
      <c r="I86" s="2"/>
      <c r="J86" s="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2"/>
      <c r="H87" s="2"/>
      <c r="I87" s="2"/>
      <c r="J87" s="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2"/>
      <c r="H88" s="2"/>
      <c r="I88" s="2"/>
      <c r="J88" s="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2"/>
      <c r="H89" s="2"/>
      <c r="I89" s="2"/>
      <c r="J89" s="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2"/>
      <c r="H90" s="2"/>
      <c r="I90" s="2"/>
      <c r="J90" s="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2"/>
      <c r="H91" s="2"/>
      <c r="I91" s="2"/>
      <c r="J91" s="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2"/>
      <c r="H92" s="2"/>
      <c r="I92" s="2"/>
      <c r="J92" s="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2"/>
      <c r="H93" s="2"/>
      <c r="I93" s="2"/>
      <c r="J93" s="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2"/>
      <c r="H94" s="2"/>
      <c r="I94" s="2"/>
      <c r="J94" s="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2"/>
      <c r="H95" s="2"/>
      <c r="I95" s="2"/>
      <c r="J95" s="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2"/>
      <c r="H96" s="2"/>
      <c r="I96" s="2"/>
      <c r="J96" s="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2"/>
      <c r="H97" s="2"/>
      <c r="I97" s="2"/>
      <c r="J97" s="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2"/>
      <c r="H98" s="2"/>
      <c r="I98" s="2"/>
      <c r="J98" s="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2"/>
      <c r="H99" s="2"/>
      <c r="I99" s="2"/>
      <c r="J99" s="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2"/>
      <c r="H100" s="2"/>
      <c r="I100" s="2"/>
      <c r="J100" s="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2"/>
      <c r="H101" s="2"/>
      <c r="I101" s="2"/>
      <c r="J101" s="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2"/>
      <c r="H102" s="2"/>
      <c r="I102" s="2"/>
      <c r="J102" s="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2"/>
      <c r="H103" s="2"/>
      <c r="I103" s="2"/>
      <c r="J103" s="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2"/>
      <c r="H104" s="2"/>
      <c r="I104" s="2"/>
      <c r="J104" s="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2"/>
      <c r="H105" s="2"/>
      <c r="I105" s="2"/>
      <c r="J105" s="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2"/>
      <c r="H106" s="2"/>
      <c r="I106" s="2"/>
      <c r="J106" s="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2"/>
      <c r="H107" s="2"/>
      <c r="I107" s="2"/>
      <c r="J107" s="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2"/>
      <c r="H108" s="2"/>
      <c r="I108" s="2"/>
      <c r="J108" s="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2"/>
      <c r="H109" s="2"/>
      <c r="I109" s="2"/>
      <c r="J109" s="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2"/>
      <c r="H110" s="2"/>
      <c r="I110" s="2"/>
      <c r="J110" s="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2"/>
      <c r="H111" s="2"/>
      <c r="I111" s="2"/>
      <c r="J111" s="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2"/>
      <c r="H112" s="2"/>
      <c r="I112" s="2"/>
      <c r="J112" s="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2"/>
      <c r="H113" s="2"/>
      <c r="I113" s="2"/>
      <c r="J113" s="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2"/>
      <c r="H114" s="2"/>
      <c r="I114" s="2"/>
      <c r="J114" s="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2"/>
      <c r="H115" s="2"/>
      <c r="I115" s="2"/>
      <c r="J115" s="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2"/>
      <c r="H116" s="2"/>
      <c r="I116" s="2"/>
      <c r="J116" s="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2"/>
      <c r="H117" s="2"/>
      <c r="I117" s="2"/>
      <c r="J117" s="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2"/>
      <c r="H118" s="2"/>
      <c r="I118" s="2"/>
      <c r="J118" s="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2"/>
      <c r="H119" s="2"/>
      <c r="I119" s="2"/>
      <c r="J119" s="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2"/>
      <c r="H120" s="2"/>
      <c r="I120" s="2"/>
      <c r="J120" s="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2"/>
      <c r="H121" s="2"/>
      <c r="I121" s="2"/>
      <c r="J121" s="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2"/>
      <c r="H122" s="2"/>
      <c r="I122" s="2"/>
      <c r="J122" s="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2"/>
      <c r="H123" s="2"/>
      <c r="I123" s="2"/>
      <c r="J123" s="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2"/>
      <c r="H124" s="2"/>
      <c r="I124" s="2"/>
      <c r="J124" s="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2"/>
      <c r="H125" s="2"/>
      <c r="I125" s="2"/>
      <c r="J125" s="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2"/>
      <c r="H126" s="2"/>
      <c r="I126" s="2"/>
      <c r="J126" s="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2"/>
      <c r="H127" s="2"/>
      <c r="I127" s="2"/>
      <c r="J127" s="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2"/>
      <c r="H128" s="2"/>
      <c r="I128" s="2"/>
      <c r="J128" s="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2"/>
      <c r="H129" s="2"/>
      <c r="I129" s="2"/>
      <c r="J129" s="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2"/>
      <c r="H130" s="2"/>
      <c r="I130" s="2"/>
      <c r="J130" s="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2"/>
      <c r="H131" s="2"/>
      <c r="I131" s="2"/>
      <c r="J131" s="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2"/>
      <c r="H132" s="2"/>
      <c r="I132" s="2"/>
      <c r="J132" s="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2"/>
      <c r="H133" s="2"/>
      <c r="I133" s="2"/>
      <c r="J133" s="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2"/>
      <c r="H134" s="2"/>
      <c r="I134" s="2"/>
      <c r="J134" s="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2"/>
      <c r="H135" s="2"/>
      <c r="I135" s="2"/>
      <c r="J135" s="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2"/>
      <c r="H136" s="2"/>
      <c r="I136" s="2"/>
      <c r="J136" s="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2"/>
      <c r="H137" s="2"/>
      <c r="I137" s="2"/>
      <c r="J137" s="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2"/>
      <c r="H138" s="2"/>
      <c r="I138" s="2"/>
      <c r="J138" s="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2"/>
      <c r="H139" s="2"/>
      <c r="I139" s="2"/>
      <c r="J139" s="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2"/>
      <c r="H140" s="2"/>
      <c r="I140" s="2"/>
      <c r="J140" s="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2"/>
      <c r="H141" s="2"/>
      <c r="I141" s="2"/>
      <c r="J141" s="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2"/>
      <c r="H142" s="2"/>
      <c r="I142" s="2"/>
      <c r="J142" s="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2"/>
      <c r="H143" s="2"/>
      <c r="I143" s="2"/>
      <c r="J143" s="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2"/>
      <c r="H144" s="2"/>
      <c r="I144" s="2"/>
      <c r="J144" s="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2"/>
      <c r="H145" s="2"/>
      <c r="I145" s="2"/>
      <c r="J145" s="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2"/>
      <c r="H146" s="2"/>
      <c r="I146" s="2"/>
      <c r="J146" s="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2"/>
      <c r="H147" s="2"/>
      <c r="I147" s="2"/>
      <c r="J147" s="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2"/>
      <c r="H148" s="2"/>
      <c r="I148" s="2"/>
      <c r="J148" s="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2"/>
      <c r="H149" s="2"/>
      <c r="I149" s="2"/>
      <c r="J149" s="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2"/>
      <c r="H150" s="2"/>
      <c r="I150" s="2"/>
      <c r="J150" s="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2"/>
      <c r="H151" s="2"/>
      <c r="I151" s="2"/>
      <c r="J151" s="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2"/>
      <c r="H152" s="2"/>
      <c r="I152" s="2"/>
      <c r="J152" s="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2"/>
      <c r="H153" s="2"/>
      <c r="I153" s="2"/>
      <c r="J153" s="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2"/>
      <c r="H154" s="2"/>
      <c r="I154" s="2"/>
      <c r="J154" s="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2"/>
      <c r="H155" s="2"/>
      <c r="I155" s="2"/>
      <c r="J155" s="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2"/>
      <c r="H156" s="2"/>
      <c r="I156" s="2"/>
      <c r="J156" s="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2"/>
      <c r="H157" s="2"/>
      <c r="I157" s="2"/>
      <c r="J157" s="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2"/>
      <c r="H158" s="2"/>
      <c r="I158" s="2"/>
      <c r="J158" s="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2"/>
      <c r="H159" s="2"/>
      <c r="I159" s="2"/>
      <c r="J159" s="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2"/>
      <c r="H160" s="2"/>
      <c r="I160" s="2"/>
      <c r="J160" s="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2"/>
      <c r="H161" s="2"/>
      <c r="I161" s="2"/>
      <c r="J161" s="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2"/>
      <c r="H162" s="2"/>
      <c r="I162" s="2"/>
      <c r="J162" s="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2"/>
      <c r="H163" s="2"/>
      <c r="I163" s="2"/>
      <c r="J163" s="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2"/>
      <c r="H164" s="2"/>
      <c r="I164" s="2"/>
      <c r="J164" s="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2"/>
      <c r="H165" s="2"/>
      <c r="I165" s="2"/>
      <c r="J165" s="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2"/>
      <c r="H166" s="2"/>
      <c r="I166" s="2"/>
      <c r="J166" s="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2"/>
      <c r="H167" s="2"/>
      <c r="I167" s="2"/>
      <c r="J167" s="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2"/>
      <c r="H168" s="2"/>
      <c r="I168" s="2"/>
      <c r="J168" s="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2"/>
      <c r="H169" s="2"/>
      <c r="I169" s="2"/>
      <c r="J169" s="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2"/>
      <c r="H170" s="2"/>
      <c r="I170" s="2"/>
      <c r="J170" s="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2"/>
      <c r="H171" s="2"/>
      <c r="I171" s="2"/>
      <c r="J171" s="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2"/>
      <c r="H172" s="2"/>
      <c r="I172" s="2"/>
      <c r="J172" s="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2"/>
      <c r="H173" s="2"/>
      <c r="I173" s="2"/>
      <c r="J173" s="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2"/>
      <c r="H174" s="2"/>
      <c r="I174" s="2"/>
      <c r="J174" s="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2"/>
      <c r="H175" s="2"/>
      <c r="I175" s="2"/>
      <c r="J175" s="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2"/>
      <c r="H176" s="2"/>
      <c r="I176" s="2"/>
      <c r="J176" s="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2"/>
      <c r="H177" s="2"/>
      <c r="I177" s="2"/>
      <c r="J177" s="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2"/>
      <c r="H178" s="2"/>
      <c r="I178" s="2"/>
      <c r="J178" s="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2"/>
      <c r="H179" s="2"/>
      <c r="I179" s="2"/>
      <c r="J179" s="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2"/>
      <c r="H180" s="2"/>
      <c r="I180" s="2"/>
      <c r="J180" s="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2"/>
      <c r="H181" s="2"/>
      <c r="I181" s="2"/>
      <c r="J181" s="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2"/>
      <c r="H182" s="2"/>
      <c r="I182" s="2"/>
      <c r="J182" s="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2"/>
      <c r="H183" s="2"/>
      <c r="I183" s="2"/>
      <c r="J183" s="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2"/>
      <c r="H184" s="2"/>
      <c r="I184" s="2"/>
      <c r="J184" s="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2"/>
      <c r="H185" s="2"/>
      <c r="I185" s="2"/>
      <c r="J185" s="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2"/>
      <c r="H186" s="2"/>
      <c r="I186" s="2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2"/>
      <c r="H187" s="2"/>
      <c r="I187" s="2"/>
      <c r="J187" s="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2"/>
      <c r="H188" s="2"/>
      <c r="I188" s="2"/>
      <c r="J188" s="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2"/>
      <c r="H189" s="2"/>
      <c r="I189" s="2"/>
      <c r="J189" s="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2"/>
      <c r="H190" s="2"/>
      <c r="I190" s="2"/>
      <c r="J190" s="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2"/>
      <c r="H191" s="2"/>
      <c r="I191" s="2"/>
      <c r="J191" s="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2"/>
      <c r="H192" s="2"/>
      <c r="I192" s="2"/>
      <c r="J192" s="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2"/>
      <c r="H193" s="2"/>
      <c r="I193" s="2"/>
      <c r="J193" s="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2"/>
      <c r="H194" s="2"/>
      <c r="I194" s="2"/>
      <c r="J194" s="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2"/>
      <c r="H195" s="2"/>
      <c r="I195" s="2"/>
      <c r="J195" s="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2"/>
      <c r="H196" s="2"/>
      <c r="I196" s="2"/>
      <c r="J196" s="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2"/>
      <c r="H197" s="2"/>
      <c r="I197" s="2"/>
      <c r="J197" s="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2"/>
      <c r="H198" s="2"/>
      <c r="I198" s="2"/>
      <c r="J198" s="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2"/>
      <c r="H199" s="2"/>
      <c r="I199" s="2"/>
      <c r="J199" s="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2"/>
      <c r="H200" s="2"/>
      <c r="I200" s="2"/>
      <c r="J200" s="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2"/>
      <c r="H201" s="2"/>
      <c r="I201" s="2"/>
      <c r="J201" s="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2"/>
      <c r="H202" s="2"/>
      <c r="I202" s="2"/>
      <c r="J202" s="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2"/>
      <c r="H203" s="2"/>
      <c r="I203" s="2"/>
      <c r="J203" s="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2"/>
      <c r="H204" s="2"/>
      <c r="I204" s="2"/>
      <c r="J204" s="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2"/>
      <c r="H205" s="2"/>
      <c r="I205" s="2"/>
      <c r="J205" s="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2"/>
      <c r="H206" s="2"/>
      <c r="I206" s="2"/>
      <c r="J206" s="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2"/>
      <c r="H207" s="2"/>
      <c r="I207" s="2"/>
      <c r="J207" s="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2"/>
      <c r="H208" s="2"/>
      <c r="I208" s="2"/>
      <c r="J208" s="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2"/>
      <c r="H209" s="2"/>
      <c r="I209" s="2"/>
      <c r="J209" s="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2"/>
      <c r="H210" s="2"/>
      <c r="I210" s="2"/>
      <c r="J210" s="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2"/>
      <c r="H211" s="2"/>
      <c r="I211" s="2"/>
      <c r="J211" s="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2"/>
      <c r="H212" s="2"/>
      <c r="I212" s="2"/>
      <c r="J212" s="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2"/>
      <c r="H213" s="2"/>
      <c r="I213" s="2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2"/>
      <c r="H214" s="2"/>
      <c r="I214" s="2"/>
      <c r="J214" s="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2"/>
      <c r="H215" s="2"/>
      <c r="I215" s="2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2"/>
      <c r="H216" s="2"/>
      <c r="I216" s="2"/>
      <c r="J216" s="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2"/>
      <c r="H217" s="2"/>
      <c r="I217" s="2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2"/>
      <c r="H218" s="2"/>
      <c r="I218" s="2"/>
      <c r="J218" s="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2"/>
      <c r="H219" s="2"/>
      <c r="I219" s="2"/>
      <c r="J219" s="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2"/>
      <c r="H220" s="2"/>
      <c r="I220" s="2"/>
      <c r="J220" s="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2"/>
      <c r="H221" s="2"/>
      <c r="I221" s="2"/>
      <c r="J221" s="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2"/>
      <c r="H222" s="2"/>
      <c r="I222" s="2"/>
      <c r="J222" s="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2"/>
      <c r="H223" s="2"/>
      <c r="I223" s="2"/>
      <c r="J223" s="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2"/>
      <c r="H224" s="2"/>
      <c r="I224" s="2"/>
      <c r="J224" s="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2"/>
      <c r="H225" s="2"/>
      <c r="I225" s="2"/>
      <c r="J225" s="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2"/>
      <c r="H226" s="2"/>
      <c r="I226" s="2"/>
      <c r="J226" s="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2"/>
      <c r="H227" s="2"/>
      <c r="I227" s="2"/>
      <c r="J227" s="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2"/>
      <c r="H228" s="2"/>
      <c r="I228" s="2"/>
      <c r="J228" s="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2"/>
      <c r="H229" s="2"/>
      <c r="I229" s="2"/>
      <c r="J229" s="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2"/>
      <c r="H230" s="2"/>
      <c r="I230" s="2"/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2"/>
      <c r="H231" s="2"/>
      <c r="I231" s="2"/>
      <c r="J231" s="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2"/>
      <c r="H232" s="2"/>
      <c r="I232" s="2"/>
      <c r="J232" s="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2"/>
      <c r="H233" s="2"/>
      <c r="I233" s="2"/>
      <c r="J233" s="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2"/>
      <c r="H234" s="2"/>
      <c r="I234" s="2"/>
      <c r="J234" s="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2"/>
      <c r="H235" s="2"/>
      <c r="I235" s="2"/>
      <c r="J235" s="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2"/>
      <c r="H236" s="2"/>
      <c r="I236" s="2"/>
      <c r="J236" s="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2"/>
      <c r="H237" s="2"/>
      <c r="I237" s="2"/>
      <c r="J237" s="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2"/>
      <c r="H238" s="2"/>
      <c r="I238" s="2"/>
      <c r="J238" s="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2"/>
      <c r="H239" s="2"/>
      <c r="I239" s="2"/>
      <c r="J239" s="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2"/>
      <c r="H240" s="2"/>
      <c r="I240" s="2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2"/>
      <c r="H241" s="2"/>
      <c r="I241" s="2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2"/>
      <c r="H242" s="2"/>
      <c r="I242" s="2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/>
    <row r="244" spans="1:26" ht="15.75" customHeight="1" x14ac:dyDescent="0.2"/>
    <row r="245" spans="1:26" ht="15.75" customHeight="1" x14ac:dyDescent="0.2"/>
    <row r="246" spans="1:26" ht="15.75" customHeight="1" x14ac:dyDescent="0.2"/>
    <row r="247" spans="1:26" ht="15.75" customHeight="1" x14ac:dyDescent="0.2"/>
    <row r="248" spans="1:26" ht="15.75" customHeight="1" x14ac:dyDescent="0.2"/>
    <row r="249" spans="1:26" ht="15.75" customHeight="1" x14ac:dyDescent="0.2"/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">
    <mergeCell ref="E2:U4"/>
    <mergeCell ref="E8:I8"/>
    <mergeCell ref="K8:O8"/>
    <mergeCell ref="Q8:U8"/>
    <mergeCell ref="E24:I24"/>
    <mergeCell ref="K24:U24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1000"/>
  <sheetViews>
    <sheetView showGridLines="0" topLeftCell="A22" workbookViewId="0">
      <selection activeCell="X20" sqref="X20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10</v>
      </c>
      <c r="E2" s="196" t="s">
        <v>210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211</v>
      </c>
      <c r="F7" s="38"/>
      <c r="G7" s="181">
        <f>IF(COUNT(M7:Y7)=0,"",(COUNT(M7:Y7)))</f>
        <v>9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5</v>
      </c>
      <c r="I7" s="186">
        <f>IF(ISERROR(G7-H7),"",G7-H7)</f>
        <v>4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28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23</v>
      </c>
      <c r="L7" s="39"/>
      <c r="M7" s="41">
        <v>19.920000000000002</v>
      </c>
      <c r="N7" s="41">
        <v>20.69</v>
      </c>
      <c r="O7" s="41">
        <v>21.02</v>
      </c>
      <c r="P7" s="41"/>
      <c r="Q7" s="41">
        <v>24.99</v>
      </c>
      <c r="R7" s="41"/>
      <c r="S7" s="41"/>
      <c r="T7" s="41">
        <v>21.4</v>
      </c>
      <c r="U7" s="41">
        <v>21.91</v>
      </c>
      <c r="V7" s="41">
        <v>19.95</v>
      </c>
      <c r="W7" s="41">
        <v>23.1</v>
      </c>
      <c r="X7" s="41"/>
      <c r="Y7" s="41">
        <v>20.69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</v>
      </c>
      <c r="AB7" s="183">
        <f>IF(ISERROR(SUM(M7:Y7)/G7),"",(SUM(M7:Y7)/G7))</f>
        <v>21.518888888888885</v>
      </c>
      <c r="AC7" s="184">
        <f>IF(ISERROR(SUM(M7:Y7)/G7+H7),"",(SUM(M7:Y7)/G7+H7))</f>
        <v>26.518888888888885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Allocation'!$B$30:$B$37,MATCH(Lytchett!$D$2,'Number Allocation'!$D$30:$D$37,0))),0,(INDEX('Number Allocation'!$B$30:$B$37,MATCH(Lytchett!$D$2,'Number Allocation'!$D$30:$D$37,0))))+IF(ISERROR(INDEX('Number Allocation'!$D$30:$D$37,MATCH(Lytchett!$D$2,'Number Allocation'!$B$30:$B$37,0))),0,(INDEX('Number Allocation'!$D$30:$D$37,MATCH(Lytchett!$D$2,'Number Allocation'!$B$30:$B$37,0))))</f>
        <v>5</v>
      </c>
      <c r="AK7" s="44">
        <v>1</v>
      </c>
      <c r="AL7" s="44" t="str">
        <f>VLOOKUP(AJ7,'Number Allocation'!$I$7:$J$22,2,0)</f>
        <v>Boscombe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12</v>
      </c>
      <c r="AS7" s="44">
        <f t="shared" ref="AS7:AS19" si="0">IF(SUM(AO7:AQ7)=0,0,(12-AR7))</f>
        <v>0</v>
      </c>
      <c r="AT7" s="2"/>
      <c r="AU7" s="44">
        <f t="shared" ref="AU7:AU19" si="1">(AR7)</f>
        <v>12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84</v>
      </c>
      <c r="N8" s="41" t="s">
        <v>84</v>
      </c>
      <c r="O8" s="41" t="s">
        <v>78</v>
      </c>
      <c r="P8" s="41"/>
      <c r="Q8" s="41" t="s">
        <v>90</v>
      </c>
      <c r="R8" s="41"/>
      <c r="S8" s="41"/>
      <c r="T8" s="41" t="s">
        <v>90</v>
      </c>
      <c r="U8" s="41" t="s">
        <v>78</v>
      </c>
      <c r="V8" s="41" t="s">
        <v>83</v>
      </c>
      <c r="W8" s="41" t="s">
        <v>78</v>
      </c>
      <c r="X8" s="41"/>
      <c r="Y8" s="41" t="s">
        <v>88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Allocation'!$H$30:$H$37,MATCH(Lytchett!$D$2,'Number Allocation'!$F$30:$F$37,0))),0,(INDEX('Number Allocation'!$H$30:$H$37,MATCH(Lytchett!$D$2,'Number Allocation'!$F$30:$F$37,0))))+IF(ISERROR(INDEX('Number Allocation'!$F$30:$F$37,MATCH(Lytchett!$D$2,'Number Allocation'!$H$30:$H$37,0))),0,(INDEX('Number Allocation'!$F$30:$F$37,MATCH(Lytchett!$D$2,'Number Allocation'!$H$30:$H$37,0))))</f>
        <v>6</v>
      </c>
      <c r="AK8" s="44">
        <v>2</v>
      </c>
      <c r="AL8" s="44" t="str">
        <f>VLOOKUP(AJ8,'Number Allocation'!$I$7:$J$22,2,0)</f>
        <v>Bridport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11</v>
      </c>
      <c r="AS8" s="44">
        <f t="shared" si="0"/>
        <v>1</v>
      </c>
      <c r="AT8" s="2"/>
      <c r="AU8" s="44">
        <f t="shared" si="1"/>
        <v>11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212</v>
      </c>
      <c r="F9" s="38"/>
      <c r="G9" s="181">
        <f>IF(COUNT(M9:Y9)=0,"",(COUNT(M9:Y9)))</f>
        <v>11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10</v>
      </c>
      <c r="I9" s="186">
        <f>IF(ISERROR(G9-H9),"",G9-H9)</f>
        <v>1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42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10</v>
      </c>
      <c r="L9" s="39"/>
      <c r="M9" s="41">
        <v>24.44</v>
      </c>
      <c r="N9" s="41">
        <v>23.03</v>
      </c>
      <c r="O9" s="41">
        <v>27.26</v>
      </c>
      <c r="P9" s="41">
        <v>27.08</v>
      </c>
      <c r="Q9" s="41">
        <v>24.68</v>
      </c>
      <c r="R9" s="41">
        <v>22.59</v>
      </c>
      <c r="S9" s="41">
        <v>23.86</v>
      </c>
      <c r="T9" s="41">
        <v>25.18</v>
      </c>
      <c r="U9" s="41"/>
      <c r="V9" s="41">
        <v>29.47</v>
      </c>
      <c r="W9" s="41">
        <v>22.77</v>
      </c>
      <c r="X9" s="41">
        <v>28.23</v>
      </c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7</v>
      </c>
      <c r="AB9" s="183">
        <f>IF(ISERROR(SUM(M9:Y9)/G9),"",(SUM(M9:Y9)/G9))</f>
        <v>25.326363636363638</v>
      </c>
      <c r="AC9" s="184">
        <f>IF(ISERROR(SUM(M9:Y9)/G9+H9),"",(SUM(M9:Y9)/G9+H9))</f>
        <v>35.326363636363638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Allocation'!$J$30:$J$37,MATCH(Lytchett!$D$2,'Number Allocation'!$L$30:$L$37,0))),0,(INDEX('Number Allocation'!$J$30:$J$37,MATCH(Lytchett!$D$2,'Number Allocation'!$L$30:$L$37,0))))+IF(ISERROR(INDEX('Number Allocation'!$L$30:$L$37,MATCH(Lytchett!$D$2,'Number Allocation'!$J$30:$J$37,0))),0,(INDEX('Number Allocation'!$L$30:$L$37,MATCH(Lytchett!$D$2,'Number Allocation'!$J$30:$J$37,0))))</f>
        <v>7</v>
      </c>
      <c r="AK9" s="44">
        <v>3</v>
      </c>
      <c r="AL9" s="44" t="str">
        <f>VLOOKUP(AJ9,'Number Allocation'!$I$7:$J$22,2,0)</f>
        <v>Shaftesbury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11</v>
      </c>
      <c r="AS9" s="44">
        <f t="shared" si="0"/>
        <v>1</v>
      </c>
      <c r="AT9" s="2"/>
      <c r="AU9" s="44">
        <f t="shared" si="1"/>
        <v>11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77</v>
      </c>
      <c r="N10" s="41" t="s">
        <v>77</v>
      </c>
      <c r="O10" s="41" t="s">
        <v>213</v>
      </c>
      <c r="P10" s="41" t="s">
        <v>77</v>
      </c>
      <c r="Q10" s="41" t="s">
        <v>91</v>
      </c>
      <c r="R10" s="41" t="s">
        <v>79</v>
      </c>
      <c r="S10" s="41" t="s">
        <v>77</v>
      </c>
      <c r="T10" s="41" t="s">
        <v>84</v>
      </c>
      <c r="U10" s="41"/>
      <c r="V10" s="41" t="s">
        <v>151</v>
      </c>
      <c r="W10" s="41" t="s">
        <v>77</v>
      </c>
      <c r="X10" s="41" t="s">
        <v>77</v>
      </c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Allocation'!$N$30:$N$37,MATCH(Lytchett!$D$2,'Number Allocation'!$P$30:$P$37,0))),0,(INDEX('Number Allocation'!$N$30:$N$37,MATCH(Lytchett!$D$2,'Number Allocation'!$P$30:$P$37,0))))+IF(ISERROR(INDEX('Number Allocation'!$P$30:$P$37,MATCH(Lytchett!$D$2,'Number Allocation'!$N$30:$N$37,0))),0,(INDEX('Number Allocation'!$P$30:$P$37,MATCH(Lytchett!$D$2,'Number Allocation'!$N$30:$N$37,0))))</f>
        <v>8</v>
      </c>
      <c r="AK10" s="44">
        <v>4</v>
      </c>
      <c r="AL10" s="44" t="str">
        <f>VLOOKUP(AJ10,'Number Allocation'!$I$7:$J$22,2,0)</f>
        <v>Alderholt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12</v>
      </c>
      <c r="AS10" s="44">
        <f t="shared" si="0"/>
        <v>0</v>
      </c>
      <c r="AT10" s="2"/>
      <c r="AU10" s="44">
        <f t="shared" si="1"/>
        <v>12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214</v>
      </c>
      <c r="F11" s="38"/>
      <c r="G11" s="181">
        <f>IF(COUNT(M11:Y11)=0,"",(COUNT(M11:Y11)))</f>
        <v>2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186">
        <f>IF(ISERROR(G11-H11),"",G11-H11)</f>
        <v>0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8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39"/>
      <c r="M11" s="41"/>
      <c r="N11" s="41">
        <v>20.420000000000002</v>
      </c>
      <c r="O11" s="41">
        <v>21.3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183">
        <f>IF(ISERROR(SUM(M11:Y11)/G11),"",(SUM(M11:Y11)/G11))</f>
        <v>20.86</v>
      </c>
      <c r="AC11" s="184">
        <f>IF(ISERROR(SUM(M11:Y11)/G11+H11),"",(SUM(M11:Y11)/G11+H11))</f>
        <v>22.86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Allocation'!$R$30:$R$37,MATCH(Lytchett!$D$2,'Number Allocation'!$T$30:$T$37,0))),0,(INDEX('Number Allocation'!$R$30:$R$37,MATCH(Lytchett!$D$2,'Number Allocation'!$T$30:$T$37,0))))+IF(ISERROR(INDEX('Number Allocation'!$T$30:$T$37,MATCH(Lytchett!$D$2,'Number Allocation'!$R$30:$R$37,0))),0,(INDEX('Number Allocation'!$T$30:$T$37,MATCH(Lytchett!$D$2,'Number Allocation'!$R$30:$R$37,0))))</f>
        <v>9</v>
      </c>
      <c r="AK11" s="44">
        <v>5</v>
      </c>
      <c r="AL11" s="44" t="str">
        <f>VLOOKUP(AJ11,'Number Allocation'!$I$7:$J$22,2,0)</f>
        <v>Poole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9</v>
      </c>
      <c r="AS11" s="44">
        <f t="shared" si="0"/>
        <v>3</v>
      </c>
      <c r="AT11" s="2"/>
      <c r="AU11" s="44">
        <f t="shared" si="1"/>
        <v>9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/>
      <c r="N12" s="41" t="s">
        <v>93</v>
      </c>
      <c r="O12" s="41" t="s">
        <v>78</v>
      </c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Allocation'!$B$44:$B$51,MATCH(Lytchett!$D$2,'Number Allocation'!$D$44:$D$51,0))),0,(INDEX('Number Allocation'!$B$44:$B$51,MATCH(Lytchett!$D$2,'Number Allocation'!$D$44:$D$51,0))))+IF(ISERROR(INDEX('Number Allocation'!$D$44:$D$51,MATCH(Lytchett!$D$2,'Number Allocation'!$B$44:$B$51,0))),0,(INDEX('Number Allocation'!$D$44:$D$51,MATCH(Lytchett!$D$2,'Number Allocation'!$B$44:$B$51,0))))</f>
        <v>14</v>
      </c>
      <c r="AK12" s="44">
        <v>6</v>
      </c>
      <c r="AL12" s="44" t="str">
        <f>VLOOKUP(AJ12,'Number Allocation'!$I$7:$J$22,2,0)</f>
        <v>Christchurch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AS12" s="44">
        <f t="shared" si="0"/>
        <v>4</v>
      </c>
      <c r="AT12" s="2"/>
      <c r="AU12" s="44">
        <f t="shared" si="1"/>
        <v>8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215</v>
      </c>
      <c r="F13" s="38"/>
      <c r="G13" s="181">
        <f>IF(COUNT(M13:Y13)=0,"",(COUNT(M13:Y13)))</f>
        <v>13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12</v>
      </c>
      <c r="I13" s="186">
        <f>IF(ISERROR(G13-H13),"",G13-H13)</f>
        <v>1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50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9</v>
      </c>
      <c r="L13" s="39"/>
      <c r="M13" s="41">
        <v>23.58</v>
      </c>
      <c r="N13" s="41">
        <v>30.67</v>
      </c>
      <c r="O13" s="41">
        <v>27.45</v>
      </c>
      <c r="P13" s="41">
        <v>30.36</v>
      </c>
      <c r="Q13" s="41">
        <v>27.72</v>
      </c>
      <c r="R13" s="41">
        <v>28.23</v>
      </c>
      <c r="S13" s="41">
        <v>24.25</v>
      </c>
      <c r="T13" s="41">
        <v>28.23</v>
      </c>
      <c r="U13" s="41">
        <v>30.83</v>
      </c>
      <c r="V13" s="41">
        <v>32.200000000000003</v>
      </c>
      <c r="W13" s="41">
        <v>28.63</v>
      </c>
      <c r="X13" s="41">
        <v>28.63</v>
      </c>
      <c r="Y13" s="41">
        <v>28.03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17</v>
      </c>
      <c r="AB13" s="183">
        <f>IF(ISERROR(SUM(M13:Y13)/G13),"",(SUM(M13:Y13)/G13))</f>
        <v>28.369999999999997</v>
      </c>
      <c r="AC13" s="184">
        <f>IF(ISERROR(SUM(M13:Y13)/G13+H13),"",(SUM(M13:Y13)/G13+H13))</f>
        <v>40.369999999999997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Allocation'!$H$44:$H$51,MATCH(Lytchett!$D$2,'Number Allocation'!$F$44:$F$51,0))),0,(INDEX('Number Allocation'!$H$44:$H$51,MATCH(Lytchett!$D$2,'Number Allocation'!$F$44:$F$51,0))))+IF(ISERROR(INDEX('Number Allocation'!$F$44:$F$51,MATCH(Lytchett!$D$2,'Number Allocation'!$H$44:$H$51,0))),0,(INDEX('Number Allocation'!$F$44:$F$51,MATCH(Lytchett!$D$2,'Number Allocation'!$H$44:$H$51,0))))</f>
        <v>11</v>
      </c>
      <c r="AK13" s="44">
        <v>7</v>
      </c>
      <c r="AL13" s="44" t="str">
        <f>VLOOKUP(AJ13,'Number Allocation'!$I$7:$J$22,2,0)</f>
        <v>Portland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1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9</v>
      </c>
      <c r="AS13" s="44">
        <f t="shared" si="0"/>
        <v>3</v>
      </c>
      <c r="AT13" s="2"/>
      <c r="AU13" s="44">
        <f t="shared" si="1"/>
        <v>9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151</v>
      </c>
      <c r="N14" s="41" t="s">
        <v>202</v>
      </c>
      <c r="O14" s="41" t="s">
        <v>151</v>
      </c>
      <c r="P14" s="41" t="s">
        <v>86</v>
      </c>
      <c r="Q14" s="41" t="s">
        <v>79</v>
      </c>
      <c r="R14" s="41" t="s">
        <v>86</v>
      </c>
      <c r="S14" s="41" t="s">
        <v>91</v>
      </c>
      <c r="T14" s="41" t="s">
        <v>86</v>
      </c>
      <c r="U14" s="41" t="s">
        <v>190</v>
      </c>
      <c r="V14" s="41" t="s">
        <v>92</v>
      </c>
      <c r="W14" s="41" t="s">
        <v>77</v>
      </c>
      <c r="X14" s="41" t="s">
        <v>77</v>
      </c>
      <c r="Y14" s="41" t="s">
        <v>79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Allocation'!$J$44:$J$51,MATCH(Lytchett!$D$2,'Number Allocation'!$L$44:$L$51,0))),0,(INDEX('Number Allocation'!$J$44:$J$51,MATCH(Lytchett!$D$2,'Number Allocation'!$L$44:$L$51,0))))+IF(ISERROR(INDEX('Number Allocation'!$L$44:$L$51,MATCH(Lytchett!$D$2,'Number Allocation'!$J$44:$J$51,0))),0,(INDEX('Number Allocation'!$L$44:$L$51,MATCH(Lytchett!$D$2,'Number Allocation'!$J$44:$J$51,0))))</f>
        <v>12</v>
      </c>
      <c r="AK14" s="44">
        <v>8</v>
      </c>
      <c r="AL14" s="44" t="str">
        <f>VLOOKUP(AJ14,'Number Allocation'!$I$7:$J$22,2,0)</f>
        <v>Swanage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AS14" s="44">
        <f t="shared" si="0"/>
        <v>4</v>
      </c>
      <c r="AT14" s="2"/>
      <c r="AU14" s="44">
        <f t="shared" si="1"/>
        <v>8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216</v>
      </c>
      <c r="F15" s="38"/>
      <c r="G15" s="181">
        <f>IF(COUNT(M15:Y15)=0,"",(COUNT(M15:Y15)))</f>
        <v>5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3</v>
      </c>
      <c r="I15" s="186">
        <f>IF(ISERROR(G15-H15),"",G15-H15)</f>
        <v>2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15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13</v>
      </c>
      <c r="L15" s="39"/>
      <c r="M15" s="41"/>
      <c r="N15" s="41"/>
      <c r="O15" s="41"/>
      <c r="P15" s="41"/>
      <c r="Q15" s="41"/>
      <c r="R15" s="41">
        <v>19.920000000000002</v>
      </c>
      <c r="S15" s="41">
        <v>20.91</v>
      </c>
      <c r="T15" s="41"/>
      <c r="U15" s="41">
        <v>21.55</v>
      </c>
      <c r="V15" s="41"/>
      <c r="W15" s="41"/>
      <c r="X15" s="41">
        <v>18.18</v>
      </c>
      <c r="Y15" s="41">
        <v>20.059999999999999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183">
        <f>IF(ISERROR(SUM(M15:Y15)/G15),"",(SUM(M15:Y15)/G15))</f>
        <v>20.124000000000002</v>
      </c>
      <c r="AC15" s="184">
        <f>IF(ISERROR(SUM(M15:Y15)/G15+H15),"",(SUM(M15:Y15)/G15+H15))</f>
        <v>23.124000000000002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Allocation'!$N$44:$N$51,MATCH(Lytchett!$D$2,'Number Allocation'!$P$44:$P$51,0))),0,(INDEX('Number Allocation'!$N$44:$N$51,MATCH(Lytchett!$D$2,'Number Allocation'!$P$44:$P$51,0))))+IF(ISERROR(INDEX('Number Allocation'!$P$44:$P$51,MATCH(Lytchett!$D$2,'Number Allocation'!$N$44:$N$51,0))),0,(INDEX('Number Allocation'!$P$44:$P$51,MATCH(Lytchett!$D$2,'Number Allocation'!$N$44:$N$51,0))))</f>
        <v>13</v>
      </c>
      <c r="AK15" s="44">
        <v>9</v>
      </c>
      <c r="AL15" s="44" t="str">
        <f>VLOOKUP(AJ15,'Number Allocation'!$I$7:$J$22,2,0)</f>
        <v>Bournemouth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AS15" s="44">
        <f t="shared" si="0"/>
        <v>2</v>
      </c>
      <c r="AT15" s="2"/>
      <c r="AU15" s="44">
        <f t="shared" si="1"/>
        <v>10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/>
      <c r="O16" s="41"/>
      <c r="P16" s="41"/>
      <c r="Q16" s="41"/>
      <c r="R16" s="41" t="s">
        <v>99</v>
      </c>
      <c r="S16" s="41" t="s">
        <v>93</v>
      </c>
      <c r="T16" s="41"/>
      <c r="U16" s="41" t="s">
        <v>77</v>
      </c>
      <c r="V16" s="41"/>
      <c r="W16" s="41"/>
      <c r="X16" s="41" t="s">
        <v>84</v>
      </c>
      <c r="Y16" s="41" t="s">
        <v>90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Allocation'!$R$44:$R$51,MATCH(Lytchett!$D$2,'Number Allocation'!$T$44:$T$51,0))),0,(INDEX('Number Allocation'!$R$44:$R$51,MATCH(Lytchett!$D$2,'Number Allocation'!$T$44:$T$51,0))))+IF(ISERROR(INDEX('Number Allocation'!$T$44:$T$51,MATCH(Lytchett!$D$2,'Number Allocation'!$R$44:$R$51,0))),0,(INDEX('Number Allocation'!$T$44:$T$51,MATCH(Lytchett!$D$2,'Number Allocation'!$R$44:$R$51,0))))</f>
        <v>1</v>
      </c>
      <c r="AK16" s="44">
        <v>10</v>
      </c>
      <c r="AL16" s="44" t="str">
        <f>VLOOKUP(AJ16,'Number Allocation'!$I$7:$J$22,2,0)</f>
        <v>Parkstone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AS16" s="44">
        <f t="shared" si="0"/>
        <v>2</v>
      </c>
      <c r="AT16" s="2"/>
      <c r="AU16" s="44">
        <f t="shared" si="1"/>
        <v>10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217</v>
      </c>
      <c r="F17" s="38"/>
      <c r="G17" s="181">
        <f>IF(COUNT(M17:Y17)=0,"",(COUNT(M17:Y17)))</f>
        <v>11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10</v>
      </c>
      <c r="I17" s="186">
        <f>IF(ISERROR(G17-H17),"",G17-H17)</f>
        <v>1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40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21</v>
      </c>
      <c r="L17" s="39"/>
      <c r="M17" s="41">
        <v>24.77</v>
      </c>
      <c r="N17" s="41"/>
      <c r="O17" s="41">
        <v>23.44</v>
      </c>
      <c r="P17" s="41">
        <v>23.21</v>
      </c>
      <c r="Q17" s="41">
        <v>24.67</v>
      </c>
      <c r="R17" s="41">
        <v>22.24</v>
      </c>
      <c r="S17" s="41">
        <v>22.34</v>
      </c>
      <c r="T17" s="41">
        <v>23.08</v>
      </c>
      <c r="U17" s="41">
        <v>25.49</v>
      </c>
      <c r="V17" s="41">
        <v>20.72</v>
      </c>
      <c r="W17" s="41">
        <v>24.44</v>
      </c>
      <c r="X17" s="41">
        <v>24.94</v>
      </c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3</v>
      </c>
      <c r="AB17" s="183">
        <f>IF(ISERROR(SUM(M17:Y17)/G17),"",(SUM(M17:Y17)/G17))</f>
        <v>23.576363636363638</v>
      </c>
      <c r="AC17" s="184">
        <f>IF(ISERROR(SUM(M17:Y17)/G17+H17),"",(SUM(M17:Y17)/G17+H17))</f>
        <v>33.576363636363638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Allocation'!$B$58:$B$65,MATCH(Lytchett!$D$2,'Number Allocation'!$D$58:$D$65,0))),0,(INDEX('Number Allocation'!$B$58:$B$65,MATCH(Lytchett!$D$2,'Number Allocation'!$D$58:$D$65,0))))+IF(ISERROR(INDEX('Number Allocation'!$D$58:$D$65,MATCH(Lytchett!$D$2,'Number Allocation'!$B$58:$B$65,0))),0,(INDEX('Number Allocation'!$D$58:$D$65,MATCH(Lytchett!$D$2,'Number Allocation'!$B$58:$B$65,0))))</f>
        <v>2</v>
      </c>
      <c r="AK17" s="44">
        <v>11</v>
      </c>
      <c r="AL17" s="44" t="str">
        <f>VLOOKUP(AJ17,'Number Allocation'!$I$7:$J$22,2,0)</f>
        <v>Alderney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1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12</v>
      </c>
      <c r="AS17" s="44">
        <f t="shared" si="0"/>
        <v>0</v>
      </c>
      <c r="AT17" s="2"/>
      <c r="AU17" s="44">
        <f t="shared" si="1"/>
        <v>12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94</v>
      </c>
      <c r="N18" s="41"/>
      <c r="O18" s="41" t="s">
        <v>78</v>
      </c>
      <c r="P18" s="41" t="s">
        <v>78</v>
      </c>
      <c r="Q18" s="41" t="s">
        <v>93</v>
      </c>
      <c r="R18" s="41" t="s">
        <v>81</v>
      </c>
      <c r="S18" s="41" t="s">
        <v>78</v>
      </c>
      <c r="T18" s="41" t="s">
        <v>119</v>
      </c>
      <c r="U18" s="41" t="s">
        <v>78</v>
      </c>
      <c r="V18" s="41" t="s">
        <v>84</v>
      </c>
      <c r="W18" s="41" t="s">
        <v>77</v>
      </c>
      <c r="X18" s="41" t="s">
        <v>84</v>
      </c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Allocation'!$H$58:$H$65,MATCH(Lytchett!$D$2,'Number Allocation'!$F$58:$F$65,0))),0,(INDEX('Number Allocation'!$H$58:$H$65,MATCH(Lytchett!$D$2,'Number Allocation'!$F$58:$F$65,0))))+IF(ISERROR(INDEX('Number Allocation'!$F$58:$F$65,MATCH(Lytchett!$D$2,'Number Allocation'!$H$58:$H$65,0))),0,(INDEX('Number Allocation'!$F$58:$F$65,MATCH(Lytchett!$D$2,'Number Allocation'!$H$58:$H$65,0))))</f>
        <v>3</v>
      </c>
      <c r="AK18" s="44">
        <v>12</v>
      </c>
      <c r="AL18" s="44" t="str">
        <f>VLOOKUP(AJ18,'Number Allocation'!$I$7:$J$22,2,0)</f>
        <v>Weymouth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AS18" s="44">
        <f t="shared" si="0"/>
        <v>5</v>
      </c>
      <c r="AT18" s="2"/>
      <c r="AU18" s="44">
        <f t="shared" si="1"/>
        <v>7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218</v>
      </c>
      <c r="F19" s="38"/>
      <c r="G19" s="181">
        <f>IF(COUNT(M19:Y19)=0,"",(COUNT(M19:Y19)))</f>
        <v>4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3</v>
      </c>
      <c r="I19" s="186">
        <f>IF(ISERROR(G19-H19),"",G19-H19)</f>
        <v>1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15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6</v>
      </c>
      <c r="L19" s="39"/>
      <c r="M19" s="40">
        <v>22.02</v>
      </c>
      <c r="N19" s="41">
        <v>25.14</v>
      </c>
      <c r="O19" s="41">
        <v>25.72</v>
      </c>
      <c r="P19" s="41"/>
      <c r="Q19" s="41"/>
      <c r="R19" s="41"/>
      <c r="S19" s="41"/>
      <c r="T19" s="41"/>
      <c r="U19" s="41"/>
      <c r="V19" s="41"/>
      <c r="W19" s="41"/>
      <c r="X19" s="41"/>
      <c r="Y19" s="41">
        <v>21.93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183">
        <f>IF(ISERROR(SUM(M19:Y19)/G19),"",(SUM(M19:Y19)/G19))</f>
        <v>23.702500000000001</v>
      </c>
      <c r="AC19" s="184">
        <f>IF(ISERROR(SUM(M19:Y19)/G19+H19),"",(SUM(M19:Y19)/G19+H19))</f>
        <v>26.702500000000001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Allocation'!$J$58:$J$65,MATCH(Lytchett!$D$2,'Number Allocation'!$L$58:$L$65,0))),0,(INDEX('Number Allocation'!$J$58:$J$65,MATCH(Lytchett!$D$2,'Number Allocation'!$L$58:$L$65,0))))+IF(ISERROR(INDEX('Number Allocation'!$L$58:$L$65,MATCH(Lytchett!$D$2,'Number Allocation'!$J$58:$J$65,0))),0,(INDEX('Number Allocation'!$L$58:$L$65,MATCH(Lytchett!$D$2,'Number Allocation'!$J$58:$J$65,0))))</f>
        <v>4</v>
      </c>
      <c r="AK19" s="44">
        <v>13</v>
      </c>
      <c r="AL19" s="44" t="str">
        <f>VLOOKUP(AJ19,'Number Allocation'!$I$7:$J$22,2,0)</f>
        <v>Dorchester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7</v>
      </c>
      <c r="AS19" s="44">
        <f t="shared" si="0"/>
        <v>5</v>
      </c>
      <c r="AT19" s="2"/>
      <c r="AU19" s="44">
        <f t="shared" si="1"/>
        <v>7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77</v>
      </c>
      <c r="N20" s="41" t="s">
        <v>79</v>
      </c>
      <c r="O20" s="41" t="s">
        <v>79</v>
      </c>
      <c r="P20" s="41"/>
      <c r="Q20" s="41"/>
      <c r="R20" s="41"/>
      <c r="S20" s="41"/>
      <c r="T20" s="41"/>
      <c r="U20" s="41"/>
      <c r="V20" s="41"/>
      <c r="W20" s="41"/>
      <c r="X20" s="41"/>
      <c r="Y20" s="41" t="s">
        <v>88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219</v>
      </c>
      <c r="F21" s="38"/>
      <c r="G21" s="181">
        <f>IF(COUNT(M21:Y21)=0,"",(COUNT(M21:Y21)))</f>
        <v>9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6</v>
      </c>
      <c r="I21" s="186">
        <f>IF(ISERROR(G21-H21),"",G21-H21)</f>
        <v>3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28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21</v>
      </c>
      <c r="L21" s="39"/>
      <c r="M21" s="41">
        <v>24.33</v>
      </c>
      <c r="N21" s="41">
        <v>20.47</v>
      </c>
      <c r="O21" s="41">
        <v>19.09</v>
      </c>
      <c r="P21" s="41"/>
      <c r="Q21" s="41">
        <v>22.91</v>
      </c>
      <c r="R21" s="41"/>
      <c r="S21" s="41"/>
      <c r="T21" s="41"/>
      <c r="U21" s="41">
        <v>21.96</v>
      </c>
      <c r="V21" s="41">
        <v>24.55</v>
      </c>
      <c r="W21" s="41">
        <v>25.62</v>
      </c>
      <c r="X21" s="41">
        <v>24.69</v>
      </c>
      <c r="Y21" s="41">
        <v>24.14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4</v>
      </c>
      <c r="AB21" s="183">
        <f>IF(ISERROR(SUM(M21:Y21)/G21),"",(SUM(M21:Y21)/G21))</f>
        <v>23.084444444444443</v>
      </c>
      <c r="AC21" s="184">
        <f>IF(ISERROR(SUM(M21:Y21)/G21+H21),"",(SUM(M21:Y21)/G21+H21))</f>
        <v>29.084444444444443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13</v>
      </c>
      <c r="AP21" s="44">
        <f t="shared" si="2"/>
        <v>0</v>
      </c>
      <c r="AQ21" s="44">
        <f t="shared" si="2"/>
        <v>0</v>
      </c>
      <c r="AR21" s="44">
        <f t="shared" si="2"/>
        <v>126</v>
      </c>
      <c r="AS21" s="44">
        <f t="shared" si="2"/>
        <v>30</v>
      </c>
      <c r="AT21" s="2"/>
      <c r="AU21" s="44">
        <f>SUM(AU7:AU19)</f>
        <v>126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93</v>
      </c>
      <c r="N22" s="41" t="s">
        <v>90</v>
      </c>
      <c r="O22" s="41" t="s">
        <v>77</v>
      </c>
      <c r="P22" s="41"/>
      <c r="Q22" s="41" t="s">
        <v>99</v>
      </c>
      <c r="R22" s="41"/>
      <c r="S22" s="41"/>
      <c r="T22" s="41"/>
      <c r="U22" s="41" t="s">
        <v>85</v>
      </c>
      <c r="V22" s="41" t="s">
        <v>79</v>
      </c>
      <c r="W22" s="41" t="s">
        <v>93</v>
      </c>
      <c r="X22" s="41" t="s">
        <v>90</v>
      </c>
      <c r="Y22" s="41" t="s">
        <v>151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220</v>
      </c>
      <c r="F23" s="38"/>
      <c r="G23" s="181">
        <f>IF(COUNT(M23:Y23)=0,"",(COUNT(M23:Y23)))</f>
        <v>10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9</v>
      </c>
      <c r="I23" s="186">
        <f>IF(ISERROR(G23-H23),"",G23-H23)</f>
        <v>1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36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15</v>
      </c>
      <c r="L23" s="39"/>
      <c r="M23" s="41">
        <v>26.72</v>
      </c>
      <c r="N23" s="41"/>
      <c r="O23" s="41"/>
      <c r="P23" s="41">
        <v>24.09</v>
      </c>
      <c r="Q23" s="41">
        <v>26.24</v>
      </c>
      <c r="R23" s="41">
        <v>23.8</v>
      </c>
      <c r="S23" s="41">
        <v>27.97</v>
      </c>
      <c r="T23" s="41">
        <v>28.57</v>
      </c>
      <c r="U23" s="41"/>
      <c r="V23" s="41">
        <v>22.47</v>
      </c>
      <c r="W23" s="41">
        <v>23.03</v>
      </c>
      <c r="X23" s="41">
        <v>23.41</v>
      </c>
      <c r="Y23" s="41">
        <v>28.74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8</v>
      </c>
      <c r="AB23" s="183">
        <f>IF(ISERROR(SUM(M23:Y23)/G23),"",(SUM(M23:Y23)/G23))</f>
        <v>25.503999999999998</v>
      </c>
      <c r="AC23" s="184">
        <f>IF(ISERROR(SUM(M23:Y23)/G23+H23),"",(SUM(M23:Y23)/G23+H23))</f>
        <v>34.503999999999998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77</v>
      </c>
      <c r="N24" s="41"/>
      <c r="O24" s="41"/>
      <c r="P24" s="41" t="s">
        <v>93</v>
      </c>
      <c r="Q24" s="41" t="s">
        <v>78</v>
      </c>
      <c r="R24" s="41" t="s">
        <v>78</v>
      </c>
      <c r="S24" s="41" t="s">
        <v>221</v>
      </c>
      <c r="T24" s="41" t="s">
        <v>202</v>
      </c>
      <c r="U24" s="41"/>
      <c r="V24" s="41" t="s">
        <v>84</v>
      </c>
      <c r="W24" s="41" t="s">
        <v>77</v>
      </c>
      <c r="X24" s="41" t="s">
        <v>81</v>
      </c>
      <c r="Y24" s="41" t="s">
        <v>92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222</v>
      </c>
      <c r="F25" s="38"/>
      <c r="G25" s="181">
        <f>IF(COUNT(M25:Y25)=0,"",(COUNT(M25:Y25)))</f>
        <v>7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3</v>
      </c>
      <c r="I25" s="186">
        <f>IF(ISERROR(G25-H25),"",G25-H25)</f>
        <v>4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18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24</v>
      </c>
      <c r="L25" s="39"/>
      <c r="M25" s="41"/>
      <c r="N25" s="41"/>
      <c r="O25" s="41"/>
      <c r="P25" s="41"/>
      <c r="Q25" s="41"/>
      <c r="R25" s="41">
        <v>22.01</v>
      </c>
      <c r="S25" s="41">
        <v>21.72</v>
      </c>
      <c r="T25" s="41">
        <v>21.77</v>
      </c>
      <c r="U25" s="41">
        <v>20</v>
      </c>
      <c r="V25" s="41">
        <v>21.51</v>
      </c>
      <c r="W25" s="41">
        <v>19.850000000000001</v>
      </c>
      <c r="X25" s="41"/>
      <c r="Y25" s="41">
        <v>19.39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20.892857142857142</v>
      </c>
      <c r="AC25" s="184">
        <f>IF(ISERROR(SUM(M25:Y25)/G25+H25),"",(SUM(M25:Y25)/G25+H25))</f>
        <v>23.892857142857142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/>
      <c r="O26" s="41"/>
      <c r="P26" s="41"/>
      <c r="Q26" s="41"/>
      <c r="R26" s="41" t="s">
        <v>88</v>
      </c>
      <c r="S26" s="41" t="s">
        <v>84</v>
      </c>
      <c r="T26" s="41" t="s">
        <v>90</v>
      </c>
      <c r="U26" s="41" t="s">
        <v>90</v>
      </c>
      <c r="V26" s="41" t="s">
        <v>93</v>
      </c>
      <c r="W26" s="41" t="s">
        <v>93</v>
      </c>
      <c r="X26" s="41"/>
      <c r="Y26" s="41" t="s">
        <v>90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223</v>
      </c>
      <c r="F27" s="38"/>
      <c r="G27" s="181">
        <f>IF(COUNT(M27:Y27)=0,"",(COUNT(M27:Y27)))</f>
        <v>12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10</v>
      </c>
      <c r="I27" s="186">
        <f>IF(ISERROR(G27-H27),"",G27-H27)</f>
        <v>2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42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19</v>
      </c>
      <c r="L27" s="39"/>
      <c r="M27" s="41">
        <v>22.09</v>
      </c>
      <c r="N27" s="41">
        <v>24.71</v>
      </c>
      <c r="O27" s="41">
        <v>27.7</v>
      </c>
      <c r="P27" s="41">
        <v>23.75</v>
      </c>
      <c r="Q27" s="41">
        <v>23.86</v>
      </c>
      <c r="R27" s="41">
        <v>23.87</v>
      </c>
      <c r="S27" s="41">
        <v>29.91</v>
      </c>
      <c r="T27" s="41">
        <v>19.809999999999999</v>
      </c>
      <c r="U27" s="41">
        <v>26.03</v>
      </c>
      <c r="V27" s="41"/>
      <c r="W27" s="41">
        <v>21.09</v>
      </c>
      <c r="X27" s="41">
        <v>19.66</v>
      </c>
      <c r="Y27" s="41">
        <v>25.46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7</v>
      </c>
      <c r="AB27" s="183">
        <f>IF(ISERROR(SUM(M27:Y27)/G27),"",(SUM(M27:Y27)/G27))</f>
        <v>23.995000000000001</v>
      </c>
      <c r="AC27" s="184">
        <f>IF(ISERROR(SUM(M27:Y27)/G27+H27),"",(SUM(M27:Y27)/G27+H27))</f>
        <v>33.995000000000005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 t="s">
        <v>85</v>
      </c>
      <c r="N28" s="41" t="s">
        <v>92</v>
      </c>
      <c r="O28" s="41" t="s">
        <v>78</v>
      </c>
      <c r="P28" s="41" t="s">
        <v>85</v>
      </c>
      <c r="Q28" s="41" t="s">
        <v>93</v>
      </c>
      <c r="R28" s="41" t="s">
        <v>78</v>
      </c>
      <c r="S28" s="41" t="s">
        <v>86</v>
      </c>
      <c r="T28" s="41" t="s">
        <v>90</v>
      </c>
      <c r="U28" s="41" t="s">
        <v>86</v>
      </c>
      <c r="V28" s="41"/>
      <c r="W28" s="41" t="s">
        <v>77</v>
      </c>
      <c r="X28" s="41" t="s">
        <v>90</v>
      </c>
      <c r="Y28" s="41" t="s">
        <v>79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224</v>
      </c>
      <c r="F29" s="38"/>
      <c r="G29" s="181" t="str">
        <f>IF(COUNT(M29:Y29)=0,"",(COUNT(M29:Y29)))</f>
        <v/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 t="str">
        <f>IF(ISERROR(G29-H29),"",G29-H29)</f>
        <v/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39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 t="str">
        <f>IF(ISERROR(SUM(M29:Y29)/G29),"",(SUM(M29:Y29)/G29))</f>
        <v/>
      </c>
      <c r="AC29" s="184" t="str">
        <f>IF(ISERROR(SUM(M29:Y29)/G29+H29),"",(SUM(M29:Y29)/G29+H29))</f>
        <v/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225</v>
      </c>
      <c r="F31" s="38"/>
      <c r="G31" s="181">
        <f>IF(COUNT(M31:Y31)=0,"",(COUNT(M31:Y31)))</f>
        <v>7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7</v>
      </c>
      <c r="I31" s="186">
        <f>IF(ISERROR(G31-H31),"",G31-H31)</f>
        <v>0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28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9</v>
      </c>
      <c r="L31" s="39"/>
      <c r="M31" s="41"/>
      <c r="N31" s="41">
        <v>25.05</v>
      </c>
      <c r="O31" s="41"/>
      <c r="P31" s="41">
        <v>24.84</v>
      </c>
      <c r="Q31" s="41">
        <v>26.59</v>
      </c>
      <c r="R31" s="41">
        <v>26.03</v>
      </c>
      <c r="S31" s="41">
        <v>26.37</v>
      </c>
      <c r="T31" s="41">
        <v>24.85</v>
      </c>
      <c r="U31" s="41"/>
      <c r="V31" s="41"/>
      <c r="W31" s="41"/>
      <c r="X31" s="41">
        <v>24.32</v>
      </c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2</v>
      </c>
      <c r="AB31" s="183">
        <f>IF(ISERROR(SUM(M31:Y31)/G31),"",(SUM(M31:Y31)/G31))</f>
        <v>25.435714285714283</v>
      </c>
      <c r="AC31" s="184">
        <f>IF(ISERROR(SUM(M31:Y31)/G31+H31),"",(SUM(M31:Y31)/G31+H31))</f>
        <v>32.435714285714283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 t="s">
        <v>77</v>
      </c>
      <c r="O32" s="41"/>
      <c r="P32" s="41" t="s">
        <v>78</v>
      </c>
      <c r="Q32" s="41" t="s">
        <v>93</v>
      </c>
      <c r="R32" s="41" t="s">
        <v>77</v>
      </c>
      <c r="S32" s="41" t="s">
        <v>77</v>
      </c>
      <c r="T32" s="41" t="s">
        <v>94</v>
      </c>
      <c r="U32" s="41"/>
      <c r="V32" s="41"/>
      <c r="W32" s="41"/>
      <c r="X32" s="41" t="s">
        <v>85</v>
      </c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226</v>
      </c>
      <c r="F33" s="38"/>
      <c r="G33" s="181">
        <f>IF(COUNT(M33:Y33)=0,"",(COUNT(M33:Y33)))</f>
        <v>1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1</v>
      </c>
      <c r="I33" s="186">
        <f>IF(ISERROR(G33-H33),"",G33-H33)</f>
        <v>0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4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>
        <v>22.52</v>
      </c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1</v>
      </c>
      <c r="AB33" s="183">
        <f>IF(ISERROR(SUM(M33:Y33)/G33),"",(SUM(M33:Y33)/G33))</f>
        <v>22.52</v>
      </c>
      <c r="AC33" s="184">
        <f>IF(ISERROR(SUM(M33:Y33)/G33+H33),"",(SUM(M33:Y33)/G33+H33))</f>
        <v>23.52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 t="s">
        <v>86</v>
      </c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 t="s">
        <v>227</v>
      </c>
      <c r="F35" s="38"/>
      <c r="G35" s="181">
        <f>IF(COUNT(M35:Y35)=0,"",(COUNT(M35:Y35)))</f>
        <v>1</v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1</v>
      </c>
      <c r="I35" s="186">
        <f>IF(ISERROR(G35-H35),"",G35-H35)</f>
        <v>0</v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4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2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>
        <v>19.899999999999999</v>
      </c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>
        <f>IF(ISERROR(SUM(M35:Y35)/G35),"",(SUM(M35:Y35)/G35))</f>
        <v>19.899999999999999</v>
      </c>
      <c r="AC35" s="184">
        <f>IF(ISERROR(SUM(M35:Y35)/G35+H35),"",(SUM(M35:Y35)/G35+H35))</f>
        <v>20.9</v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 t="s">
        <v>84</v>
      </c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 t="s">
        <v>108</v>
      </c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1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4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 t="s">
        <v>77</v>
      </c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 t="s">
        <v>108</v>
      </c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1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4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 t="s">
        <v>77</v>
      </c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4</v>
      </c>
      <c r="N50" s="44">
        <v>4</v>
      </c>
      <c r="O50" s="44">
        <v>3</v>
      </c>
      <c r="P50" s="44">
        <v>4</v>
      </c>
      <c r="Q50" s="44">
        <v>4</v>
      </c>
      <c r="R50" s="44">
        <v>3</v>
      </c>
      <c r="S50" s="44">
        <v>2</v>
      </c>
      <c r="T50" s="44">
        <v>3</v>
      </c>
      <c r="U50" s="44">
        <v>3</v>
      </c>
      <c r="V50" s="44">
        <v>3</v>
      </c>
      <c r="W50" s="44">
        <v>4</v>
      </c>
      <c r="X50" s="44">
        <v>2</v>
      </c>
      <c r="Y50" s="44">
        <v>3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12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11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11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12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9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9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12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7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5:Z35 M37:Z37 M39:Z39 M41:Z41 M43:Z43 M45:Z45 M47:Z47 Q7:Z7 Q9:Z9 Q11:Z11 Q13:Z13 Q15:Z15 Q17:Z17 Q19:Z19 Q21:Z21 Q23:Z23 Q25:Z25 Q27:Z27 Q29:Z29 Q31:Z31 Q33:Z33 R18">
    <cfRule type="expression" dxfId="97" priority="1">
      <formula>LEFT(R19,1)="4"</formula>
    </cfRule>
  </conditionalFormatting>
  <conditionalFormatting sqref="G7 G9 G11 G13 G15 G17 G19 G21 G23 G25 G27 G29 G31 G33 G35 G37 G39 G41 G43 G45 G47 L7 L9 L11:L48">
    <cfRule type="expression" dxfId="96" priority="2">
      <formula>G7=0</formula>
    </cfRule>
  </conditionalFormatting>
  <conditionalFormatting sqref="M36:Y36 M38:Y38 M40:Y40 M42:Y42 M44:Y44 M46:Y46 M48:Y48 Q8:Y8 Q10:Y10 Q12:Y12 Q14:Y14 Q16:Y16 Q18:Y18 Q20:Y20 Q22:Y22 Q24:Y24 Q26:Y26 Q28:Y28 Q30:Y30 Q32:Y32 Q34:Y34">
    <cfRule type="expression" dxfId="95" priority="3">
      <formula>LEFT(Q10,1)="4"</formula>
    </cfRule>
  </conditionalFormatting>
  <conditionalFormatting sqref="M7:Y7 M9:Y9 M11:Y11 M13:Y13 M15:Y15 M17:Y17 M19:Y19 M21:Y21 M23:Y23 M25:Y25 M27:Y27 M29:Y29 M31:Y31 M33:Y33 M35:Y35 M37:Y37 M39:Y39">
    <cfRule type="expression" dxfId="94" priority="4">
      <formula>LEFT(M34,1)="4"</formula>
    </cfRule>
  </conditionalFormatting>
  <conditionalFormatting sqref="M7 M9 M11 M13 M15 M17 M19 M21 M23 M25 M27 M29 M31 M33 M35 M37 M39">
    <cfRule type="expression" dxfId="93" priority="5">
      <formula>LEFT(M8,1)="4"</formula>
    </cfRule>
  </conditionalFormatting>
  <conditionalFormatting sqref="M8:P8 M10:P10 M12:P12 M14:P14 M16:P16 M18:P18 M20:P20 M22:P22 M24:P24 M26:P26 M28:P28 M30:P30 M32:P32 M34:P34">
    <cfRule type="expression" dxfId="92" priority="6">
      <formula>LEFT(M10,1)="4"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91" priority="7">
      <formula>H7=0</formula>
    </cfRule>
  </conditionalFormatting>
  <conditionalFormatting sqref="AA7 AA9 AA11 AA13 AA15 AA17 AA19 AA21 AA23 AA25 AA27 AA29 AA31 AA33 AA35 AA37 AA39 AA41 AA43 AA45 AA47">
    <cfRule type="expression" dxfId="90" priority="8">
      <formula>AA7=0</formula>
    </cfRule>
  </conditionalFormatting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0"/>
  <sheetViews>
    <sheetView showGridLines="0" workbookViewId="0">
      <selection activeCell="Y20" sqref="Y20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</v>
      </c>
      <c r="E2" s="196" t="s">
        <v>228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229</v>
      </c>
      <c r="F7" s="38"/>
      <c r="G7" s="181">
        <f>IF(COUNT(M7:Y7)=0,"",(COUNT(M7:Y7)))</f>
        <v>10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2</v>
      </c>
      <c r="I7" s="186">
        <f>IF(ISERROR(G7-H7),"",G7-H7)</f>
        <v>8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17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37</v>
      </c>
      <c r="L7" s="39"/>
      <c r="M7" s="41">
        <v>20.010000000000002</v>
      </c>
      <c r="N7" s="41"/>
      <c r="O7" s="41">
        <v>17.39</v>
      </c>
      <c r="P7" s="41">
        <v>20.11</v>
      </c>
      <c r="Q7" s="41">
        <v>19.77</v>
      </c>
      <c r="R7" s="41"/>
      <c r="S7" s="41">
        <v>23.01</v>
      </c>
      <c r="T7" s="41">
        <v>18.61</v>
      </c>
      <c r="U7" s="41">
        <v>20.95</v>
      </c>
      <c r="V7" s="41">
        <v>16.989999999999998</v>
      </c>
      <c r="W7" s="41">
        <v>16.920000000000002</v>
      </c>
      <c r="X7" s="60">
        <v>19.34</v>
      </c>
      <c r="Y7" s="41"/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3</v>
      </c>
      <c r="AB7" s="183">
        <f>IF(ISERROR(SUM(M7:Y7)/G7),"",(SUM(M7:Y7)/G7))</f>
        <v>19.309999999999999</v>
      </c>
      <c r="AC7" s="184">
        <f>IF(ISERROR(SUM(M7:Y7)/G7+H7),"",(SUM(M7:Y7)/G7+H7))</f>
        <v>21.31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Allocation'!$B$30:$B$37,MATCH(Parkstone!$D$2,'Number Allocation'!$D$30:$D$37,0))),0,(INDEX('Number Allocation'!$B$30:$B$37,MATCH(Parkstone!$D$2,'Number Allocation'!$D$30:$D$37,0))))+IF(ISERROR(INDEX('Number Allocation'!$D$30:$D$37,MATCH(Parkstone!$D$2,'Number Allocation'!$B$30:$B$37,0))),0,(INDEX('Number Allocation'!$D$30:$D$37,MATCH(Parkstone!$D$2,'Number Allocation'!$B$30:$B$37,0))))</f>
        <v>14</v>
      </c>
      <c r="AK7" s="44">
        <v>1</v>
      </c>
      <c r="AL7" s="44" t="str">
        <f>VLOOKUP(AJ7,'Number Allocation'!$I$7:$J$22,2,0)</f>
        <v>Christchurch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2</v>
      </c>
      <c r="AS7" s="44">
        <f t="shared" ref="AS7:AS19" si="0">IF(SUM(AO7:AQ7)=0,0,(12-AR7))</f>
        <v>10</v>
      </c>
      <c r="AT7" s="2"/>
      <c r="AU7" s="44">
        <f t="shared" ref="AU7:AU19" si="1">(AR7)</f>
        <v>2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100</v>
      </c>
      <c r="N8" s="41"/>
      <c r="O8" s="41" t="s">
        <v>99</v>
      </c>
      <c r="P8" s="41" t="s">
        <v>99</v>
      </c>
      <c r="Q8" s="41" t="s">
        <v>90</v>
      </c>
      <c r="R8" s="41"/>
      <c r="S8" s="41" t="s">
        <v>84</v>
      </c>
      <c r="T8" s="41" t="s">
        <v>81</v>
      </c>
      <c r="U8" s="41" t="s">
        <v>97</v>
      </c>
      <c r="V8" s="41" t="s">
        <v>99</v>
      </c>
      <c r="W8" s="41" t="s">
        <v>90</v>
      </c>
      <c r="X8" s="60" t="s">
        <v>94</v>
      </c>
      <c r="Y8" s="41"/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Allocation'!$H$30:$H$37,MATCH(Parkstone!$D$2,'Number Allocation'!$F$30:$F$37,0))),0,(INDEX('Number Allocation'!$H$30:$H$37,MATCH(Parkstone!$D$2,'Number Allocation'!$F$30:$F$37,0))))+IF(ISERROR(INDEX('Number Allocation'!$F$30:$F$37,MATCH(Parkstone!$D$2,'Number Allocation'!$H$30:$H$37,0))),0,(INDEX('Number Allocation'!$F$30:$F$37,MATCH(Parkstone!$D$2,'Number Allocation'!$H$30:$H$37,0))))</f>
        <v>2</v>
      </c>
      <c r="AK8" s="44">
        <v>2</v>
      </c>
      <c r="AL8" s="44" t="str">
        <f>VLOOKUP(AJ8,'Number Allocation'!$I$7:$J$22,2,0)</f>
        <v>Alderney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44">
        <f t="shared" si="0"/>
        <v>4</v>
      </c>
      <c r="AT8" s="2"/>
      <c r="AU8" s="44">
        <f t="shared" si="1"/>
        <v>8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230</v>
      </c>
      <c r="F9" s="38"/>
      <c r="G9" s="181">
        <f>IF(COUNT(M9:Y9)=0,"",(COUNT(M9:Y9)))</f>
        <v>8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3</v>
      </c>
      <c r="I9" s="186">
        <f>IF(ISERROR(G9-H9),"",G9-H9)</f>
        <v>5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19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23</v>
      </c>
      <c r="L9" s="39"/>
      <c r="M9" s="41"/>
      <c r="N9" s="41"/>
      <c r="O9" s="41">
        <v>19.11</v>
      </c>
      <c r="P9" s="41"/>
      <c r="Q9" s="41">
        <v>21.03</v>
      </c>
      <c r="R9" s="41"/>
      <c r="S9" s="41"/>
      <c r="T9" s="41">
        <v>21.11</v>
      </c>
      <c r="U9" s="41">
        <v>20.25</v>
      </c>
      <c r="V9" s="41">
        <v>19.079999999999998</v>
      </c>
      <c r="W9" s="41">
        <v>20.03</v>
      </c>
      <c r="X9" s="60">
        <v>21.09</v>
      </c>
      <c r="Y9" s="41">
        <v>16.78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2</v>
      </c>
      <c r="AB9" s="183">
        <f>IF(ISERROR(SUM(M9:Y9)/G9),"",(SUM(M9:Y9)/G9))</f>
        <v>19.809999999999999</v>
      </c>
      <c r="AC9" s="184">
        <f>IF(ISERROR(SUM(M9:Y9)/G9+H9),"",(SUM(M9:Y9)/G9+H9))</f>
        <v>22.81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Allocation'!$J$30:$J$37,MATCH(Parkstone!$D$2,'Number Allocation'!$L$30:$L$37,0))),0,(INDEX('Number Allocation'!$J$30:$J$37,MATCH(Parkstone!$D$2,'Number Allocation'!$L$30:$L$37,0))))+IF(ISERROR(INDEX('Number Allocation'!$L$30:$L$37,MATCH(Parkstone!$D$2,'Number Allocation'!$J$30:$J$37,0))),0,(INDEX('Number Allocation'!$L$30:$L$37,MATCH(Parkstone!$D$2,'Number Allocation'!$J$30:$J$37,0))))</f>
        <v>3</v>
      </c>
      <c r="AK9" s="44">
        <v>3</v>
      </c>
      <c r="AL9" s="44" t="str">
        <f>VLOOKUP(AJ9,'Number Allocation'!$I$7:$J$22,2,0)</f>
        <v>Weymouth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1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AS9" s="44">
        <f t="shared" si="0"/>
        <v>6</v>
      </c>
      <c r="AT9" s="2"/>
      <c r="AU9" s="44">
        <f t="shared" si="1"/>
        <v>6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/>
      <c r="N10" s="41"/>
      <c r="O10" s="41" t="s">
        <v>88</v>
      </c>
      <c r="P10" s="41"/>
      <c r="Q10" s="41" t="s">
        <v>79</v>
      </c>
      <c r="R10" s="41"/>
      <c r="S10" s="41"/>
      <c r="T10" s="41" t="s">
        <v>84</v>
      </c>
      <c r="U10" s="41" t="s">
        <v>90</v>
      </c>
      <c r="V10" s="41" t="s">
        <v>99</v>
      </c>
      <c r="W10" s="41" t="s">
        <v>90</v>
      </c>
      <c r="X10" s="60" t="s">
        <v>86</v>
      </c>
      <c r="Y10" s="41" t="s">
        <v>81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Allocation'!$N$30:$N$37,MATCH(Parkstone!$D$2,'Number Allocation'!$P$30:$P$37,0))),0,(INDEX('Number Allocation'!$N$30:$N$37,MATCH(Parkstone!$D$2,'Number Allocation'!$P$30:$P$37,0))))+IF(ISERROR(INDEX('Number Allocation'!$P$30:$P$37,MATCH(Parkstone!$D$2,'Number Allocation'!$N$30:$N$37,0))),0,(INDEX('Number Allocation'!$P$30:$P$37,MATCH(Parkstone!$D$2,'Number Allocation'!$N$30:$N$37,0))))</f>
        <v>4</v>
      </c>
      <c r="AK10" s="44">
        <v>4</v>
      </c>
      <c r="AL10" s="44" t="str">
        <f>VLOOKUP(AJ10,'Number Allocation'!$I$7:$J$22,2,0)</f>
        <v>Dorchester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4</v>
      </c>
      <c r="AS10" s="44">
        <f t="shared" si="0"/>
        <v>8</v>
      </c>
      <c r="AT10" s="2"/>
      <c r="AU10" s="44">
        <f t="shared" si="1"/>
        <v>4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231</v>
      </c>
      <c r="F11" s="38"/>
      <c r="G11" s="181">
        <f>IF(COUNT(M11:Y11)=0,"",(COUNT(M11:Y11)))</f>
        <v>9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7</v>
      </c>
      <c r="I11" s="186">
        <f>IF(ISERROR(G11-H11),"",G11-H11)</f>
        <v>2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34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21</v>
      </c>
      <c r="L11" s="39"/>
      <c r="M11" s="41">
        <v>24.84</v>
      </c>
      <c r="N11" s="41">
        <v>26.03</v>
      </c>
      <c r="O11" s="41">
        <v>21.77</v>
      </c>
      <c r="P11" s="41"/>
      <c r="Q11" s="41">
        <v>23.56</v>
      </c>
      <c r="R11" s="41">
        <v>20.77</v>
      </c>
      <c r="S11" s="41">
        <v>21.26</v>
      </c>
      <c r="T11" s="41">
        <v>20.74</v>
      </c>
      <c r="U11" s="41">
        <v>23.55</v>
      </c>
      <c r="V11" s="41">
        <v>20.73</v>
      </c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3</v>
      </c>
      <c r="AB11" s="183">
        <f>IF(ISERROR(SUM(M11:Y11)/G11),"",(SUM(M11:Y11)/G11))</f>
        <v>22.583333333333332</v>
      </c>
      <c r="AC11" s="184">
        <f>IF(ISERROR(SUM(M11:Y11)/G11+H11),"",(SUM(M11:Y11)/G11+H11))</f>
        <v>29.583333333333332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Allocation'!$R$30:$R$37,MATCH(Parkstone!$D$2,'Number Allocation'!$T$30:$T$37,0))),0,(INDEX('Number Allocation'!$R$30:$R$37,MATCH(Parkstone!$D$2,'Number Allocation'!$T$30:$T$37,0))))+IF(ISERROR(INDEX('Number Allocation'!$T$30:$T$37,MATCH(Parkstone!$D$2,'Number Allocation'!$R$30:$R$37,0))),0,(INDEX('Number Allocation'!$T$30:$T$37,MATCH(Parkstone!$D$2,'Number Allocation'!$R$30:$R$37,0))))</f>
        <v>5</v>
      </c>
      <c r="AK11" s="44">
        <v>5</v>
      </c>
      <c r="AL11" s="44" t="str">
        <f>VLOOKUP(AJ11,'Number Allocation'!$I$7:$J$22,2,0)</f>
        <v>Boscombe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8</v>
      </c>
      <c r="AS11" s="44">
        <f t="shared" si="0"/>
        <v>4</v>
      </c>
      <c r="AT11" s="2"/>
      <c r="AU11" s="44">
        <f t="shared" si="1"/>
        <v>8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84</v>
      </c>
      <c r="N12" s="41" t="s">
        <v>77</v>
      </c>
      <c r="O12" s="41" t="s">
        <v>78</v>
      </c>
      <c r="P12" s="41"/>
      <c r="Q12" s="41" t="s">
        <v>83</v>
      </c>
      <c r="R12" s="41" t="s">
        <v>93</v>
      </c>
      <c r="S12" s="41" t="s">
        <v>84</v>
      </c>
      <c r="T12" s="41" t="s">
        <v>94</v>
      </c>
      <c r="U12" s="41" t="s">
        <v>84</v>
      </c>
      <c r="V12" s="41" t="s">
        <v>83</v>
      </c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Allocation'!$B$44:$B$51,MATCH(Parkstone!$D$2,'Number Allocation'!$D$44:$D$51,0))),0,(INDEX('Number Allocation'!$B$44:$B$51,MATCH(Parkstone!$D$2,'Number Allocation'!$D$44:$D$51,0))))+IF(ISERROR(INDEX('Number Allocation'!$D$44:$D$51,MATCH(Parkstone!$D$2,'Number Allocation'!$B$44:$B$51,0))),0,(INDEX('Number Allocation'!$D$44:$D$51,MATCH(Parkstone!$D$2,'Number Allocation'!$B$44:$B$51,0))))</f>
        <v>6</v>
      </c>
      <c r="AK12" s="44">
        <v>6</v>
      </c>
      <c r="AL12" s="44" t="str">
        <f>VLOOKUP(AJ12,'Number Allocation'!$I$7:$J$22,2,0)</f>
        <v>Bridport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7</v>
      </c>
      <c r="AS12" s="44">
        <f t="shared" si="0"/>
        <v>5</v>
      </c>
      <c r="AT12" s="2"/>
      <c r="AU12" s="44">
        <f t="shared" si="1"/>
        <v>7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232</v>
      </c>
      <c r="F13" s="38"/>
      <c r="G13" s="181">
        <f>IF(COUNT(M13:Y13)=0,"",(COUNT(M13:Y13)))</f>
        <v>12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5</v>
      </c>
      <c r="I13" s="186">
        <f>IF(ISERROR(G13-H13),"",G13-H13)</f>
        <v>7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29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39</v>
      </c>
      <c r="L13" s="39"/>
      <c r="M13" s="40">
        <v>18.260000000000002</v>
      </c>
      <c r="N13" s="41">
        <v>20.92</v>
      </c>
      <c r="O13" s="41">
        <v>20.88</v>
      </c>
      <c r="P13" s="41">
        <v>20.55</v>
      </c>
      <c r="Q13" s="41">
        <v>20.04</v>
      </c>
      <c r="R13" s="41">
        <v>22.02</v>
      </c>
      <c r="S13" s="41">
        <v>23.2</v>
      </c>
      <c r="T13" s="41">
        <v>18.75</v>
      </c>
      <c r="U13" s="41"/>
      <c r="V13" s="41">
        <v>21.35</v>
      </c>
      <c r="W13" s="41">
        <v>18.760000000000002</v>
      </c>
      <c r="X13" s="60">
        <v>23.12</v>
      </c>
      <c r="Y13" s="41">
        <v>19.190000000000001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6</v>
      </c>
      <c r="AB13" s="183">
        <f>IF(ISERROR(SUM(M13:Y13)/G13),"",(SUM(M13:Y13)/G13))</f>
        <v>20.586666666666666</v>
      </c>
      <c r="AC13" s="184">
        <f>IF(ISERROR(SUM(M13:Y13)/G13+H13),"",(SUM(M13:Y13)/G13+H13))</f>
        <v>25.586666666666666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Allocation'!$H$44:$H$51,MATCH(Parkstone!$D$2,'Number Allocation'!$F$44:$F$51,0))),0,(INDEX('Number Allocation'!$H$44:$H$51,MATCH(Parkstone!$D$2,'Number Allocation'!$F$44:$F$51,0))))+IF(ISERROR(INDEX('Number Allocation'!$F$44:$F$51,MATCH(Parkstone!$D$2,'Number Allocation'!$H$44:$H$51,0))),0,(INDEX('Number Allocation'!$F$44:$F$51,MATCH(Parkstone!$D$2,'Number Allocation'!$H$44:$H$51,0))))</f>
        <v>7</v>
      </c>
      <c r="AK13" s="44">
        <v>7</v>
      </c>
      <c r="AL13" s="44" t="str">
        <f>VLOOKUP(AJ13,'Number Allocation'!$I$7:$J$22,2,0)</f>
        <v>Shaftesbury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1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AS13" s="44">
        <f t="shared" si="0"/>
        <v>4</v>
      </c>
      <c r="AT13" s="2"/>
      <c r="AU13" s="44">
        <f t="shared" si="1"/>
        <v>8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93</v>
      </c>
      <c r="N14" s="41" t="s">
        <v>84</v>
      </c>
      <c r="O14" s="41" t="s">
        <v>97</v>
      </c>
      <c r="P14" s="41" t="s">
        <v>99</v>
      </c>
      <c r="Q14" s="41" t="s">
        <v>93</v>
      </c>
      <c r="R14" s="41" t="s">
        <v>77</v>
      </c>
      <c r="S14" s="41" t="s">
        <v>99</v>
      </c>
      <c r="T14" s="41" t="s">
        <v>99</v>
      </c>
      <c r="U14" s="41"/>
      <c r="V14" s="41" t="s">
        <v>81</v>
      </c>
      <c r="W14" s="41" t="s">
        <v>91</v>
      </c>
      <c r="X14" s="60" t="s">
        <v>213</v>
      </c>
      <c r="Y14" s="41" t="s">
        <v>100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Allocation'!$J$44:$J$51,MATCH(Parkstone!$D$2,'Number Allocation'!$L$44:$L$51,0))),0,(INDEX('Number Allocation'!$J$44:$J$51,MATCH(Parkstone!$D$2,'Number Allocation'!$L$44:$L$51,0))))+IF(ISERROR(INDEX('Number Allocation'!$L$44:$L$51,MATCH(Parkstone!$D$2,'Number Allocation'!$J$44:$J$51,0))),0,(INDEX('Number Allocation'!$L$44:$L$51,MATCH(Parkstone!$D$2,'Number Allocation'!$J$44:$J$51,0))))</f>
        <v>8</v>
      </c>
      <c r="AK14" s="44">
        <v>8</v>
      </c>
      <c r="AL14" s="44" t="str">
        <f>VLOOKUP(AJ14,'Number Allocation'!$I$7:$J$22,2,0)</f>
        <v>Alderholt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3</v>
      </c>
      <c r="AS14" s="44">
        <f t="shared" si="0"/>
        <v>9</v>
      </c>
      <c r="AT14" s="2"/>
      <c r="AU14" s="44">
        <f t="shared" si="1"/>
        <v>3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233</v>
      </c>
      <c r="F15" s="38"/>
      <c r="G15" s="181">
        <f>IF(COUNT(M15:Y15)=0,"",(COUNT(M15:Y15)))</f>
        <v>3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3</v>
      </c>
      <c r="I15" s="186">
        <f>IF(ISERROR(G15-H15),"",G15-H15)</f>
        <v>0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12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6</v>
      </c>
      <c r="L15" s="39"/>
      <c r="M15" s="41"/>
      <c r="N15" s="41"/>
      <c r="O15" s="41"/>
      <c r="P15" s="41"/>
      <c r="Q15" s="41">
        <v>18.37</v>
      </c>
      <c r="R15" s="41"/>
      <c r="S15" s="41"/>
      <c r="T15" s="41"/>
      <c r="U15" s="41"/>
      <c r="V15" s="41"/>
      <c r="W15" s="41">
        <v>21.41</v>
      </c>
      <c r="X15" s="41"/>
      <c r="Y15" s="41">
        <v>21.18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183">
        <f>IF(ISERROR(SUM(M15:Y15)/G15),"",(SUM(M15:Y15)/G15))</f>
        <v>20.32</v>
      </c>
      <c r="AC15" s="184">
        <f>IF(ISERROR(SUM(M15:Y15)/G15+H15),"",(SUM(M15:Y15)/G15+H15))</f>
        <v>23.32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Allocation'!$N$44:$N$51,MATCH(Parkstone!$D$2,'Number Allocation'!$P$44:$P$51,0))),0,(INDEX('Number Allocation'!$N$44:$N$51,MATCH(Parkstone!$D$2,'Number Allocation'!$P$44:$P$51,0))))+IF(ISERROR(INDEX('Number Allocation'!$P$44:$P$51,MATCH(Parkstone!$D$2,'Number Allocation'!$N$44:$N$51,0))),0,(INDEX('Number Allocation'!$P$44:$P$51,MATCH(Parkstone!$D$2,'Number Allocation'!$N$44:$N$51,0))))</f>
        <v>9</v>
      </c>
      <c r="AK15" s="44">
        <v>9</v>
      </c>
      <c r="AL15" s="44" t="str">
        <f>VLOOKUP(AJ15,'Number Allocation'!$I$7:$J$22,2,0)</f>
        <v>Poole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1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6</v>
      </c>
      <c r="AS15" s="44">
        <f t="shared" si="0"/>
        <v>6</v>
      </c>
      <c r="AT15" s="2"/>
      <c r="AU15" s="44">
        <f t="shared" si="1"/>
        <v>6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/>
      <c r="O16" s="41"/>
      <c r="P16" s="41"/>
      <c r="Q16" s="41" t="s">
        <v>78</v>
      </c>
      <c r="R16" s="41"/>
      <c r="S16" s="41"/>
      <c r="T16" s="41"/>
      <c r="U16" s="41"/>
      <c r="V16" s="41"/>
      <c r="W16" s="41" t="s">
        <v>93</v>
      </c>
      <c r="X16" s="41"/>
      <c r="Y16" s="41" t="s">
        <v>84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Allocation'!$R$44:$R$51,MATCH(Parkstone!$D$2,'Number Allocation'!$T$44:$T$51,0))),0,(INDEX('Number Allocation'!$R$44:$R$51,MATCH(Parkstone!$D$2,'Number Allocation'!$T$44:$T$51,0))))+IF(ISERROR(INDEX('Number Allocation'!$T$44:$T$51,MATCH(Parkstone!$D$2,'Number Allocation'!$R$44:$R$51,0))),0,(INDEX('Number Allocation'!$T$44:$T$51,MATCH(Parkstone!$D$2,'Number Allocation'!$R$44:$R$51,0))))</f>
        <v>10</v>
      </c>
      <c r="AK16" s="44">
        <v>10</v>
      </c>
      <c r="AL16" s="44" t="str">
        <f>VLOOKUP(AJ16,'Number Allocation'!$I$7:$J$22,2,0)</f>
        <v>Lytchett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AS16" s="44">
        <f t="shared" si="0"/>
        <v>10</v>
      </c>
      <c r="AT16" s="2"/>
      <c r="AU16" s="44">
        <f t="shared" si="1"/>
        <v>2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234</v>
      </c>
      <c r="F17" s="38"/>
      <c r="G17" s="181">
        <f>IF(COUNT(M17:Y17)=0,"",(COUNT(M17:Y17)))</f>
        <v>11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6</v>
      </c>
      <c r="I17" s="186">
        <f>IF(ISERROR(G17-H17),"",G17-H17)</f>
        <v>5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34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32</v>
      </c>
      <c r="L17" s="39"/>
      <c r="M17" s="41">
        <v>22.76</v>
      </c>
      <c r="N17" s="41">
        <v>20.25</v>
      </c>
      <c r="O17" s="41"/>
      <c r="P17" s="41">
        <v>21.84</v>
      </c>
      <c r="Q17" s="41">
        <v>23.48</v>
      </c>
      <c r="R17" s="41">
        <v>25.12</v>
      </c>
      <c r="S17" s="41">
        <v>21.57</v>
      </c>
      <c r="T17" s="41">
        <v>20.71</v>
      </c>
      <c r="U17" s="41">
        <v>23.58</v>
      </c>
      <c r="V17" s="41">
        <v>23.15</v>
      </c>
      <c r="W17" s="41">
        <v>24.51</v>
      </c>
      <c r="X17" s="60">
        <v>25.19</v>
      </c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183">
        <f>IF(ISERROR(SUM(M17:Y17)/G17),"",(SUM(M17:Y17)/G17))</f>
        <v>22.923636363636362</v>
      </c>
      <c r="AC17" s="184">
        <f>IF(ISERROR(SUM(M17:Y17)/G17+H17),"",(SUM(M17:Y17)/G17+H17))</f>
        <v>28.923636363636362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Allocation'!$B$58:$B$65,MATCH(Parkstone!$D$2,'Number Allocation'!$D$58:$D$65,0))),0,(INDEX('Number Allocation'!$B$58:$B$65,MATCH(Parkstone!$D$2,'Number Allocation'!$D$58:$D$65,0))))+IF(ISERROR(INDEX('Number Allocation'!$D$58:$D$65,MATCH(Parkstone!$D$2,'Number Allocation'!$B$58:$B$65,0))),0,(INDEX('Number Allocation'!$D$58:$D$65,MATCH(Parkstone!$D$2,'Number Allocation'!$B$58:$B$65,0))))</f>
        <v>11</v>
      </c>
      <c r="AK17" s="44">
        <v>11</v>
      </c>
      <c r="AL17" s="44" t="str">
        <f>VLOOKUP(AJ17,'Number Allocation'!$I$7:$J$22,2,0)</f>
        <v>Portland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1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AS17" s="44">
        <f t="shared" si="0"/>
        <v>6</v>
      </c>
      <c r="AT17" s="2"/>
      <c r="AU17" s="44">
        <f t="shared" si="1"/>
        <v>6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88</v>
      </c>
      <c r="N18" s="41" t="s">
        <v>99</v>
      </c>
      <c r="O18" s="41"/>
      <c r="P18" s="41" t="s">
        <v>84</v>
      </c>
      <c r="Q18" s="41" t="s">
        <v>93</v>
      </c>
      <c r="R18" s="41" t="s">
        <v>84</v>
      </c>
      <c r="S18" s="41" t="s">
        <v>93</v>
      </c>
      <c r="T18" s="41" t="s">
        <v>99</v>
      </c>
      <c r="U18" s="41" t="s">
        <v>77</v>
      </c>
      <c r="V18" s="41" t="s">
        <v>90</v>
      </c>
      <c r="W18" s="41" t="s">
        <v>84</v>
      </c>
      <c r="X18" s="60" t="s">
        <v>91</v>
      </c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Allocation'!$H$58:$H$65,MATCH(Parkstone!$D$2,'Number Allocation'!$F$58:$F$65,0))),0,(INDEX('Number Allocation'!$H$58:$H$65,MATCH(Parkstone!$D$2,'Number Allocation'!$F$58:$F$65,0))))+IF(ISERROR(INDEX('Number Allocation'!$F$58:$F$65,MATCH(Parkstone!$D$2,'Number Allocation'!$H$58:$H$65,0))),0,(INDEX('Number Allocation'!$F$58:$F$65,MATCH(Parkstone!$D$2,'Number Allocation'!$H$58:$H$65,0))))</f>
        <v>12</v>
      </c>
      <c r="AK18" s="44">
        <v>12</v>
      </c>
      <c r="AL18" s="44" t="str">
        <f>VLOOKUP(AJ18,'Number Allocation'!$I$7:$J$22,2,0)</f>
        <v>Swanage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AS18" s="44">
        <f t="shared" si="0"/>
        <v>7</v>
      </c>
      <c r="AT18" s="2"/>
      <c r="AU18" s="44">
        <f t="shared" si="1"/>
        <v>5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235</v>
      </c>
      <c r="F19" s="38"/>
      <c r="G19" s="181">
        <f>IF(COUNT(M19:Y19)=0,"",(COUNT(M19:Y19)))</f>
        <v>4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186">
        <f>IF(ISERROR(G19-H19),"",G19-H19)</f>
        <v>2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8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14</v>
      </c>
      <c r="L19" s="39"/>
      <c r="M19" s="41">
        <v>19.649999999999999</v>
      </c>
      <c r="N19" s="41">
        <v>20.64</v>
      </c>
      <c r="O19" s="41"/>
      <c r="P19" s="41">
        <v>24.18</v>
      </c>
      <c r="Q19" s="41"/>
      <c r="R19" s="41">
        <v>16.54</v>
      </c>
      <c r="S19" s="41"/>
      <c r="T19" s="41"/>
      <c r="U19" s="41"/>
      <c r="V19" s="41"/>
      <c r="W19" s="41"/>
      <c r="X19" s="41"/>
      <c r="Y19" s="41"/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1</v>
      </c>
      <c r="AB19" s="183">
        <f>IF(ISERROR(SUM(M19:Y19)/G19),"",(SUM(M19:Y19)/G19))</f>
        <v>20.252499999999998</v>
      </c>
      <c r="AC19" s="184">
        <f>IF(ISERROR(SUM(M19:Y19)/G19+H19),"",(SUM(M19:Y19)/G19+H19))</f>
        <v>22.252499999999998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Allocation'!$J$58:$J$65,MATCH(Parkstone!$D$2,'Number Allocation'!$L$58:$L$65,0))),0,(INDEX('Number Allocation'!$J$58:$J$65,MATCH(Parkstone!$D$2,'Number Allocation'!$L$58:$L$65,0))))+IF(ISERROR(INDEX('Number Allocation'!$L$58:$L$65,MATCH(Parkstone!$D$2,'Number Allocation'!$J$58:$J$65,0))),0,(INDEX('Number Allocation'!$L$58:$L$65,MATCH(Parkstone!$D$2,'Number Allocation'!$J$58:$J$65,0))))</f>
        <v>13</v>
      </c>
      <c r="AK19" s="44">
        <v>13</v>
      </c>
      <c r="AL19" s="44" t="str">
        <f>VLOOKUP(AJ19,'Number Allocation'!$I$7:$J$22,2,0)</f>
        <v>Bournemouth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AS19" s="44">
        <f t="shared" si="0"/>
        <v>8</v>
      </c>
      <c r="AT19" s="2"/>
      <c r="AU19" s="44">
        <f t="shared" si="1"/>
        <v>4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81</v>
      </c>
      <c r="N20" s="41" t="s">
        <v>93</v>
      </c>
      <c r="O20" s="41"/>
      <c r="P20" s="41" t="s">
        <v>100</v>
      </c>
      <c r="Q20" s="41"/>
      <c r="R20" s="41" t="s">
        <v>93</v>
      </c>
      <c r="S20" s="41"/>
      <c r="T20" s="41"/>
      <c r="U20" s="41"/>
      <c r="V20" s="41"/>
      <c r="W20" s="41"/>
      <c r="X20" s="41"/>
      <c r="Y20" s="41"/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236</v>
      </c>
      <c r="F21" s="38"/>
      <c r="G21" s="181">
        <f>IF(COUNT(M21:Y21)=0,"",(COUNT(M21:Y21)))</f>
        <v>13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186">
        <f>IF(ISERROR(G21-H21),"",G21-H21)</f>
        <v>11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29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48</v>
      </c>
      <c r="L21" s="39"/>
      <c r="M21" s="41">
        <v>18.72</v>
      </c>
      <c r="N21" s="41">
        <v>18.510000000000002</v>
      </c>
      <c r="O21" s="41">
        <v>20.99</v>
      </c>
      <c r="P21" s="41">
        <v>20.79</v>
      </c>
      <c r="Q21" s="41">
        <v>19.34</v>
      </c>
      <c r="R21" s="41">
        <v>22.43</v>
      </c>
      <c r="S21" s="41">
        <v>22.3</v>
      </c>
      <c r="T21" s="41">
        <v>19.989999999999998</v>
      </c>
      <c r="U21" s="41">
        <v>19.47</v>
      </c>
      <c r="V21" s="41">
        <v>21.08</v>
      </c>
      <c r="W21" s="41">
        <v>17.45</v>
      </c>
      <c r="X21" s="60">
        <v>23.7</v>
      </c>
      <c r="Y21" s="41">
        <v>19.18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183">
        <f>IF(ISERROR(SUM(M21:Y21)/G21),"",(SUM(M21:Y21)/G21))</f>
        <v>20.303846153846152</v>
      </c>
      <c r="AC21" s="184">
        <f>IF(ISERROR(SUM(M21:Y21)/G21+H21),"",(SUM(M21:Y21)/G21+H21))</f>
        <v>22.303846153846152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4</v>
      </c>
      <c r="AP21" s="44">
        <f t="shared" si="2"/>
        <v>3</v>
      </c>
      <c r="AQ21" s="44">
        <f t="shared" si="2"/>
        <v>6</v>
      </c>
      <c r="AR21" s="44">
        <f t="shared" si="2"/>
        <v>69</v>
      </c>
      <c r="AS21" s="44">
        <f t="shared" si="2"/>
        <v>87</v>
      </c>
      <c r="AT21" s="2"/>
      <c r="AU21" s="44">
        <f>SUM(AU7:AU19)</f>
        <v>69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88</v>
      </c>
      <c r="N22" s="41" t="s">
        <v>88</v>
      </c>
      <c r="O22" s="41" t="s">
        <v>88</v>
      </c>
      <c r="P22" s="41" t="s">
        <v>78</v>
      </c>
      <c r="Q22" s="41" t="s">
        <v>90</v>
      </c>
      <c r="R22" s="41" t="s">
        <v>90</v>
      </c>
      <c r="S22" s="41" t="s">
        <v>99</v>
      </c>
      <c r="T22" s="41" t="s">
        <v>99</v>
      </c>
      <c r="U22" s="41" t="s">
        <v>81</v>
      </c>
      <c r="V22" s="41" t="s">
        <v>99</v>
      </c>
      <c r="W22" s="41" t="s">
        <v>99</v>
      </c>
      <c r="X22" s="60" t="s">
        <v>93</v>
      </c>
      <c r="Y22" s="41" t="s">
        <v>99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237</v>
      </c>
      <c r="F23" s="38"/>
      <c r="G23" s="181">
        <f>IF(COUNT(M23:Y23)=0,"",(COUNT(M23:Y23)))</f>
        <v>12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3</v>
      </c>
      <c r="I23" s="186">
        <f>IF(ISERROR(G23-H23),"",G23-H23)</f>
        <v>9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27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37</v>
      </c>
      <c r="L23" s="39"/>
      <c r="M23" s="41">
        <v>19.68</v>
      </c>
      <c r="N23" s="41">
        <v>18.22</v>
      </c>
      <c r="O23" s="41">
        <v>18.95</v>
      </c>
      <c r="P23" s="41">
        <v>16.7</v>
      </c>
      <c r="Q23" s="41">
        <v>23.78</v>
      </c>
      <c r="R23" s="41">
        <v>20.74</v>
      </c>
      <c r="S23" s="41">
        <v>18.170000000000002</v>
      </c>
      <c r="T23" s="41"/>
      <c r="U23" s="41">
        <v>20.04</v>
      </c>
      <c r="V23" s="41">
        <v>22.13</v>
      </c>
      <c r="W23" s="41">
        <v>18.45</v>
      </c>
      <c r="X23" s="60">
        <v>23.12</v>
      </c>
      <c r="Y23" s="41">
        <v>20.82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183">
        <f>IF(ISERROR(SUM(M23:Y23)/G23),"",(SUM(M23:Y23)/G23))</f>
        <v>20.066666666666666</v>
      </c>
      <c r="AC23" s="184">
        <f>IF(ISERROR(SUM(M23:Y23)/G23+H23),"",(SUM(M23:Y23)/G23+H23))</f>
        <v>23.066666666666666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99</v>
      </c>
      <c r="N24" s="41" t="s">
        <v>77</v>
      </c>
      <c r="O24" s="41" t="s">
        <v>88</v>
      </c>
      <c r="P24" s="41" t="s">
        <v>81</v>
      </c>
      <c r="Q24" s="41" t="s">
        <v>78</v>
      </c>
      <c r="R24" s="41" t="s">
        <v>90</v>
      </c>
      <c r="S24" s="41" t="s">
        <v>88</v>
      </c>
      <c r="T24" s="41"/>
      <c r="U24" s="41" t="s">
        <v>77</v>
      </c>
      <c r="V24" s="41" t="s">
        <v>90</v>
      </c>
      <c r="W24" s="41" t="s">
        <v>88</v>
      </c>
      <c r="X24" s="60" t="s">
        <v>90</v>
      </c>
      <c r="Y24" s="41" t="s">
        <v>90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238</v>
      </c>
      <c r="F25" s="38"/>
      <c r="G25" s="181">
        <f>IF(COUNT(M25:Y25)=0,"",(COUNT(M25:Y25)))</f>
        <v>10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6</v>
      </c>
      <c r="I25" s="186">
        <f>IF(ISERROR(G25-H25),"",G25-H25)</f>
        <v>4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26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25</v>
      </c>
      <c r="L25" s="39"/>
      <c r="M25" s="41">
        <v>21.48</v>
      </c>
      <c r="N25" s="40">
        <v>19.39</v>
      </c>
      <c r="O25" s="41">
        <v>19.170000000000002</v>
      </c>
      <c r="P25" s="41">
        <v>23.95</v>
      </c>
      <c r="Q25" s="41"/>
      <c r="R25" s="41">
        <v>20.05</v>
      </c>
      <c r="S25" s="41">
        <v>21.09</v>
      </c>
      <c r="T25" s="41">
        <v>20.62</v>
      </c>
      <c r="U25" s="41"/>
      <c r="V25" s="41"/>
      <c r="W25" s="41">
        <v>23.44</v>
      </c>
      <c r="X25" s="60">
        <v>16.91</v>
      </c>
      <c r="Y25" s="41">
        <v>20.170000000000002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1</v>
      </c>
      <c r="AB25" s="183">
        <f>IF(ISERROR(SUM(M25:Y25)/G25),"",(SUM(M25:Y25)/G25))</f>
        <v>20.626999999999999</v>
      </c>
      <c r="AC25" s="184">
        <f>IF(ISERROR(SUM(M25:Y25)/G25+H25),"",(SUM(M25:Y25)/G25+H25))</f>
        <v>26.626999999999999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81</v>
      </c>
      <c r="N26" s="41" t="s">
        <v>78</v>
      </c>
      <c r="O26" s="41" t="s">
        <v>84</v>
      </c>
      <c r="P26" s="41" t="s">
        <v>90</v>
      </c>
      <c r="Q26" s="41"/>
      <c r="R26" s="41" t="s">
        <v>84</v>
      </c>
      <c r="S26" s="41" t="s">
        <v>84</v>
      </c>
      <c r="T26" s="41" t="s">
        <v>97</v>
      </c>
      <c r="U26" s="41"/>
      <c r="V26" s="41"/>
      <c r="W26" s="41" t="s">
        <v>78</v>
      </c>
      <c r="X26" s="60" t="s">
        <v>81</v>
      </c>
      <c r="Y26" s="41" t="s">
        <v>78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239</v>
      </c>
      <c r="F27" s="38"/>
      <c r="G27" s="181">
        <f>IF(COUNT(M27:Y27)=0,"",(COUNT(M27:Y27)))</f>
        <v>10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6</v>
      </c>
      <c r="I27" s="186">
        <f>IF(ISERROR(G27-H27),"",G27-H27)</f>
        <v>4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31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31</v>
      </c>
      <c r="L27" s="39"/>
      <c r="M27" s="41"/>
      <c r="N27" s="41">
        <v>17.32</v>
      </c>
      <c r="O27" s="41">
        <v>19.03</v>
      </c>
      <c r="P27" s="41">
        <v>18.22</v>
      </c>
      <c r="Q27" s="41"/>
      <c r="R27" s="41">
        <v>18.059999999999999</v>
      </c>
      <c r="S27" s="41">
        <v>19.87</v>
      </c>
      <c r="T27" s="41">
        <v>19.899999999999999</v>
      </c>
      <c r="U27" s="41">
        <v>17.41</v>
      </c>
      <c r="V27" s="41">
        <v>19.2</v>
      </c>
      <c r="W27" s="41"/>
      <c r="X27" s="60">
        <v>20.71</v>
      </c>
      <c r="Y27" s="41">
        <v>18.52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3</v>
      </c>
      <c r="AB27" s="183">
        <f>IF(ISERROR(SUM(M27:Y27)/G27),"",(SUM(M27:Y27)/G27))</f>
        <v>18.824000000000002</v>
      </c>
      <c r="AC27" s="184">
        <f>IF(ISERROR(SUM(M27:Y27)/G27+H27),"",(SUM(M27:Y27)/G27+H27))</f>
        <v>24.824000000000002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 t="s">
        <v>79</v>
      </c>
      <c r="O28" s="41" t="s">
        <v>93</v>
      </c>
      <c r="P28" s="41" t="s">
        <v>90</v>
      </c>
      <c r="Q28" s="41"/>
      <c r="R28" s="41" t="s">
        <v>99</v>
      </c>
      <c r="S28" s="41" t="s">
        <v>94</v>
      </c>
      <c r="T28" s="41" t="s">
        <v>90</v>
      </c>
      <c r="U28" s="41" t="s">
        <v>84</v>
      </c>
      <c r="V28" s="41" t="s">
        <v>94</v>
      </c>
      <c r="W28" s="41"/>
      <c r="X28" s="60" t="s">
        <v>93</v>
      </c>
      <c r="Y28" s="41" t="s">
        <v>88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240</v>
      </c>
      <c r="F29" s="38"/>
      <c r="G29" s="181">
        <f>IF(COUNT(M29:Y29)=0,"",(COUNT(M29:Y29)))</f>
        <v>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>
        <f>IF(ISERROR(G29-H29),"",G29-H29)</f>
        <v>1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</v>
      </c>
      <c r="L29" s="39"/>
      <c r="M29" s="41"/>
      <c r="N29" s="41"/>
      <c r="O29" s="41"/>
      <c r="P29" s="41"/>
      <c r="Q29" s="41"/>
      <c r="R29" s="41"/>
      <c r="S29" s="41"/>
      <c r="T29" s="41"/>
      <c r="U29" s="41">
        <v>22.46</v>
      </c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>
        <f>IF(ISERROR(SUM(M29:Y29)/G29),"",(SUM(M29:Y29)/G29))</f>
        <v>22.46</v>
      </c>
      <c r="AC29" s="184">
        <f>IF(ISERROR(SUM(M29:Y29)/G29+H29),"",(SUM(M29:Y29)/G29+H29))</f>
        <v>22.46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/>
      <c r="R30" s="41"/>
      <c r="S30" s="41"/>
      <c r="T30" s="41"/>
      <c r="U30" s="41" t="s">
        <v>81</v>
      </c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400</v>
      </c>
      <c r="F31" s="38"/>
      <c r="G31" s="181">
        <f>IF(COUNT(M31:Y31)=0,"",(COUNT(M31:Y31)))</f>
        <v>1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1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4</v>
      </c>
      <c r="L31" s="39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>
        <v>16.940000000000001</v>
      </c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1</v>
      </c>
      <c r="AB31" s="183">
        <f>IF(ISERROR(SUM(M31:Y31)/G31),"",(SUM(M31:Y31)/G31))</f>
        <v>16.940000000000001</v>
      </c>
      <c r="AC31" s="184">
        <f>IF(ISERROR(SUM(M31:Y31)/G31+H31),"",(SUM(M31:Y31)/G31+H31))</f>
        <v>16.940000000000001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 t="s">
        <v>100</v>
      </c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0</v>
      </c>
      <c r="N50" s="44">
        <v>2</v>
      </c>
      <c r="O50" s="44">
        <v>3</v>
      </c>
      <c r="P50" s="44">
        <v>2</v>
      </c>
      <c r="Q50" s="44">
        <v>3</v>
      </c>
      <c r="R50" s="44">
        <v>2</v>
      </c>
      <c r="S50" s="44">
        <v>3</v>
      </c>
      <c r="T50" s="44">
        <v>1</v>
      </c>
      <c r="U50" s="44">
        <v>2</v>
      </c>
      <c r="V50" s="44">
        <v>1</v>
      </c>
      <c r="W50" s="44">
        <v>3</v>
      </c>
      <c r="X50" s="44">
        <v>0</v>
      </c>
      <c r="Y50" s="44">
        <v>2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2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4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8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7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3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6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43:Z43 M45:Z45 M47:Z47 Q7:Z7 Q9:Z9 Q11:Z11 Q13:Z13 Q15:Z15 Q17:Z17 Q19:Z19 Q23:Z23 Q25:Z25 Q27:Z27 Q29:Z29 Q31:Z31 Q33:Z33 Q35:Z35 Q37:Z37 Q39:Z39 Q41:Z41 R18 U21:Z21">
    <cfRule type="expression" dxfId="89" priority="1">
      <formula>LEFT(R19,1)="4"</formula>
    </cfRule>
  </conditionalFormatting>
  <conditionalFormatting sqref="G7 G9 G11 G13 G15 G17 G19 G21 G23 G25 G27 G29 G31 G33 G35 G37 G39 G41 G43 G45 G47 L7 L9 L11:L48">
    <cfRule type="expression" dxfId="88" priority="2">
      <formula>G7=0</formula>
    </cfRule>
  </conditionalFormatting>
  <conditionalFormatting sqref="M42:Y42 M44:Y44 M46:Y46 M48:Y48 Q8:Y8 Q10:Y10 Q12:Y12 Q14:Y14 Q16:Y16 Q18:Y18 Q20:Y20 Q24:Y24 Q26:Y26 Q28:Y28 Q30:Y30 Q32:Y32 Q34:Y34 Q36:Y36 Q38:Y38 Q40:Y40 U22:Y22">
    <cfRule type="expression" dxfId="87" priority="3">
      <formula>LEFT(Q8,1)="4"</formula>
    </cfRule>
  </conditionalFormatting>
  <conditionalFormatting sqref="M7:P7 M9:P9 M23:P23 M25:P25 M27:P27 M29:P29 M31:P31 M33:P33 M35:P35 M37:P37 M39:P39 M41:P41 N11:P11 N13:P13 N15:P15 N17:P17 N19:P19 N21:O21">
    <cfRule type="expression" dxfId="86" priority="4">
      <formula>LEFT(M8,1)="4"</formula>
    </cfRule>
  </conditionalFormatting>
  <conditionalFormatting sqref="M11 M13 M15 M17 M19 M21">
    <cfRule type="expression" dxfId="85" priority="5">
      <formula>LEFT(M12,1)="4"</formula>
    </cfRule>
  </conditionalFormatting>
  <conditionalFormatting sqref="M8:P8 M10:P10 M12:P12 M14:P14 M16:P16 M18:P18 M20:P20 M22:O22 M24:P24 M26:P26 M28:P28 M30:P30 M32:P32 M34:P34 M36:P36 M38:P38 M40:P40">
    <cfRule type="expression" dxfId="84" priority="6">
      <formula>LEFT(M8,1)="4"</formula>
    </cfRule>
  </conditionalFormatting>
  <conditionalFormatting sqref="Q21:T21">
    <cfRule type="expression" dxfId="83" priority="7">
      <formula>LEFT(Q22,1)="4"</formula>
    </cfRule>
  </conditionalFormatting>
  <conditionalFormatting sqref="Q22:T22">
    <cfRule type="expression" dxfId="82" priority="8">
      <formula>LEFT(Q22,1)="4"</formula>
    </cfRule>
  </conditionalFormatting>
  <conditionalFormatting sqref="P21">
    <cfRule type="expression" dxfId="81" priority="9">
      <formula>LEFT(P22,1)="4"</formula>
    </cfRule>
  </conditionalFormatting>
  <conditionalFormatting sqref="P22">
    <cfRule type="expression" dxfId="80" priority="10">
      <formula>LEFT(P22,1)="4"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79" priority="11">
      <formula>H7=0</formula>
    </cfRule>
  </conditionalFormatting>
  <conditionalFormatting sqref="AA7 AA9 AA11 AA13 AA15 AA17 AA19 AA21 AA23 AA25 AA27 AA29 AA31 AA33 AA35 AA37 AA39 AA41 AA43 AA45 AA47">
    <cfRule type="expression" dxfId="78" priority="12">
      <formula>AA7=0</formula>
    </cfRule>
  </conditionalFormatting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1000"/>
  <sheetViews>
    <sheetView showGridLines="0" topLeftCell="A2" workbookViewId="0">
      <selection activeCell="Y15" sqref="Y15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9</v>
      </c>
      <c r="E2" s="196" t="s">
        <v>241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242</v>
      </c>
      <c r="F7" s="38"/>
      <c r="G7" s="181">
        <f>IF(COUNT(M7:Y7)=0,"",(COUNT(M7:Y7)))</f>
        <v>13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12</v>
      </c>
      <c r="I7" s="186">
        <f>IF(ISERROR(G7-H7),"",G7-H7)</f>
        <v>1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51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18</v>
      </c>
      <c r="L7" s="39"/>
      <c r="M7" s="41">
        <v>21.45</v>
      </c>
      <c r="N7" s="41">
        <v>26.62</v>
      </c>
      <c r="O7" s="41">
        <v>28.59</v>
      </c>
      <c r="P7" s="41">
        <v>25.04</v>
      </c>
      <c r="Q7" s="41">
        <v>28.27</v>
      </c>
      <c r="R7" s="41">
        <v>22.77</v>
      </c>
      <c r="S7" s="41">
        <v>25.06</v>
      </c>
      <c r="T7" s="41">
        <v>21.51</v>
      </c>
      <c r="U7" s="41">
        <v>27.45</v>
      </c>
      <c r="V7" s="41">
        <v>26.31</v>
      </c>
      <c r="W7" s="41">
        <v>23.29</v>
      </c>
      <c r="X7" s="60">
        <v>23.57</v>
      </c>
      <c r="Y7" s="41">
        <v>25.91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13</v>
      </c>
      <c r="AB7" s="183">
        <f>IF(ISERROR(SUM(M7:Y7)/G7),"",(SUM(M7:Y7)/G7))</f>
        <v>25.064615384615387</v>
      </c>
      <c r="AC7" s="184">
        <f>IF(ISERROR(SUM(M7:Y7)/G7+H7),"",(SUM(M7:Y7)/G7+H7))</f>
        <v>37.064615384615387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Allocation'!$B$30:$B$37,MATCH(Poole!$D$2,'Number Allocation'!$D$30:$D$37,0))),0,(INDEX('Number Allocation'!$B$30:$B$37,MATCH(Poole!$D$2,'Number Allocation'!$D$30:$D$37,0))))+IF(ISERROR(INDEX('Number Allocation'!$D$30:$D$37,MATCH(Poole!$D$2,'Number Allocation'!$B$30:$B$37,0))),0,(INDEX('Number Allocation'!$D$30:$D$37,MATCH(Poole!$D$2,'Number Allocation'!$B$30:$B$37,0))))</f>
        <v>6</v>
      </c>
      <c r="AK7" s="44">
        <v>1</v>
      </c>
      <c r="AL7" s="44" t="str">
        <f>VLOOKUP(AJ7,'Number Allocation'!$I$7:$J$22,2,0)</f>
        <v>Bridport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AS7" s="44">
        <f t="shared" ref="AS7:AS19" si="0">IF(SUM(AO7:AQ7)=0,0,(12-AR7))</f>
        <v>3</v>
      </c>
      <c r="AT7" s="2"/>
      <c r="AU7" s="44">
        <f t="shared" ref="AU7:AU19" si="1">(AR7)</f>
        <v>9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92</v>
      </c>
      <c r="N8" s="41" t="s">
        <v>78</v>
      </c>
      <c r="O8" s="41" t="s">
        <v>79</v>
      </c>
      <c r="P8" s="41" t="s">
        <v>84</v>
      </c>
      <c r="Q8" s="41" t="s">
        <v>92</v>
      </c>
      <c r="R8" s="41" t="s">
        <v>77</v>
      </c>
      <c r="S8" s="41" t="s">
        <v>79</v>
      </c>
      <c r="T8" s="41" t="s">
        <v>119</v>
      </c>
      <c r="U8" s="41" t="s">
        <v>86</v>
      </c>
      <c r="V8" s="41" t="s">
        <v>77</v>
      </c>
      <c r="W8" s="41" t="s">
        <v>159</v>
      </c>
      <c r="X8" s="60" t="s">
        <v>84</v>
      </c>
      <c r="Y8" s="41" t="s">
        <v>202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Allocation'!$H$30:$H$37,MATCH(Poole!$D$2,'Number Allocation'!$F$30:$F$37,0))),0,(INDEX('Number Allocation'!$H$30:$H$37,MATCH(Poole!$D$2,'Number Allocation'!$F$30:$F$37,0))))+IF(ISERROR(INDEX('Number Allocation'!$F$30:$F$37,MATCH(Poole!$D$2,'Number Allocation'!$H$30:$H$37,0))),0,(INDEX('Number Allocation'!$F$30:$F$37,MATCH(Poole!$D$2,'Number Allocation'!$H$30:$H$37,0))))</f>
        <v>7</v>
      </c>
      <c r="AK8" s="44">
        <v>2</v>
      </c>
      <c r="AL8" s="44" t="str">
        <f>VLOOKUP(AJ8,'Number Allocation'!$I$7:$J$22,2,0)</f>
        <v>Shaftesbury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44">
        <f t="shared" si="0"/>
        <v>4</v>
      </c>
      <c r="AT8" s="2"/>
      <c r="AU8" s="44">
        <f t="shared" si="1"/>
        <v>8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243</v>
      </c>
      <c r="F9" s="38"/>
      <c r="G9" s="181">
        <f>IF(COUNT(M9:Y9)=0,"",(COUNT(M9:Y9)))</f>
        <v>13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10</v>
      </c>
      <c r="I9" s="186">
        <f>IF(ISERROR(G9-H9),"",G9-H9)</f>
        <v>3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46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24</v>
      </c>
      <c r="L9" s="39"/>
      <c r="M9" s="41">
        <v>21.53</v>
      </c>
      <c r="N9" s="41">
        <v>23.58</v>
      </c>
      <c r="O9" s="41">
        <v>24.09</v>
      </c>
      <c r="P9" s="41">
        <v>23.44</v>
      </c>
      <c r="Q9" s="40">
        <v>22.36</v>
      </c>
      <c r="R9" s="41">
        <v>21.3</v>
      </c>
      <c r="S9" s="41">
        <v>22.93</v>
      </c>
      <c r="T9" s="41">
        <v>23.86</v>
      </c>
      <c r="U9" s="41">
        <v>21.01</v>
      </c>
      <c r="V9" s="41">
        <v>18.559999999999999</v>
      </c>
      <c r="W9" s="41">
        <v>23.33</v>
      </c>
      <c r="X9" s="60">
        <v>22.16</v>
      </c>
      <c r="Y9" s="41">
        <v>23.06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5</v>
      </c>
      <c r="AB9" s="183">
        <f>IF(ISERROR(SUM(M9:Y9)/G9),"",(SUM(M9:Y9)/G9))</f>
        <v>22.400769230769235</v>
      </c>
      <c r="AC9" s="184">
        <f>IF(ISERROR(SUM(M9:Y9)/G9+H9),"",(SUM(M9:Y9)/G9+H9))</f>
        <v>32.400769230769235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Allocation'!$J$30:$J$37,MATCH(Poole!$D$2,'Number Allocation'!$L$30:$L$37,0))),0,(INDEX('Number Allocation'!$J$30:$J$37,MATCH(Poole!$D$2,'Number Allocation'!$L$30:$L$37,0))))+IF(ISERROR(INDEX('Number Allocation'!$L$30:$L$37,MATCH(Poole!$D$2,'Number Allocation'!$J$30:$J$37,0))),0,(INDEX('Number Allocation'!$L$30:$L$37,MATCH(Poole!$D$2,'Number Allocation'!$J$30:$J$37,0))))</f>
        <v>8</v>
      </c>
      <c r="AK9" s="44">
        <v>3</v>
      </c>
      <c r="AL9" s="44" t="str">
        <f>VLOOKUP(AJ9,'Number Allocation'!$I$7:$J$22,2,0)</f>
        <v>Alderholt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AS9" s="44">
        <f t="shared" si="0"/>
        <v>3</v>
      </c>
      <c r="AT9" s="2"/>
      <c r="AU9" s="44">
        <f t="shared" si="1"/>
        <v>9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88</v>
      </c>
      <c r="N10" s="41" t="s">
        <v>86</v>
      </c>
      <c r="O10" s="41" t="s">
        <v>78</v>
      </c>
      <c r="P10" s="41" t="s">
        <v>81</v>
      </c>
      <c r="Q10" s="41" t="s">
        <v>85</v>
      </c>
      <c r="R10" s="41" t="s">
        <v>94</v>
      </c>
      <c r="S10" s="41" t="s">
        <v>78</v>
      </c>
      <c r="T10" s="41" t="s">
        <v>77</v>
      </c>
      <c r="U10" s="41" t="s">
        <v>78</v>
      </c>
      <c r="V10" s="41" t="s">
        <v>77</v>
      </c>
      <c r="W10" s="41" t="s">
        <v>83</v>
      </c>
      <c r="X10" s="60" t="s">
        <v>84</v>
      </c>
      <c r="Y10" s="41" t="s">
        <v>85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Allocation'!$N$30:$N$37,MATCH(Poole!$D$2,'Number Allocation'!$P$30:$P$37,0))),0,(INDEX('Number Allocation'!$N$30:$N$37,MATCH(Poole!$D$2,'Number Allocation'!$P$30:$P$37,0))))+IF(ISERROR(INDEX('Number Allocation'!$P$30:$P$37,MATCH(Poole!$D$2,'Number Allocation'!$N$30:$N$37,0))),0,(INDEX('Number Allocation'!$P$30:$P$37,MATCH(Poole!$D$2,'Number Allocation'!$N$30:$N$37,0))))</f>
        <v>14</v>
      </c>
      <c r="AK10" s="44">
        <v>4</v>
      </c>
      <c r="AL10" s="44" t="str">
        <f>VLOOKUP(AJ10,'Number Allocation'!$I$7:$J$22,2,0)</f>
        <v>Christchurch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2</v>
      </c>
      <c r="AS10" s="44">
        <f t="shared" si="0"/>
        <v>10</v>
      </c>
      <c r="AT10" s="2"/>
      <c r="AU10" s="44">
        <f t="shared" si="1"/>
        <v>2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244</v>
      </c>
      <c r="F11" s="38"/>
      <c r="G11" s="181">
        <f>IF(COUNT(M11:Y11)=0,"",(COUNT(M11:Y11)))</f>
        <v>7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186">
        <f>IF(ISERROR(G11-H11),"",G11-H11)</f>
        <v>5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16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24</v>
      </c>
      <c r="L11" s="39"/>
      <c r="M11" s="41">
        <v>20.98</v>
      </c>
      <c r="N11" s="41"/>
      <c r="O11" s="41"/>
      <c r="P11" s="41">
        <v>19.260000000000002</v>
      </c>
      <c r="Q11" s="41"/>
      <c r="R11" s="41"/>
      <c r="S11" s="41">
        <v>19.52</v>
      </c>
      <c r="T11" s="41"/>
      <c r="U11" s="41">
        <v>16.53</v>
      </c>
      <c r="V11" s="41">
        <v>21.33</v>
      </c>
      <c r="W11" s="41">
        <v>18.75</v>
      </c>
      <c r="X11" s="41"/>
      <c r="Y11" s="41">
        <v>20.94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</v>
      </c>
      <c r="AB11" s="183">
        <f>IF(ISERROR(SUM(M11:Y11)/G11),"",(SUM(M11:Y11)/G11))</f>
        <v>19.615714285714287</v>
      </c>
      <c r="AC11" s="184">
        <f>IF(ISERROR(SUM(M11:Y11)/G11+H11),"",(SUM(M11:Y11)/G11+H11))</f>
        <v>21.615714285714287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Allocation'!$R$30:$R$37,MATCH(Poole!$D$2,'Number Allocation'!$T$30:$T$37,0))),0,(INDEX('Number Allocation'!$R$30:$R$37,MATCH(Poole!$D$2,'Number Allocation'!$T$30:$T$37,0))))+IF(ISERROR(INDEX('Number Allocation'!$T$30:$T$37,MATCH(Poole!$D$2,'Number Allocation'!$R$30:$R$37,0))),0,(INDEX('Number Allocation'!$T$30:$T$37,MATCH(Poole!$D$2,'Number Allocation'!$R$30:$R$37,0))))</f>
        <v>10</v>
      </c>
      <c r="AK11" s="44">
        <v>5</v>
      </c>
      <c r="AL11" s="44" t="str">
        <f>VLOOKUP(AJ11,'Number Allocation'!$I$7:$J$22,2,0)</f>
        <v>Lytchett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3</v>
      </c>
      <c r="AS11" s="44">
        <f t="shared" si="0"/>
        <v>9</v>
      </c>
      <c r="AT11" s="2"/>
      <c r="AU11" s="44">
        <f t="shared" si="1"/>
        <v>3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93</v>
      </c>
      <c r="N12" s="41"/>
      <c r="O12" s="41"/>
      <c r="P12" s="41" t="s">
        <v>88</v>
      </c>
      <c r="Q12" s="41"/>
      <c r="R12" s="41"/>
      <c r="S12" s="41" t="s">
        <v>81</v>
      </c>
      <c r="T12" s="41"/>
      <c r="U12" s="41" t="s">
        <v>99</v>
      </c>
      <c r="V12" s="41" t="s">
        <v>79</v>
      </c>
      <c r="W12" s="41" t="s">
        <v>88</v>
      </c>
      <c r="X12" s="41"/>
      <c r="Y12" s="41" t="s">
        <v>81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Allocation'!$B$44:$B$51,MATCH(Poole!$D$2,'Number Allocation'!$D$44:$D$51,0))),0,(INDEX('Number Allocation'!$B$44:$B$51,MATCH(Poole!$D$2,'Number Allocation'!$D$44:$D$51,0))))+IF(ISERROR(INDEX('Number Allocation'!$D$44:$D$51,MATCH(Poole!$D$2,'Number Allocation'!$B$44:$B$51,0))),0,(INDEX('Number Allocation'!$D$44:$D$51,MATCH(Poole!$D$2,'Number Allocation'!$B$44:$B$51,0))))</f>
        <v>11</v>
      </c>
      <c r="AK12" s="44">
        <v>6</v>
      </c>
      <c r="AL12" s="44" t="str">
        <f>VLOOKUP(AJ12,'Number Allocation'!$I$7:$J$22,2,0)</f>
        <v>Portland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AS12" s="44">
        <f t="shared" si="0"/>
        <v>4</v>
      </c>
      <c r="AT12" s="2"/>
      <c r="AU12" s="44">
        <f t="shared" si="1"/>
        <v>8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245</v>
      </c>
      <c r="F13" s="38"/>
      <c r="G13" s="181">
        <f>IF(COUNT(M13:Y13)=0,"",(COUNT(M13:Y13)))</f>
        <v>12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4</v>
      </c>
      <c r="I13" s="186">
        <f>IF(ISERROR(G13-H13),"",G13-H13)</f>
        <v>8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32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36</v>
      </c>
      <c r="L13" s="39"/>
      <c r="M13" s="41"/>
      <c r="N13" s="41">
        <v>23.6</v>
      </c>
      <c r="O13" s="41">
        <v>21.74</v>
      </c>
      <c r="P13" s="41">
        <v>24.35</v>
      </c>
      <c r="Q13" s="41">
        <v>23.88</v>
      </c>
      <c r="R13" s="41">
        <v>21.3</v>
      </c>
      <c r="S13" s="41">
        <v>22.28</v>
      </c>
      <c r="T13" s="41">
        <v>20.05</v>
      </c>
      <c r="U13" s="41">
        <v>26.02</v>
      </c>
      <c r="V13" s="41">
        <v>20.66</v>
      </c>
      <c r="W13" s="41">
        <v>23.98</v>
      </c>
      <c r="X13" s="60">
        <v>21.66</v>
      </c>
      <c r="Y13" s="41">
        <v>21.09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183">
        <f>IF(ISERROR(SUM(M13:Y13)/G13),"",(SUM(M13:Y13)/G13))</f>
        <v>22.55083333333333</v>
      </c>
      <c r="AC13" s="184">
        <f>IF(ISERROR(SUM(M13:Y13)/G13+H13),"",(SUM(M13:Y13)/G13+H13))</f>
        <v>26.55083333333333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Allocation'!$H$44:$H$51,MATCH(Poole!$D$2,'Number Allocation'!$F$44:$F$51,0))),0,(INDEX('Number Allocation'!$H$44:$H$51,MATCH(Poole!$D$2,'Number Allocation'!$F$44:$F$51,0))))+IF(ISERROR(INDEX('Number Allocation'!$F$44:$F$51,MATCH(Poole!$D$2,'Number Allocation'!$H$44:$H$51,0))),0,(INDEX('Number Allocation'!$F$44:$F$51,MATCH(Poole!$D$2,'Number Allocation'!$H$44:$H$51,0))))</f>
        <v>12</v>
      </c>
      <c r="AK13" s="44">
        <v>7</v>
      </c>
      <c r="AL13" s="44" t="str">
        <f>VLOOKUP(AJ13,'Number Allocation'!$I$7:$J$22,2,0)</f>
        <v>Swanage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/>
      <c r="N14" s="41" t="s">
        <v>84</v>
      </c>
      <c r="O14" s="41" t="s">
        <v>88</v>
      </c>
      <c r="P14" s="41" t="s">
        <v>99</v>
      </c>
      <c r="Q14" s="41" t="s">
        <v>90</v>
      </c>
      <c r="R14" s="41" t="s">
        <v>88</v>
      </c>
      <c r="S14" s="41" t="s">
        <v>88</v>
      </c>
      <c r="T14" s="41" t="s">
        <v>88</v>
      </c>
      <c r="U14" s="41" t="s">
        <v>77</v>
      </c>
      <c r="V14" s="41" t="s">
        <v>77</v>
      </c>
      <c r="W14" s="41" t="s">
        <v>85</v>
      </c>
      <c r="X14" s="60" t="s">
        <v>90</v>
      </c>
      <c r="Y14" s="41" t="s">
        <v>81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Allocation'!$J$44:$J$51,MATCH(Poole!$D$2,'Number Allocation'!$L$44:$L$51,0))),0,(INDEX('Number Allocation'!$J$44:$J$51,MATCH(Poole!$D$2,'Number Allocation'!$L$44:$L$51,0))))+IF(ISERROR(INDEX('Number Allocation'!$L$44:$L$51,MATCH(Poole!$D$2,'Number Allocation'!$J$44:$J$51,0))),0,(INDEX('Number Allocation'!$L$44:$L$51,MATCH(Poole!$D$2,'Number Allocation'!$J$44:$J$51,0))))</f>
        <v>13</v>
      </c>
      <c r="AK14" s="44">
        <v>8</v>
      </c>
      <c r="AL14" s="44" t="str">
        <f>VLOOKUP(AJ14,'Number Allocation'!$I$7:$J$22,2,0)</f>
        <v>Bournemouth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AS14" s="44">
        <f t="shared" si="0"/>
        <v>4</v>
      </c>
      <c r="AT14" s="2"/>
      <c r="AU14" s="44">
        <f t="shared" si="1"/>
        <v>8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246</v>
      </c>
      <c r="F15" s="38"/>
      <c r="G15" s="181">
        <f>IF(COUNT(M15:Y15)=0,"",(COUNT(M15:Y15)))</f>
        <v>5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2</v>
      </c>
      <c r="I15" s="186">
        <f>IF(ISERROR(G15-H15),"",G15-H15)</f>
        <v>3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14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14</v>
      </c>
      <c r="L15" s="39"/>
      <c r="M15" s="41"/>
      <c r="N15" s="41">
        <v>23.52</v>
      </c>
      <c r="O15" s="41">
        <v>19.989999999999998</v>
      </c>
      <c r="P15" s="41">
        <v>17.899999999999999</v>
      </c>
      <c r="Q15" s="41"/>
      <c r="R15" s="41"/>
      <c r="S15" s="41">
        <v>18.72</v>
      </c>
      <c r="T15" s="41"/>
      <c r="U15" s="41"/>
      <c r="V15" s="41">
        <v>19.649999999999999</v>
      </c>
      <c r="W15" s="41"/>
      <c r="X15" s="41"/>
      <c r="Y15" s="41"/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183">
        <f>IF(ISERROR(SUM(M15:Y15)/G15),"",(SUM(M15:Y15)/G15))</f>
        <v>19.956</v>
      </c>
      <c r="AC15" s="184">
        <f>IF(ISERROR(SUM(M15:Y15)/G15+H15),"",(SUM(M15:Y15)/G15+H15))</f>
        <v>21.956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Allocation'!$N$44:$N$51,MATCH(Poole!$D$2,'Number Allocation'!$P$44:$P$51,0))),0,(INDEX('Number Allocation'!$N$44:$N$51,MATCH(Poole!$D$2,'Number Allocation'!$P$44:$P$51,0))))+IF(ISERROR(INDEX('Number Allocation'!$P$44:$P$51,MATCH(Poole!$D$2,'Number Allocation'!$N$44:$N$51,0))),0,(INDEX('Number Allocation'!$P$44:$P$51,MATCH(Poole!$D$2,'Number Allocation'!$N$44:$N$51,0))))</f>
        <v>1</v>
      </c>
      <c r="AK15" s="44">
        <v>9</v>
      </c>
      <c r="AL15" s="44" t="str">
        <f>VLOOKUP(AJ15,'Number Allocation'!$I$7:$J$22,2,0)</f>
        <v>Parkstone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1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6</v>
      </c>
      <c r="AS15" s="44">
        <f t="shared" si="0"/>
        <v>6</v>
      </c>
      <c r="AT15" s="2"/>
      <c r="AU15" s="44">
        <f t="shared" si="1"/>
        <v>6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 t="s">
        <v>99</v>
      </c>
      <c r="O16" s="41" t="s">
        <v>84</v>
      </c>
      <c r="P16" s="41" t="s">
        <v>88</v>
      </c>
      <c r="Q16" s="41"/>
      <c r="R16" s="41"/>
      <c r="S16" s="41" t="s">
        <v>90</v>
      </c>
      <c r="T16" s="41"/>
      <c r="U16" s="41"/>
      <c r="V16" s="41" t="s">
        <v>86</v>
      </c>
      <c r="W16" s="41"/>
      <c r="X16" s="41"/>
      <c r="Y16" s="41"/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Allocation'!$R$44:$R$51,MATCH(Poole!$D$2,'Number Allocation'!$T$44:$T$51,0))),0,(INDEX('Number Allocation'!$R$44:$R$51,MATCH(Poole!$D$2,'Number Allocation'!$T$44:$T$51,0))))+IF(ISERROR(INDEX('Number Allocation'!$T$44:$T$51,MATCH(Poole!$D$2,'Number Allocation'!$R$44:$R$51,0))),0,(INDEX('Number Allocation'!$T$44:$T$51,MATCH(Poole!$D$2,'Number Allocation'!$R$44:$R$51,0))))</f>
        <v>2</v>
      </c>
      <c r="AK16" s="44">
        <v>10</v>
      </c>
      <c r="AL16" s="44" t="str">
        <f>VLOOKUP(AJ16,'Number Allocation'!$I$7:$J$22,2,0)</f>
        <v>Alderney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11</v>
      </c>
      <c r="AS16" s="44">
        <f t="shared" si="0"/>
        <v>1</v>
      </c>
      <c r="AT16" s="2"/>
      <c r="AU16" s="44">
        <f t="shared" si="1"/>
        <v>11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247</v>
      </c>
      <c r="F17" s="38"/>
      <c r="G17" s="181">
        <f>IF(COUNT(M17:Y17)=0,"",(COUNT(M17:Y17)))</f>
        <v>6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2</v>
      </c>
      <c r="I17" s="186">
        <f>IF(ISERROR(G17-H17),"",G17-H17)</f>
        <v>4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14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18</v>
      </c>
      <c r="L17" s="39"/>
      <c r="M17" s="41"/>
      <c r="N17" s="41">
        <v>16.670000000000002</v>
      </c>
      <c r="O17" s="41"/>
      <c r="P17" s="41">
        <v>22.44</v>
      </c>
      <c r="Q17" s="41">
        <v>24.46</v>
      </c>
      <c r="R17" s="41"/>
      <c r="S17" s="41">
        <v>21.56</v>
      </c>
      <c r="T17" s="41"/>
      <c r="U17" s="41">
        <v>20.239999999999998</v>
      </c>
      <c r="V17" s="41"/>
      <c r="W17" s="41"/>
      <c r="X17" s="60">
        <v>22.77</v>
      </c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>
        <f>IF(ISERROR(SUM(M17:Y17)/G17),"",(SUM(M17:Y17)/G17))</f>
        <v>21.356666666666666</v>
      </c>
      <c r="AC17" s="184">
        <f>IF(ISERROR(SUM(M17:Y17)/G17+H17),"",(SUM(M17:Y17)/G17+H17))</f>
        <v>23.356666666666666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Allocation'!$B$58:$B$65,MATCH(Poole!$D$2,'Number Allocation'!$D$58:$D$65,0))),0,(INDEX('Number Allocation'!$B$58:$B$65,MATCH(Poole!$D$2,'Number Allocation'!$D$58:$D$65,0))))+IF(ISERROR(INDEX('Number Allocation'!$D$58:$D$65,MATCH(Poole!$D$2,'Number Allocation'!$B$58:$B$65,0))),0,(INDEX('Number Allocation'!$D$58:$D$65,MATCH(Poole!$D$2,'Number Allocation'!$B$58:$B$65,0))))</f>
        <v>3</v>
      </c>
      <c r="AK17" s="44">
        <v>11</v>
      </c>
      <c r="AL17" s="44" t="str">
        <f>VLOOKUP(AJ17,'Number Allocation'!$I$7:$J$22,2,0)</f>
        <v>Weymouth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1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AS17" s="44">
        <f t="shared" si="0"/>
        <v>6</v>
      </c>
      <c r="AT17" s="2"/>
      <c r="AU17" s="44">
        <f t="shared" si="1"/>
        <v>6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 t="s">
        <v>99</v>
      </c>
      <c r="O18" s="41"/>
      <c r="P18" s="41" t="s">
        <v>99</v>
      </c>
      <c r="Q18" s="41" t="s">
        <v>84</v>
      </c>
      <c r="R18" s="41"/>
      <c r="S18" s="41" t="s">
        <v>99</v>
      </c>
      <c r="T18" s="41"/>
      <c r="U18" s="41" t="s">
        <v>81</v>
      </c>
      <c r="V18" s="41"/>
      <c r="W18" s="41"/>
      <c r="X18" s="60" t="s">
        <v>77</v>
      </c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Allocation'!$H$58:$H$65,MATCH(Poole!$D$2,'Number Allocation'!$F$58:$F$65,0))),0,(INDEX('Number Allocation'!$H$58:$H$65,MATCH(Poole!$D$2,'Number Allocation'!$F$58:$F$65,0))))+IF(ISERROR(INDEX('Number Allocation'!$F$58:$F$65,MATCH(Poole!$D$2,'Number Allocation'!$H$58:$H$65,0))),0,(INDEX('Number Allocation'!$F$58:$F$65,MATCH(Poole!$D$2,'Number Allocation'!$H$58:$H$65,0))))</f>
        <v>4</v>
      </c>
      <c r="AK18" s="44">
        <v>12</v>
      </c>
      <c r="AL18" s="44" t="str">
        <f>VLOOKUP(AJ18,'Number Allocation'!$I$7:$J$22,2,0)</f>
        <v>Dorchester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4</v>
      </c>
      <c r="AS18" s="44">
        <f t="shared" si="0"/>
        <v>8</v>
      </c>
      <c r="AT18" s="2"/>
      <c r="AU18" s="44">
        <f t="shared" si="1"/>
        <v>4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248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11</v>
      </c>
      <c r="I19" s="186">
        <f>IF(ISERROR(G19-H19),"",G19-H19)</f>
        <v>2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50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20</v>
      </c>
      <c r="L19" s="39"/>
      <c r="M19" s="41">
        <v>26.01</v>
      </c>
      <c r="N19" s="41">
        <v>23.61</v>
      </c>
      <c r="O19" s="41">
        <v>26.37</v>
      </c>
      <c r="P19" s="40">
        <v>23.16</v>
      </c>
      <c r="Q19" s="41">
        <v>24.5</v>
      </c>
      <c r="R19" s="41">
        <v>21.24</v>
      </c>
      <c r="S19" s="41">
        <v>25.34</v>
      </c>
      <c r="T19" s="41">
        <v>22.96</v>
      </c>
      <c r="U19" s="41">
        <v>23.76</v>
      </c>
      <c r="V19" s="41">
        <v>23.86</v>
      </c>
      <c r="W19" s="41">
        <v>19.3</v>
      </c>
      <c r="X19" s="60">
        <v>25.47</v>
      </c>
      <c r="Y19" s="41">
        <v>25.04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5</v>
      </c>
      <c r="AB19" s="183">
        <f>IF(ISERROR(SUM(M19:Y19)/G19),"",(SUM(M19:Y19)/G19))</f>
        <v>23.893846153846159</v>
      </c>
      <c r="AC19" s="184">
        <f>IF(ISERROR(SUM(M19:Y19)/G19+H19),"",(SUM(M19:Y19)/G19+H19))</f>
        <v>34.893846153846155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Allocation'!$J$58:$J$65,MATCH(Poole!$D$2,'Number Allocation'!$L$58:$L$65,0))),0,(INDEX('Number Allocation'!$J$58:$J$65,MATCH(Poole!$D$2,'Number Allocation'!$L$58:$L$65,0))))+IF(ISERROR(INDEX('Number Allocation'!$L$58:$L$65,MATCH(Poole!$D$2,'Number Allocation'!$J$58:$J$65,0))),0,(INDEX('Number Allocation'!$L$58:$L$65,MATCH(Poole!$D$2,'Number Allocation'!$J$58:$J$65,0))))</f>
        <v>5</v>
      </c>
      <c r="AK19" s="44">
        <v>13</v>
      </c>
      <c r="AL19" s="44" t="str">
        <f>VLOOKUP(AJ19,'Number Allocation'!$I$7:$J$22,2,0)</f>
        <v>Boscombe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AS19" s="44">
        <f t="shared" si="0"/>
        <v>4</v>
      </c>
      <c r="AT19" s="2"/>
      <c r="AU19" s="44">
        <f t="shared" si="1"/>
        <v>8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79</v>
      </c>
      <c r="N20" s="41" t="s">
        <v>78</v>
      </c>
      <c r="O20" s="41" t="s">
        <v>86</v>
      </c>
      <c r="P20" s="41" t="s">
        <v>78</v>
      </c>
      <c r="Q20" s="41" t="s">
        <v>83</v>
      </c>
      <c r="R20" s="41" t="s">
        <v>78</v>
      </c>
      <c r="S20" s="41" t="s">
        <v>88</v>
      </c>
      <c r="T20" s="41" t="s">
        <v>119</v>
      </c>
      <c r="U20" s="41" t="s">
        <v>78</v>
      </c>
      <c r="V20" s="41" t="s">
        <v>78</v>
      </c>
      <c r="W20" s="41" t="s">
        <v>77</v>
      </c>
      <c r="X20" s="60" t="s">
        <v>78</v>
      </c>
      <c r="Y20" s="41" t="s">
        <v>84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249</v>
      </c>
      <c r="F21" s="38"/>
      <c r="G21" s="181">
        <f>IF(COUNT(M21:Y21)=0,"",(COUNT(M21:Y21)))</f>
        <v>6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1</v>
      </c>
      <c r="I21" s="186">
        <f>IF(ISERROR(G21-H21),"",G21-H21)</f>
        <v>5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11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21</v>
      </c>
      <c r="L21" s="39"/>
      <c r="M21" s="41">
        <v>19.97</v>
      </c>
      <c r="N21" s="41"/>
      <c r="O21" s="41">
        <v>20.55</v>
      </c>
      <c r="P21" s="41"/>
      <c r="Q21" s="41">
        <v>21.95</v>
      </c>
      <c r="R21" s="41">
        <v>20.65</v>
      </c>
      <c r="S21" s="41"/>
      <c r="T21" s="41">
        <v>22.6</v>
      </c>
      <c r="U21" s="41"/>
      <c r="V21" s="41"/>
      <c r="W21" s="41"/>
      <c r="X21" s="60">
        <v>21.84</v>
      </c>
      <c r="Y21" s="41"/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21.26</v>
      </c>
      <c r="AC21" s="184">
        <f>IF(ISERROR(SUM(M21:Y21)/G21+H21),"",(SUM(M21:Y21)/G21+H21))</f>
        <v>22.26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7</v>
      </c>
      <c r="AP21" s="44">
        <f t="shared" si="2"/>
        <v>3</v>
      </c>
      <c r="AQ21" s="44">
        <f t="shared" si="2"/>
        <v>3</v>
      </c>
      <c r="AR21" s="44">
        <f t="shared" si="2"/>
        <v>88</v>
      </c>
      <c r="AS21" s="44">
        <f t="shared" si="2"/>
        <v>68</v>
      </c>
      <c r="AT21" s="2"/>
      <c r="AU21" s="44">
        <f>SUM(AU7:AU19)</f>
        <v>88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78</v>
      </c>
      <c r="N22" s="41"/>
      <c r="O22" s="41" t="s">
        <v>81</v>
      </c>
      <c r="P22" s="41"/>
      <c r="Q22" s="41" t="s">
        <v>88</v>
      </c>
      <c r="R22" s="41" t="s">
        <v>97</v>
      </c>
      <c r="S22" s="41"/>
      <c r="T22" s="41" t="s">
        <v>88</v>
      </c>
      <c r="U22" s="41"/>
      <c r="V22" s="41"/>
      <c r="W22" s="41"/>
      <c r="X22" s="60" t="s">
        <v>81</v>
      </c>
      <c r="Y22" s="41"/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250</v>
      </c>
      <c r="F23" s="38"/>
      <c r="G23" s="181">
        <f>IF(COUNT(M23:Y23)=0,"",(COUNT(M23:Y23)))</f>
        <v>11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4</v>
      </c>
      <c r="I23" s="186">
        <f>IF(ISERROR(G23-H23),"",G23-H23)</f>
        <v>7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23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34</v>
      </c>
      <c r="L23" s="39"/>
      <c r="M23" s="41">
        <v>21.45</v>
      </c>
      <c r="N23" s="41">
        <v>20.45</v>
      </c>
      <c r="O23" s="41">
        <v>20.55</v>
      </c>
      <c r="P23" s="41">
        <v>19.28</v>
      </c>
      <c r="Q23" s="41"/>
      <c r="R23" s="41">
        <v>23.82</v>
      </c>
      <c r="S23" s="41"/>
      <c r="T23" s="41">
        <v>21.09</v>
      </c>
      <c r="U23" s="41">
        <v>19.829999999999998</v>
      </c>
      <c r="V23" s="41">
        <v>21.54</v>
      </c>
      <c r="W23" s="41">
        <v>21.5</v>
      </c>
      <c r="X23" s="60">
        <v>21.22</v>
      </c>
      <c r="Y23" s="41">
        <v>20.69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21.038181818181819</v>
      </c>
      <c r="AC23" s="184">
        <f>IF(ISERROR(SUM(M23:Y23)/G23+H23),"",(SUM(M23:Y23)/G23+H23))</f>
        <v>25.038181818181819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88</v>
      </c>
      <c r="N24" s="41" t="s">
        <v>83</v>
      </c>
      <c r="O24" s="41" t="s">
        <v>90</v>
      </c>
      <c r="P24" s="41" t="s">
        <v>81</v>
      </c>
      <c r="Q24" s="41"/>
      <c r="R24" s="41" t="s">
        <v>84</v>
      </c>
      <c r="S24" s="41"/>
      <c r="T24" s="41" t="s">
        <v>77</v>
      </c>
      <c r="U24" s="41" t="s">
        <v>81</v>
      </c>
      <c r="V24" s="41" t="s">
        <v>78</v>
      </c>
      <c r="W24" s="41" t="s">
        <v>93</v>
      </c>
      <c r="X24" s="60" t="s">
        <v>81</v>
      </c>
      <c r="Y24" s="41" t="s">
        <v>81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251</v>
      </c>
      <c r="F25" s="38"/>
      <c r="G25" s="181">
        <f>IF(COUNT(M25:Y25)=0,"",(COUNT(M25:Y25)))</f>
        <v>12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6</v>
      </c>
      <c r="I25" s="186">
        <f>IF(ISERROR(G25-H25),"",G25-H25)</f>
        <v>6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37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30</v>
      </c>
      <c r="L25" s="39"/>
      <c r="M25" s="41">
        <v>24.81</v>
      </c>
      <c r="N25" s="41">
        <v>22.63</v>
      </c>
      <c r="O25" s="41">
        <v>22.89</v>
      </c>
      <c r="P25" s="41"/>
      <c r="Q25" s="41">
        <v>26.98</v>
      </c>
      <c r="R25" s="41">
        <v>21.6</v>
      </c>
      <c r="S25" s="41">
        <v>22.77</v>
      </c>
      <c r="T25" s="41">
        <v>20.58</v>
      </c>
      <c r="U25" s="41">
        <v>23</v>
      </c>
      <c r="V25" s="41">
        <v>23.11</v>
      </c>
      <c r="W25" s="41">
        <v>23.58</v>
      </c>
      <c r="X25" s="60">
        <v>22.97</v>
      </c>
      <c r="Y25" s="41">
        <v>22.55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5</v>
      </c>
      <c r="AB25" s="183">
        <f>IF(ISERROR(SUM(M25:Y25)/G25),"",(SUM(M25:Y25)/G25))</f>
        <v>23.122499999999999</v>
      </c>
      <c r="AC25" s="184">
        <f>IF(ISERROR(SUM(M25:Y25)/G25+H25),"",(SUM(M25:Y25)/G25+H25))</f>
        <v>29.122499999999999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79</v>
      </c>
      <c r="N26" s="41" t="s">
        <v>84</v>
      </c>
      <c r="O26" s="41" t="s">
        <v>78</v>
      </c>
      <c r="P26" s="41"/>
      <c r="Q26" s="41" t="s">
        <v>88</v>
      </c>
      <c r="R26" s="41" t="s">
        <v>97</v>
      </c>
      <c r="S26" s="41" t="s">
        <v>77</v>
      </c>
      <c r="T26" s="41" t="s">
        <v>90</v>
      </c>
      <c r="U26" s="41" t="s">
        <v>91</v>
      </c>
      <c r="V26" s="41" t="s">
        <v>83</v>
      </c>
      <c r="W26" s="41" t="s">
        <v>77</v>
      </c>
      <c r="X26" s="60" t="s">
        <v>83</v>
      </c>
      <c r="Y26" s="41" t="s">
        <v>84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252</v>
      </c>
      <c r="F27" s="38"/>
      <c r="G27" s="181">
        <f>IF(COUNT(M27:Y27)=0,"",(COUNT(M27:Y27)))</f>
        <v>5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4</v>
      </c>
      <c r="I27" s="186">
        <f>IF(ISERROR(G27-H27),"",G27-H27)</f>
        <v>1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16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10</v>
      </c>
      <c r="L27" s="39"/>
      <c r="M27" s="41">
        <v>18.32</v>
      </c>
      <c r="N27" s="41"/>
      <c r="O27" s="41"/>
      <c r="P27" s="41"/>
      <c r="Q27" s="41"/>
      <c r="R27" s="41">
        <v>18.88</v>
      </c>
      <c r="S27" s="41"/>
      <c r="T27" s="41">
        <v>19.84</v>
      </c>
      <c r="U27" s="41"/>
      <c r="V27" s="41"/>
      <c r="W27" s="41">
        <v>18.36</v>
      </c>
      <c r="X27" s="41"/>
      <c r="Y27" s="41">
        <v>18.12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18.704000000000001</v>
      </c>
      <c r="AC27" s="184">
        <f>IF(ISERROR(SUM(M27:Y27)/G27+H27),"",(SUM(M27:Y27)/G27+H27))</f>
        <v>22.704000000000001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 t="s">
        <v>78</v>
      </c>
      <c r="N28" s="41"/>
      <c r="O28" s="41"/>
      <c r="P28" s="41"/>
      <c r="Q28" s="41"/>
      <c r="R28" s="41" t="s">
        <v>93</v>
      </c>
      <c r="S28" s="41"/>
      <c r="T28" s="41" t="s">
        <v>77</v>
      </c>
      <c r="U28" s="41"/>
      <c r="V28" s="41"/>
      <c r="W28" s="41" t="s">
        <v>81</v>
      </c>
      <c r="X28" s="41"/>
      <c r="Y28" s="41" t="s">
        <v>84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253</v>
      </c>
      <c r="F29" s="38"/>
      <c r="G29" s="181">
        <f>IF(COUNT(M29:Y29)=0,"",(COUNT(M29:Y29)))</f>
        <v>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>
        <f>IF(ISERROR(G29-H29),"",G29-H29)</f>
        <v>1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1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</v>
      </c>
      <c r="L29" s="39"/>
      <c r="M29" s="41"/>
      <c r="N29" s="41"/>
      <c r="O29" s="41"/>
      <c r="P29" s="41"/>
      <c r="Q29" s="41">
        <v>22.13</v>
      </c>
      <c r="R29" s="41"/>
      <c r="S29" s="41"/>
      <c r="T29" s="41"/>
      <c r="U29" s="41"/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>
        <f>IF(ISERROR(SUM(M29:Y29)/G29),"",(SUM(M29:Y29)/G29))</f>
        <v>22.13</v>
      </c>
      <c r="AC29" s="184">
        <f>IF(ISERROR(SUM(M29:Y29)/G29+H29),"",(SUM(M29:Y29)/G29+H29))</f>
        <v>22.13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 t="s">
        <v>90</v>
      </c>
      <c r="R30" s="41"/>
      <c r="S30" s="41"/>
      <c r="T30" s="41"/>
      <c r="U30" s="41"/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/>
      <c r="F31" s="38"/>
      <c r="G31" s="181" t="str">
        <f>IF(COUNT(M31:Y31)=0,"",(COUNT(M31:Y31)))</f>
        <v/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 t="str">
        <f>IF(ISERROR(G31-H31),"",G31-H31)</f>
        <v/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39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 t="str">
        <f>IF(ISERROR(SUM(M31:Y31)/G31),"",(SUM(M31:Y31)/G31))</f>
        <v/>
      </c>
      <c r="AC31" s="184" t="str">
        <f>IF(ISERROR(SUM(M31:Y31)/G31+H31),"",(SUM(M31:Y31)/G31+H31))</f>
        <v/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3</v>
      </c>
      <c r="N50" s="44">
        <v>3</v>
      </c>
      <c r="O50" s="44">
        <v>4</v>
      </c>
      <c r="P50" s="44">
        <v>0</v>
      </c>
      <c r="Q50" s="44">
        <v>0</v>
      </c>
      <c r="R50" s="44">
        <v>3</v>
      </c>
      <c r="S50" s="44">
        <v>3</v>
      </c>
      <c r="T50" s="44">
        <v>3</v>
      </c>
      <c r="U50" s="44">
        <v>2</v>
      </c>
      <c r="V50" s="44">
        <v>4</v>
      </c>
      <c r="W50" s="44">
        <v>2</v>
      </c>
      <c r="X50" s="44">
        <v>0</v>
      </c>
      <c r="Y50" s="44">
        <v>3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2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3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6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11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4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5:Z35 M37:Z37 M39:Z39 M41:Z41 M43:Z43 M45:Z45 M47:Z47 Q7:Z7 Q9:Z9 Q11:Z11 Q13:Z13 Q15:Z15 Q17:Z17 Q19:Z19 Q21:Z21 Q23:Z23 Q25:Z25 Q27:Z27 Q29:Z29 Q31:Z31 Q33:Z33 R18">
    <cfRule type="expression" dxfId="77" priority="1">
      <formula>LEFT(R19,1)="4"</formula>
    </cfRule>
  </conditionalFormatting>
  <conditionalFormatting sqref="G7 G9 G11 G13 G15 G17 G19 G21 G23 G25 G27 G29 G31 G33 G35 G37 G39 G41 G43 G45 G47 L7 L9 L11:L48">
    <cfRule type="expression" dxfId="76" priority="2">
      <formula>G7=0</formula>
    </cfRule>
  </conditionalFormatting>
  <conditionalFormatting sqref="M36:Y36 M38:Y38 M40:Y40 M42:Y42 M44:Y44 M46:Y46 M48:Y48 Q8:Y8 Q10:Y10 Q12:Y12 Q14:Y14 Q16:Y16 Q18:Y18 Q20:Y20 Q22:Y22 Q24:Y24 Q26:Y26 Q28:Y28 Q30:Y30 Q32:Y32 Q34:Y34">
    <cfRule type="expression" dxfId="75" priority="3">
      <formula>LEFT(Q8,1)="4"</formula>
    </cfRule>
  </conditionalFormatting>
  <conditionalFormatting sqref="M7:P7 M9:P9 M23:P23 M25:P25 M27:P27 M29:P29 M31:P31 M33:P33 N11:P11 N13:P13 N15:P15 N17:P17 N19:P19 N21:P21">
    <cfRule type="expression" dxfId="74" priority="4">
      <formula>LEFT(M8,1)="4"</formula>
    </cfRule>
  </conditionalFormatting>
  <conditionalFormatting sqref="M11 M13 M15 M17 M19 M21">
    <cfRule type="expression" dxfId="73" priority="5">
      <formula>LEFT(M12,1)="4"</formula>
    </cfRule>
  </conditionalFormatting>
  <conditionalFormatting sqref="M8:P8 M10:P10 M12:P12 M14:P14 M16:P16 M18:P18 M20:P20 M22:P22 M24:P24 M26:P26 M28:P28 M30:P30 M32:P32 M34:P34">
    <cfRule type="expression" dxfId="72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71" priority="7">
      <formula>H7=0</formula>
    </cfRule>
  </conditionalFormatting>
  <conditionalFormatting sqref="AA7 AA9 AA11 AA13 AA15 AA17 AA19 AA21 AA23 AA25 AA27 AA29 AA31 AA33 AA35 AA37 AA39 AA41 AA43 AA45 AA47">
    <cfRule type="expression" dxfId="70" priority="8">
      <formula>AA7=0</formula>
    </cfRule>
  </conditionalFormatting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000"/>
  <sheetViews>
    <sheetView showGridLines="0" topLeftCell="A25" workbookViewId="0">
      <selection activeCell="Y22" sqref="Y22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11</v>
      </c>
      <c r="E2" s="196" t="s">
        <v>254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255</v>
      </c>
      <c r="F7" s="38"/>
      <c r="G7" s="181">
        <f>IF(COUNT(M7:Y7)=0,"",(COUNT(M7:Y7)))</f>
        <v>12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2</v>
      </c>
      <c r="I7" s="186">
        <f>IF(ISERROR(G7-H7),"",G7-H7)</f>
        <v>10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21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44</v>
      </c>
      <c r="L7" s="39"/>
      <c r="M7" s="41">
        <v>19.2</v>
      </c>
      <c r="N7" s="41">
        <v>18.34</v>
      </c>
      <c r="O7" s="41">
        <v>14.85</v>
      </c>
      <c r="P7" s="41">
        <v>16.399999999999999</v>
      </c>
      <c r="Q7" s="41">
        <v>19.45</v>
      </c>
      <c r="R7" s="41">
        <v>19.39</v>
      </c>
      <c r="S7" s="41"/>
      <c r="T7" s="41">
        <v>18.829999999999998</v>
      </c>
      <c r="U7" s="41">
        <v>19.86</v>
      </c>
      <c r="V7" s="41">
        <v>20.48</v>
      </c>
      <c r="W7" s="41">
        <v>19.12</v>
      </c>
      <c r="X7" s="60">
        <v>22.43</v>
      </c>
      <c r="Y7" s="41">
        <v>18.09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183">
        <f>IF(ISERROR(SUM(M7:Y7)/G7),"",(SUM(M7:Y7)/G7))</f>
        <v>18.87</v>
      </c>
      <c r="AC7" s="184">
        <f>IF(ISERROR(SUM(M7:Y7)/G7+H7),"",(SUM(M7:Y7)/G7+H7))</f>
        <v>20.87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Allocation'!$B$30:$B$37,MATCH(Portland!$D$2,'Number Allocation'!$D$30:$D$37,0))),0,(INDEX('Number Allocation'!$B$30:$B$37,MATCH(Portland!$D$2,'Number Allocation'!$D$30:$D$37,0))))+IF(ISERROR(INDEX('Number Allocation'!$D$30:$D$37,MATCH(Portland!$D$2,'Number Allocation'!$B$30:$B$37,0))),0,(INDEX('Number Allocation'!$D$30:$D$37,MATCH(Portland!$D$2,'Number Allocation'!$B$30:$B$37,0))))</f>
        <v>4</v>
      </c>
      <c r="AK7" s="44">
        <v>1</v>
      </c>
      <c r="AL7" s="44" t="str">
        <f>VLOOKUP(AJ7,'Number Allocation'!$I$7:$J$22,2,0)</f>
        <v>Dorchester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AS7" s="44">
        <f t="shared" ref="AS7:AS19" si="0">IF(SUM(AO7:AQ7)=0,0,(12-AR7))</f>
        <v>9</v>
      </c>
      <c r="AT7" s="2"/>
      <c r="AU7" s="44">
        <f t="shared" ref="AU7:AU19" si="1">(AR7)</f>
        <v>3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90</v>
      </c>
      <c r="N8" s="41" t="s">
        <v>90</v>
      </c>
      <c r="O8" s="41" t="s">
        <v>81</v>
      </c>
      <c r="P8" s="41" t="s">
        <v>90</v>
      </c>
      <c r="Q8" s="41" t="s">
        <v>90</v>
      </c>
      <c r="R8" s="41" t="s">
        <v>88</v>
      </c>
      <c r="S8" s="41"/>
      <c r="T8" s="41" t="s">
        <v>90</v>
      </c>
      <c r="U8" s="41" t="s">
        <v>90</v>
      </c>
      <c r="V8" s="41" t="s">
        <v>93</v>
      </c>
      <c r="W8" s="41" t="s">
        <v>90</v>
      </c>
      <c r="X8" s="60" t="s">
        <v>88</v>
      </c>
      <c r="Y8" s="41" t="s">
        <v>78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Allocation'!$H$30:$H$37,MATCH(Portland!$D$2,'Number Allocation'!$F$30:$F$37,0))),0,(INDEX('Number Allocation'!$H$30:$H$37,MATCH(Portland!$D$2,'Number Allocation'!$F$30:$F$37,0))))+IF(ISERROR(INDEX('Number Allocation'!$F$30:$F$37,MATCH(Portland!$D$2,'Number Allocation'!$H$30:$H$37,0))),0,(INDEX('Number Allocation'!$F$30:$F$37,MATCH(Portland!$D$2,'Number Allocation'!$H$30:$H$37,0))))</f>
        <v>5</v>
      </c>
      <c r="AK8" s="44">
        <v>2</v>
      </c>
      <c r="AL8" s="44" t="str">
        <f>VLOOKUP(AJ8,'Number Allocation'!$I$7:$J$22,2,0)</f>
        <v>Boscombe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AS8" s="44">
        <f t="shared" si="0"/>
        <v>7</v>
      </c>
      <c r="AT8" s="2"/>
      <c r="AU8" s="44">
        <f t="shared" si="1"/>
        <v>5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256</v>
      </c>
      <c r="F9" s="38"/>
      <c r="G9" s="181">
        <f>IF(COUNT(M9:Y9)=0,"",(COUNT(M9:Y9)))</f>
        <v>13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6</v>
      </c>
      <c r="I9" s="186">
        <f>IF(ISERROR(G9-H9),"",G9-H9)</f>
        <v>7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33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33</v>
      </c>
      <c r="L9" s="39"/>
      <c r="M9" s="41">
        <v>20.11</v>
      </c>
      <c r="N9" s="41">
        <v>16.64</v>
      </c>
      <c r="O9" s="41">
        <v>20.96</v>
      </c>
      <c r="P9" s="41">
        <v>21.42</v>
      </c>
      <c r="Q9" s="41">
        <v>21.2</v>
      </c>
      <c r="R9" s="41">
        <v>19.760000000000002</v>
      </c>
      <c r="S9" s="41">
        <v>20.22</v>
      </c>
      <c r="T9" s="41">
        <v>22.03</v>
      </c>
      <c r="U9" s="41">
        <v>17.52</v>
      </c>
      <c r="V9" s="41">
        <v>20.45</v>
      </c>
      <c r="W9" s="41">
        <v>21.75</v>
      </c>
      <c r="X9" s="60">
        <v>24.44</v>
      </c>
      <c r="Y9" s="41">
        <v>19.84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183">
        <f>IF(ISERROR(SUM(M9:Y9)/G9),"",(SUM(M9:Y9)/G9))</f>
        <v>20.487692307692306</v>
      </c>
      <c r="AC9" s="184">
        <f>IF(ISERROR(SUM(M9:Y9)/G9+H9),"",(SUM(M9:Y9)/G9+H9))</f>
        <v>26.487692307692306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Allocation'!$J$30:$J$37,MATCH(Portland!$D$2,'Number Allocation'!$L$30:$L$37,0))),0,(INDEX('Number Allocation'!$J$30:$J$37,MATCH(Portland!$D$2,'Number Allocation'!$L$30:$L$37,0))))+IF(ISERROR(INDEX('Number Allocation'!$L$30:$L$37,MATCH(Portland!$D$2,'Number Allocation'!$J$30:$J$37,0))),0,(INDEX('Number Allocation'!$L$30:$L$37,MATCH(Portland!$D$2,'Number Allocation'!$J$30:$J$37,0))))</f>
        <v>6</v>
      </c>
      <c r="AK9" s="44">
        <v>3</v>
      </c>
      <c r="AL9" s="44" t="str">
        <f>VLOOKUP(AJ9,'Number Allocation'!$I$7:$J$22,2,0)</f>
        <v>Bridport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2</v>
      </c>
      <c r="AS9" s="44">
        <f t="shared" si="0"/>
        <v>10</v>
      </c>
      <c r="AT9" s="2"/>
      <c r="AU9" s="44">
        <f t="shared" si="1"/>
        <v>2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97</v>
      </c>
      <c r="N10" s="41" t="s">
        <v>81</v>
      </c>
      <c r="O10" s="41" t="s">
        <v>99</v>
      </c>
      <c r="P10" s="41" t="s">
        <v>78</v>
      </c>
      <c r="Q10" s="41" t="s">
        <v>99</v>
      </c>
      <c r="R10" s="41" t="s">
        <v>93</v>
      </c>
      <c r="S10" s="41" t="s">
        <v>88</v>
      </c>
      <c r="T10" s="41" t="s">
        <v>90</v>
      </c>
      <c r="U10" s="41" t="s">
        <v>81</v>
      </c>
      <c r="V10" s="41" t="s">
        <v>77</v>
      </c>
      <c r="W10" s="41" t="s">
        <v>78</v>
      </c>
      <c r="X10" s="60" t="s">
        <v>77</v>
      </c>
      <c r="Y10" s="41" t="s">
        <v>77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Allocation'!$N$30:$N$37,MATCH(Portland!$D$2,'Number Allocation'!$P$30:$P$37,0))),0,(INDEX('Number Allocation'!$N$30:$N$37,MATCH(Portland!$D$2,'Number Allocation'!$P$30:$P$37,0))))+IF(ISERROR(INDEX('Number Allocation'!$P$30:$P$37,MATCH(Portland!$D$2,'Number Allocation'!$N$30:$N$37,0))),0,(INDEX('Number Allocation'!$P$30:$P$37,MATCH(Portland!$D$2,'Number Allocation'!$N$30:$N$37,0))))</f>
        <v>7</v>
      </c>
      <c r="AK10" s="44">
        <v>4</v>
      </c>
      <c r="AL10" s="44" t="str">
        <f>VLOOKUP(AJ10,'Number Allocation'!$I$7:$J$22,2,0)</f>
        <v>Shaftesbury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AS10" s="44">
        <f t="shared" si="0"/>
        <v>7</v>
      </c>
      <c r="AT10" s="2"/>
      <c r="AU10" s="44">
        <f t="shared" si="1"/>
        <v>5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257</v>
      </c>
      <c r="F11" s="38"/>
      <c r="G11" s="181">
        <f>IF(COUNT(M11:Y11)=0,"",(COUNT(M11:Y11)))</f>
        <v>9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3</v>
      </c>
      <c r="I11" s="186">
        <f>IF(ISERROR(G11-H11),"",G11-H11)</f>
        <v>6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17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25</v>
      </c>
      <c r="L11" s="39"/>
      <c r="M11" s="41">
        <v>20.079999999999998</v>
      </c>
      <c r="N11" s="41"/>
      <c r="O11" s="41">
        <v>17.78</v>
      </c>
      <c r="P11" s="41"/>
      <c r="Q11" s="41">
        <v>19.98</v>
      </c>
      <c r="R11" s="41">
        <v>22.33</v>
      </c>
      <c r="S11" s="41">
        <v>19.28</v>
      </c>
      <c r="T11" s="41"/>
      <c r="U11" s="41">
        <v>20.54</v>
      </c>
      <c r="V11" s="41">
        <v>17.13</v>
      </c>
      <c r="W11" s="41">
        <v>20.86</v>
      </c>
      <c r="X11" s="41"/>
      <c r="Y11" s="41">
        <v>23.3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2</v>
      </c>
      <c r="AB11" s="183">
        <f>IF(ISERROR(SUM(M11:Y11)/G11),"",(SUM(M11:Y11)/G11))</f>
        <v>20.142222222222227</v>
      </c>
      <c r="AC11" s="184">
        <f>IF(ISERROR(SUM(M11:Y11)/G11+H11),"",(SUM(M11:Y11)/G11+H11))</f>
        <v>23.142222222222227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Allocation'!$R$30:$R$37,MATCH(Portland!$D$2,'Number Allocation'!$T$30:$T$37,0))),0,(INDEX('Number Allocation'!$R$30:$R$37,MATCH(Portland!$D$2,'Number Allocation'!$T$30:$T$37,0))))+IF(ISERROR(INDEX('Number Allocation'!$T$30:$T$37,MATCH(Portland!$D$2,'Number Allocation'!$R$30:$R$37,0))),0,(INDEX('Number Allocation'!$T$30:$T$37,MATCH(Portland!$D$2,'Number Allocation'!$R$30:$R$37,0))))</f>
        <v>8</v>
      </c>
      <c r="AK11" s="44">
        <v>5</v>
      </c>
      <c r="AL11" s="44" t="str">
        <f>VLOOKUP(AJ11,'Number Allocation'!$I$7:$J$22,2,0)</f>
        <v>Alderholt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</v>
      </c>
      <c r="AS11" s="44">
        <f t="shared" si="0"/>
        <v>11</v>
      </c>
      <c r="AT11" s="2"/>
      <c r="AU11" s="44">
        <f t="shared" si="1"/>
        <v>1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81</v>
      </c>
      <c r="N12" s="41"/>
      <c r="O12" s="41" t="s">
        <v>90</v>
      </c>
      <c r="P12" s="41"/>
      <c r="Q12" s="41" t="s">
        <v>81</v>
      </c>
      <c r="R12" s="41" t="s">
        <v>79</v>
      </c>
      <c r="S12" s="41" t="s">
        <v>99</v>
      </c>
      <c r="T12" s="41"/>
      <c r="U12" s="41" t="s">
        <v>81</v>
      </c>
      <c r="V12" s="41" t="s">
        <v>77</v>
      </c>
      <c r="W12" s="41" t="s">
        <v>99</v>
      </c>
      <c r="X12" s="41"/>
      <c r="Y12" s="41" t="s">
        <v>86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Allocation'!$B$44:$B$51,MATCH(Portland!$D$2,'Number Allocation'!$D$44:$D$51,0))),0,(INDEX('Number Allocation'!$B$44:$B$51,MATCH(Portland!$D$2,'Number Allocation'!$D$44:$D$51,0))))+IF(ISERROR(INDEX('Number Allocation'!$D$44:$D$51,MATCH(Portland!$D$2,'Number Allocation'!$B$44:$B$51,0))),0,(INDEX('Number Allocation'!$D$44:$D$51,MATCH(Portland!$D$2,'Number Allocation'!$B$44:$B$51,0))))</f>
        <v>9</v>
      </c>
      <c r="AK12" s="44">
        <v>6</v>
      </c>
      <c r="AL12" s="44" t="str">
        <f>VLOOKUP(AJ12,'Number Allocation'!$I$7:$J$22,2,0)</f>
        <v>Poole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AS12" s="44">
        <f t="shared" si="0"/>
        <v>8</v>
      </c>
      <c r="AT12" s="2"/>
      <c r="AU12" s="44">
        <f t="shared" si="1"/>
        <v>4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258</v>
      </c>
      <c r="F13" s="38"/>
      <c r="G13" s="181">
        <f>IF(COUNT(M13:Y13)=0,"",(COUNT(M13:Y13)))</f>
        <v>10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3</v>
      </c>
      <c r="I13" s="186">
        <f>IF(ISERROR(G13-H13),"",G13-H13)</f>
        <v>7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18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31</v>
      </c>
      <c r="L13" s="39"/>
      <c r="M13" s="41">
        <v>19.850000000000001</v>
      </c>
      <c r="N13" s="41">
        <v>25.37</v>
      </c>
      <c r="O13" s="41">
        <v>16.5</v>
      </c>
      <c r="P13" s="41">
        <v>19.52</v>
      </c>
      <c r="Q13" s="41">
        <v>18.68</v>
      </c>
      <c r="R13" s="41">
        <v>21.08</v>
      </c>
      <c r="S13" s="41">
        <v>21.72</v>
      </c>
      <c r="T13" s="41">
        <v>21.88</v>
      </c>
      <c r="U13" s="41">
        <v>20.36</v>
      </c>
      <c r="V13" s="41">
        <v>17.309999999999999</v>
      </c>
      <c r="W13" s="41"/>
      <c r="X13" s="41"/>
      <c r="Y13" s="41"/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2</v>
      </c>
      <c r="AB13" s="183">
        <f>IF(ISERROR(SUM(M13:Y13)/G13),"",(SUM(M13:Y13)/G13))</f>
        <v>20.226999999999997</v>
      </c>
      <c r="AC13" s="184">
        <f>IF(ISERROR(SUM(M13:Y13)/G13+H13),"",(SUM(M13:Y13)/G13+H13))</f>
        <v>23.226999999999997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Allocation'!$H$44:$H$51,MATCH(Portland!$D$2,'Number Allocation'!$F$44:$F$51,0))),0,(INDEX('Number Allocation'!$H$44:$H$51,MATCH(Portland!$D$2,'Number Allocation'!$F$44:$F$51,0))))+IF(ISERROR(INDEX('Number Allocation'!$F$44:$F$51,MATCH(Portland!$D$2,'Number Allocation'!$H$44:$H$51,0))),0,(INDEX('Number Allocation'!$F$44:$F$51,MATCH(Portland!$D$2,'Number Allocation'!$H$44:$H$51,0))))</f>
        <v>10</v>
      </c>
      <c r="AK13" s="44">
        <v>7</v>
      </c>
      <c r="AL13" s="44" t="str">
        <f>VLOOKUP(AJ13,'Number Allocation'!$I$7:$J$22,2,0)</f>
        <v>Lytchett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1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3</v>
      </c>
      <c r="AS13" s="44">
        <f t="shared" si="0"/>
        <v>9</v>
      </c>
      <c r="AT13" s="2"/>
      <c r="AU13" s="44">
        <f t="shared" si="1"/>
        <v>3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88</v>
      </c>
      <c r="N14" s="41" t="s">
        <v>77</v>
      </c>
      <c r="O14" s="41" t="s">
        <v>81</v>
      </c>
      <c r="P14" s="41" t="s">
        <v>202</v>
      </c>
      <c r="Q14" s="41" t="s">
        <v>90</v>
      </c>
      <c r="R14" s="41" t="s">
        <v>78</v>
      </c>
      <c r="S14" s="41" t="s">
        <v>81</v>
      </c>
      <c r="T14" s="41" t="s">
        <v>81</v>
      </c>
      <c r="U14" s="41" t="s">
        <v>90</v>
      </c>
      <c r="V14" s="41" t="s">
        <v>90</v>
      </c>
      <c r="W14" s="41"/>
      <c r="X14" s="41"/>
      <c r="Y14" s="41"/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Allocation'!$J$44:$J$51,MATCH(Portland!$D$2,'Number Allocation'!$L$44:$L$51,0))),0,(INDEX('Number Allocation'!$J$44:$J$51,MATCH(Portland!$D$2,'Number Allocation'!$L$44:$L$51,0))))+IF(ISERROR(INDEX('Number Allocation'!$L$44:$L$51,MATCH(Portland!$D$2,'Number Allocation'!$J$44:$J$51,0))),0,(INDEX('Number Allocation'!$L$44:$L$51,MATCH(Portland!$D$2,'Number Allocation'!$J$44:$J$51,0))))</f>
        <v>14</v>
      </c>
      <c r="AK14" s="44">
        <v>8</v>
      </c>
      <c r="AL14" s="44" t="str">
        <f>VLOOKUP(AJ14,'Number Allocation'!$I$7:$J$22,2,0)</f>
        <v>Christchurch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44">
        <f t="shared" si="0"/>
        <v>12</v>
      </c>
      <c r="AT14" s="2"/>
      <c r="AU14" s="44">
        <f t="shared" si="1"/>
        <v>0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259</v>
      </c>
      <c r="F15" s="38"/>
      <c r="G15" s="181">
        <f>IF(COUNT(M15:Y15)=0,"",(COUNT(M15:Y15)))</f>
        <v>8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186">
        <f>IF(ISERROR(G15-H15),"",G15-H15)</f>
        <v>7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12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31</v>
      </c>
      <c r="L15" s="39"/>
      <c r="M15" s="41">
        <v>19.920000000000002</v>
      </c>
      <c r="N15" s="41">
        <v>19.89</v>
      </c>
      <c r="O15" s="41"/>
      <c r="P15" s="41">
        <v>20.14</v>
      </c>
      <c r="Q15" s="41">
        <v>22.53</v>
      </c>
      <c r="R15" s="41"/>
      <c r="S15" s="41">
        <v>24.21</v>
      </c>
      <c r="T15" s="41">
        <v>20.91</v>
      </c>
      <c r="U15" s="41"/>
      <c r="V15" s="41"/>
      <c r="W15" s="41"/>
      <c r="X15" s="60">
        <v>18.75</v>
      </c>
      <c r="Y15" s="41">
        <v>20.22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2</v>
      </c>
      <c r="AB15" s="183">
        <f>IF(ISERROR(SUM(M15:Y15)/G15),"",(SUM(M15:Y15)/G15))</f>
        <v>20.821249999999999</v>
      </c>
      <c r="AC15" s="184">
        <f>IF(ISERROR(SUM(M15:Y15)/G15+H15),"",(SUM(M15:Y15)/G15+H15))</f>
        <v>21.821249999999999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Allocation'!$N$44:$N$51,MATCH(Portland!$D$2,'Number Allocation'!$P$44:$P$51,0))),0,(INDEX('Number Allocation'!$N$44:$N$51,MATCH(Portland!$D$2,'Number Allocation'!$P$44:$P$51,0))))+IF(ISERROR(INDEX('Number Allocation'!$P$44:$P$51,MATCH(Portland!$D$2,'Number Allocation'!$N$44:$N$51,0))),0,(INDEX('Number Allocation'!$P$44:$P$51,MATCH(Portland!$D$2,'Number Allocation'!$N$44:$N$51,0))))</f>
        <v>12</v>
      </c>
      <c r="AK15" s="44">
        <v>9</v>
      </c>
      <c r="AL15" s="44" t="str">
        <f>VLOOKUP(AJ15,'Number Allocation'!$I$7:$J$22,2,0)</f>
        <v>Swanage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AS15" s="44">
        <f t="shared" si="0"/>
        <v>10</v>
      </c>
      <c r="AT15" s="2"/>
      <c r="AU15" s="44">
        <f t="shared" si="1"/>
        <v>2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90</v>
      </c>
      <c r="N16" s="41" t="s">
        <v>90</v>
      </c>
      <c r="O16" s="41"/>
      <c r="P16" s="41" t="s">
        <v>90</v>
      </c>
      <c r="Q16" s="41" t="s">
        <v>90</v>
      </c>
      <c r="R16" s="41"/>
      <c r="S16" s="41" t="s">
        <v>149</v>
      </c>
      <c r="T16" s="41" t="s">
        <v>90</v>
      </c>
      <c r="U16" s="41"/>
      <c r="V16" s="41"/>
      <c r="W16" s="41"/>
      <c r="X16" s="60" t="s">
        <v>93</v>
      </c>
      <c r="Y16" s="41" t="s">
        <v>99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Allocation'!$R$44:$R$51,MATCH(Portland!$D$2,'Number Allocation'!$T$44:$T$51,0))),0,(INDEX('Number Allocation'!$R$44:$R$51,MATCH(Portland!$D$2,'Number Allocation'!$T$44:$T$51,0))))+IF(ISERROR(INDEX('Number Allocation'!$T$44:$T$51,MATCH(Portland!$D$2,'Number Allocation'!$R$44:$R$51,0))),0,(INDEX('Number Allocation'!$T$44:$T$51,MATCH(Portland!$D$2,'Number Allocation'!$R$44:$R$51,0))))</f>
        <v>13</v>
      </c>
      <c r="AK16" s="44">
        <v>10</v>
      </c>
      <c r="AL16" s="44" t="str">
        <f>VLOOKUP(AJ16,'Number Allocation'!$I$7:$J$22,2,0)</f>
        <v>Bournemouth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AS16" s="44">
        <f t="shared" si="0"/>
        <v>2</v>
      </c>
      <c r="AT16" s="2"/>
      <c r="AU16" s="44">
        <f t="shared" si="1"/>
        <v>10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260</v>
      </c>
      <c r="F17" s="38"/>
      <c r="G17" s="181">
        <f>IF(COUNT(M17:Y17)=0,"",(COUNT(M17:Y17)))</f>
        <v>11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4</v>
      </c>
      <c r="I17" s="186">
        <f>IF(ISERROR(G17-H17),"",G17-H17)</f>
        <v>7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30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37</v>
      </c>
      <c r="L17" s="39"/>
      <c r="M17" s="41">
        <v>18.84</v>
      </c>
      <c r="N17" s="41">
        <v>22.95</v>
      </c>
      <c r="O17" s="41">
        <v>22.82</v>
      </c>
      <c r="P17" s="41">
        <v>21.24</v>
      </c>
      <c r="Q17" s="41"/>
      <c r="R17" s="41">
        <v>20.190000000000001</v>
      </c>
      <c r="S17" s="41">
        <v>20.99</v>
      </c>
      <c r="T17" s="41">
        <v>22.9</v>
      </c>
      <c r="U17" s="41">
        <v>21.17</v>
      </c>
      <c r="V17" s="41">
        <v>19.329999999999998</v>
      </c>
      <c r="W17" s="41">
        <v>23.64</v>
      </c>
      <c r="X17" s="60">
        <v>19.09</v>
      </c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2</v>
      </c>
      <c r="AB17" s="183">
        <f>IF(ISERROR(SUM(M17:Y17)/G17),"",(SUM(M17:Y17)/G17))</f>
        <v>21.196363636363632</v>
      </c>
      <c r="AC17" s="184">
        <f>IF(ISERROR(SUM(M17:Y17)/G17+H17),"",(SUM(M17:Y17)/G17+H17))</f>
        <v>25.196363636363632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Allocation'!$B$58:$B$65,MATCH(Portland!$D$2,'Number Allocation'!$D$58:$D$65,0))),0,(INDEX('Number Allocation'!$B$58:$B$65,MATCH(Portland!$D$2,'Number Allocation'!$D$58:$D$65,0))))+IF(ISERROR(INDEX('Number Allocation'!$D$58:$D$65,MATCH(Portland!$D$2,'Number Allocation'!$B$58:$B$65,0))),0,(INDEX('Number Allocation'!$D$58:$D$65,MATCH(Portland!$D$2,'Number Allocation'!$B$58:$B$65,0))))</f>
        <v>1</v>
      </c>
      <c r="AK17" s="44">
        <v>11</v>
      </c>
      <c r="AL17" s="44" t="str">
        <f>VLOOKUP(AJ17,'Number Allocation'!$I$7:$J$22,2,0)</f>
        <v>Parkstone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1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AS17" s="44">
        <f t="shared" si="0"/>
        <v>6</v>
      </c>
      <c r="AT17" s="2"/>
      <c r="AU17" s="44">
        <f t="shared" si="1"/>
        <v>6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81</v>
      </c>
      <c r="N18" s="41" t="s">
        <v>83</v>
      </c>
      <c r="O18" s="41" t="s">
        <v>78</v>
      </c>
      <c r="P18" s="41" t="s">
        <v>93</v>
      </c>
      <c r="Q18" s="41"/>
      <c r="R18" s="41" t="s">
        <v>99</v>
      </c>
      <c r="S18" s="41" t="s">
        <v>84</v>
      </c>
      <c r="T18" s="41" t="s">
        <v>88</v>
      </c>
      <c r="U18" s="41" t="s">
        <v>97</v>
      </c>
      <c r="V18" s="41" t="s">
        <v>93</v>
      </c>
      <c r="W18" s="41" t="s">
        <v>88</v>
      </c>
      <c r="X18" s="60" t="s">
        <v>99</v>
      </c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Allocation'!$H$58:$H$65,MATCH(Portland!$D$2,'Number Allocation'!$F$58:$F$65,0))),0,(INDEX('Number Allocation'!$H$58:$H$65,MATCH(Portland!$D$2,'Number Allocation'!$F$58:$F$65,0))))+IF(ISERROR(INDEX('Number Allocation'!$F$58:$F$65,MATCH(Portland!$D$2,'Number Allocation'!$H$58:$H$65,0))),0,(INDEX('Number Allocation'!$F$58:$F$65,MATCH(Portland!$D$2,'Number Allocation'!$H$58:$H$65,0))))</f>
        <v>2</v>
      </c>
      <c r="AK18" s="44">
        <v>12</v>
      </c>
      <c r="AL18" s="44" t="str">
        <f>VLOOKUP(AJ18,'Number Allocation'!$I$7:$J$22,2,0)</f>
        <v>Alderney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AS18" s="44">
        <f t="shared" si="0"/>
        <v>5</v>
      </c>
      <c r="AT18" s="2"/>
      <c r="AU18" s="44">
        <f t="shared" si="1"/>
        <v>7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261</v>
      </c>
      <c r="F19" s="38"/>
      <c r="G19" s="181">
        <f>IF(COUNT(M19:Y19)=0,"",(COUNT(M19:Y19)))</f>
        <v>12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6</v>
      </c>
      <c r="I19" s="186">
        <f>IF(ISERROR(G19-H19),"",G19-H19)</f>
        <v>6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35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36</v>
      </c>
      <c r="L19" s="39"/>
      <c r="M19" s="41">
        <v>21.56</v>
      </c>
      <c r="N19" s="41">
        <v>19.260000000000002</v>
      </c>
      <c r="O19" s="41">
        <v>19.91</v>
      </c>
      <c r="P19" s="41">
        <v>23.28</v>
      </c>
      <c r="Q19" s="41">
        <v>21.13</v>
      </c>
      <c r="R19" s="41"/>
      <c r="S19" s="41">
        <v>22.22</v>
      </c>
      <c r="T19" s="41">
        <v>20.34</v>
      </c>
      <c r="U19" s="41">
        <v>22.48</v>
      </c>
      <c r="V19" s="41">
        <v>19.43</v>
      </c>
      <c r="W19" s="41">
        <v>18.97</v>
      </c>
      <c r="X19" s="60">
        <v>21.46</v>
      </c>
      <c r="Y19" s="41">
        <v>21.19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183">
        <f>IF(ISERROR(SUM(M19:Y19)/G19),"",(SUM(M19:Y19)/G19))</f>
        <v>20.935833333333331</v>
      </c>
      <c r="AC19" s="184">
        <f>IF(ISERROR(SUM(M19:Y19)/G19+H19),"",(SUM(M19:Y19)/G19+H19))</f>
        <v>26.935833333333331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Allocation'!$J$58:$J$65,MATCH(Portland!$D$2,'Number Allocation'!$L$58:$L$65,0))),0,(INDEX('Number Allocation'!$J$58:$J$65,MATCH(Portland!$D$2,'Number Allocation'!$L$58:$L$65,0))))+IF(ISERROR(INDEX('Number Allocation'!$L$58:$L$65,MATCH(Portland!$D$2,'Number Allocation'!$J$58:$J$65,0))),0,(INDEX('Number Allocation'!$L$58:$L$65,MATCH(Portland!$D$2,'Number Allocation'!$J$58:$J$65,0))))</f>
        <v>3</v>
      </c>
      <c r="AK19" s="44">
        <v>13</v>
      </c>
      <c r="AL19" s="44" t="str">
        <f>VLOOKUP(AJ19,'Number Allocation'!$I$7:$J$22,2,0)</f>
        <v>Weymouth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1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6</v>
      </c>
      <c r="AS19" s="44">
        <f t="shared" si="0"/>
        <v>6</v>
      </c>
      <c r="AT19" s="2"/>
      <c r="AU19" s="44">
        <f t="shared" si="1"/>
        <v>6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88</v>
      </c>
      <c r="N20" s="41" t="s">
        <v>78</v>
      </c>
      <c r="O20" s="41" t="s">
        <v>99</v>
      </c>
      <c r="P20" s="41" t="s">
        <v>88</v>
      </c>
      <c r="Q20" s="41" t="s">
        <v>91</v>
      </c>
      <c r="R20" s="41"/>
      <c r="S20" s="41" t="s">
        <v>81</v>
      </c>
      <c r="T20" s="41" t="s">
        <v>90</v>
      </c>
      <c r="U20" s="41" t="s">
        <v>78</v>
      </c>
      <c r="V20" s="41" t="s">
        <v>93</v>
      </c>
      <c r="W20" s="41" t="s">
        <v>94</v>
      </c>
      <c r="X20" s="60" t="s">
        <v>78</v>
      </c>
      <c r="Y20" s="41" t="s">
        <v>93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262</v>
      </c>
      <c r="F21" s="38"/>
      <c r="G21" s="181">
        <f>IF(COUNT(M21:Y21)=0,"",(COUNT(M21:Y21)))</f>
        <v>10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4</v>
      </c>
      <c r="I21" s="186">
        <f>IF(ISERROR(G21-H21),"",G21-H21)</f>
        <v>6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23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33</v>
      </c>
      <c r="L21" s="39"/>
      <c r="M21" s="41">
        <v>20.440000000000001</v>
      </c>
      <c r="N21" s="41">
        <v>19.87</v>
      </c>
      <c r="O21" s="41"/>
      <c r="P21" s="41"/>
      <c r="Q21" s="41">
        <v>24.19</v>
      </c>
      <c r="R21" s="41">
        <v>21</v>
      </c>
      <c r="S21" s="41">
        <v>19.21</v>
      </c>
      <c r="T21" s="41"/>
      <c r="U21" s="41">
        <v>16.690000000000001</v>
      </c>
      <c r="V21" s="41">
        <v>19.97</v>
      </c>
      <c r="W21" s="41">
        <v>19.12</v>
      </c>
      <c r="X21" s="60">
        <v>19.82</v>
      </c>
      <c r="Y21" s="41">
        <v>16.850000000000001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183">
        <f>IF(ISERROR(SUM(M21:Y21)/G21),"",(SUM(M21:Y21)/G21))</f>
        <v>19.716000000000001</v>
      </c>
      <c r="AC21" s="184">
        <f>IF(ISERROR(SUM(M21:Y21)/G21+H21),"",(SUM(M21:Y21)/G21+H21))</f>
        <v>23.716000000000001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2</v>
      </c>
      <c r="AP21" s="44">
        <f t="shared" si="2"/>
        <v>2</v>
      </c>
      <c r="AQ21" s="44">
        <f t="shared" si="2"/>
        <v>9</v>
      </c>
      <c r="AR21" s="44">
        <f t="shared" si="2"/>
        <v>54</v>
      </c>
      <c r="AS21" s="44">
        <f t="shared" si="2"/>
        <v>102</v>
      </c>
      <c r="AT21" s="2"/>
      <c r="AU21" s="44">
        <f>SUM(AU7:AU19)</f>
        <v>54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93</v>
      </c>
      <c r="N22" s="41" t="s">
        <v>88</v>
      </c>
      <c r="O22" s="41"/>
      <c r="P22" s="41"/>
      <c r="Q22" s="41" t="s">
        <v>90</v>
      </c>
      <c r="R22" s="41" t="s">
        <v>81</v>
      </c>
      <c r="S22" s="41" t="s">
        <v>90</v>
      </c>
      <c r="T22" s="41"/>
      <c r="U22" s="41" t="s">
        <v>99</v>
      </c>
      <c r="V22" s="41" t="s">
        <v>93</v>
      </c>
      <c r="W22" s="41" t="s">
        <v>78</v>
      </c>
      <c r="X22" s="60" t="s">
        <v>84</v>
      </c>
      <c r="Y22" s="41" t="s">
        <v>81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263</v>
      </c>
      <c r="F23" s="38"/>
      <c r="G23" s="181">
        <f>IF(COUNT(M23:Y23)=0,"",(COUNT(M23:Y23)))</f>
        <v>4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186">
        <f>IF(ISERROR(G23-H23),"",G23-H23)</f>
        <v>3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5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15</v>
      </c>
      <c r="L23" s="39"/>
      <c r="M23" s="41"/>
      <c r="N23" s="41">
        <v>17.43</v>
      </c>
      <c r="O23" s="41"/>
      <c r="P23" s="41"/>
      <c r="Q23" s="41"/>
      <c r="R23" s="41"/>
      <c r="S23" s="41"/>
      <c r="T23" s="41">
        <v>15.91</v>
      </c>
      <c r="U23" s="41"/>
      <c r="V23" s="41"/>
      <c r="W23" s="41">
        <v>17.260000000000002</v>
      </c>
      <c r="X23" s="60">
        <v>16.62</v>
      </c>
      <c r="Y23" s="41"/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183">
        <f>IF(ISERROR(SUM(M23:Y23)/G23),"",(SUM(M23:Y23)/G23))</f>
        <v>16.805000000000003</v>
      </c>
      <c r="AC23" s="184">
        <f>IF(ISERROR(SUM(M23:Y23)/G23+H23),"",(SUM(M23:Y23)/G23+H23))</f>
        <v>17.805000000000003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/>
      <c r="N24" s="41" t="s">
        <v>81</v>
      </c>
      <c r="O24" s="41"/>
      <c r="P24" s="41"/>
      <c r="Q24" s="41"/>
      <c r="R24" s="41"/>
      <c r="S24" s="41"/>
      <c r="T24" s="41" t="s">
        <v>81</v>
      </c>
      <c r="U24" s="41"/>
      <c r="V24" s="41"/>
      <c r="W24" s="41" t="s">
        <v>93</v>
      </c>
      <c r="X24" s="60" t="s">
        <v>90</v>
      </c>
      <c r="Y24" s="41"/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264</v>
      </c>
      <c r="F25" s="38"/>
      <c r="G25" s="181" t="str">
        <f>IF(COUNT(M25:Y25)=0,"",(COUNT(M25:Y25)))</f>
        <v/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 t="str">
        <f>IF(ISERROR(G25-H25),"",G25-H25)</f>
        <v/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39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 t="str">
        <f>IF(ISERROR(SUM(M25:Y25)/G25),"",(SUM(M25:Y25)/G25))</f>
        <v/>
      </c>
      <c r="AC25" s="184" t="str">
        <f>IF(ISERROR(SUM(M25:Y25)/G25+H25),"",(SUM(M25:Y25)/G25+H25))</f>
        <v/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265</v>
      </c>
      <c r="F27" s="38"/>
      <c r="G27" s="181">
        <f>IF(COUNT(M27:Y27)=0,"",(COUNT(M27:Y27)))</f>
        <v>9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2</v>
      </c>
      <c r="I27" s="186">
        <f>IF(ISERROR(G27-H27),"",G27-H27)</f>
        <v>7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12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31</v>
      </c>
      <c r="L27" s="39"/>
      <c r="M27" s="41"/>
      <c r="N27" s="41"/>
      <c r="O27" s="41">
        <v>19.89</v>
      </c>
      <c r="P27" s="41">
        <v>18.07</v>
      </c>
      <c r="Q27" s="41">
        <v>20.86</v>
      </c>
      <c r="R27" s="41">
        <v>18.47</v>
      </c>
      <c r="S27" s="41">
        <v>19.89</v>
      </c>
      <c r="T27" s="41">
        <v>18.45</v>
      </c>
      <c r="U27" s="41"/>
      <c r="V27" s="41">
        <v>20.45</v>
      </c>
      <c r="W27" s="41">
        <v>19.91</v>
      </c>
      <c r="X27" s="41"/>
      <c r="Y27" s="41">
        <v>16.66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19.18333333333333</v>
      </c>
      <c r="AC27" s="184">
        <f>IF(ISERROR(SUM(M27:Y27)/G27+H27),"",(SUM(M27:Y27)/G27+H27))</f>
        <v>21.18333333333333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 t="s">
        <v>99</v>
      </c>
      <c r="P28" s="41" t="s">
        <v>90</v>
      </c>
      <c r="Q28" s="41" t="s">
        <v>81</v>
      </c>
      <c r="R28" s="41" t="s">
        <v>90</v>
      </c>
      <c r="S28" s="41" t="s">
        <v>81</v>
      </c>
      <c r="T28" s="41" t="s">
        <v>81</v>
      </c>
      <c r="U28" s="41"/>
      <c r="V28" s="41" t="s">
        <v>78</v>
      </c>
      <c r="W28" s="41" t="s">
        <v>84</v>
      </c>
      <c r="X28" s="41"/>
      <c r="Y28" s="41" t="s">
        <v>81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266</v>
      </c>
      <c r="F29" s="38"/>
      <c r="G29" s="181">
        <f>IF(COUNT(M29:Y29)=0,"",(COUNT(M29:Y29)))</f>
        <v>4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1</v>
      </c>
      <c r="I29" s="186">
        <f>IF(ISERROR(G29-H29),"",G29-H29)</f>
        <v>3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10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12</v>
      </c>
      <c r="L29" s="39"/>
      <c r="M29" s="41"/>
      <c r="N29" s="41"/>
      <c r="O29" s="41">
        <v>23.65</v>
      </c>
      <c r="P29" s="41">
        <v>25.37</v>
      </c>
      <c r="Q29" s="41"/>
      <c r="R29" s="41">
        <v>22.8</v>
      </c>
      <c r="S29" s="41"/>
      <c r="T29" s="41"/>
      <c r="U29" s="41">
        <v>21.66</v>
      </c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>
        <f>IF(ISERROR(SUM(M29:Y29)/G29),"",(SUM(M29:Y29)/G29))</f>
        <v>23.369999999999997</v>
      </c>
      <c r="AC29" s="184">
        <f>IF(ISERROR(SUM(M29:Y29)/G29+H29),"",(SUM(M29:Y29)/G29+H29))</f>
        <v>24.369999999999997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 t="s">
        <v>99</v>
      </c>
      <c r="P30" s="41" t="s">
        <v>77</v>
      </c>
      <c r="Q30" s="41"/>
      <c r="R30" s="41" t="s">
        <v>88</v>
      </c>
      <c r="S30" s="41"/>
      <c r="T30" s="41"/>
      <c r="U30" s="41" t="s">
        <v>90</v>
      </c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267</v>
      </c>
      <c r="F31" s="38"/>
      <c r="G31" s="181">
        <f>IF(COUNT(M31:Y31)=0,"",(COUNT(M31:Y31)))</f>
        <v>2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186">
        <f>IF(ISERROR(G31-H31),"",G31-H31)</f>
        <v>1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5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5</v>
      </c>
      <c r="L31" s="39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60">
        <v>19.71</v>
      </c>
      <c r="Y31" s="41">
        <v>20.43</v>
      </c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20.07</v>
      </c>
      <c r="AC31" s="184">
        <f>IF(ISERROR(SUM(M31:Y31)/G31+H31),"",(SUM(M31:Y31)/G31+H31))</f>
        <v>21.07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60" t="s">
        <v>78</v>
      </c>
      <c r="Y32" s="41" t="s">
        <v>90</v>
      </c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3</v>
      </c>
      <c r="O50" s="44">
        <v>1</v>
      </c>
      <c r="P50" s="44">
        <v>1</v>
      </c>
      <c r="Q50" s="44">
        <v>1</v>
      </c>
      <c r="R50" s="44">
        <v>1</v>
      </c>
      <c r="S50" s="44">
        <v>2</v>
      </c>
      <c r="T50" s="44">
        <v>0</v>
      </c>
      <c r="U50" s="44">
        <v>1</v>
      </c>
      <c r="V50" s="44">
        <v>3</v>
      </c>
      <c r="W50" s="44">
        <v>1</v>
      </c>
      <c r="X50" s="61">
        <v>2</v>
      </c>
      <c r="Y50" s="44">
        <v>2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2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3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6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9:Z39 M41:Z41 M43:Z43 M45:Z45 M47:Z47 Q7:Z7 Q9:Z9 Q11:Z11 Q13:Z13 Q15:Z15 Q17:Z17 Q19:Z19 Q21:Z21 Q23:Z23 Q25:Z25 Q27:Z27 Q29:Z29 Q31:Z31 Q33:Z33 Q35:Z35 Q37:Z37 R18">
    <cfRule type="expression" dxfId="69" priority="1">
      <formula>LEFT(R19,1)="4"</formula>
    </cfRule>
  </conditionalFormatting>
  <conditionalFormatting sqref="G7 G9 G11 G13 G15 G17 G19 G21 G23 G25 G27 G29 G31 G33 G35 G37 G39 G41 G43 G45 G47 L7 L9 L11:L48">
    <cfRule type="expression" dxfId="68" priority="2">
      <formula>G7=0</formula>
    </cfRule>
  </conditionalFormatting>
  <conditionalFormatting sqref="M40:Y40 M42:Y42 M44:Y44 M46:Y46 M48:Y48 Q8:Y8 Q10:Y10 Q12:Y12 Q14:Y14 Q16:Y16 Q18:Y18 Q20:Y20 Q22:Y22 Q24:Y24 Q26:Y26 Q28:Y28 Q30:Y30 Q32:Y32 Q34:Y34 Q36:Y36 Q38:Y38">
    <cfRule type="expression" dxfId="67" priority="3">
      <formula>LEFT(Q8,1)="4"</formula>
    </cfRule>
  </conditionalFormatting>
  <conditionalFormatting sqref="M7:P7 M9:P9 M23:P23 M25:P25 M27:P27 M29:P29 M31:P31 M33:P33 M35:P35 M37:P37 N11:P11 N13:P13 N15:P15 N17:P17 N19:P19 N21:P21">
    <cfRule type="expression" dxfId="66" priority="4">
      <formula>LEFT(M8,1)="4"</formula>
    </cfRule>
  </conditionalFormatting>
  <conditionalFormatting sqref="M11 M13 M15 M17 M19 M21">
    <cfRule type="expression" dxfId="65" priority="5">
      <formula>LEFT(M12,1)="4"</formula>
    </cfRule>
  </conditionalFormatting>
  <conditionalFormatting sqref="M8:P8 M10:P10 M12:P12 M14:P14 M16:P16 M18:P18 M20:P20 M22:P22 M24:P24 M26:P26 M28:P28 M30:P30 M32:P32 M34:P34 M36:P36 M38:P38">
    <cfRule type="expression" dxfId="64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63" priority="7">
      <formula>H7=0</formula>
    </cfRule>
  </conditionalFormatting>
  <conditionalFormatting sqref="AA7 AA9 AA11 AA13 AA15 AA17 AA19 AA21 AA23 AA25 AA27 AA29 AA31 AA33 AA35 AA37 AA39 AA41 AA43 AA45 AA47">
    <cfRule type="expression" dxfId="62" priority="8">
      <formula>AA7=0</formula>
    </cfRule>
  </conditionalFormatting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1000"/>
  <sheetViews>
    <sheetView showGridLines="0" topLeftCell="B1" workbookViewId="0">
      <selection activeCell="R12" sqref="R12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7</v>
      </c>
      <c r="E2" s="196" t="s">
        <v>268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269</v>
      </c>
      <c r="F7" s="38"/>
      <c r="G7" s="181">
        <f>IF(COUNT(M7:Y7)=0,"",(COUNT(M7:Y7)))</f>
        <v>12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2</v>
      </c>
      <c r="I7" s="186">
        <f>IF(ISERROR(G7-H7),"",G7-H7)</f>
        <v>10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19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43</v>
      </c>
      <c r="L7" s="39"/>
      <c r="M7" s="40">
        <v>20.83</v>
      </c>
      <c r="N7" s="41">
        <v>18.54</v>
      </c>
      <c r="O7" s="41">
        <v>19.68</v>
      </c>
      <c r="P7" s="41">
        <v>19.170000000000002</v>
      </c>
      <c r="Q7" s="41">
        <v>23.25</v>
      </c>
      <c r="R7" s="41"/>
      <c r="S7" s="41">
        <v>21.54</v>
      </c>
      <c r="T7" s="41">
        <v>19.68</v>
      </c>
      <c r="U7" s="41">
        <v>21.78</v>
      </c>
      <c r="V7" s="41">
        <v>21.09</v>
      </c>
      <c r="W7" s="41">
        <v>17</v>
      </c>
      <c r="X7" s="60">
        <v>18.07</v>
      </c>
      <c r="Y7" s="41">
        <v>20.65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2</v>
      </c>
      <c r="AB7" s="183">
        <f>IF(ISERROR(SUM(M7:Y7)/G7),"",(SUM(M7:Y7)/G7))</f>
        <v>20.106666666666666</v>
      </c>
      <c r="AC7" s="184">
        <f>IF(ISERROR(SUM(M7:Y7)/G7+H7),"",(SUM(M7:Y7)/G7+H7))</f>
        <v>22.106666666666666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Allocation'!$B$30:$B$37,MATCH(Shaftesbury!$D$2,'Number Allocation'!$D$30:$D$37,0))),0,(INDEX('Number Allocation'!$B$30:$B$37,MATCH(Shaftesbury!$D$2,'Number Allocation'!$D$30:$D$37,0))))+IF(ISERROR(INDEX('Number Allocation'!$D$30:$D$37,MATCH(Shaftesbury!$D$2,'Number Allocation'!$B$30:$B$37,0))),0,(INDEX('Number Allocation'!$D$30:$D$37,MATCH(Shaftesbury!$D$2,'Number Allocation'!$B$30:$B$37,0))))</f>
        <v>8</v>
      </c>
      <c r="AK7" s="44">
        <v>1</v>
      </c>
      <c r="AL7" s="44" t="str">
        <f>VLOOKUP(AJ7,'Number Allocation'!$I$7:$J$22,2,0)</f>
        <v>Alderholt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1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AS7" s="44">
        <f t="shared" ref="AS7:AS19" si="0">IF(SUM(AO7:AQ7)=0,0,(12-AR7))</f>
        <v>6</v>
      </c>
      <c r="AT7" s="2"/>
      <c r="AU7" s="44">
        <f t="shared" ref="AU7:AU19" si="1">(AR7)</f>
        <v>6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93</v>
      </c>
      <c r="N8" s="41" t="s">
        <v>99</v>
      </c>
      <c r="O8" s="41" t="s">
        <v>81</v>
      </c>
      <c r="P8" s="41" t="s">
        <v>81</v>
      </c>
      <c r="Q8" s="41" t="s">
        <v>100</v>
      </c>
      <c r="R8" s="41"/>
      <c r="S8" s="41" t="s">
        <v>99</v>
      </c>
      <c r="T8" s="41" t="s">
        <v>99</v>
      </c>
      <c r="U8" s="41" t="s">
        <v>99</v>
      </c>
      <c r="V8" s="41" t="s">
        <v>77</v>
      </c>
      <c r="W8" s="41" t="s">
        <v>81</v>
      </c>
      <c r="X8" s="60" t="s">
        <v>99</v>
      </c>
      <c r="Y8" s="41" t="s">
        <v>97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Allocation'!$H$30:$H$37,MATCH(Shaftesbury!$D$2,'Number Allocation'!$F$30:$F$37,0))),0,(INDEX('Number Allocation'!$H$30:$H$37,MATCH(Shaftesbury!$D$2,'Number Allocation'!$F$30:$F$37,0))))+IF(ISERROR(INDEX('Number Allocation'!$F$30:$F$37,MATCH(Shaftesbury!$D$2,'Number Allocation'!$H$30:$H$37,0))),0,(INDEX('Number Allocation'!$F$30:$F$37,MATCH(Shaftesbury!$D$2,'Number Allocation'!$H$30:$H$37,0))))</f>
        <v>9</v>
      </c>
      <c r="AK8" s="44">
        <v>2</v>
      </c>
      <c r="AL8" s="44" t="str">
        <f>VLOOKUP(AJ8,'Number Allocation'!$I$7:$J$22,2,0)</f>
        <v>Poole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44">
        <f t="shared" si="0"/>
        <v>8</v>
      </c>
      <c r="AT8" s="2"/>
      <c r="AU8" s="44">
        <f t="shared" si="1"/>
        <v>4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270</v>
      </c>
      <c r="F9" s="38"/>
      <c r="G9" s="181">
        <f>IF(COUNT(M9:Y9)=0,"",(COUNT(M9:Y9)))</f>
        <v>12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</v>
      </c>
      <c r="I9" s="186">
        <f>IF(ISERROR(G9-H9),"",G9-H9)</f>
        <v>11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15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46</v>
      </c>
      <c r="L9" s="39"/>
      <c r="M9" s="41">
        <v>21.52</v>
      </c>
      <c r="N9" s="41">
        <v>18.78</v>
      </c>
      <c r="O9" s="41">
        <v>17.48</v>
      </c>
      <c r="P9" s="41">
        <v>18.41</v>
      </c>
      <c r="Q9" s="41">
        <v>18.940000000000001</v>
      </c>
      <c r="R9" s="41"/>
      <c r="S9" s="41">
        <v>17.8</v>
      </c>
      <c r="T9" s="41">
        <v>18.190000000000001</v>
      </c>
      <c r="U9" s="41">
        <v>21.21</v>
      </c>
      <c r="V9" s="41">
        <v>18.68</v>
      </c>
      <c r="W9" s="41">
        <v>19.350000000000001</v>
      </c>
      <c r="X9" s="60">
        <v>13.8</v>
      </c>
      <c r="Y9" s="41">
        <v>19.41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183">
        <f>IF(ISERROR(SUM(M9:Y9)/G9),"",(SUM(M9:Y9)/G9))</f>
        <v>18.630833333333335</v>
      </c>
      <c r="AC9" s="184">
        <f>IF(ISERROR(SUM(M9:Y9)/G9+H9),"",(SUM(M9:Y9)/G9+H9))</f>
        <v>19.630833333333335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Allocation'!$J$30:$J$37,MATCH(Shaftesbury!$D$2,'Number Allocation'!$L$30:$L$37,0))),0,(INDEX('Number Allocation'!$J$30:$J$37,MATCH(Shaftesbury!$D$2,'Number Allocation'!$L$30:$L$37,0))))+IF(ISERROR(INDEX('Number Allocation'!$L$30:$L$37,MATCH(Shaftesbury!$D$2,'Number Allocation'!$J$30:$J$37,0))),0,(INDEX('Number Allocation'!$L$30:$L$37,MATCH(Shaftesbury!$D$2,'Number Allocation'!$J$30:$J$37,0))))</f>
        <v>10</v>
      </c>
      <c r="AK9" s="44">
        <v>3</v>
      </c>
      <c r="AL9" s="44" t="str">
        <f>VLOOKUP(AJ9,'Number Allocation'!$I$7:$J$22,2,0)</f>
        <v>Lytchett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</v>
      </c>
      <c r="AS9" s="44">
        <f t="shared" si="0"/>
        <v>11</v>
      </c>
      <c r="AT9" s="2"/>
      <c r="AU9" s="44">
        <f t="shared" si="1"/>
        <v>1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90</v>
      </c>
      <c r="N10" s="41" t="s">
        <v>90</v>
      </c>
      <c r="O10" s="41" t="s">
        <v>81</v>
      </c>
      <c r="P10" s="41" t="s">
        <v>99</v>
      </c>
      <c r="Q10" s="41" t="s">
        <v>90</v>
      </c>
      <c r="R10" s="41"/>
      <c r="S10" s="41" t="s">
        <v>88</v>
      </c>
      <c r="T10" s="41" t="s">
        <v>99</v>
      </c>
      <c r="U10" s="41" t="s">
        <v>81</v>
      </c>
      <c r="V10" s="41" t="s">
        <v>81</v>
      </c>
      <c r="W10" s="41" t="s">
        <v>84</v>
      </c>
      <c r="X10" s="60" t="s">
        <v>90</v>
      </c>
      <c r="Y10" s="41" t="s">
        <v>81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Allocation'!$N$30:$N$37,MATCH(Shaftesbury!$D$2,'Number Allocation'!$P$30:$P$37,0))),0,(INDEX('Number Allocation'!$N$30:$N$37,MATCH(Shaftesbury!$D$2,'Number Allocation'!$P$30:$P$37,0))))+IF(ISERROR(INDEX('Number Allocation'!$P$30:$P$37,MATCH(Shaftesbury!$D$2,'Number Allocation'!$N$30:$N$37,0))),0,(INDEX('Number Allocation'!$P$30:$P$37,MATCH(Shaftesbury!$D$2,'Number Allocation'!$N$30:$N$37,0))))</f>
        <v>11</v>
      </c>
      <c r="AK10" s="44">
        <v>4</v>
      </c>
      <c r="AL10" s="44" t="str">
        <f>VLOOKUP(AJ10,'Number Allocation'!$I$7:$J$22,2,0)</f>
        <v>Portland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AS10" s="44">
        <f t="shared" si="0"/>
        <v>5</v>
      </c>
      <c r="AT10" s="2"/>
      <c r="AU10" s="44">
        <f t="shared" si="1"/>
        <v>7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271</v>
      </c>
      <c r="F11" s="38"/>
      <c r="G11" s="181">
        <f>IF(COUNT(M11:Y11)=0,"",(COUNT(M11:Y11)))</f>
        <v>13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9</v>
      </c>
      <c r="I11" s="186">
        <f>IF(ISERROR(G11-H11),"",G11-H11)</f>
        <v>4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46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31</v>
      </c>
      <c r="L11" s="39"/>
      <c r="M11" s="41">
        <v>23.1</v>
      </c>
      <c r="N11" s="41">
        <v>19.47</v>
      </c>
      <c r="O11" s="41">
        <v>25.17</v>
      </c>
      <c r="P11" s="41">
        <v>22.17</v>
      </c>
      <c r="Q11" s="41">
        <v>24.84</v>
      </c>
      <c r="R11" s="41">
        <v>21.09</v>
      </c>
      <c r="S11" s="41">
        <v>25.81</v>
      </c>
      <c r="T11" s="41">
        <v>21.86</v>
      </c>
      <c r="U11" s="41">
        <v>22.75</v>
      </c>
      <c r="V11" s="41">
        <v>24.53</v>
      </c>
      <c r="W11" s="41">
        <v>24.44</v>
      </c>
      <c r="X11" s="60">
        <v>23.8</v>
      </c>
      <c r="Y11" s="41">
        <v>26.73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4</v>
      </c>
      <c r="AB11" s="183">
        <f>IF(ISERROR(SUM(M11:Y11)/G11),"",(SUM(M11:Y11)/G11))</f>
        <v>23.52</v>
      </c>
      <c r="AC11" s="184">
        <f>IF(ISERROR(SUM(M11:Y11)/G11+H11),"",(SUM(M11:Y11)/G11+H11))</f>
        <v>32.519999999999996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Allocation'!$R$30:$R$37,MATCH(Shaftesbury!$D$2,'Number Allocation'!$T$30:$T$37,0))),0,(INDEX('Number Allocation'!$R$30:$R$37,MATCH(Shaftesbury!$D$2,'Number Allocation'!$T$30:$T$37,0))))+IF(ISERROR(INDEX('Number Allocation'!$T$30:$T$37,MATCH(Shaftesbury!$D$2,'Number Allocation'!$R$30:$R$37,0))),0,(INDEX('Number Allocation'!$T$30:$T$37,MATCH(Shaftesbury!$D$2,'Number Allocation'!$R$30:$R$37,0))))</f>
        <v>12</v>
      </c>
      <c r="AK11" s="44">
        <v>5</v>
      </c>
      <c r="AL11" s="44" t="str">
        <f>VLOOKUP(AJ11,'Number Allocation'!$I$7:$J$22,2,0)</f>
        <v>Swanage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3</v>
      </c>
      <c r="AS11" s="44">
        <f t="shared" si="0"/>
        <v>9</v>
      </c>
      <c r="AT11" s="2"/>
      <c r="AU11" s="44">
        <f t="shared" si="1"/>
        <v>3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84</v>
      </c>
      <c r="N12" s="41" t="s">
        <v>93</v>
      </c>
      <c r="O12" s="41" t="s">
        <v>88</v>
      </c>
      <c r="P12" s="41" t="s">
        <v>119</v>
      </c>
      <c r="Q12" s="41" t="s">
        <v>90</v>
      </c>
      <c r="R12" s="41" t="s">
        <v>77</v>
      </c>
      <c r="S12" s="41" t="s">
        <v>84</v>
      </c>
      <c r="T12" s="41" t="s">
        <v>84</v>
      </c>
      <c r="U12" s="41" t="s">
        <v>78</v>
      </c>
      <c r="V12" s="41" t="s">
        <v>88</v>
      </c>
      <c r="W12" s="41" t="s">
        <v>77</v>
      </c>
      <c r="X12" s="60" t="s">
        <v>85</v>
      </c>
      <c r="Y12" s="41" t="s">
        <v>83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Allocation'!$B$44:$B$51,MATCH(Shaftesbury!$D$2,'Number Allocation'!$D$44:$D$51,0))),0,(INDEX('Number Allocation'!$B$44:$B$51,MATCH(Shaftesbury!$D$2,'Number Allocation'!$D$44:$D$51,0))))+IF(ISERROR(INDEX('Number Allocation'!$D$44:$D$51,MATCH(Shaftesbury!$D$2,'Number Allocation'!$B$44:$B$51,0))),0,(INDEX('Number Allocation'!$D$44:$D$51,MATCH(Shaftesbury!$D$2,'Number Allocation'!$B$44:$B$51,0))))</f>
        <v>13</v>
      </c>
      <c r="AK12" s="44">
        <v>6</v>
      </c>
      <c r="AL12" s="44" t="str">
        <f>VLOOKUP(AJ12,'Number Allocation'!$I$7:$J$22,2,0)</f>
        <v>Bournemouth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1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6</v>
      </c>
      <c r="AS12" s="44">
        <f t="shared" si="0"/>
        <v>6</v>
      </c>
      <c r="AT12" s="2"/>
      <c r="AU12" s="44">
        <f t="shared" si="1"/>
        <v>6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272</v>
      </c>
      <c r="F13" s="38"/>
      <c r="G13" s="181">
        <f>IF(COUNT(M13:Y13)=0,"",(COUNT(M13:Y13)))</f>
        <v>12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5</v>
      </c>
      <c r="I13" s="186">
        <f>IF(ISERROR(G13-H13),"",G13-H13)</f>
        <v>7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31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37</v>
      </c>
      <c r="L13" s="39"/>
      <c r="M13" s="41">
        <v>20.23</v>
      </c>
      <c r="N13" s="41">
        <v>21.29</v>
      </c>
      <c r="O13" s="41">
        <v>19.93</v>
      </c>
      <c r="P13" s="41">
        <v>19.02</v>
      </c>
      <c r="Q13" s="41"/>
      <c r="R13" s="41">
        <v>21.98</v>
      </c>
      <c r="S13" s="41">
        <v>21.88</v>
      </c>
      <c r="T13" s="41">
        <v>23.41</v>
      </c>
      <c r="U13" s="41">
        <v>22.24</v>
      </c>
      <c r="V13" s="41">
        <v>21.48</v>
      </c>
      <c r="W13" s="41">
        <v>17.95</v>
      </c>
      <c r="X13" s="60">
        <v>21.11</v>
      </c>
      <c r="Y13" s="41">
        <v>24.35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8</v>
      </c>
      <c r="AB13" s="183">
        <f>IF(ISERROR(SUM(M13:Y13)/G13),"",(SUM(M13:Y13)/G13))</f>
        <v>21.239166666666666</v>
      </c>
      <c r="AC13" s="184">
        <f>IF(ISERROR(SUM(M13:Y13)/G13+H13),"",(SUM(M13:Y13)/G13+H13))</f>
        <v>26.239166666666666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Allocation'!$H$44:$H$51,MATCH(Shaftesbury!$D$2,'Number Allocation'!$F$44:$F$51,0))),0,(INDEX('Number Allocation'!$H$44:$H$51,MATCH(Shaftesbury!$D$2,'Number Allocation'!$F$44:$F$51,0))))+IF(ISERROR(INDEX('Number Allocation'!$F$44:$F$51,MATCH(Shaftesbury!$D$2,'Number Allocation'!$H$44:$H$51,0))),0,(INDEX('Number Allocation'!$F$44:$F$51,MATCH(Shaftesbury!$D$2,'Number Allocation'!$H$44:$H$51,0))))</f>
        <v>1</v>
      </c>
      <c r="AK13" s="44">
        <v>7</v>
      </c>
      <c r="AL13" s="44" t="str">
        <f>VLOOKUP(AJ13,'Number Allocation'!$I$7:$J$22,2,0)</f>
        <v>Parkstone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1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AS13" s="44">
        <f t="shared" si="0"/>
        <v>8</v>
      </c>
      <c r="AT13" s="2"/>
      <c r="AU13" s="44">
        <f t="shared" si="1"/>
        <v>4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100</v>
      </c>
      <c r="N14" s="41" t="s">
        <v>90</v>
      </c>
      <c r="O14" s="41" t="s">
        <v>90</v>
      </c>
      <c r="P14" s="41" t="s">
        <v>79</v>
      </c>
      <c r="Q14" s="41"/>
      <c r="R14" s="41" t="s">
        <v>85</v>
      </c>
      <c r="S14" s="41" t="s">
        <v>83</v>
      </c>
      <c r="T14" s="41" t="s">
        <v>79</v>
      </c>
      <c r="U14" s="41" t="s">
        <v>85</v>
      </c>
      <c r="V14" s="41" t="s">
        <v>88</v>
      </c>
      <c r="W14" s="41" t="s">
        <v>81</v>
      </c>
      <c r="X14" s="60" t="s">
        <v>94</v>
      </c>
      <c r="Y14" s="41" t="s">
        <v>83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Allocation'!$J$44:$J$51,MATCH(Shaftesbury!$D$2,'Number Allocation'!$L$44:$L$51,0))),0,(INDEX('Number Allocation'!$J$44:$J$51,MATCH(Shaftesbury!$D$2,'Number Allocation'!$L$44:$L$51,0))))+IF(ISERROR(INDEX('Number Allocation'!$L$44:$L$51,MATCH(Shaftesbury!$D$2,'Number Allocation'!$J$44:$J$51,0))),0,(INDEX('Number Allocation'!$L$44:$L$51,MATCH(Shaftesbury!$D$2,'Number Allocation'!$J$44:$J$51,0))))</f>
        <v>2</v>
      </c>
      <c r="AK14" s="44">
        <v>8</v>
      </c>
      <c r="AL14" s="44" t="str">
        <f>VLOOKUP(AJ14,'Number Allocation'!$I$7:$J$22,2,0)</f>
        <v>Alderney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AS14" s="44">
        <f t="shared" si="0"/>
        <v>4</v>
      </c>
      <c r="AT14" s="2"/>
      <c r="AU14" s="44">
        <f t="shared" si="1"/>
        <v>8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273</v>
      </c>
      <c r="F15" s="38"/>
      <c r="G15" s="181">
        <f>IF(COUNT(M15:Y15)=0,"",(COUNT(M15:Y15)))</f>
        <v>13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8</v>
      </c>
      <c r="I15" s="186">
        <f>IF(ISERROR(G15-H15),"",G15-H15)</f>
        <v>5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40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32</v>
      </c>
      <c r="L15" s="39"/>
      <c r="M15" s="41">
        <v>16.399999999999999</v>
      </c>
      <c r="N15" s="41">
        <v>20.59</v>
      </c>
      <c r="O15" s="41">
        <v>20.14</v>
      </c>
      <c r="P15" s="41">
        <v>19.649999999999999</v>
      </c>
      <c r="Q15" s="41">
        <v>21.8</v>
      </c>
      <c r="R15" s="41">
        <v>18.559999999999999</v>
      </c>
      <c r="S15" s="41">
        <v>20.38</v>
      </c>
      <c r="T15" s="41">
        <v>20.260000000000002</v>
      </c>
      <c r="U15" s="41">
        <v>21.42</v>
      </c>
      <c r="V15" s="41">
        <v>21.15</v>
      </c>
      <c r="W15" s="41">
        <v>24.74</v>
      </c>
      <c r="X15" s="60">
        <v>19.850000000000001</v>
      </c>
      <c r="Y15" s="41">
        <v>20.18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3</v>
      </c>
      <c r="AB15" s="183">
        <f>IF(ISERROR(SUM(M15:Y15)/G15),"",(SUM(M15:Y15)/G15))</f>
        <v>20.393846153846155</v>
      </c>
      <c r="AC15" s="184">
        <f>IF(ISERROR(SUM(M15:Y15)/G15+H15),"",(SUM(M15:Y15)/G15+H15))</f>
        <v>28.393846153846155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Allocation'!$N$44:$N$51,MATCH(Shaftesbury!$D$2,'Number Allocation'!$P$44:$P$51,0))),0,(INDEX('Number Allocation'!$N$44:$N$51,MATCH(Shaftesbury!$D$2,'Number Allocation'!$P$44:$P$51,0))))+IF(ISERROR(INDEX('Number Allocation'!$P$44:$P$51,MATCH(Shaftesbury!$D$2,'Number Allocation'!$N$44:$N$51,0))),0,(INDEX('Number Allocation'!$P$44:$P$51,MATCH(Shaftesbury!$D$2,'Number Allocation'!$N$44:$N$51,0))))</f>
        <v>3</v>
      </c>
      <c r="AK15" s="44">
        <v>9</v>
      </c>
      <c r="AL15" s="44" t="str">
        <f>VLOOKUP(AJ15,'Number Allocation'!$I$7:$J$22,2,0)</f>
        <v>Weymouth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7</v>
      </c>
      <c r="AS15" s="44">
        <f t="shared" si="0"/>
        <v>5</v>
      </c>
      <c r="AT15" s="2"/>
      <c r="AU15" s="44">
        <f t="shared" si="1"/>
        <v>7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78</v>
      </c>
      <c r="N16" s="41" t="s">
        <v>99</v>
      </c>
      <c r="O16" s="41" t="s">
        <v>90</v>
      </c>
      <c r="P16" s="41" t="s">
        <v>78</v>
      </c>
      <c r="Q16" s="41" t="s">
        <v>78</v>
      </c>
      <c r="R16" s="41" t="s">
        <v>81</v>
      </c>
      <c r="S16" s="41" t="s">
        <v>91</v>
      </c>
      <c r="T16" s="41" t="s">
        <v>77</v>
      </c>
      <c r="U16" s="41" t="s">
        <v>94</v>
      </c>
      <c r="V16" s="41" t="s">
        <v>88</v>
      </c>
      <c r="W16" s="41" t="s">
        <v>86</v>
      </c>
      <c r="X16" s="60" t="s">
        <v>93</v>
      </c>
      <c r="Y16" s="41" t="s">
        <v>93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Allocation'!$R$44:$R$51,MATCH(Shaftesbury!$D$2,'Number Allocation'!$T$44:$T$51,0))),0,(INDEX('Number Allocation'!$R$44:$R$51,MATCH(Shaftesbury!$D$2,'Number Allocation'!$T$44:$T$51,0))))+IF(ISERROR(INDEX('Number Allocation'!$T$44:$T$51,MATCH(Shaftesbury!$D$2,'Number Allocation'!$R$44:$R$51,0))),0,(INDEX('Number Allocation'!$T$44:$T$51,MATCH(Shaftesbury!$D$2,'Number Allocation'!$R$44:$R$51,0))))</f>
        <v>4</v>
      </c>
      <c r="AK16" s="44">
        <v>10</v>
      </c>
      <c r="AL16" s="44" t="str">
        <f>VLOOKUP(AJ16,'Number Allocation'!$I$7:$J$22,2,0)</f>
        <v>Dorchester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AS16" s="44">
        <f t="shared" si="0"/>
        <v>10</v>
      </c>
      <c r="AT16" s="2"/>
      <c r="AU16" s="44">
        <f t="shared" si="1"/>
        <v>2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274</v>
      </c>
      <c r="F17" s="38"/>
      <c r="G17" s="181">
        <f>IF(COUNT(M17:Y17)=0,"",(COUNT(M17:Y17)))</f>
        <v>5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186">
        <f>IF(ISERROR(G17-H17),"",G17-H17)</f>
        <v>5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5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20</v>
      </c>
      <c r="L17" s="39"/>
      <c r="M17" s="41">
        <v>14.57</v>
      </c>
      <c r="N17" s="41"/>
      <c r="O17" s="41">
        <v>18.96</v>
      </c>
      <c r="P17" s="41">
        <v>20.14</v>
      </c>
      <c r="Q17" s="41">
        <v>15.47</v>
      </c>
      <c r="R17" s="41"/>
      <c r="S17" s="41"/>
      <c r="T17" s="41"/>
      <c r="U17" s="41">
        <v>16.45</v>
      </c>
      <c r="V17" s="41"/>
      <c r="W17" s="41"/>
      <c r="X17" s="41"/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>
        <f>IF(ISERROR(SUM(M17:Y17)/G17),"",(SUM(M17:Y17)/G17))</f>
        <v>17.118000000000002</v>
      </c>
      <c r="AC17" s="184">
        <f>IF(ISERROR(SUM(M17:Y17)/G17+H17),"",(SUM(M17:Y17)/G17+H17))</f>
        <v>17.118000000000002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Allocation'!$B$58:$B$65,MATCH(Shaftesbury!$D$2,'Number Allocation'!$D$58:$D$65,0))),0,(INDEX('Number Allocation'!$B$58:$B$65,MATCH(Shaftesbury!$D$2,'Number Allocation'!$D$58:$D$65,0))))+IF(ISERROR(INDEX('Number Allocation'!$D$58:$D$65,MATCH(Shaftesbury!$D$2,'Number Allocation'!$B$58:$B$65,0))),0,(INDEX('Number Allocation'!$D$58:$D$65,MATCH(Shaftesbury!$D$2,'Number Allocation'!$B$58:$B$65,0))))</f>
        <v>5</v>
      </c>
      <c r="AK17" s="44">
        <v>11</v>
      </c>
      <c r="AL17" s="44" t="str">
        <f>VLOOKUP(AJ17,'Number Allocation'!$I$7:$J$22,2,0)</f>
        <v>Boscombe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1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7</v>
      </c>
      <c r="AS17" s="44">
        <f t="shared" si="0"/>
        <v>5</v>
      </c>
      <c r="AT17" s="2"/>
      <c r="AU17" s="44">
        <f t="shared" si="1"/>
        <v>7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81</v>
      </c>
      <c r="N18" s="41"/>
      <c r="O18" s="41" t="s">
        <v>90</v>
      </c>
      <c r="P18" s="41" t="s">
        <v>88</v>
      </c>
      <c r="Q18" s="41" t="s">
        <v>81</v>
      </c>
      <c r="R18" s="41"/>
      <c r="S18" s="41"/>
      <c r="T18" s="41"/>
      <c r="U18" s="41" t="s">
        <v>90</v>
      </c>
      <c r="V18" s="41"/>
      <c r="W18" s="41"/>
      <c r="X18" s="41"/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Allocation'!$H$58:$H$65,MATCH(Shaftesbury!$D$2,'Number Allocation'!$F$58:$F$65,0))),0,(INDEX('Number Allocation'!$H$58:$H$65,MATCH(Shaftesbury!$D$2,'Number Allocation'!$F$58:$F$65,0))))+IF(ISERROR(INDEX('Number Allocation'!$F$58:$F$65,MATCH(Shaftesbury!$D$2,'Number Allocation'!$H$58:$H$65,0))),0,(INDEX('Number Allocation'!$F$58:$F$65,MATCH(Shaftesbury!$D$2,'Number Allocation'!$H$58:$H$65,0))))</f>
        <v>6</v>
      </c>
      <c r="AK18" s="44">
        <v>12</v>
      </c>
      <c r="AL18" s="44" t="str">
        <f>VLOOKUP(AJ18,'Number Allocation'!$I$7:$J$22,2,0)</f>
        <v>Bridport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1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6</v>
      </c>
      <c r="AS18" s="44">
        <f t="shared" si="0"/>
        <v>6</v>
      </c>
      <c r="AT18" s="2"/>
      <c r="AU18" s="44">
        <f t="shared" si="1"/>
        <v>6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275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3</v>
      </c>
      <c r="I19" s="186">
        <f>IF(ISERROR(G19-H19),"",G19-H19)</f>
        <v>10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32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42</v>
      </c>
      <c r="L19" s="39"/>
      <c r="M19" s="41">
        <v>19.27</v>
      </c>
      <c r="N19" s="41">
        <v>23.95</v>
      </c>
      <c r="O19" s="41">
        <v>23.18</v>
      </c>
      <c r="P19" s="41">
        <v>22.42</v>
      </c>
      <c r="Q19" s="41">
        <v>21.09</v>
      </c>
      <c r="R19" s="41">
        <v>22.85</v>
      </c>
      <c r="S19" s="41">
        <v>22.45</v>
      </c>
      <c r="T19" s="41">
        <v>25.05</v>
      </c>
      <c r="U19" s="41">
        <v>18.329999999999998</v>
      </c>
      <c r="V19" s="41">
        <v>21.51</v>
      </c>
      <c r="W19" s="41">
        <v>26.63</v>
      </c>
      <c r="X19" s="60">
        <v>16.489999999999998</v>
      </c>
      <c r="Y19" s="41">
        <v>23.53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6</v>
      </c>
      <c r="AB19" s="183">
        <f>IF(ISERROR(SUM(M19:Y19)/G19),"",(SUM(M19:Y19)/G19))</f>
        <v>22.057692307692307</v>
      </c>
      <c r="AC19" s="184">
        <f>IF(ISERROR(SUM(M19:Y19)/G19+H19),"",(SUM(M19:Y19)/G19+H19))</f>
        <v>25.057692307692307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Allocation'!$J$58:$J$65,MATCH(Shaftesbury!$D$2,'Number Allocation'!$L$58:$L$65,0))),0,(INDEX('Number Allocation'!$J$58:$J$65,MATCH(Shaftesbury!$D$2,'Number Allocation'!$L$58:$L$65,0))))+IF(ISERROR(INDEX('Number Allocation'!$L$58:$L$65,MATCH(Shaftesbury!$D$2,'Number Allocation'!$J$58:$J$65,0))),0,(INDEX('Number Allocation'!$L$58:$L$65,MATCH(Shaftesbury!$D$2,'Number Allocation'!$J$58:$J$65,0))))</f>
        <v>14</v>
      </c>
      <c r="AK19" s="44">
        <v>13</v>
      </c>
      <c r="AL19" s="44" t="str">
        <f>VLOOKUP(AJ19,'Number Allocation'!$I$7:$J$22,2,0)</f>
        <v>Christchurch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AS19" s="44">
        <f t="shared" si="0"/>
        <v>8</v>
      </c>
      <c r="AT19" s="2"/>
      <c r="AU19" s="44">
        <f t="shared" si="1"/>
        <v>4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91</v>
      </c>
      <c r="N20" s="41" t="s">
        <v>85</v>
      </c>
      <c r="O20" s="41" t="s">
        <v>97</v>
      </c>
      <c r="P20" s="41" t="s">
        <v>90</v>
      </c>
      <c r="Q20" s="41" t="s">
        <v>88</v>
      </c>
      <c r="R20" s="41" t="s">
        <v>88</v>
      </c>
      <c r="S20" s="41" t="s">
        <v>99</v>
      </c>
      <c r="T20" s="41" t="s">
        <v>86</v>
      </c>
      <c r="U20" s="41" t="s">
        <v>77</v>
      </c>
      <c r="V20" s="41" t="s">
        <v>99</v>
      </c>
      <c r="W20" s="41" t="s">
        <v>159</v>
      </c>
      <c r="X20" s="60" t="s">
        <v>99</v>
      </c>
      <c r="Y20" s="41" t="s">
        <v>90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276</v>
      </c>
      <c r="F21" s="38"/>
      <c r="G21" s="181">
        <f>IF(COUNT(M21:Y21)=0,"",(COUNT(M21:Y21)))</f>
        <v>13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9</v>
      </c>
      <c r="I21" s="186">
        <f>IF(ISERROR(G21-H21),"",G21-H21)</f>
        <v>4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42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24</v>
      </c>
      <c r="L21" s="39"/>
      <c r="M21" s="41">
        <v>22.77</v>
      </c>
      <c r="N21" s="41">
        <v>16.14</v>
      </c>
      <c r="O21" s="41">
        <v>23.77</v>
      </c>
      <c r="P21" s="41">
        <v>22.53</v>
      </c>
      <c r="Q21" s="41">
        <v>20.94</v>
      </c>
      <c r="R21" s="41">
        <v>18.559999999999999</v>
      </c>
      <c r="S21" s="41">
        <v>17.899999999999999</v>
      </c>
      <c r="T21" s="41">
        <v>22.77</v>
      </c>
      <c r="U21" s="41">
        <v>22.77</v>
      </c>
      <c r="V21" s="41">
        <v>18.48</v>
      </c>
      <c r="W21" s="41">
        <v>21.52</v>
      </c>
      <c r="X21" s="60">
        <v>21.26</v>
      </c>
      <c r="Y21" s="41">
        <v>22.77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20.936923076923076</v>
      </c>
      <c r="AC21" s="184">
        <f>IF(ISERROR(SUM(M21:Y21)/G21+H21),"",(SUM(M21:Y21)/G21+H21))</f>
        <v>29.936923076923076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4</v>
      </c>
      <c r="AP21" s="44">
        <f t="shared" si="2"/>
        <v>3</v>
      </c>
      <c r="AQ21" s="44">
        <f t="shared" si="2"/>
        <v>6</v>
      </c>
      <c r="AR21" s="44">
        <f t="shared" si="2"/>
        <v>65</v>
      </c>
      <c r="AS21" s="44">
        <f t="shared" si="2"/>
        <v>91</v>
      </c>
      <c r="AT21" s="2"/>
      <c r="AU21" s="44">
        <f>SUM(AU7:AU19)</f>
        <v>65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77</v>
      </c>
      <c r="N22" s="41" t="s">
        <v>84</v>
      </c>
      <c r="O22" s="41" t="s">
        <v>90</v>
      </c>
      <c r="P22" s="41" t="s">
        <v>79</v>
      </c>
      <c r="Q22" s="41" t="s">
        <v>88</v>
      </c>
      <c r="R22" s="41" t="s">
        <v>77</v>
      </c>
      <c r="S22" s="41" t="s">
        <v>93</v>
      </c>
      <c r="T22" s="41" t="s">
        <v>77</v>
      </c>
      <c r="U22" s="41" t="s">
        <v>77</v>
      </c>
      <c r="V22" s="41" t="s">
        <v>90</v>
      </c>
      <c r="W22" s="41" t="s">
        <v>84</v>
      </c>
      <c r="X22" s="60" t="s">
        <v>90</v>
      </c>
      <c r="Y22" s="41" t="s">
        <v>77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277</v>
      </c>
      <c r="F23" s="38"/>
      <c r="G23" s="181">
        <f>IF(COUNT(M23:Y23)=0,"",(COUNT(M23:Y23)))</f>
        <v>1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186">
        <f>IF(ISERROR(G23-H23),"",G23-H23)</f>
        <v>1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0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4</v>
      </c>
      <c r="L23" s="39"/>
      <c r="M23" s="41"/>
      <c r="N23" s="41">
        <v>19.54</v>
      </c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183">
        <f>IF(ISERROR(SUM(M23:Y23)/G23),"",(SUM(M23:Y23)/G23))</f>
        <v>19.54</v>
      </c>
      <c r="AC23" s="184">
        <f>IF(ISERROR(SUM(M23:Y23)/G23+H23),"",(SUM(M23:Y23)/G23+H23))</f>
        <v>19.54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/>
      <c r="N24" s="41" t="s">
        <v>81</v>
      </c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278</v>
      </c>
      <c r="F25" s="38"/>
      <c r="G25" s="181">
        <f>IF(COUNT(M25:Y25)=0,"",(COUNT(M25:Y25)))</f>
        <v>2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>
        <f>IF(ISERROR(G25-H25),"",G25-H25)</f>
        <v>2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2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8</v>
      </c>
      <c r="L25" s="39"/>
      <c r="M25" s="41"/>
      <c r="N25" s="41"/>
      <c r="O25" s="41"/>
      <c r="P25" s="41"/>
      <c r="Q25" s="41">
        <v>21.79</v>
      </c>
      <c r="R25" s="41"/>
      <c r="S25" s="41"/>
      <c r="T25" s="41">
        <v>19.5</v>
      </c>
      <c r="U25" s="41"/>
      <c r="V25" s="41"/>
      <c r="W25" s="41"/>
      <c r="X25" s="41"/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20.645</v>
      </c>
      <c r="AC25" s="184">
        <f>IF(ISERROR(SUM(M25:Y25)/G25+H25),"",(SUM(M25:Y25)/G25+H25))</f>
        <v>20.645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/>
      <c r="O26" s="41"/>
      <c r="P26" s="41"/>
      <c r="Q26" s="41" t="s">
        <v>81</v>
      </c>
      <c r="R26" s="41"/>
      <c r="S26" s="41"/>
      <c r="T26" s="41" t="s">
        <v>99</v>
      </c>
      <c r="U26" s="41"/>
      <c r="V26" s="41"/>
      <c r="W26" s="41"/>
      <c r="X26" s="41"/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279</v>
      </c>
      <c r="F27" s="38"/>
      <c r="G27" s="181">
        <f>IF(COUNT(M27:Y27)=0,"",(COUNT(M27:Y27)))</f>
        <v>5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4</v>
      </c>
      <c r="I27" s="186">
        <f>IF(ISERROR(G27-H27),"",G27-H27)</f>
        <v>1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19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10</v>
      </c>
      <c r="L27" s="39"/>
      <c r="M27" s="41"/>
      <c r="N27" s="41"/>
      <c r="O27" s="41"/>
      <c r="P27" s="41"/>
      <c r="Q27" s="41"/>
      <c r="R27" s="41"/>
      <c r="S27" s="41">
        <v>26.54</v>
      </c>
      <c r="T27" s="41"/>
      <c r="U27" s="41"/>
      <c r="V27" s="41">
        <v>28.1</v>
      </c>
      <c r="W27" s="41">
        <v>26.05</v>
      </c>
      <c r="X27" s="60">
        <v>23.32</v>
      </c>
      <c r="Y27" s="41">
        <v>24.51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6</v>
      </c>
      <c r="AB27" s="183">
        <f>IF(ISERROR(SUM(M27:Y27)/G27),"",(SUM(M27:Y27)/G27))</f>
        <v>25.703999999999997</v>
      </c>
      <c r="AC27" s="184">
        <f>IF(ISERROR(SUM(M27:Y27)/G27+H27),"",(SUM(M27:Y27)/G27+H27))</f>
        <v>29.703999999999997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/>
      <c r="P28" s="41"/>
      <c r="Q28" s="41"/>
      <c r="R28" s="41"/>
      <c r="S28" s="41" t="s">
        <v>84</v>
      </c>
      <c r="T28" s="41"/>
      <c r="U28" s="41"/>
      <c r="V28" s="41" t="s">
        <v>78</v>
      </c>
      <c r="W28" s="41" t="s">
        <v>85</v>
      </c>
      <c r="X28" s="60" t="s">
        <v>92</v>
      </c>
      <c r="Y28" s="41" t="s">
        <v>401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403</v>
      </c>
      <c r="F29" s="38"/>
      <c r="G29" s="181">
        <f>IF(COUNT(M29:Y29)=0,"",(COUNT(M29:Y29)))</f>
        <v>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>
        <f>IF(ISERROR(G29-H29),"",G29-H29)</f>
        <v>1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1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</v>
      </c>
      <c r="L29" s="39"/>
      <c r="M29" s="41"/>
      <c r="N29" s="41"/>
      <c r="O29" s="41"/>
      <c r="P29" s="41"/>
      <c r="Q29" s="41"/>
      <c r="R29" s="41">
        <v>22.31</v>
      </c>
      <c r="S29" s="41"/>
      <c r="T29" s="41"/>
      <c r="U29" s="41"/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1</v>
      </c>
      <c r="AB29" s="183">
        <f>IF(ISERROR(SUM(M29:Y29)/G29),"",(SUM(M29:Y29)/G29))</f>
        <v>22.31</v>
      </c>
      <c r="AC29" s="184">
        <f>IF(ISERROR(SUM(M29:Y29)/G29+H29),"",(SUM(M29:Y29)/G29+H29))</f>
        <v>22.31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/>
      <c r="R30" s="41" t="s">
        <v>97</v>
      </c>
      <c r="S30" s="41"/>
      <c r="T30" s="41"/>
      <c r="U30" s="41"/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404</v>
      </c>
      <c r="F31" s="38"/>
      <c r="G31" s="181">
        <f>IF(COUNT(M31:Y31)=0,"",(COUNT(M31:Y31)))</f>
        <v>1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1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4</v>
      </c>
      <c r="L31" s="39"/>
      <c r="M31" s="41"/>
      <c r="N31" s="41"/>
      <c r="O31" s="41"/>
      <c r="P31" s="41"/>
      <c r="Q31" s="41"/>
      <c r="R31" s="41">
        <v>20.85</v>
      </c>
      <c r="S31" s="41"/>
      <c r="T31" s="41"/>
      <c r="U31" s="41"/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20.85</v>
      </c>
      <c r="AC31" s="184">
        <f>IF(ISERROR(SUM(M31:Y31)/G31+H31),"",(SUM(M31:Y31)/G31+H31))</f>
        <v>20.85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 t="s">
        <v>81</v>
      </c>
      <c r="S32" s="41"/>
      <c r="T32" s="41"/>
      <c r="U32" s="41"/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1</v>
      </c>
      <c r="O50" s="44">
        <v>1</v>
      </c>
      <c r="P50" s="44">
        <v>3</v>
      </c>
      <c r="Q50" s="44">
        <v>2</v>
      </c>
      <c r="R50" s="44">
        <v>3</v>
      </c>
      <c r="S50" s="44">
        <v>1</v>
      </c>
      <c r="T50" s="44">
        <v>3</v>
      </c>
      <c r="U50" s="44">
        <v>2</v>
      </c>
      <c r="V50" s="44">
        <v>0</v>
      </c>
      <c r="W50" s="44">
        <v>2</v>
      </c>
      <c r="X50" s="61">
        <v>2</v>
      </c>
      <c r="Y50" s="44">
        <v>2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3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6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8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7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7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6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7:O7 M9:O9 M23:O23 M25:O25 M27:O27 M29:O29 M31:O31 M33:O33 M35:Z35 M37:Z37 M39:Z39 M41:Z41 M43:Z43 M45:Z45 M47:Z47 N11:O11 N13:O13 N15:O15 N17:O17 N19:O19 N21:O21 Q7:T7 Q9:Z9 Q11:Z11 Q13:Z13 Q15:Z15 Q17:Z17 Q19:Z19 Q21:Z21 Q23:Z23 Q25:Z25 Q27:Z27 Q29:Z29 Q31:Z31 Q33:Z33 R18 V7:Z7">
    <cfRule type="expression" dxfId="61" priority="1">
      <formula>LEFT(R19,1)="4"</formula>
    </cfRule>
  </conditionalFormatting>
  <conditionalFormatting sqref="G7 G9 G11 G13 G15 G17 G19 G21 G23 G25 G27 G29 G31 G33 G35 G37 G39 G41 G43 G45 G47 L7 L9 L11:L48">
    <cfRule type="expression" dxfId="60" priority="2">
      <formula>G7=0</formula>
    </cfRule>
  </conditionalFormatting>
  <conditionalFormatting sqref="M11 M13 M15 M17 M19 M21">
    <cfRule type="expression" dxfId="59" priority="3">
      <formula>LEFT(M12,1)="4"</formula>
    </cfRule>
  </conditionalFormatting>
  <conditionalFormatting sqref="M8:O8 M10:O10 M12:O12 M14:O14 M16:O16 M18:O18 M20:O20 M22:O22 M24:O24 M26:O26 M28:O28 M30:O30 M32:O32 M34:O34 M36:Y36 M38:Y38 M40:Y40 M42:Y42 M44:Y44 M46:Y46 M48:Y48 Q8:T8 Q10:Y10 Q12:Y12 Q14:Y14 Q16:Y16 Q18:Y18 Q20:Y20 Q22:Y22 Q24:Y24 Q26:Y26 Q28:Y28 Q30:Y30 Q32:Y32 Q34:Y34 V8:Y8">
    <cfRule type="expression" dxfId="58" priority="4">
      <formula>LEFT(M8,1)="4"</formula>
    </cfRule>
  </conditionalFormatting>
  <conditionalFormatting sqref="P7 P9 P11 P13 P15 P17 P19 P21 P23 P25 P27 P29 P31 P33">
    <cfRule type="expression" dxfId="57" priority="5">
      <formula>LEFT(P8,1)="4"</formula>
    </cfRule>
  </conditionalFormatting>
  <conditionalFormatting sqref="P8 P10 P12 P14 P16 P18 P20 P22 P24 P26 P28 P30 P32 P34">
    <cfRule type="expression" dxfId="56" priority="6">
      <formula>LEFT(P8,1)="4"</formula>
    </cfRule>
  </conditionalFormatting>
  <conditionalFormatting sqref="U7">
    <cfRule type="expression" dxfId="55" priority="7">
      <formula>LEFT(U8,1)="4"</formula>
    </cfRule>
  </conditionalFormatting>
  <conditionalFormatting sqref="U8">
    <cfRule type="expression" dxfId="54" priority="8">
      <formula>LEFT(U8,1)="4"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53" priority="9">
      <formula>H7=0</formula>
    </cfRule>
  </conditionalFormatting>
  <conditionalFormatting sqref="AA7 AA9 AA11 AA13 AA15 AA17 AA19 AA21 AA23 AA25 AA27 AA29 AA31 AA33 AA35 AA37 AA39 AA41 AA43 AA45 AA47">
    <cfRule type="expression" dxfId="52" priority="10">
      <formula>AA7=0</formula>
    </cfRule>
  </conditionalFormatting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1000"/>
  <sheetViews>
    <sheetView showGridLines="0" topLeftCell="A10" workbookViewId="0">
      <selection activeCell="Y49" sqref="Y49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12</v>
      </c>
      <c r="E2" s="196" t="s">
        <v>280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281</v>
      </c>
      <c r="F7" s="38"/>
      <c r="G7" s="181">
        <f>IF(COUNT(M7:Y7)=0,"",(COUNT(M7:Y7)))</f>
        <v>3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</v>
      </c>
      <c r="I7" s="186">
        <f>IF(ISERROR(G7-H7),"",G7-H7)</f>
        <v>2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7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11</v>
      </c>
      <c r="L7" s="39"/>
      <c r="M7" s="41"/>
      <c r="N7" s="41"/>
      <c r="O7" s="41"/>
      <c r="P7" s="41"/>
      <c r="Q7" s="41"/>
      <c r="R7" s="41"/>
      <c r="S7" s="41"/>
      <c r="T7" s="41"/>
      <c r="U7" s="41"/>
      <c r="V7" s="41">
        <v>21.12</v>
      </c>
      <c r="W7" s="41"/>
      <c r="X7" s="60">
        <v>17.48</v>
      </c>
      <c r="Y7" s="41">
        <v>18.22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183">
        <f>IF(ISERROR(SUM(M7:Y7)/G7),"",(SUM(M7:Y7)/G7))</f>
        <v>18.940000000000001</v>
      </c>
      <c r="AC7" s="184">
        <f>IF(ISERROR(SUM(M7:Y7)/G7+H7),"",(SUM(M7:Y7)/G7+H7))</f>
        <v>19.940000000000001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Allocation'!$B$30:$B$37,MATCH(Swanage!$D$2,'Number Allocation'!$D$30:$D$37,0))),0,(INDEX('Number Allocation'!$B$30:$B$37,MATCH(Swanage!$D$2,'Number Allocation'!$D$30:$D$37,0))))+IF(ISERROR(INDEX('Number Allocation'!$D$30:$D$37,MATCH(Swanage!$D$2,'Number Allocation'!$B$30:$B$37,0))),0,(INDEX('Number Allocation'!$D$30:$D$37,MATCH(Swanage!$D$2,'Number Allocation'!$B$30:$B$37,0))))</f>
        <v>3</v>
      </c>
      <c r="AK7" s="44">
        <v>1</v>
      </c>
      <c r="AL7" s="44" t="str">
        <f>VLOOKUP(AJ7,'Number Allocation'!$I$7:$J$22,2,0)</f>
        <v>Weymouth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AS7" s="44">
        <f t="shared" ref="AS7:AS19" si="0">IF(SUM(AO7:AQ7)=0,0,(12-AR7))</f>
        <v>3</v>
      </c>
      <c r="AT7" s="2"/>
      <c r="AU7" s="44">
        <f t="shared" ref="AU7:AU19" si="1">(AR7)</f>
        <v>9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/>
      <c r="N8" s="41"/>
      <c r="O8" s="41"/>
      <c r="P8" s="41"/>
      <c r="Q8" s="41"/>
      <c r="R8" s="41"/>
      <c r="S8" s="41"/>
      <c r="T8" s="41"/>
      <c r="U8" s="41"/>
      <c r="V8" s="41" t="s">
        <v>81</v>
      </c>
      <c r="W8" s="41"/>
      <c r="X8" s="60" t="s">
        <v>88</v>
      </c>
      <c r="Y8" s="41" t="s">
        <v>93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Allocation'!$H$30:$H$37,MATCH(Swanage!$D$2,'Number Allocation'!$F$30:$F$37,0))),0,(INDEX('Number Allocation'!$H$30:$H$37,MATCH(Swanage!$D$2,'Number Allocation'!$F$30:$F$37,0))))+IF(ISERROR(INDEX('Number Allocation'!$F$30:$F$37,MATCH(Swanage!$D$2,'Number Allocation'!$H$30:$H$37,0))),0,(INDEX('Number Allocation'!$F$30:$F$37,MATCH(Swanage!$D$2,'Number Allocation'!$H$30:$H$37,0))))</f>
        <v>4</v>
      </c>
      <c r="AK8" s="44">
        <v>2</v>
      </c>
      <c r="AL8" s="44" t="str">
        <f>VLOOKUP(AJ8,'Number Allocation'!$I$7:$J$22,2,0)</f>
        <v>Dorchester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AS8" s="44">
        <f t="shared" si="0"/>
        <v>7</v>
      </c>
      <c r="AT8" s="2"/>
      <c r="AU8" s="44">
        <f t="shared" si="1"/>
        <v>5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282</v>
      </c>
      <c r="F9" s="38"/>
      <c r="G9" s="181">
        <f>IF(COUNT(M9:Y9)=0,"",(COUNT(M9:Y9)))</f>
        <v>7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4</v>
      </c>
      <c r="I9" s="186">
        <f>IF(ISERROR(G9-H9),"",G9-H9)</f>
        <v>3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24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20</v>
      </c>
      <c r="L9" s="39"/>
      <c r="M9" s="41">
        <v>23.02</v>
      </c>
      <c r="N9" s="41">
        <v>20.43</v>
      </c>
      <c r="O9" s="41"/>
      <c r="P9" s="41">
        <v>20.67</v>
      </c>
      <c r="Q9" s="41">
        <v>21.06</v>
      </c>
      <c r="R9" s="41">
        <v>21.06</v>
      </c>
      <c r="S9" s="41">
        <v>23.51</v>
      </c>
      <c r="T9" s="41">
        <v>23.65</v>
      </c>
      <c r="U9" s="41"/>
      <c r="V9" s="41"/>
      <c r="W9" s="41"/>
      <c r="X9" s="41"/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183">
        <f>IF(ISERROR(SUM(M9:Y9)/G9),"",(SUM(M9:Y9)/G9))</f>
        <v>21.914285714285715</v>
      </c>
      <c r="AC9" s="184">
        <f>IF(ISERROR(SUM(M9:Y9)/G9+H9),"",(SUM(M9:Y9)/G9+H9))</f>
        <v>25.914285714285715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Allocation'!$J$30:$J$37,MATCH(Swanage!$D$2,'Number Allocation'!$L$30:$L$37,0))),0,(INDEX('Number Allocation'!$J$30:$J$37,MATCH(Swanage!$D$2,'Number Allocation'!$L$30:$L$37,0))))+IF(ISERROR(INDEX('Number Allocation'!$L$30:$L$37,MATCH(Swanage!$D$2,'Number Allocation'!$J$30:$J$37,0))),0,(INDEX('Number Allocation'!$L$30:$L$37,MATCH(Swanage!$D$2,'Number Allocation'!$J$30:$J$37,0))))</f>
        <v>5</v>
      </c>
      <c r="AK9" s="44">
        <v>3</v>
      </c>
      <c r="AL9" s="44" t="str">
        <f>VLOOKUP(AJ9,'Number Allocation'!$I$7:$J$22,2,0)</f>
        <v>Boscombe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AS9" s="44">
        <f t="shared" si="0"/>
        <v>3</v>
      </c>
      <c r="AT9" s="2"/>
      <c r="AU9" s="44">
        <f t="shared" si="1"/>
        <v>9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77</v>
      </c>
      <c r="N10" s="41" t="s">
        <v>84</v>
      </c>
      <c r="O10" s="41"/>
      <c r="P10" s="41" t="s">
        <v>99</v>
      </c>
      <c r="Q10" s="41" t="s">
        <v>93</v>
      </c>
      <c r="R10" s="41" t="s">
        <v>88</v>
      </c>
      <c r="S10" s="41" t="s">
        <v>93</v>
      </c>
      <c r="T10" s="41" t="s">
        <v>88</v>
      </c>
      <c r="U10" s="41"/>
      <c r="V10" s="41"/>
      <c r="W10" s="41"/>
      <c r="X10" s="41"/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Allocation'!$N$30:$N$37,MATCH(Swanage!$D$2,'Number Allocation'!$P$30:$P$37,0))),0,(INDEX('Number Allocation'!$N$30:$N$37,MATCH(Swanage!$D$2,'Number Allocation'!$P$30:$P$37,0))))+IF(ISERROR(INDEX('Number Allocation'!$P$30:$P$37,MATCH(Swanage!$D$2,'Number Allocation'!$N$30:$N$37,0))),0,(INDEX('Number Allocation'!$P$30:$P$37,MATCH(Swanage!$D$2,'Number Allocation'!$N$30:$N$37,0))))</f>
        <v>6</v>
      </c>
      <c r="AK10" s="44">
        <v>4</v>
      </c>
      <c r="AL10" s="44" t="str">
        <f>VLOOKUP(AJ10,'Number Allocation'!$I$7:$J$22,2,0)</f>
        <v>Bridport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AS10" s="44">
        <f t="shared" si="0"/>
        <v>7</v>
      </c>
      <c r="AT10" s="2"/>
      <c r="AU10" s="44">
        <f t="shared" si="1"/>
        <v>5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283</v>
      </c>
      <c r="F11" s="38"/>
      <c r="G11" s="181">
        <f>IF(COUNT(M11:Y11)=0,"",(COUNT(M11:Y11)))</f>
        <v>11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6</v>
      </c>
      <c r="I11" s="186">
        <f>IF(ISERROR(G11-H11),"",G11-H11)</f>
        <v>5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38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30</v>
      </c>
      <c r="L11" s="39"/>
      <c r="M11" s="41">
        <v>21.83</v>
      </c>
      <c r="N11" s="41">
        <v>20.309999999999999</v>
      </c>
      <c r="O11" s="41">
        <v>22.05</v>
      </c>
      <c r="P11" s="41">
        <v>21.19</v>
      </c>
      <c r="Q11" s="41">
        <v>21.58</v>
      </c>
      <c r="R11" s="41">
        <v>21.86</v>
      </c>
      <c r="S11" s="41">
        <v>22.18</v>
      </c>
      <c r="T11" s="41">
        <v>24.48</v>
      </c>
      <c r="U11" s="41">
        <v>22.41</v>
      </c>
      <c r="V11" s="41"/>
      <c r="W11" s="41">
        <v>21.14</v>
      </c>
      <c r="X11" s="60">
        <v>21.16</v>
      </c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2</v>
      </c>
      <c r="AB11" s="183">
        <f>IF(ISERROR(SUM(M11:Y11)/G11),"",(SUM(M11:Y11)/G11))</f>
        <v>21.835454545454542</v>
      </c>
      <c r="AC11" s="184">
        <f>IF(ISERROR(SUM(M11:Y11)/G11+H11),"",(SUM(M11:Y11)/G11+H11))</f>
        <v>27.835454545454542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Allocation'!$R$30:$R$37,MATCH(Swanage!$D$2,'Number Allocation'!$T$30:$T$37,0))),0,(INDEX('Number Allocation'!$R$30:$R$37,MATCH(Swanage!$D$2,'Number Allocation'!$T$30:$T$37,0))))+IF(ISERROR(INDEX('Number Allocation'!$T$30:$T$37,MATCH(Swanage!$D$2,'Number Allocation'!$R$30:$R$37,0))),0,(INDEX('Number Allocation'!$T$30:$T$37,MATCH(Swanage!$D$2,'Number Allocation'!$R$30:$R$37,0))))</f>
        <v>7</v>
      </c>
      <c r="AK11" s="44">
        <v>5</v>
      </c>
      <c r="AL11" s="44" t="str">
        <f>VLOOKUP(AJ11,'Number Allocation'!$I$7:$J$22,2,0)</f>
        <v>Shaftesbury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9</v>
      </c>
      <c r="AS11" s="44">
        <f t="shared" si="0"/>
        <v>3</v>
      </c>
      <c r="AT11" s="2"/>
      <c r="AU11" s="44">
        <f t="shared" si="1"/>
        <v>9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83</v>
      </c>
      <c r="N12" s="41" t="s">
        <v>84</v>
      </c>
      <c r="O12" s="41" t="s">
        <v>88</v>
      </c>
      <c r="P12" s="41" t="s">
        <v>78</v>
      </c>
      <c r="Q12" s="41" t="s">
        <v>93</v>
      </c>
      <c r="R12" s="41" t="s">
        <v>99</v>
      </c>
      <c r="S12" s="41" t="s">
        <v>84</v>
      </c>
      <c r="T12" s="41" t="s">
        <v>79</v>
      </c>
      <c r="U12" s="41" t="s">
        <v>78</v>
      </c>
      <c r="V12" s="41"/>
      <c r="W12" s="41" t="s">
        <v>88</v>
      </c>
      <c r="X12" s="60" t="s">
        <v>88</v>
      </c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Allocation'!$B$44:$B$51,MATCH(Swanage!$D$2,'Number Allocation'!$D$44:$D$51,0))),0,(INDEX('Number Allocation'!$B$44:$B$51,MATCH(Swanage!$D$2,'Number Allocation'!$D$44:$D$51,0))))+IF(ISERROR(INDEX('Number Allocation'!$D$44:$D$51,MATCH(Swanage!$D$2,'Number Allocation'!$B$44:$B$51,0))),0,(INDEX('Number Allocation'!$D$44:$D$51,MATCH(Swanage!$D$2,'Number Allocation'!$B$44:$B$51,0))))</f>
        <v>8</v>
      </c>
      <c r="AK12" s="44">
        <v>6</v>
      </c>
      <c r="AL12" s="44" t="str">
        <f>VLOOKUP(AJ12,'Number Allocation'!$I$7:$J$22,2,0)</f>
        <v>Alderholt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AS12" s="44">
        <f t="shared" si="0"/>
        <v>8</v>
      </c>
      <c r="AT12" s="2"/>
      <c r="AU12" s="44">
        <f t="shared" si="1"/>
        <v>4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284</v>
      </c>
      <c r="F13" s="38"/>
      <c r="G13" s="181">
        <f>IF(COUNT(M13:Y13)=0,"",(COUNT(M13:Y13)))</f>
        <v>7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</v>
      </c>
      <c r="I13" s="186">
        <f>IF(ISERROR(G13-H13),"",G13-H13)</f>
        <v>6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9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27</v>
      </c>
      <c r="L13" s="39"/>
      <c r="M13" s="41">
        <v>17.36</v>
      </c>
      <c r="N13" s="41">
        <v>17.39</v>
      </c>
      <c r="O13" s="41">
        <v>18.47</v>
      </c>
      <c r="P13" s="41"/>
      <c r="Q13" s="41"/>
      <c r="R13" s="41">
        <v>16.21</v>
      </c>
      <c r="S13" s="41"/>
      <c r="T13" s="41"/>
      <c r="U13" s="41">
        <v>18.89</v>
      </c>
      <c r="V13" s="41">
        <v>19</v>
      </c>
      <c r="W13" s="41"/>
      <c r="X13" s="41"/>
      <c r="Y13" s="41">
        <v>16.05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>
        <f>IF(ISERROR(SUM(M13:Y13)/G13),"",(SUM(M13:Y13)/G13))</f>
        <v>17.624285714285715</v>
      </c>
      <c r="AC13" s="184">
        <f>IF(ISERROR(SUM(M13:Y13)/G13+H13),"",(SUM(M13:Y13)/G13+H13))</f>
        <v>18.624285714285715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Allocation'!$H$44:$H$51,MATCH(Swanage!$D$2,'Number Allocation'!$F$44:$F$51,0))),0,(INDEX('Number Allocation'!$H$44:$H$51,MATCH(Swanage!$D$2,'Number Allocation'!$F$44:$F$51,0))))+IF(ISERROR(INDEX('Number Allocation'!$F$44:$F$51,MATCH(Swanage!$D$2,'Number Allocation'!$H$44:$H$51,0))),0,(INDEX('Number Allocation'!$F$44:$F$51,MATCH(Swanage!$D$2,'Number Allocation'!$H$44:$H$51,0))))</f>
        <v>9</v>
      </c>
      <c r="AK13" s="44">
        <v>7</v>
      </c>
      <c r="AL13" s="44" t="str">
        <f>VLOOKUP(AJ13,'Number Allocation'!$I$7:$J$22,2,0)</f>
        <v>Poole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93</v>
      </c>
      <c r="N14" s="41" t="s">
        <v>81</v>
      </c>
      <c r="O14" s="41" t="s">
        <v>90</v>
      </c>
      <c r="P14" s="41"/>
      <c r="Q14" s="41"/>
      <c r="R14" s="41" t="s">
        <v>90</v>
      </c>
      <c r="S14" s="41"/>
      <c r="T14" s="41"/>
      <c r="U14" s="41" t="s">
        <v>90</v>
      </c>
      <c r="V14" s="41" t="s">
        <v>81</v>
      </c>
      <c r="W14" s="41"/>
      <c r="X14" s="41"/>
      <c r="Y14" s="41" t="s">
        <v>99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Allocation'!$J$44:$J$51,MATCH(Swanage!$D$2,'Number Allocation'!$L$44:$L$51,0))),0,(INDEX('Number Allocation'!$J$44:$J$51,MATCH(Swanage!$D$2,'Number Allocation'!$L$44:$L$51,0))))+IF(ISERROR(INDEX('Number Allocation'!$L$44:$L$51,MATCH(Swanage!$D$2,'Number Allocation'!$J$44:$J$51,0))),0,(INDEX('Number Allocation'!$L$44:$L$51,MATCH(Swanage!$D$2,'Number Allocation'!$J$44:$J$51,0))))</f>
        <v>10</v>
      </c>
      <c r="AK14" s="44">
        <v>8</v>
      </c>
      <c r="AL14" s="44" t="str">
        <f>VLOOKUP(AJ14,'Number Allocation'!$I$7:$J$22,2,0)</f>
        <v>Lytchett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AS14" s="44">
        <f t="shared" si="0"/>
        <v>8</v>
      </c>
      <c r="AT14" s="2"/>
      <c r="AU14" s="44">
        <f t="shared" si="1"/>
        <v>4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285</v>
      </c>
      <c r="F15" s="38"/>
      <c r="G15" s="181">
        <f>IF(COUNT(M15:Y15)=0,"",(COUNT(M15:Y15)))</f>
        <v>11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10</v>
      </c>
      <c r="I15" s="186">
        <f>IF(ISERROR(G15-H15),"",G15-H15)</f>
        <v>1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43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20</v>
      </c>
      <c r="L15" s="39"/>
      <c r="M15" s="41">
        <v>25.37</v>
      </c>
      <c r="N15" s="41"/>
      <c r="O15" s="41">
        <v>29.41</v>
      </c>
      <c r="P15" s="41">
        <v>23.7</v>
      </c>
      <c r="Q15" s="41">
        <v>27.64</v>
      </c>
      <c r="R15" s="41"/>
      <c r="S15" s="41">
        <v>24.56</v>
      </c>
      <c r="T15" s="41">
        <v>25.99</v>
      </c>
      <c r="U15" s="41">
        <v>24.46</v>
      </c>
      <c r="V15" s="41">
        <v>28.48</v>
      </c>
      <c r="W15" s="41">
        <v>27.79</v>
      </c>
      <c r="X15" s="60">
        <v>26.25</v>
      </c>
      <c r="Y15" s="41">
        <v>25.85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8</v>
      </c>
      <c r="AB15" s="183">
        <f>IF(ISERROR(SUM(M15:Y15)/G15),"",(SUM(M15:Y15)/G15))</f>
        <v>26.318181818181817</v>
      </c>
      <c r="AC15" s="184">
        <f>IF(ISERROR(SUM(M15:Y15)/G15+H15),"",(SUM(M15:Y15)/G15+H15))</f>
        <v>36.318181818181813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Allocation'!$N$44:$N$51,MATCH(Swanage!$D$2,'Number Allocation'!$P$44:$P$51,0))),0,(INDEX('Number Allocation'!$N$44:$N$51,MATCH(Swanage!$D$2,'Number Allocation'!$P$44:$P$51,0))))+IF(ISERROR(INDEX('Number Allocation'!$P$44:$P$51,MATCH(Swanage!$D$2,'Number Allocation'!$N$44:$N$51,0))),0,(INDEX('Number Allocation'!$P$44:$P$51,MATCH(Swanage!$D$2,'Number Allocation'!$N$44:$N$51,0))))</f>
        <v>11</v>
      </c>
      <c r="AK15" s="44">
        <v>9</v>
      </c>
      <c r="AL15" s="44" t="str">
        <f>VLOOKUP(AJ15,'Number Allocation'!$I$7:$J$22,2,0)</f>
        <v>Portland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AS15" s="44">
        <f t="shared" si="0"/>
        <v>2</v>
      </c>
      <c r="AT15" s="2"/>
      <c r="AU15" s="44">
        <f t="shared" si="1"/>
        <v>10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93</v>
      </c>
      <c r="N16" s="41"/>
      <c r="O16" s="41" t="s">
        <v>79</v>
      </c>
      <c r="P16" s="41" t="s">
        <v>78</v>
      </c>
      <c r="Q16" s="41" t="s">
        <v>92</v>
      </c>
      <c r="R16" s="41"/>
      <c r="S16" s="41" t="s">
        <v>93</v>
      </c>
      <c r="T16" s="41" t="s">
        <v>79</v>
      </c>
      <c r="U16" s="41" t="s">
        <v>79</v>
      </c>
      <c r="V16" s="41" t="s">
        <v>88</v>
      </c>
      <c r="W16" s="41" t="s">
        <v>79</v>
      </c>
      <c r="X16" s="60" t="s">
        <v>84</v>
      </c>
      <c r="Y16" s="41" t="s">
        <v>202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Allocation'!$R$44:$R$51,MATCH(Swanage!$D$2,'Number Allocation'!$T$44:$T$51,0))),0,(INDEX('Number Allocation'!$R$44:$R$51,MATCH(Swanage!$D$2,'Number Allocation'!$T$44:$T$51,0))))+IF(ISERROR(INDEX('Number Allocation'!$T$44:$T$51,MATCH(Swanage!$D$2,'Number Allocation'!$R$44:$R$51,0))),0,(INDEX('Number Allocation'!$T$44:$T$51,MATCH(Swanage!$D$2,'Number Allocation'!$R$44:$R$51,0))))</f>
        <v>14</v>
      </c>
      <c r="AK16" s="44">
        <v>10</v>
      </c>
      <c r="AL16" s="44" t="str">
        <f>VLOOKUP(AJ16,'Number Allocation'!$I$7:$J$22,2,0)</f>
        <v>Christchurch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</v>
      </c>
      <c r="AS16" s="44">
        <f t="shared" si="0"/>
        <v>11</v>
      </c>
      <c r="AT16" s="2"/>
      <c r="AU16" s="44">
        <f t="shared" si="1"/>
        <v>1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286</v>
      </c>
      <c r="F17" s="38"/>
      <c r="G17" s="181">
        <f>IF(COUNT(M17:Y17)=0,"",(COUNT(M17:Y17)))</f>
        <v>11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7</v>
      </c>
      <c r="I17" s="186">
        <f>IF(ISERROR(G17-H17),"",G17-H17)</f>
        <v>4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36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29</v>
      </c>
      <c r="L17" s="39"/>
      <c r="M17" s="41"/>
      <c r="N17" s="41">
        <v>26.24</v>
      </c>
      <c r="O17" s="41">
        <v>20.94</v>
      </c>
      <c r="P17" s="41">
        <v>20.74</v>
      </c>
      <c r="Q17" s="41">
        <v>20.04</v>
      </c>
      <c r="R17" s="41">
        <v>18.579999999999998</v>
      </c>
      <c r="S17" s="41">
        <v>20.92</v>
      </c>
      <c r="T17" s="41"/>
      <c r="U17" s="41">
        <v>22.48</v>
      </c>
      <c r="V17" s="41">
        <v>19.190000000000001</v>
      </c>
      <c r="W17" s="41">
        <v>20.46</v>
      </c>
      <c r="X17" s="60">
        <v>18.77</v>
      </c>
      <c r="Y17" s="41">
        <v>20.93</v>
      </c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4</v>
      </c>
      <c r="AB17" s="183">
        <f>IF(ISERROR(SUM(M17:Y17)/G17),"",(SUM(M17:Y17)/G17))</f>
        <v>20.844545454545457</v>
      </c>
      <c r="AC17" s="184">
        <f>IF(ISERROR(SUM(M17:Y17)/G17+H17),"",(SUM(M17:Y17)/G17+H17))</f>
        <v>27.844545454545457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Allocation'!$B$58:$B$65,MATCH(Swanage!$D$2,'Number Allocation'!$D$58:$D$65,0))),0,(INDEX('Number Allocation'!$B$58:$B$65,MATCH(Swanage!$D$2,'Number Allocation'!$D$58:$D$65,0))))+IF(ISERROR(INDEX('Number Allocation'!$D$58:$D$65,MATCH(Swanage!$D$2,'Number Allocation'!$B$58:$B$65,0))),0,(INDEX('Number Allocation'!$D$58:$D$65,MATCH(Swanage!$D$2,'Number Allocation'!$B$58:$B$65,0))))</f>
        <v>13</v>
      </c>
      <c r="AK17" s="44">
        <v>11</v>
      </c>
      <c r="AL17" s="44" t="str">
        <f>VLOOKUP(AJ17,'Number Allocation'!$I$7:$J$22,2,0)</f>
        <v>Bournemouth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1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AS17" s="44">
        <f t="shared" si="0"/>
        <v>4</v>
      </c>
      <c r="AT17" s="2"/>
      <c r="AU17" s="44">
        <f t="shared" si="1"/>
        <v>8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 t="s">
        <v>287</v>
      </c>
      <c r="O18" s="41" t="s">
        <v>93</v>
      </c>
      <c r="P18" s="41" t="s">
        <v>88</v>
      </c>
      <c r="Q18" s="41" t="s">
        <v>77</v>
      </c>
      <c r="R18" s="41" t="s">
        <v>84</v>
      </c>
      <c r="S18" s="41" t="s">
        <v>79</v>
      </c>
      <c r="T18" s="41"/>
      <c r="U18" s="41" t="s">
        <v>78</v>
      </c>
      <c r="V18" s="41" t="s">
        <v>99</v>
      </c>
      <c r="W18" s="41" t="s">
        <v>93</v>
      </c>
      <c r="X18" s="60" t="s">
        <v>88</v>
      </c>
      <c r="Y18" s="41" t="s">
        <v>94</v>
      </c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Allocation'!$H$58:$H$65,MATCH(Swanage!$D$2,'Number Allocation'!$F$58:$F$65,0))),0,(INDEX('Number Allocation'!$H$58:$H$65,MATCH(Swanage!$D$2,'Number Allocation'!$F$58:$F$65,0))))+IF(ISERROR(INDEX('Number Allocation'!$F$58:$F$65,MATCH(Swanage!$D$2,'Number Allocation'!$H$58:$H$65,0))),0,(INDEX('Number Allocation'!$F$58:$F$65,MATCH(Swanage!$D$2,'Number Allocation'!$H$58:$H$65,0))))</f>
        <v>1</v>
      </c>
      <c r="AK18" s="44">
        <v>12</v>
      </c>
      <c r="AL18" s="44" t="str">
        <f>VLOOKUP(AJ18,'Number Allocation'!$I$7:$J$22,2,0)</f>
        <v>Parkstone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AS18" s="44">
        <f t="shared" si="0"/>
        <v>5</v>
      </c>
      <c r="AT18" s="2"/>
      <c r="AU18" s="44">
        <f t="shared" si="1"/>
        <v>7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288</v>
      </c>
      <c r="F19" s="38"/>
      <c r="G19" s="181">
        <f>IF(COUNT(M19:Y19)=0,"",(COUNT(M19:Y19)))</f>
        <v>2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186">
        <f>IF(ISERROR(G19-H19),"",G19-H19)</f>
        <v>0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8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</v>
      </c>
      <c r="L19" s="39"/>
      <c r="M19" s="41"/>
      <c r="N19" s="41">
        <v>24.63</v>
      </c>
      <c r="O19" s="41">
        <v>18.73</v>
      </c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1</v>
      </c>
      <c r="AB19" s="183">
        <f>IF(ISERROR(SUM(M19:Y19)/G19),"",(SUM(M19:Y19)/G19))</f>
        <v>21.68</v>
      </c>
      <c r="AC19" s="184">
        <f>IF(ISERROR(SUM(M19:Y19)/G19+H19),"",(SUM(M19:Y19)/G19+H19))</f>
        <v>23.68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Allocation'!$J$58:$J$65,MATCH(Swanage!$D$2,'Number Allocation'!$L$58:$L$65,0))),0,(INDEX('Number Allocation'!$J$58:$J$65,MATCH(Swanage!$D$2,'Number Allocation'!$L$58:$L$65,0))))+IF(ISERROR(INDEX('Number Allocation'!$L$58:$L$65,MATCH(Swanage!$D$2,'Number Allocation'!$J$58:$J$65,0))),0,(INDEX('Number Allocation'!$L$58:$L$65,MATCH(Swanage!$D$2,'Number Allocation'!$J$58:$J$65,0))))</f>
        <v>2</v>
      </c>
      <c r="AK19" s="44">
        <v>13</v>
      </c>
      <c r="AL19" s="44" t="str">
        <f>VLOOKUP(AJ19,'Number Allocation'!$I$7:$J$22,2,0)</f>
        <v>Alderney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AS19" s="44">
        <f t="shared" si="0"/>
        <v>4</v>
      </c>
      <c r="AT19" s="2"/>
      <c r="AU19" s="44">
        <f t="shared" si="1"/>
        <v>8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/>
      <c r="N20" s="41" t="s">
        <v>94</v>
      </c>
      <c r="O20" s="41" t="s">
        <v>77</v>
      </c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289</v>
      </c>
      <c r="F21" s="38"/>
      <c r="G21" s="181">
        <f>IF(COUNT(M21:Y21)=0,"",(COUNT(M21:Y21)))</f>
        <v>8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7</v>
      </c>
      <c r="I21" s="186">
        <f>IF(ISERROR(G21-H21),"",G21-H21)</f>
        <v>1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30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11</v>
      </c>
      <c r="L21" s="39"/>
      <c r="M21" s="41"/>
      <c r="N21" s="41"/>
      <c r="O21" s="41">
        <v>27.94</v>
      </c>
      <c r="P21" s="41">
        <v>21.97</v>
      </c>
      <c r="Q21" s="41">
        <v>26.03</v>
      </c>
      <c r="R21" s="41"/>
      <c r="S21" s="41">
        <v>22.02</v>
      </c>
      <c r="T21" s="41">
        <v>22.97</v>
      </c>
      <c r="U21" s="41">
        <v>23.15</v>
      </c>
      <c r="V21" s="41"/>
      <c r="W21" s="41">
        <v>25.69</v>
      </c>
      <c r="X21" s="41"/>
      <c r="Y21" s="41">
        <v>26.72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5</v>
      </c>
      <c r="AB21" s="183">
        <f>IF(ISERROR(SUM(M21:Y21)/G21),"",(SUM(M21:Y21)/G21))</f>
        <v>24.561249999999998</v>
      </c>
      <c r="AC21" s="184">
        <f>IF(ISERROR(SUM(M21:Y21)/G21+H21),"",(SUM(M21:Y21)/G21+H21))</f>
        <v>31.561249999999998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7</v>
      </c>
      <c r="AP21" s="44">
        <f t="shared" si="2"/>
        <v>1</v>
      </c>
      <c r="AQ21" s="44">
        <f t="shared" si="2"/>
        <v>5</v>
      </c>
      <c r="AR21" s="44">
        <f t="shared" si="2"/>
        <v>85</v>
      </c>
      <c r="AS21" s="44">
        <f t="shared" si="2"/>
        <v>71</v>
      </c>
      <c r="AT21" s="2"/>
      <c r="AU21" s="44">
        <f>SUM(AU7:AU19)</f>
        <v>85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/>
      <c r="N22" s="41"/>
      <c r="O22" s="41" t="s">
        <v>84</v>
      </c>
      <c r="P22" s="41" t="s">
        <v>84</v>
      </c>
      <c r="Q22" s="41" t="s">
        <v>86</v>
      </c>
      <c r="R22" s="41"/>
      <c r="S22" s="41" t="s">
        <v>77</v>
      </c>
      <c r="T22" s="41" t="s">
        <v>128</v>
      </c>
      <c r="U22" s="41" t="s">
        <v>84</v>
      </c>
      <c r="V22" s="41"/>
      <c r="W22" s="41" t="s">
        <v>86</v>
      </c>
      <c r="X22" s="41"/>
      <c r="Y22" s="41" t="s">
        <v>79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290</v>
      </c>
      <c r="F23" s="38"/>
      <c r="G23" s="181">
        <f>IF(COUNT(M23:Y23)=0,"",(COUNT(M23:Y23)))</f>
        <v>12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7</v>
      </c>
      <c r="I23" s="186">
        <f>IF(ISERROR(G23-H23),"",G23-H23)</f>
        <v>5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38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22</v>
      </c>
      <c r="L23" s="39"/>
      <c r="M23" s="41">
        <v>22.02</v>
      </c>
      <c r="N23" s="40">
        <v>22.32</v>
      </c>
      <c r="O23" s="41">
        <v>22.89</v>
      </c>
      <c r="P23" s="41">
        <v>20.12</v>
      </c>
      <c r="Q23" s="41">
        <v>27.08</v>
      </c>
      <c r="R23" s="41">
        <v>19.350000000000001</v>
      </c>
      <c r="S23" s="41">
        <v>22.76</v>
      </c>
      <c r="T23" s="41">
        <v>23.14</v>
      </c>
      <c r="U23" s="41">
        <v>21.55</v>
      </c>
      <c r="V23" s="41"/>
      <c r="W23" s="41">
        <v>19.09</v>
      </c>
      <c r="X23" s="60">
        <v>23.57</v>
      </c>
      <c r="Y23" s="41">
        <v>22.64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22.210833333333337</v>
      </c>
      <c r="AC23" s="184">
        <f>IF(ISERROR(SUM(M23:Y23)/G23+H23),"",(SUM(M23:Y23)/G23+H23))</f>
        <v>29.210833333333337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77</v>
      </c>
      <c r="N24" s="41" t="s">
        <v>84</v>
      </c>
      <c r="O24" s="41" t="s">
        <v>77</v>
      </c>
      <c r="P24" s="41" t="s">
        <v>77</v>
      </c>
      <c r="Q24" s="41" t="s">
        <v>77</v>
      </c>
      <c r="R24" s="41" t="s">
        <v>88</v>
      </c>
      <c r="S24" s="41" t="s">
        <v>81</v>
      </c>
      <c r="T24" s="41" t="s">
        <v>99</v>
      </c>
      <c r="U24" s="41" t="s">
        <v>77</v>
      </c>
      <c r="V24" s="41"/>
      <c r="W24" s="41" t="s">
        <v>77</v>
      </c>
      <c r="X24" s="60" t="s">
        <v>83</v>
      </c>
      <c r="Y24" s="41" t="s">
        <v>99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291</v>
      </c>
      <c r="F25" s="38"/>
      <c r="G25" s="181">
        <f>IF(COUNT(M25:Y25)=0,"",(COUNT(M25:Y25)))</f>
        <v>1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>
        <f>IF(ISERROR(G25-H25),"",G25-H25)</f>
        <v>1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4</v>
      </c>
      <c r="L25" s="39"/>
      <c r="M25" s="41">
        <v>17.29</v>
      </c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17.29</v>
      </c>
      <c r="AC25" s="184">
        <f>IF(ISERROR(SUM(M25:Y25)/G25+H25),"",(SUM(M25:Y25)/G25+H25))</f>
        <v>17.29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81</v>
      </c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292</v>
      </c>
      <c r="F27" s="38"/>
      <c r="G27" s="181">
        <f>IF(COUNT(M27:Y27)=0,"",(COUNT(M27:Y27)))</f>
        <v>10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3</v>
      </c>
      <c r="I27" s="186">
        <f>IF(ISERROR(G27-H27),"",G27-H27)</f>
        <v>7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21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32</v>
      </c>
      <c r="L27" s="39"/>
      <c r="M27" s="41">
        <v>16.39</v>
      </c>
      <c r="N27" s="41">
        <v>20.2</v>
      </c>
      <c r="O27" s="41"/>
      <c r="P27" s="41">
        <v>17.53</v>
      </c>
      <c r="Q27" s="41">
        <v>18.38</v>
      </c>
      <c r="R27" s="41">
        <v>20.89</v>
      </c>
      <c r="S27" s="41"/>
      <c r="T27" s="41">
        <v>23.93</v>
      </c>
      <c r="U27" s="41">
        <v>20.86</v>
      </c>
      <c r="V27" s="41">
        <v>19.170000000000002</v>
      </c>
      <c r="W27" s="41"/>
      <c r="X27" s="60">
        <v>18.22</v>
      </c>
      <c r="Y27" s="41">
        <v>21.17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3</v>
      </c>
      <c r="AB27" s="183">
        <f>IF(ISERROR(SUM(M27:Y27)/G27),"",(SUM(M27:Y27)/G27))</f>
        <v>19.673999999999999</v>
      </c>
      <c r="AC27" s="184">
        <f>IF(ISERROR(SUM(M27:Y27)/G27+H27),"",(SUM(M27:Y27)/G27+H27))</f>
        <v>22.673999999999999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 t="s">
        <v>93</v>
      </c>
      <c r="N28" s="41" t="s">
        <v>81</v>
      </c>
      <c r="O28" s="41"/>
      <c r="P28" s="41" t="s">
        <v>81</v>
      </c>
      <c r="Q28" s="41" t="s">
        <v>90</v>
      </c>
      <c r="R28" s="41" t="s">
        <v>81</v>
      </c>
      <c r="S28" s="41"/>
      <c r="T28" s="41" t="s">
        <v>83</v>
      </c>
      <c r="U28" s="41" t="s">
        <v>78</v>
      </c>
      <c r="V28" s="41" t="s">
        <v>91</v>
      </c>
      <c r="W28" s="41"/>
      <c r="X28" s="60" t="s">
        <v>77</v>
      </c>
      <c r="Y28" s="41" t="s">
        <v>83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293</v>
      </c>
      <c r="F29" s="38"/>
      <c r="G29" s="181">
        <f>IF(COUNT(M29:Y29)=0,"",(COUNT(M29:Y29)))</f>
        <v>12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7</v>
      </c>
      <c r="I29" s="186">
        <f>IF(ISERROR(G29-H29),"",G29-H29)</f>
        <v>5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37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28</v>
      </c>
      <c r="L29" s="39"/>
      <c r="M29" s="41">
        <v>19.940000000000001</v>
      </c>
      <c r="N29" s="41">
        <v>23.97</v>
      </c>
      <c r="O29" s="41">
        <v>21.55</v>
      </c>
      <c r="P29" s="41">
        <v>20.21</v>
      </c>
      <c r="Q29" s="41">
        <v>22.72</v>
      </c>
      <c r="R29" s="41">
        <v>23.5</v>
      </c>
      <c r="S29" s="41">
        <v>25.61</v>
      </c>
      <c r="T29" s="41">
        <v>23.48</v>
      </c>
      <c r="U29" s="41">
        <v>24.74</v>
      </c>
      <c r="V29" s="41">
        <v>25.01</v>
      </c>
      <c r="W29" s="41">
        <v>22.06</v>
      </c>
      <c r="X29" s="60">
        <v>25.29</v>
      </c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2</v>
      </c>
      <c r="AB29" s="183">
        <f>IF(ISERROR(SUM(M29:Y29)/G29),"",(SUM(M29:Y29)/G29))</f>
        <v>23.173333333333332</v>
      </c>
      <c r="AC29" s="184">
        <f>IF(ISERROR(SUM(M29:Y29)/G29+H29),"",(SUM(M29:Y29)/G29+H29))</f>
        <v>30.173333333333332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 t="s">
        <v>85</v>
      </c>
      <c r="N30" s="41" t="s">
        <v>88</v>
      </c>
      <c r="O30" s="41" t="s">
        <v>77</v>
      </c>
      <c r="P30" s="41" t="s">
        <v>90</v>
      </c>
      <c r="Q30" s="41" t="s">
        <v>78</v>
      </c>
      <c r="R30" s="41" t="s">
        <v>94</v>
      </c>
      <c r="S30" s="41" t="s">
        <v>88</v>
      </c>
      <c r="T30" s="41" t="s">
        <v>78</v>
      </c>
      <c r="U30" s="41" t="s">
        <v>77</v>
      </c>
      <c r="V30" s="41" t="s">
        <v>81</v>
      </c>
      <c r="W30" s="41" t="s">
        <v>99</v>
      </c>
      <c r="X30" s="60" t="s">
        <v>78</v>
      </c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294</v>
      </c>
      <c r="F31" s="38"/>
      <c r="G31" s="181">
        <f>IF(COUNT(M31:Y31)=0,"",(COUNT(M31:Y31)))</f>
        <v>5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5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20</v>
      </c>
      <c r="L31" s="39"/>
      <c r="M31" s="41"/>
      <c r="N31" s="41"/>
      <c r="O31" s="41"/>
      <c r="P31" s="41"/>
      <c r="Q31" s="41"/>
      <c r="R31" s="41">
        <v>19.64</v>
      </c>
      <c r="S31" s="41">
        <v>17.940000000000001</v>
      </c>
      <c r="T31" s="41">
        <v>15.62</v>
      </c>
      <c r="U31" s="41"/>
      <c r="V31" s="41">
        <v>19.7</v>
      </c>
      <c r="W31" s="41">
        <v>17.600000000000001</v>
      </c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1</v>
      </c>
      <c r="AB31" s="183">
        <f>IF(ISERROR(SUM(M31:Y31)/G31),"",(SUM(M31:Y31)/G31))</f>
        <v>18.100000000000001</v>
      </c>
      <c r="AC31" s="184">
        <f>IF(ISERROR(SUM(M31:Y31)/G31+H31),"",(SUM(M31:Y31)/G31+H31))</f>
        <v>18.100000000000001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 t="s">
        <v>90</v>
      </c>
      <c r="S32" s="41" t="s">
        <v>90</v>
      </c>
      <c r="T32" s="41" t="s">
        <v>81</v>
      </c>
      <c r="U32" s="41"/>
      <c r="V32" s="41" t="s">
        <v>97</v>
      </c>
      <c r="W32" s="41" t="s">
        <v>90</v>
      </c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295</v>
      </c>
      <c r="F33" s="38"/>
      <c r="G33" s="181">
        <f>IF(COUNT(M33:Y33)=0,"",(COUNT(M33:Y33)))</f>
        <v>2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1</v>
      </c>
      <c r="I33" s="186">
        <f>IF(ISERROR(G33-H33),"",G33-H33)</f>
        <v>1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6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7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>
        <v>23.04</v>
      </c>
      <c r="W33" s="41">
        <v>21.7</v>
      </c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>
        <f>IF(ISERROR(SUM(M33:Y33)/G33),"",(SUM(M33:Y33)/G33))</f>
        <v>22.369999999999997</v>
      </c>
      <c r="AC33" s="184">
        <f>IF(ISERROR(SUM(M33:Y33)/G33+H33),"",(SUM(M33:Y33)/G33+H33))</f>
        <v>23.369999999999997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 t="s">
        <v>99</v>
      </c>
      <c r="W34" s="41" t="s">
        <v>93</v>
      </c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 t="s">
        <v>296</v>
      </c>
      <c r="F35" s="38"/>
      <c r="G35" s="181">
        <f>IF(COUNT(M35:Y35)=0,"",(COUNT(M35:Y35)))</f>
        <v>2</v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1</v>
      </c>
      <c r="I35" s="186">
        <f>IF(ISERROR(G35-H35),"",G35-H35)</f>
        <v>1</v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4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6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60">
        <v>19.690000000000001</v>
      </c>
      <c r="Y35" s="41">
        <v>19.45</v>
      </c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>
        <f>IF(ISERROR(SUM(M35:Y35)/G35),"",(SUM(M35:Y35)/G35))</f>
        <v>19.57</v>
      </c>
      <c r="AC35" s="184">
        <f>IF(ISERROR(SUM(M35:Y35)/G35+H35),"",(SUM(M35:Y35)/G35+H35))</f>
        <v>20.57</v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60" t="s">
        <v>81</v>
      </c>
      <c r="Y36" s="41" t="s">
        <v>84</v>
      </c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3</v>
      </c>
      <c r="N50" s="44">
        <v>1</v>
      </c>
      <c r="O50" s="44">
        <v>3</v>
      </c>
      <c r="P50" s="44">
        <v>1</v>
      </c>
      <c r="Q50" s="44">
        <v>2</v>
      </c>
      <c r="R50" s="44">
        <v>2</v>
      </c>
      <c r="S50" s="44">
        <v>1</v>
      </c>
      <c r="T50" s="44">
        <v>1</v>
      </c>
      <c r="U50" s="44">
        <v>3</v>
      </c>
      <c r="V50" s="44">
        <v>1</v>
      </c>
      <c r="W50" s="44">
        <v>3</v>
      </c>
      <c r="X50" s="61">
        <v>4</v>
      </c>
      <c r="Y50" s="44">
        <v>3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9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7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9:Z39 M41:Z41 M43:Z43 M45:Z45 M47:Z47 Q7:Z7 Q9:Z9 Q11:Z11 Q13:Z13 Q15:Z15 Q17:Z17 Q19:Z19 Q21:Z21 Q23:Z23 Q25:Z25 Q27:Z27 Q29:Z29 Q31:Z31 Q33:Z33 Q35:Z35 Q37:Z37 R18">
    <cfRule type="expression" dxfId="51" priority="1">
      <formula>LEFT(R19,1)="4"</formula>
    </cfRule>
  </conditionalFormatting>
  <conditionalFormatting sqref="G7 G9 G11 G13 G15 G17 G19 G21 G23 G25 G27 G29 G31 G33 G35 G37 G39 G41 G43 G45 G47 L7 L9 L11:L48">
    <cfRule type="expression" dxfId="50" priority="2">
      <formula>G7=0</formula>
    </cfRule>
  </conditionalFormatting>
  <conditionalFormatting sqref="M38:Y38 M40:Y40 M42:Y42 M44:Y44 M46:Y46 M48:Y48 Q8:Y8 Q10:Y10 Q12:Y12 Q14:Y14 Q16:Y16 Q18:Y18 Q20:Y20 Q22:Y22 Q24:Y24 Q26:Y26 Q28:Y28 Q30:Y30 Q32:Y32 Q34:Y34 Q36:Y36">
    <cfRule type="expression" dxfId="49" priority="3">
      <formula>LEFT(Q34,1)="4"</formula>
    </cfRule>
  </conditionalFormatting>
  <conditionalFormatting sqref="M7:O7 M9:O9 M23:O23 M25:O25 M27:O27 M29:O29 M31:O31 M33:P33 M35:P35 M37:P37 N11:O11 N13:O13 N15:O15 N17:O17 N19:O19 N21:O21">
    <cfRule type="expression" dxfId="48" priority="4">
      <formula>LEFT(M8,1)="4"</formula>
    </cfRule>
  </conditionalFormatting>
  <conditionalFormatting sqref="M11 M13 M15 M17 M19 M21">
    <cfRule type="expression" dxfId="47" priority="5">
      <formula>LEFT(M12,1)="4"</formula>
    </cfRule>
  </conditionalFormatting>
  <conditionalFormatting sqref="M8:O8 M10:O10 M12:O12 M14:O14 M16:O16 M18:O18 M20:O20 M22:O22 M24:O24 M26:O26 M28:O28 M30:O30 M32:O32 M34:P34 M36:P36">
    <cfRule type="expression" dxfId="46" priority="6">
      <formula>LEFT(M10,1)="4"</formula>
    </cfRule>
  </conditionalFormatting>
  <conditionalFormatting sqref="P7 P9 P23 P25 P27 P29 P31">
    <cfRule type="expression" dxfId="45" priority="7">
      <formula>LEFT(P8,1)="4"</formula>
    </cfRule>
  </conditionalFormatting>
  <conditionalFormatting sqref="P11 P13 P15 P17 P19 P21">
    <cfRule type="expression" dxfId="44" priority="8">
      <formula>LEFT(P12,1)="4"</formula>
    </cfRule>
  </conditionalFormatting>
  <conditionalFormatting sqref="P8 P10 P12 P14 P16 P18 P20 P22 P24 P26 P28 P30 P32">
    <cfRule type="expression" dxfId="43" priority="9">
      <formula>LEFT(P10,1)="4"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42" priority="10">
      <formula>H7=0</formula>
    </cfRule>
  </conditionalFormatting>
  <conditionalFormatting sqref="AA7 AA9 AA11 AA13 AA15 AA17 AA19 AA21 AA23 AA25 AA27 AA29 AA31 AA33 AA35 AA37 AA39 AA41 AA43 AA45 AA47">
    <cfRule type="expression" dxfId="41" priority="11">
      <formula>AA7=0</formula>
    </cfRule>
  </conditionalFormatting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1000"/>
  <sheetViews>
    <sheetView showGridLines="0" topLeftCell="B6" workbookViewId="0">
      <selection activeCell="X14" sqref="X14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3</v>
      </c>
      <c r="E2" s="196" t="s">
        <v>297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298</v>
      </c>
      <c r="F7" s="38"/>
      <c r="G7" s="181">
        <f>IF(COUNT(M7:Y7)=0,"",(COUNT(M7:Y7)))</f>
        <v>10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8</v>
      </c>
      <c r="I7" s="186">
        <f>IF(ISERROR(G7-H7),"",G7-H7)</f>
        <v>2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35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16</v>
      </c>
      <c r="L7" s="39"/>
      <c r="M7" s="41">
        <v>23.01</v>
      </c>
      <c r="N7" s="41">
        <v>23.7</v>
      </c>
      <c r="O7" s="41">
        <v>20.53</v>
      </c>
      <c r="P7" s="41">
        <v>20.04</v>
      </c>
      <c r="Q7" s="41">
        <v>25.99</v>
      </c>
      <c r="R7" s="41"/>
      <c r="S7" s="41">
        <v>25.2</v>
      </c>
      <c r="T7" s="41">
        <v>19.68</v>
      </c>
      <c r="U7" s="41"/>
      <c r="V7" s="41"/>
      <c r="W7" s="41">
        <v>25.37</v>
      </c>
      <c r="X7" s="41">
        <v>24.74</v>
      </c>
      <c r="Y7" s="41">
        <v>21.55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6</v>
      </c>
      <c r="AB7" s="183">
        <f>IF(ISERROR(SUM(M7:Y7)/G7),"",(SUM(M7:Y7)/G7))</f>
        <v>22.981000000000002</v>
      </c>
      <c r="AC7" s="184">
        <f>IF(ISERROR(SUM(M7:Y7)/G7+H7),"",(SUM(M7:Y7)/G7+H7))</f>
        <v>30.981000000000002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Allocation'!$B$30:$B$37,MATCH(Weymouth!$D$2,'Number Allocation'!$D$30:$D$37,0))),0,(INDEX('Number Allocation'!$B$30:$B$37,MATCH(Weymouth!$D$2,'Number Allocation'!$D$30:$D$37,0))))+IF(ISERROR(INDEX('Number Allocation'!$D$30:$D$37,MATCH(Weymouth!$D$2,'Number Allocation'!$B$30:$B$37,0))),0,(INDEX('Number Allocation'!$D$30:$D$37,MATCH(Weymouth!$D$2,'Number Allocation'!$B$30:$B$37,0))))</f>
        <v>12</v>
      </c>
      <c r="AK7" s="44">
        <v>1</v>
      </c>
      <c r="AL7" s="44" t="str">
        <f>VLOOKUP(AJ7,'Number Allocation'!$I$7:$J$22,2,0)</f>
        <v>Swanage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AS7" s="44">
        <f t="shared" ref="AS7:AS19" si="0">IF(SUM(AO7:AQ7)=0,0,(12-AR7))</f>
        <v>9</v>
      </c>
      <c r="AT7" s="2"/>
      <c r="AU7" s="44">
        <f t="shared" ref="AU7:AU19" si="1">(AR7)</f>
        <v>3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94</v>
      </c>
      <c r="N8" s="41" t="s">
        <v>90</v>
      </c>
      <c r="O8" s="41" t="s">
        <v>93</v>
      </c>
      <c r="P8" s="41" t="s">
        <v>77</v>
      </c>
      <c r="Q8" s="41" t="s">
        <v>78</v>
      </c>
      <c r="R8" s="41"/>
      <c r="S8" s="41" t="s">
        <v>91</v>
      </c>
      <c r="T8" s="41" t="s">
        <v>78</v>
      </c>
      <c r="U8" s="41"/>
      <c r="V8" s="41"/>
      <c r="W8" s="41" t="s">
        <v>86</v>
      </c>
      <c r="X8" s="41" t="s">
        <v>190</v>
      </c>
      <c r="Y8" s="41" t="s">
        <v>77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Allocation'!$H$30:$H$37,MATCH(Weymouth!$D$2,'Number Allocation'!$F$30:$F$37,0))),0,(INDEX('Number Allocation'!$H$30:$H$37,MATCH(Weymouth!$D$2,'Number Allocation'!$F$30:$F$37,0))))+IF(ISERROR(INDEX('Number Allocation'!$F$30:$F$37,MATCH(Weymouth!$D$2,'Number Allocation'!$H$30:$H$37,0))),0,(INDEX('Number Allocation'!$F$30:$F$37,MATCH(Weymouth!$D$2,'Number Allocation'!$H$30:$H$37,0))))</f>
        <v>13</v>
      </c>
      <c r="AK8" s="44">
        <v>2</v>
      </c>
      <c r="AL8" s="44" t="str">
        <f>VLOOKUP(AJ8,'Number Allocation'!$I$7:$J$22,2,0)</f>
        <v>Bournemouth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2</v>
      </c>
      <c r="AS8" s="44">
        <f t="shared" si="0"/>
        <v>10</v>
      </c>
      <c r="AT8" s="2"/>
      <c r="AU8" s="44">
        <f t="shared" si="1"/>
        <v>2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299</v>
      </c>
      <c r="F9" s="38"/>
      <c r="G9" s="181">
        <f>IF(COUNT(M9:Y9)=0,"",(COUNT(M9:Y9)))</f>
        <v>10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186">
        <f>IF(ISERROR(G9-H9),"",G9-H9)</f>
        <v>10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10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40</v>
      </c>
      <c r="L9" s="39"/>
      <c r="M9" s="41">
        <v>17.55</v>
      </c>
      <c r="N9" s="41">
        <v>17.66</v>
      </c>
      <c r="O9" s="41">
        <v>16.95</v>
      </c>
      <c r="P9" s="41">
        <v>14.85</v>
      </c>
      <c r="Q9" s="41">
        <v>20.76</v>
      </c>
      <c r="R9" s="41">
        <v>14.75</v>
      </c>
      <c r="S9" s="41"/>
      <c r="T9" s="41">
        <v>19.38</v>
      </c>
      <c r="U9" s="41">
        <v>18.600000000000001</v>
      </c>
      <c r="V9" s="41">
        <v>16.649999999999999</v>
      </c>
      <c r="W9" s="41">
        <v>14.89</v>
      </c>
      <c r="X9" s="41"/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183">
        <f>IF(ISERROR(SUM(M9:Y9)/G9),"",(SUM(M9:Y9)/G9))</f>
        <v>17.204000000000001</v>
      </c>
      <c r="AC9" s="184">
        <f>IF(ISERROR(SUM(M9:Y9)/G9+H9),"",(SUM(M9:Y9)/G9+H9))</f>
        <v>17.204000000000001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Allocation'!$J$30:$J$37,MATCH(Weymouth!$D$2,'Number Allocation'!$L$30:$L$37,0))),0,(INDEX('Number Allocation'!$J$30:$J$37,MATCH(Weymouth!$D$2,'Number Allocation'!$L$30:$L$37,0))))+IF(ISERROR(INDEX('Number Allocation'!$L$30:$L$37,MATCH(Weymouth!$D$2,'Number Allocation'!$J$30:$J$37,0))),0,(INDEX('Number Allocation'!$L$30:$L$37,MATCH(Weymouth!$D$2,'Number Allocation'!$J$30:$J$37,0))))</f>
        <v>1</v>
      </c>
      <c r="AK9" s="44">
        <v>3</v>
      </c>
      <c r="AL9" s="44" t="str">
        <f>VLOOKUP(AJ9,'Number Allocation'!$I$7:$J$22,2,0)</f>
        <v>Parkstone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1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AS9" s="44">
        <f t="shared" si="0"/>
        <v>6</v>
      </c>
      <c r="AT9" s="2"/>
      <c r="AU9" s="44">
        <f t="shared" si="1"/>
        <v>6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88</v>
      </c>
      <c r="N10" s="41" t="s">
        <v>99</v>
      </c>
      <c r="O10" s="41" t="s">
        <v>90</v>
      </c>
      <c r="P10" s="41" t="s">
        <v>90</v>
      </c>
      <c r="Q10" s="41" t="s">
        <v>81</v>
      </c>
      <c r="R10" s="41" t="s">
        <v>81</v>
      </c>
      <c r="S10" s="41"/>
      <c r="T10" s="41" t="s">
        <v>99</v>
      </c>
      <c r="U10" s="41" t="s">
        <v>90</v>
      </c>
      <c r="V10" s="41" t="s">
        <v>81</v>
      </c>
      <c r="W10" s="41" t="s">
        <v>81</v>
      </c>
      <c r="X10" s="41"/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Allocation'!$N$30:$N$37,MATCH(Weymouth!$D$2,'Number Allocation'!$P$30:$P$37,0))),0,(INDEX('Number Allocation'!$N$30:$N$37,MATCH(Weymouth!$D$2,'Number Allocation'!$P$30:$P$37,0))))+IF(ISERROR(INDEX('Number Allocation'!$P$30:$P$37,MATCH(Weymouth!$D$2,'Number Allocation'!$N$30:$N$37,0))),0,(INDEX('Number Allocation'!$P$30:$P$37,MATCH(Weymouth!$D$2,'Number Allocation'!$N$30:$N$37,0))))</f>
        <v>2</v>
      </c>
      <c r="AK10" s="44">
        <v>4</v>
      </c>
      <c r="AL10" s="44" t="str">
        <f>VLOOKUP(AJ10,'Number Allocation'!$I$7:$J$22,2,0)</f>
        <v>Alderney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AS10" s="44">
        <f t="shared" si="0"/>
        <v>5</v>
      </c>
      <c r="AT10" s="2"/>
      <c r="AU10" s="44">
        <f t="shared" si="1"/>
        <v>7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300</v>
      </c>
      <c r="F11" s="38"/>
      <c r="G11" s="181">
        <f>IF(COUNT(M11:Y11)=0,"",(COUNT(M11:Y11)))</f>
        <v>9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3</v>
      </c>
      <c r="I11" s="186">
        <f>IF(ISERROR(G11-H11),"",G11-H11)</f>
        <v>6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23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28</v>
      </c>
      <c r="L11" s="39"/>
      <c r="M11" s="41">
        <v>20.04</v>
      </c>
      <c r="N11" s="41">
        <v>20.57</v>
      </c>
      <c r="O11" s="41">
        <v>19.420000000000002</v>
      </c>
      <c r="P11" s="41"/>
      <c r="Q11" s="41"/>
      <c r="R11" s="41">
        <v>21.43</v>
      </c>
      <c r="S11" s="41">
        <v>21.11</v>
      </c>
      <c r="T11" s="41"/>
      <c r="U11" s="41">
        <v>20.78</v>
      </c>
      <c r="V11" s="41">
        <v>18.34</v>
      </c>
      <c r="W11" s="41"/>
      <c r="X11" s="41">
        <v>22.85</v>
      </c>
      <c r="Y11" s="41">
        <v>16.57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7</v>
      </c>
      <c r="AB11" s="183">
        <f>IF(ISERROR(SUM(M11:Y11)/G11),"",(SUM(M11:Y11)/G11))</f>
        <v>20.123333333333331</v>
      </c>
      <c r="AC11" s="184">
        <f>IF(ISERROR(SUM(M11:Y11)/G11+H11),"",(SUM(M11:Y11)/G11+H11))</f>
        <v>23.123333333333331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Allocation'!$R$30:$R$37,MATCH(Weymouth!$D$2,'Number Allocation'!$T$30:$T$37,0))),0,(INDEX('Number Allocation'!$R$30:$R$37,MATCH(Weymouth!$D$2,'Number Allocation'!$T$30:$T$37,0))))+IF(ISERROR(INDEX('Number Allocation'!$T$30:$T$37,MATCH(Weymouth!$D$2,'Number Allocation'!$R$30:$R$37,0))),0,(INDEX('Number Allocation'!$T$30:$T$37,MATCH(Weymouth!$D$2,'Number Allocation'!$R$30:$R$37,0))))</f>
        <v>14</v>
      </c>
      <c r="AK11" s="44">
        <v>5</v>
      </c>
      <c r="AL11" s="44" t="str">
        <f>VLOOKUP(AJ11,'Number Allocation'!$I$7:$J$22,2,0)</f>
        <v>Christchurch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5</v>
      </c>
      <c r="AS11" s="44">
        <f t="shared" si="0"/>
        <v>7</v>
      </c>
      <c r="AT11" s="2"/>
      <c r="AU11" s="44">
        <f t="shared" si="1"/>
        <v>5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86</v>
      </c>
      <c r="N12" s="41" t="s">
        <v>84</v>
      </c>
      <c r="O12" s="41" t="s">
        <v>88</v>
      </c>
      <c r="P12" s="41"/>
      <c r="Q12" s="41"/>
      <c r="R12" s="41" t="s">
        <v>100</v>
      </c>
      <c r="S12" s="41" t="s">
        <v>83</v>
      </c>
      <c r="T12" s="41"/>
      <c r="U12" s="41" t="s">
        <v>128</v>
      </c>
      <c r="V12" s="41" t="s">
        <v>84</v>
      </c>
      <c r="W12" s="41"/>
      <c r="X12" s="41" t="s">
        <v>91</v>
      </c>
      <c r="Y12" s="41" t="s">
        <v>97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Allocation'!$B$44:$B$51,MATCH(Weymouth!$D$2,'Number Allocation'!$D$44:$D$51,0))),0,(INDEX('Number Allocation'!$B$44:$B$51,MATCH(Weymouth!$D$2,'Number Allocation'!$D$44:$D$51,0))))+IF(ISERROR(INDEX('Number Allocation'!$D$44:$D$51,MATCH(Weymouth!$D$2,'Number Allocation'!$B$44:$B$51,0))),0,(INDEX('Number Allocation'!$D$44:$D$51,MATCH(Weymouth!$D$2,'Number Allocation'!$B$44:$B$51,0))))</f>
        <v>4</v>
      </c>
      <c r="AK12" s="44">
        <v>6</v>
      </c>
      <c r="AL12" s="44" t="str">
        <f>VLOOKUP(AJ12,'Number Allocation'!$I$7:$J$22,2,0)</f>
        <v>Dorchester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AS12" s="44">
        <f t="shared" si="0"/>
        <v>8</v>
      </c>
      <c r="AT12" s="2"/>
      <c r="AU12" s="44">
        <f t="shared" si="1"/>
        <v>4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301</v>
      </c>
      <c r="F13" s="38"/>
      <c r="G13" s="181" t="str">
        <f>IF(COUNT(M13:Y13)=0,"",(COUNT(M13:Y13)))</f>
        <v/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186" t="str">
        <f>IF(ISERROR(G13-H13),"",G13-H13)</f>
        <v/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39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 t="str">
        <f>IF(ISERROR(SUM(M13:Y13)/G13),"",(SUM(M13:Y13)/G13))</f>
        <v/>
      </c>
      <c r="AC13" s="184" t="str">
        <f>IF(ISERROR(SUM(M13:Y13)/G13+H13),"",(SUM(M13:Y13)/G13+H13))</f>
        <v/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Allocation'!$H$44:$H$51,MATCH(Weymouth!$D$2,'Number Allocation'!$F$44:$F$51,0))),0,(INDEX('Number Allocation'!$H$44:$H$51,MATCH(Weymouth!$D$2,'Number Allocation'!$F$44:$F$51,0))))+IF(ISERROR(INDEX('Number Allocation'!$F$44:$F$51,MATCH(Weymouth!$D$2,'Number Allocation'!$H$44:$H$51,0))),0,(INDEX('Number Allocation'!$F$44:$F$51,MATCH(Weymouth!$D$2,'Number Allocation'!$H$44:$H$51,0))))</f>
        <v>5</v>
      </c>
      <c r="AK13" s="44">
        <v>7</v>
      </c>
      <c r="AL13" s="44" t="str">
        <f>VLOOKUP(AJ13,'Number Allocation'!$I$7:$J$22,2,0)</f>
        <v>Boscombe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1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AS13" s="44">
        <f t="shared" si="0"/>
        <v>8</v>
      </c>
      <c r="AT13" s="2"/>
      <c r="AU13" s="44">
        <f t="shared" si="1"/>
        <v>4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Allocation'!$J$44:$J$51,MATCH(Weymouth!$D$2,'Number Allocation'!$L$44:$L$51,0))),0,(INDEX('Number Allocation'!$J$44:$J$51,MATCH(Weymouth!$D$2,'Number Allocation'!$L$44:$L$51,0))))+IF(ISERROR(INDEX('Number Allocation'!$L$44:$L$51,MATCH(Weymouth!$D$2,'Number Allocation'!$J$44:$J$51,0))),0,(INDEX('Number Allocation'!$L$44:$L$51,MATCH(Weymouth!$D$2,'Number Allocation'!$J$44:$J$51,0))))</f>
        <v>6</v>
      </c>
      <c r="AK14" s="44">
        <v>8</v>
      </c>
      <c r="AL14" s="44" t="str">
        <f>VLOOKUP(AJ14,'Number Allocation'!$I$7:$J$22,2,0)</f>
        <v>Bridport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5</v>
      </c>
      <c r="AS14" s="44">
        <f t="shared" si="0"/>
        <v>7</v>
      </c>
      <c r="AT14" s="2"/>
      <c r="AU14" s="44">
        <f t="shared" si="1"/>
        <v>5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302</v>
      </c>
      <c r="F15" s="38"/>
      <c r="G15" s="181">
        <f>IF(COUNT(M15:Y15)=0,"",(COUNT(M15:Y15)))</f>
        <v>5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186">
        <f>IF(ISERROR(G15-H15),"",G15-H15)</f>
        <v>4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11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19</v>
      </c>
      <c r="L15" s="39"/>
      <c r="M15" s="41"/>
      <c r="N15" s="41">
        <v>17.82</v>
      </c>
      <c r="O15" s="41"/>
      <c r="P15" s="41"/>
      <c r="Q15" s="41"/>
      <c r="R15" s="41"/>
      <c r="S15" s="41"/>
      <c r="T15" s="41"/>
      <c r="U15" s="41"/>
      <c r="V15" s="41">
        <v>19.32</v>
      </c>
      <c r="W15" s="41">
        <v>18.43</v>
      </c>
      <c r="X15" s="41">
        <v>17.670000000000002</v>
      </c>
      <c r="Y15" s="41">
        <v>19.38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183">
        <f>IF(ISERROR(SUM(M15:Y15)/G15),"",(SUM(M15:Y15)/G15))</f>
        <v>18.524000000000001</v>
      </c>
      <c r="AC15" s="184">
        <f>IF(ISERROR(SUM(M15:Y15)/G15+H15),"",(SUM(M15:Y15)/G15+H15))</f>
        <v>19.524000000000001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Allocation'!$N$44:$N$51,MATCH(Weymouth!$D$2,'Number Allocation'!$P$44:$P$51,0))),0,(INDEX('Number Allocation'!$N$44:$N$51,MATCH(Weymouth!$D$2,'Number Allocation'!$P$44:$P$51,0))))+IF(ISERROR(INDEX('Number Allocation'!$P$44:$P$51,MATCH(Weymouth!$D$2,'Number Allocation'!$N$44:$N$51,0))),0,(INDEX('Number Allocation'!$P$44:$P$51,MATCH(Weymouth!$D$2,'Number Allocation'!$N$44:$N$51,0))))</f>
        <v>7</v>
      </c>
      <c r="AK15" s="44">
        <v>9</v>
      </c>
      <c r="AL15" s="44" t="str">
        <f>VLOOKUP(AJ15,'Number Allocation'!$I$7:$J$22,2,0)</f>
        <v>Shaftesbury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4</v>
      </c>
      <c r="AS15" s="44">
        <f t="shared" si="0"/>
        <v>8</v>
      </c>
      <c r="AT15" s="2"/>
      <c r="AU15" s="44">
        <f t="shared" si="1"/>
        <v>4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 t="s">
        <v>88</v>
      </c>
      <c r="O16" s="41"/>
      <c r="P16" s="41"/>
      <c r="Q16" s="41"/>
      <c r="R16" s="41"/>
      <c r="S16" s="41"/>
      <c r="T16" s="41"/>
      <c r="U16" s="41"/>
      <c r="V16" s="41" t="s">
        <v>90</v>
      </c>
      <c r="W16" s="41" t="s">
        <v>93</v>
      </c>
      <c r="X16" s="41" t="s">
        <v>81</v>
      </c>
      <c r="Y16" s="41" t="s">
        <v>88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Allocation'!$R$44:$R$51,MATCH(Weymouth!$D$2,'Number Allocation'!$T$44:$T$51,0))),0,(INDEX('Number Allocation'!$R$44:$R$51,MATCH(Weymouth!$D$2,'Number Allocation'!$T$44:$T$51,0))))+IF(ISERROR(INDEX('Number Allocation'!$T$44:$T$51,MATCH(Weymouth!$D$2,'Number Allocation'!$R$44:$R$51,0))),0,(INDEX('Number Allocation'!$T$44:$T$51,MATCH(Weymouth!$D$2,'Number Allocation'!$R$44:$R$51,0))))</f>
        <v>8</v>
      </c>
      <c r="AK16" s="44">
        <v>10</v>
      </c>
      <c r="AL16" s="44" t="str">
        <f>VLOOKUP(AJ16,'Number Allocation'!$I$7:$J$22,2,0)</f>
        <v>Alderholt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4</v>
      </c>
      <c r="AS16" s="44">
        <f t="shared" si="0"/>
        <v>8</v>
      </c>
      <c r="AT16" s="2"/>
      <c r="AU16" s="44">
        <f t="shared" si="1"/>
        <v>4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303</v>
      </c>
      <c r="F17" s="38"/>
      <c r="G17" s="181">
        <f>IF(COUNT(M17:Y17)=0,"",(COUNT(M17:Y17)))</f>
        <v>6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3</v>
      </c>
      <c r="I17" s="186">
        <f>IF(ISERROR(G17-H17),"",G17-H17)</f>
        <v>3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16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19</v>
      </c>
      <c r="L17" s="39"/>
      <c r="M17" s="41"/>
      <c r="N17" s="41"/>
      <c r="O17" s="41"/>
      <c r="P17" s="41">
        <v>18.399999999999999</v>
      </c>
      <c r="Q17" s="41">
        <v>19.21</v>
      </c>
      <c r="R17" s="41"/>
      <c r="S17" s="41">
        <v>18.91</v>
      </c>
      <c r="T17" s="41">
        <v>18.239999999999998</v>
      </c>
      <c r="U17" s="41">
        <v>20.29</v>
      </c>
      <c r="V17" s="41"/>
      <c r="W17" s="41"/>
      <c r="X17" s="41">
        <v>19.34</v>
      </c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>
        <f>IF(ISERROR(SUM(M17:Y17)/G17),"",(SUM(M17:Y17)/G17))</f>
        <v>19.064999999999998</v>
      </c>
      <c r="AC17" s="184">
        <f>IF(ISERROR(SUM(M17:Y17)/G17+H17),"",(SUM(M17:Y17)/G17+H17))</f>
        <v>22.064999999999998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Allocation'!$B$58:$B$65,MATCH(Weymouth!$D$2,'Number Allocation'!$D$58:$D$65,0))),0,(INDEX('Number Allocation'!$B$58:$B$65,MATCH(Weymouth!$D$2,'Number Allocation'!$D$58:$D$65,0))))+IF(ISERROR(INDEX('Number Allocation'!$D$58:$D$65,MATCH(Weymouth!$D$2,'Number Allocation'!$B$58:$B$65,0))),0,(INDEX('Number Allocation'!$D$58:$D$65,MATCH(Weymouth!$D$2,'Number Allocation'!$B$58:$B$65,0))))</f>
        <v>9</v>
      </c>
      <c r="AK17" s="44">
        <v>11</v>
      </c>
      <c r="AL17" s="44" t="str">
        <f>VLOOKUP(AJ17,'Number Allocation'!$I$7:$J$22,2,0)</f>
        <v>Poole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1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AS17" s="44">
        <f t="shared" si="0"/>
        <v>6</v>
      </c>
      <c r="AT17" s="2"/>
      <c r="AU17" s="44">
        <f t="shared" si="1"/>
        <v>6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/>
      <c r="O18" s="41"/>
      <c r="P18" s="41" t="s">
        <v>90</v>
      </c>
      <c r="Q18" s="41" t="s">
        <v>93</v>
      </c>
      <c r="R18" s="41"/>
      <c r="S18" s="41" t="s">
        <v>88</v>
      </c>
      <c r="T18" s="41" t="s">
        <v>93</v>
      </c>
      <c r="U18" s="41" t="s">
        <v>81</v>
      </c>
      <c r="V18" s="41"/>
      <c r="W18" s="41"/>
      <c r="X18" s="41" t="s">
        <v>78</v>
      </c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Allocation'!$H$58:$H$65,MATCH(Weymouth!$D$2,'Number Allocation'!$F$58:$F$65,0))),0,(INDEX('Number Allocation'!$H$58:$H$65,MATCH(Weymouth!$D$2,'Number Allocation'!$F$58:$F$65,0))))+IF(ISERROR(INDEX('Number Allocation'!$F$58:$F$65,MATCH(Weymouth!$D$2,'Number Allocation'!$H$58:$H$65,0))),0,(INDEX('Number Allocation'!$F$58:$F$65,MATCH(Weymouth!$D$2,'Number Allocation'!$H$58:$H$65,0))))</f>
        <v>10</v>
      </c>
      <c r="AK18" s="44">
        <v>12</v>
      </c>
      <c r="AL18" s="44" t="str">
        <f>VLOOKUP(AJ18,'Number Allocation'!$I$7:$J$22,2,0)</f>
        <v>Lytchett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AS18" s="44">
        <f t="shared" si="0"/>
        <v>7</v>
      </c>
      <c r="AT18" s="2"/>
      <c r="AU18" s="44">
        <f t="shared" si="1"/>
        <v>5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304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5</v>
      </c>
      <c r="I19" s="186">
        <f>IF(ISERROR(G19-H19),"",G19-H19)</f>
        <v>8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34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37</v>
      </c>
      <c r="L19" s="39"/>
      <c r="M19" s="41">
        <v>20.75</v>
      </c>
      <c r="N19" s="41">
        <v>20.83</v>
      </c>
      <c r="O19" s="41">
        <v>22.08</v>
      </c>
      <c r="P19" s="40">
        <v>17.18</v>
      </c>
      <c r="Q19" s="41">
        <v>20.5</v>
      </c>
      <c r="R19" s="41">
        <v>21.02</v>
      </c>
      <c r="S19" s="41">
        <v>20.3</v>
      </c>
      <c r="T19" s="41">
        <v>23.06</v>
      </c>
      <c r="U19" s="41">
        <v>23.86</v>
      </c>
      <c r="V19" s="41">
        <v>22.78</v>
      </c>
      <c r="W19" s="41">
        <v>20.51</v>
      </c>
      <c r="X19" s="41">
        <v>21.77</v>
      </c>
      <c r="Y19" s="41">
        <v>21.32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183">
        <f>IF(ISERROR(SUM(M19:Y19)/G19),"",(SUM(M19:Y19)/G19))</f>
        <v>21.227692307692305</v>
      </c>
      <c r="AC19" s="184">
        <f>IF(ISERROR(SUM(M19:Y19)/G19+H19),"",(SUM(M19:Y19)/G19+H19))</f>
        <v>26.227692307692305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Allocation'!$J$58:$J$65,MATCH(Weymouth!$D$2,'Number Allocation'!$L$58:$L$65,0))),0,(INDEX('Number Allocation'!$J$58:$J$65,MATCH(Weymouth!$D$2,'Number Allocation'!$L$58:$L$65,0))))+IF(ISERROR(INDEX('Number Allocation'!$L$58:$L$65,MATCH(Weymouth!$D$2,'Number Allocation'!$J$58:$J$65,0))),0,(INDEX('Number Allocation'!$L$58:$L$65,MATCH(Weymouth!$D$2,'Number Allocation'!$J$58:$J$65,0))))</f>
        <v>11</v>
      </c>
      <c r="AK19" s="44">
        <v>13</v>
      </c>
      <c r="AL19" s="44" t="str">
        <f>VLOOKUP(AJ19,'Number Allocation'!$I$7:$J$22,2,0)</f>
        <v>Portland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1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6</v>
      </c>
      <c r="AS19" s="44">
        <f t="shared" si="0"/>
        <v>6</v>
      </c>
      <c r="AT19" s="2"/>
      <c r="AU19" s="44">
        <f t="shared" si="1"/>
        <v>6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81</v>
      </c>
      <c r="N20" s="41" t="s">
        <v>99</v>
      </c>
      <c r="O20" s="41" t="s">
        <v>78</v>
      </c>
      <c r="P20" s="41" t="s">
        <v>78</v>
      </c>
      <c r="Q20" s="41" t="s">
        <v>94</v>
      </c>
      <c r="R20" s="41" t="s">
        <v>99</v>
      </c>
      <c r="S20" s="41" t="s">
        <v>99</v>
      </c>
      <c r="T20" s="41" t="s">
        <v>99</v>
      </c>
      <c r="U20" s="41" t="s">
        <v>77</v>
      </c>
      <c r="V20" s="41" t="s">
        <v>99</v>
      </c>
      <c r="W20" s="41" t="s">
        <v>91</v>
      </c>
      <c r="X20" s="41" t="s">
        <v>99</v>
      </c>
      <c r="Y20" s="41" t="s">
        <v>77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305</v>
      </c>
      <c r="F21" s="38"/>
      <c r="G21" s="181" t="str">
        <f>IF(COUNT(M21:Y21)=0,"",(COUNT(M21:Y21)))</f>
        <v/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186" t="str">
        <f>IF(ISERROR(G21-H21),"",G21-H21)</f>
        <v/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39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183" t="str">
        <f>IF(ISERROR(SUM(M21:Y21)/G21),"",(SUM(M21:Y21)/G21))</f>
        <v/>
      </c>
      <c r="AC21" s="184" t="str">
        <f>IF(ISERROR(SUM(M21:Y21)/G21+H21),"",(SUM(M21:Y21)/G21+H21))</f>
        <v/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1</v>
      </c>
      <c r="AP21" s="44">
        <f t="shared" si="2"/>
        <v>3</v>
      </c>
      <c r="AQ21" s="44">
        <f t="shared" si="2"/>
        <v>9</v>
      </c>
      <c r="AR21" s="44">
        <f t="shared" si="2"/>
        <v>61</v>
      </c>
      <c r="AS21" s="44">
        <f t="shared" si="2"/>
        <v>95</v>
      </c>
      <c r="AT21" s="2"/>
      <c r="AU21" s="44">
        <f>SUM(AU7:AU19)</f>
        <v>61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306</v>
      </c>
      <c r="F23" s="38"/>
      <c r="G23" s="181">
        <f>IF(COUNT(M23:Y23)=0,"",(COUNT(M23:Y23)))</f>
        <v>11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7</v>
      </c>
      <c r="I23" s="186">
        <f>IF(ISERROR(G23-H23),"",G23-H23)</f>
        <v>4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37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22</v>
      </c>
      <c r="L23" s="39"/>
      <c r="M23" s="41">
        <v>26.32</v>
      </c>
      <c r="N23" s="41"/>
      <c r="O23" s="41">
        <v>18.68</v>
      </c>
      <c r="P23" s="41">
        <v>20.07</v>
      </c>
      <c r="Q23" s="41">
        <v>25.85</v>
      </c>
      <c r="R23" s="41">
        <v>22.52</v>
      </c>
      <c r="S23" s="41">
        <v>19.940000000000001</v>
      </c>
      <c r="T23" s="41">
        <v>21.55</v>
      </c>
      <c r="U23" s="41">
        <v>20.07</v>
      </c>
      <c r="V23" s="41">
        <v>27.83</v>
      </c>
      <c r="W23" s="41">
        <v>22.37</v>
      </c>
      <c r="X23" s="41">
        <v>17.170000000000002</v>
      </c>
      <c r="Y23" s="41"/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5</v>
      </c>
      <c r="AB23" s="183">
        <f>IF(ISERROR(SUM(M23:Y23)/G23),"",(SUM(M23:Y23)/G23))</f>
        <v>22.033636363636365</v>
      </c>
      <c r="AC23" s="184">
        <f>IF(ISERROR(SUM(M23:Y23)/G23+H23),"",(SUM(M23:Y23)/G23+H23))</f>
        <v>29.033636363636365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88</v>
      </c>
      <c r="N24" s="41"/>
      <c r="O24" s="41" t="s">
        <v>84</v>
      </c>
      <c r="P24" s="41" t="s">
        <v>97</v>
      </c>
      <c r="Q24" s="41" t="s">
        <v>79</v>
      </c>
      <c r="R24" s="41" t="s">
        <v>86</v>
      </c>
      <c r="S24" s="41" t="s">
        <v>84</v>
      </c>
      <c r="T24" s="41" t="s">
        <v>77</v>
      </c>
      <c r="U24" s="41" t="s">
        <v>78</v>
      </c>
      <c r="V24" s="41" t="s">
        <v>86</v>
      </c>
      <c r="W24" s="41" t="s">
        <v>83</v>
      </c>
      <c r="X24" s="41" t="s">
        <v>99</v>
      </c>
      <c r="Y24" s="41"/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307</v>
      </c>
      <c r="F25" s="38"/>
      <c r="G25" s="181">
        <f>IF(COUNT(M25:Y25)=0,"",(COUNT(M25:Y25)))</f>
        <v>11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9</v>
      </c>
      <c r="I25" s="186">
        <f>IF(ISERROR(G25-H25),"",G25-H25)</f>
        <v>2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39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26</v>
      </c>
      <c r="L25" s="39"/>
      <c r="M25" s="41">
        <v>19.989999999999998</v>
      </c>
      <c r="N25" s="41"/>
      <c r="O25" s="41">
        <v>20.96</v>
      </c>
      <c r="P25" s="41">
        <v>26.72</v>
      </c>
      <c r="Q25" s="41"/>
      <c r="R25" s="41">
        <v>24.73</v>
      </c>
      <c r="S25" s="41">
        <v>21.97</v>
      </c>
      <c r="T25" s="41">
        <v>21.27</v>
      </c>
      <c r="U25" s="41">
        <v>26.11</v>
      </c>
      <c r="V25" s="41">
        <v>26.16</v>
      </c>
      <c r="W25" s="41">
        <v>25.26</v>
      </c>
      <c r="X25" s="41">
        <v>26.19</v>
      </c>
      <c r="Y25" s="41">
        <v>25.52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8</v>
      </c>
      <c r="AB25" s="183">
        <f>IF(ISERROR(SUM(M25:Y25)/G25),"",(SUM(M25:Y25)/G25))</f>
        <v>24.08</v>
      </c>
      <c r="AC25" s="184">
        <f>IF(ISERROR(SUM(M25:Y25)/G25+H25),"",(SUM(M25:Y25)/G25+H25))</f>
        <v>33.08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99</v>
      </c>
      <c r="N26" s="41"/>
      <c r="O26" s="41" t="s">
        <v>93</v>
      </c>
      <c r="P26" s="41" t="s">
        <v>78</v>
      </c>
      <c r="Q26" s="41"/>
      <c r="R26" s="41" t="s">
        <v>79</v>
      </c>
      <c r="S26" s="41" t="s">
        <v>213</v>
      </c>
      <c r="T26" s="41" t="s">
        <v>119</v>
      </c>
      <c r="U26" s="41" t="s">
        <v>84</v>
      </c>
      <c r="V26" s="41" t="s">
        <v>90</v>
      </c>
      <c r="W26" s="41" t="s">
        <v>93</v>
      </c>
      <c r="X26" s="41" t="s">
        <v>78</v>
      </c>
      <c r="Y26" s="41" t="s">
        <v>92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308</v>
      </c>
      <c r="F27" s="38"/>
      <c r="G27" s="181">
        <f>IF(COUNT(M27:Y27)=0,"",(COUNT(M27:Y27)))</f>
        <v>7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1</v>
      </c>
      <c r="I27" s="186">
        <f>IF(ISERROR(G27-H27),"",G27-H27)</f>
        <v>6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10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26</v>
      </c>
      <c r="L27" s="39"/>
      <c r="M27" s="41">
        <v>19.420000000000002</v>
      </c>
      <c r="N27" s="41"/>
      <c r="O27" s="41">
        <v>16.690000000000001</v>
      </c>
      <c r="P27" s="41">
        <v>19.53</v>
      </c>
      <c r="Q27" s="41"/>
      <c r="R27" s="41">
        <v>23.52</v>
      </c>
      <c r="S27" s="41">
        <v>17.59</v>
      </c>
      <c r="T27" s="41">
        <v>20.170000000000002</v>
      </c>
      <c r="U27" s="41"/>
      <c r="V27" s="41">
        <v>16.02</v>
      </c>
      <c r="W27" s="41"/>
      <c r="X27" s="41"/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2</v>
      </c>
      <c r="AB27" s="183">
        <f>IF(ISERROR(SUM(M27:Y27)/G27),"",(SUM(M27:Y27)/G27))</f>
        <v>18.991428571428571</v>
      </c>
      <c r="AC27" s="184">
        <f>IF(ISERROR(SUM(M27:Y27)/G27+H27),"",(SUM(M27:Y27)/G27+H27))</f>
        <v>19.991428571428571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 t="s">
        <v>81</v>
      </c>
      <c r="N28" s="41"/>
      <c r="O28" s="41" t="s">
        <v>99</v>
      </c>
      <c r="P28" s="41" t="s">
        <v>85</v>
      </c>
      <c r="Q28" s="41"/>
      <c r="R28" s="41" t="s">
        <v>90</v>
      </c>
      <c r="S28" s="41" t="s">
        <v>81</v>
      </c>
      <c r="T28" s="41" t="s">
        <v>83</v>
      </c>
      <c r="U28" s="41"/>
      <c r="V28" s="41" t="s">
        <v>81</v>
      </c>
      <c r="W28" s="41"/>
      <c r="X28" s="41"/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309</v>
      </c>
      <c r="F29" s="38"/>
      <c r="G29" s="181">
        <f>IF(COUNT(M29:Y29)=0,"",(COUNT(M29:Y29)))</f>
        <v>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>
        <f>IF(ISERROR(G29-H29),"",G29-H29)</f>
        <v>1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3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</v>
      </c>
      <c r="L29" s="39"/>
      <c r="M29" s="41">
        <v>19.72</v>
      </c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>
        <f>IF(ISERROR(SUM(M29:Y29)/G29),"",(SUM(M29:Y29)/G29))</f>
        <v>19.72</v>
      </c>
      <c r="AC29" s="184">
        <f>IF(ISERROR(SUM(M29:Y29)/G29+H29),"",(SUM(M29:Y29)/G29+H29))</f>
        <v>19.72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 t="s">
        <v>88</v>
      </c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310</v>
      </c>
      <c r="F31" s="38"/>
      <c r="G31" s="181">
        <f>IF(COUNT(M31:Y31)=0,"",(COUNT(M31:Y31)))</f>
        <v>7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186">
        <f>IF(ISERROR(G31-H31),"",G31-H31)</f>
        <v>6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17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27</v>
      </c>
      <c r="L31" s="39"/>
      <c r="M31" s="41"/>
      <c r="N31" s="41"/>
      <c r="O31" s="41">
        <v>19.350000000000001</v>
      </c>
      <c r="P31" s="41">
        <v>21.24</v>
      </c>
      <c r="Q31" s="41">
        <v>25.9</v>
      </c>
      <c r="R31" s="41">
        <v>20.37</v>
      </c>
      <c r="S31" s="41">
        <v>17.72</v>
      </c>
      <c r="T31" s="41">
        <v>21.34</v>
      </c>
      <c r="U31" s="41">
        <v>22.73</v>
      </c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1</v>
      </c>
      <c r="AB31" s="183">
        <f>IF(ISERROR(SUM(M31:Y31)/G31),"",(SUM(M31:Y31)/G31))</f>
        <v>21.235714285714288</v>
      </c>
      <c r="AC31" s="184">
        <f>IF(ISERROR(SUM(M31:Y31)/G31+H31),"",(SUM(M31:Y31)/G31+H31))</f>
        <v>22.235714285714288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 t="s">
        <v>93</v>
      </c>
      <c r="P32" s="41" t="s">
        <v>83</v>
      </c>
      <c r="Q32" s="41" t="s">
        <v>81</v>
      </c>
      <c r="R32" s="41" t="s">
        <v>99</v>
      </c>
      <c r="S32" s="41" t="s">
        <v>99</v>
      </c>
      <c r="T32" s="41" t="s">
        <v>88</v>
      </c>
      <c r="U32" s="41" t="s">
        <v>88</v>
      </c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311</v>
      </c>
      <c r="F33" s="38"/>
      <c r="G33" s="181">
        <f>IF(COUNT(M33:Y33)=0,"",(COUNT(M33:Y33)))</f>
        <v>1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>
        <f>IF(ISERROR(G33-H33),"",G33-H33)</f>
        <v>1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1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4</v>
      </c>
      <c r="L33" s="39"/>
      <c r="M33" s="41"/>
      <c r="N33" s="41"/>
      <c r="O33" s="41"/>
      <c r="P33" s="41"/>
      <c r="Q33" s="41">
        <v>21.92</v>
      </c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>
        <f>IF(ISERROR(SUM(M33:Y33)/G33),"",(SUM(M33:Y33)/G33))</f>
        <v>21.92</v>
      </c>
      <c r="AC33" s="184">
        <f>IF(ISERROR(SUM(M33:Y33)/G33+H33),"",(SUM(M33:Y33)/G33+H33))</f>
        <v>21.92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 t="s">
        <v>90</v>
      </c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 t="s">
        <v>312</v>
      </c>
      <c r="F35" s="38"/>
      <c r="G35" s="181">
        <f>IF(COUNT(M35:Y35)=0,"",(COUNT(M35:Y35)))</f>
        <v>1</v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>
        <f>IF(ISERROR(G35-H35),"",G35-H35)</f>
        <v>1</v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1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4</v>
      </c>
      <c r="L35" s="39"/>
      <c r="M35" s="41"/>
      <c r="N35" s="41"/>
      <c r="O35" s="41"/>
      <c r="P35" s="41"/>
      <c r="Q35" s="41">
        <v>19.41</v>
      </c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>
        <f>IF(ISERROR(SUM(M35:Y35)/G35),"",(SUM(M35:Y35)/G35))</f>
        <v>19.41</v>
      </c>
      <c r="AC35" s="184">
        <f>IF(ISERROR(SUM(M35:Y35)/G35+H35),"",(SUM(M35:Y35)/G35+H35))</f>
        <v>19.41</v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 t="s">
        <v>90</v>
      </c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 t="s">
        <v>313</v>
      </c>
      <c r="F37" s="38"/>
      <c r="G37" s="181">
        <f>IF(COUNT(M37:Y37)=0,"",(COUNT(M37:Y37)))</f>
        <v>5</v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3</v>
      </c>
      <c r="I37" s="186">
        <f>IF(ISERROR(G37-H37),"",G37-H37)</f>
        <v>2</v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12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13</v>
      </c>
      <c r="L37" s="39"/>
      <c r="M37" s="41"/>
      <c r="N37" s="41"/>
      <c r="O37" s="41"/>
      <c r="P37" s="41"/>
      <c r="Q37" s="41"/>
      <c r="R37" s="41">
        <v>25.22</v>
      </c>
      <c r="S37" s="41"/>
      <c r="T37" s="41"/>
      <c r="U37" s="41">
        <v>23.58</v>
      </c>
      <c r="V37" s="41"/>
      <c r="W37" s="41">
        <v>23.86</v>
      </c>
      <c r="X37" s="41">
        <v>25.22</v>
      </c>
      <c r="Y37" s="52">
        <v>23.14</v>
      </c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1</v>
      </c>
      <c r="AB37" s="183">
        <f>IF(ISERROR(SUM(M37:Y37)/G37),"",(SUM(M37:Y37)/G37))</f>
        <v>24.204000000000001</v>
      </c>
      <c r="AC37" s="184">
        <f>IF(ISERROR(SUM(M37:Y37)/G37+H37),"",(SUM(M37:Y37)/G37+H37))</f>
        <v>27.204000000000001</v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 t="s">
        <v>81</v>
      </c>
      <c r="S38" s="41"/>
      <c r="T38" s="41"/>
      <c r="U38" s="41" t="s">
        <v>86</v>
      </c>
      <c r="V38" s="41"/>
      <c r="W38" s="41" t="s">
        <v>93</v>
      </c>
      <c r="X38" s="41" t="s">
        <v>81</v>
      </c>
      <c r="Y38" s="41" t="s">
        <v>84</v>
      </c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 t="s">
        <v>314</v>
      </c>
      <c r="F39" s="38"/>
      <c r="G39" s="181">
        <f>IF(COUNT(M39:Y39)=0,"",(COUNT(M39:Y39)))</f>
        <v>1</v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>
        <f>IF(ISERROR(G39-H39),"",G39-H39)</f>
        <v>1</v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1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4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>
        <v>18.61</v>
      </c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>
        <f>IF(ISERROR(SUM(M39:Y39)/G39),"",(SUM(M39:Y39)/G39))</f>
        <v>18.61</v>
      </c>
      <c r="AC39" s="184">
        <f>IF(ISERROR(SUM(M39:Y39)/G39+H39),"",(SUM(M39:Y39)/G39+H39))</f>
        <v>18.61</v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 t="s">
        <v>90</v>
      </c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 t="s">
        <v>315</v>
      </c>
      <c r="F41" s="38"/>
      <c r="G41" s="181">
        <f>IF(COUNT(M41:Y41)=0,"",(COUNT(M41:Y41)))</f>
        <v>3</v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>
        <f>IF(ISERROR(G41-H41),"",G41-H41)</f>
        <v>3</v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2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12</v>
      </c>
      <c r="L41" s="53"/>
      <c r="M41" s="41"/>
      <c r="N41" s="41">
        <v>15.43</v>
      </c>
      <c r="O41" s="41"/>
      <c r="P41" s="41"/>
      <c r="Q41" s="41"/>
      <c r="R41" s="41"/>
      <c r="S41" s="41"/>
      <c r="T41" s="41"/>
      <c r="U41" s="41"/>
      <c r="V41" s="41"/>
      <c r="W41" s="41">
        <v>14.67</v>
      </c>
      <c r="X41" s="41"/>
      <c r="Y41" s="52">
        <v>15.7</v>
      </c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>
        <f>IF(ISERROR(SUM(M41:Y41)/G41),"",(SUM(M41:Y41)/G41))</f>
        <v>15.266666666666666</v>
      </c>
      <c r="AC41" s="184">
        <f>IF(ISERROR(SUM(M41:Y41)/G41+H41),"",(SUM(M41:Y41)/G41+H41))</f>
        <v>15.266666666666666</v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 t="s">
        <v>99</v>
      </c>
      <c r="O42" s="41"/>
      <c r="P42" s="41"/>
      <c r="Q42" s="41"/>
      <c r="R42" s="41"/>
      <c r="S42" s="41"/>
      <c r="T42" s="41"/>
      <c r="U42" s="41"/>
      <c r="V42" s="41"/>
      <c r="W42" s="41" t="s">
        <v>81</v>
      </c>
      <c r="X42" s="41"/>
      <c r="Y42" s="41" t="s">
        <v>81</v>
      </c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 t="s">
        <v>398</v>
      </c>
      <c r="F43" s="38"/>
      <c r="G43" s="181">
        <f>IF(COUNT(M43:Y43)=0,"",(COUNT(M43:Y43)))</f>
        <v>1</v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>
        <f>IF(ISERROR(G43-H43),"",G43-H43)</f>
        <v>1</v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2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4</v>
      </c>
      <c r="L43" s="53"/>
      <c r="M43" s="41"/>
      <c r="N43" s="41">
        <v>18.11</v>
      </c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>
        <f>IF(ISERROR(SUM(M43:Y43)/G43),"",(SUM(M43:Y43)/G43))</f>
        <v>18.11</v>
      </c>
      <c r="AC43" s="184">
        <f>IF(ISERROR(SUM(M43:Y43)/G43+H43),"",(SUM(M43:Y43)/G43+H43))</f>
        <v>18.11</v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 t="s">
        <v>99</v>
      </c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 t="s">
        <v>399</v>
      </c>
      <c r="F45" s="38"/>
      <c r="G45" s="181">
        <f>IF(COUNT(M45:Y45)=0,"",(COUNT(M45:Y45)))</f>
        <v>2</v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>
        <f>IF(ISERROR(G45-H45),"",G45-H45)</f>
        <v>2</v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1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8</v>
      </c>
      <c r="L45" s="53"/>
      <c r="M45" s="41"/>
      <c r="N45" s="41">
        <v>18.66</v>
      </c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>
        <v>15.67</v>
      </c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>
        <f>IF(ISERROR(SUM(M45:Y45)/G45),"",(SUM(M45:Y45)/G45))</f>
        <v>17.164999999999999</v>
      </c>
      <c r="AC45" s="184">
        <f>IF(ISERROR(SUM(M45:Y45)/G45+H45),"",(SUM(M45:Y45)/G45+H45))</f>
        <v>17.164999999999999</v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 t="s">
        <v>90</v>
      </c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 t="s">
        <v>81</v>
      </c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1</v>
      </c>
      <c r="N50" s="44">
        <v>1</v>
      </c>
      <c r="O50" s="44">
        <v>1</v>
      </c>
      <c r="P50" s="44">
        <v>3</v>
      </c>
      <c r="Q50" s="44">
        <v>1</v>
      </c>
      <c r="R50" s="44">
        <v>2</v>
      </c>
      <c r="S50" s="44">
        <v>2</v>
      </c>
      <c r="T50" s="44">
        <v>1</v>
      </c>
      <c r="U50" s="44">
        <v>0</v>
      </c>
      <c r="V50" s="44">
        <v>2</v>
      </c>
      <c r="W50" s="44">
        <v>2</v>
      </c>
      <c r="X50" s="44">
        <v>2</v>
      </c>
      <c r="Y50" s="44">
        <v>2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2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5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5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4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4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6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6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45:Z45 M47:Z47 Q7:Z7 Q9:Z9 Q11:Z11 Q13:Z13 Q15:Z15 Q17:Z17 Q19:Z19 Q21:Z21 Q23:Z23 Q25:S25 Q27:Z27 Q29:Z29 Q31:Z31 Q33:Z33 Q35:Z35 Q37:Z37 Q39:Z39 Q41:Z41 Q43:Z43 R18 V25:Z25">
    <cfRule type="expression" dxfId="40" priority="1">
      <formula>LEFT(R19,1)="4"</formula>
    </cfRule>
  </conditionalFormatting>
  <conditionalFormatting sqref="G7 G9 G11 G13 G15 G17 G19 G21 G23 G25 G27 G29 G31 G33 G35 G37 G39 G41 G43 G45 G47 L7 L9 L11:L48">
    <cfRule type="expression" dxfId="39" priority="2">
      <formula>G7=0</formula>
    </cfRule>
  </conditionalFormatting>
  <conditionalFormatting sqref="M46:Y46 M48:Y48 Q8:Y8 Q10:Y10 Q12:Y12 Q14:Y14 Q16:Y16 Q18:Y18 Q20:Y20 Q22:Y22 Q24:Y24 Q26:S26 Q28:Y28 Q30:Y30 Q32:Y32 Q34:Y34 Q36:Y36 Q38:Y38 Q40:Y40 Q42:Y42 Q44:Y44 V26:Y26">
    <cfRule type="expression" dxfId="38" priority="3">
      <formula>LEFT(Q8,1)="4"</formula>
    </cfRule>
  </conditionalFormatting>
  <conditionalFormatting sqref="M7:P7 M9:P9 M23:P23 M25:P25 M27:P27 M29:P29 M31:P31 M33:P33 M35:P35 M37:P37 M39:P39 M41:P41 M43:P43 N11:P11 N13:P13 N15:P15 N17:P17 N19:P19 N21:P21">
    <cfRule type="expression" dxfId="37" priority="4">
      <formula>LEFT(M8,1)="4"</formula>
    </cfRule>
  </conditionalFormatting>
  <conditionalFormatting sqref="M11 M13 M15 M17 M19 M21">
    <cfRule type="expression" dxfId="36" priority="5">
      <formula>LEFT(M12,1)="4"</formula>
    </cfRule>
  </conditionalFormatting>
  <conditionalFormatting sqref="M8:P8 M10:P10 M12:P12 M14:P14 M16:P16 M18:P18 M20:P20 M22:P22 M24:P24 M26:P26 M28:P28 M30:P30 M32:P32 M34:P34 M36:P36 M38:P38 M40:P40 M42:P42 M44:P44">
    <cfRule type="expression" dxfId="35" priority="6">
      <formula>LEFT(M8,1)="4"</formula>
    </cfRule>
  </conditionalFormatting>
  <conditionalFormatting sqref="T25:U25">
    <cfRule type="expression" dxfId="34" priority="7">
      <formula>LEFT(T26,1)="4"</formula>
    </cfRule>
  </conditionalFormatting>
  <conditionalFormatting sqref="T26:U26">
    <cfRule type="expression" dxfId="33" priority="8">
      <formula>LEFT(T26,1)="4"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32" priority="9">
      <formula>H7=0</formula>
    </cfRule>
  </conditionalFormatting>
  <conditionalFormatting sqref="AA7 AA9 AA11 AA13 AA15 AA17 AA19 AA21 AA23 AA25 AA27 AA29 AA31 AA33 AA35 AA37 AA39 AA41 AA43 AA45 AA47">
    <cfRule type="expression" dxfId="31" priority="10">
      <formula>AA7=0</formula>
    </cfRule>
  </conditionalFormatting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08000"/>
  </sheetPr>
  <dimension ref="A1:Z1000"/>
  <sheetViews>
    <sheetView showGridLines="0" workbookViewId="0"/>
  </sheetViews>
  <sheetFormatPr defaultColWidth="14.42578125" defaultRowHeight="15" customHeight="1" x14ac:dyDescent="0.2"/>
  <cols>
    <col min="1" max="2" width="9.140625" customWidth="1"/>
    <col min="3" max="3" width="1.5703125" customWidth="1"/>
    <col min="4" max="4" width="17.42578125" customWidth="1"/>
    <col min="5" max="13" width="9.140625" customWidth="1"/>
    <col min="14" max="14" width="9.140625" hidden="1" customWidth="1"/>
    <col min="15" max="26" width="8" hidden="1" customWidth="1"/>
  </cols>
  <sheetData>
    <row r="1" spans="1:26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166" t="s">
        <v>316</v>
      </c>
      <c r="C2" s="167"/>
      <c r="D2" s="167"/>
      <c r="E2" s="167"/>
      <c r="F2" s="167"/>
      <c r="G2" s="167"/>
      <c r="H2" s="167"/>
      <c r="I2" s="167"/>
      <c r="J2" s="167"/>
      <c r="K2" s="167"/>
      <c r="L2" s="20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172"/>
      <c r="C3" s="173"/>
      <c r="D3" s="173"/>
      <c r="E3" s="173"/>
      <c r="F3" s="173"/>
      <c r="G3" s="173"/>
      <c r="H3" s="173"/>
      <c r="I3" s="173"/>
      <c r="J3" s="173"/>
      <c r="K3" s="173"/>
      <c r="L3" s="20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210" t="s">
        <v>317</v>
      </c>
      <c r="C6" s="1"/>
      <c r="D6" s="212" t="s">
        <v>318</v>
      </c>
      <c r="E6" s="204" t="s">
        <v>7</v>
      </c>
      <c r="F6" s="204" t="s">
        <v>8</v>
      </c>
      <c r="G6" s="204" t="s">
        <v>319</v>
      </c>
      <c r="H6" s="204" t="s">
        <v>63</v>
      </c>
      <c r="I6" s="204" t="s">
        <v>64</v>
      </c>
      <c r="J6" s="204" t="s">
        <v>65</v>
      </c>
      <c r="K6" s="204" t="s">
        <v>75</v>
      </c>
      <c r="L6" s="206" t="s">
        <v>66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211"/>
      <c r="C7" s="1"/>
      <c r="D7" s="213"/>
      <c r="E7" s="205"/>
      <c r="F7" s="205"/>
      <c r="G7" s="205"/>
      <c r="H7" s="205"/>
      <c r="I7" s="205"/>
      <c r="J7" s="205"/>
      <c r="K7" s="205"/>
      <c r="L7" s="207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62">
        <f t="shared" ref="B8:B21" si="0">IF(ISERROR(RANK(K8,$K$8:$K$21)),"",(RANK(K8,$K$8:$K$21)))</f>
        <v>1</v>
      </c>
      <c r="C8" s="63"/>
      <c r="D8" s="64" t="str">
        <f t="array" ref="D8">IF(ISNUMBER(K8),INDEX('All Team Data'!$B$7:$B$34,SMALL(IF('All Team Data'!$G$7:$G$34=K8,ROW('All Team Data'!$G$7:$G$34)-ROW('All Team Data'!$G$7)+1),COUNTIF($K$8:K8,K8))),"")</f>
        <v>Lytchett</v>
      </c>
      <c r="E8" s="65">
        <f t="array" ref="E8">IF(ISNUMBER(K8),INDEX('All Team Data'!$C$7:$C$34,SMALL(IF('All Team Data'!$G$7:$G$34=K8,ROW('All Team Data'!$G$7:$G$34)-ROW('All Team Data'!$G$7)+1),COUNTIF($K$8:K8,K8))),"")</f>
        <v>13</v>
      </c>
      <c r="F8" s="65">
        <f t="array" ref="F8">IF(ISNUMBER(K8),INDEX('All Team Data'!$D$7:$D$34,SMALL(IF('All Team Data'!$G$7:$G$34=K8,ROW('All Team Data'!$G$7:$G$34)-ROW('All Team Data'!$G$7)+1),COUNTIF($K$8:K8,K8))),"")</f>
        <v>13</v>
      </c>
      <c r="G8" s="65">
        <f t="array" ref="G8">IF(ISNUMBER(K8),INDEX('All Team Data'!$E$7:$E$34,SMALL(IF('All Team Data'!$G$7:$G$34=K8,ROW('All Team Data'!$G$7:$G$34)-ROW('All Team Data'!$G$7)+1),COUNTIF($K$8:K8,K8))),"")</f>
        <v>0</v>
      </c>
      <c r="H8" s="65">
        <f t="array" ref="H8">IF(ISNUMBER(K8),INDEX('All Team Data'!$F$7:$F$34,SMALL(IF('All Team Data'!$G$7:$G$34=K8,ROW('All Team Data'!$G$7:$G$34)-ROW('All Team Data'!$G$7)+1),COUNTIF($K$8:K8,K8))),"")</f>
        <v>0</v>
      </c>
      <c r="I8" s="65">
        <f t="array" ref="I8">IF(ISNUMBER(K8),INDEX('All Team Data'!$G$7:$G$34,SMALL(IF('All Team Data'!$G$7:$G$34=K8,ROW('All Team Data'!$G$7:$G$34)-ROW('All Team Data'!$G$7)+1),COUNTIF($K$8:K8,K8))),"")</f>
        <v>126</v>
      </c>
      <c r="J8" s="65">
        <f t="array" ref="J8">IF(ISNUMBER(K8),INDEX('All Team Data'!$H$7:$H$34,SMALL(IF('All Team Data'!$G$7:$G$34=K8,ROW('All Team Data'!$G$7:$G$34)-ROW('All Team Data'!$G$7)+1),COUNTIF($K$8:K8,K8))),"")</f>
        <v>30</v>
      </c>
      <c r="K8" s="66">
        <f>IF(ISERROR(IF(ISERROR(LARGE('All Team Data'!$G$7:$G$34,1)),"",(LARGE('All Team Data'!$G$7:$G$34,1)))),"",(IF(ISERROR(LARGE('All Team Data'!$G$7:$G$34,1)),"",(LARGE('All Team Data'!$G$7:$G$34,1)))))</f>
        <v>126</v>
      </c>
      <c r="L8" s="67">
        <f t="array" ref="L8">IF(ISNUMBER(K8),INDEX('All Team Data'!$I$7:$I$34,SMALL(IF('All Team Data'!$G$7:$G$34=K8,ROW('All Team Data'!$G$7:$G$34)-ROW('All Team Data'!$G$7)+1),COUNTIF($K$8:K8,K8))),"")</f>
        <v>52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68">
        <f t="shared" si="0"/>
        <v>2</v>
      </c>
      <c r="C9" s="63"/>
      <c r="D9" s="69" t="str">
        <f t="array" ref="D9">IF(ISNUMBER(K9),INDEX('All Team Data'!$B$7:$B$34,SMALL(IF('All Team Data'!$G$7:$G$34=K9,ROW('All Team Data'!$G$7:$G$34)-ROW('All Team Data'!$G$7)+1),COUNTIF($K$8:K9,K9))),"")</f>
        <v>Christchurch</v>
      </c>
      <c r="E9" s="70">
        <f t="array" ref="E9">IF(ISNUMBER(K9),INDEX('All Team Data'!$C$7:$C$34,SMALL(IF('All Team Data'!$G$7:$G$34=K9,ROW('All Team Data'!$G$7:$G$34)-ROW('All Team Data'!$G$7)+1),COUNTIF($K$8:K9,K9))),"")</f>
        <v>13</v>
      </c>
      <c r="F9" s="70">
        <f t="array" ref="F9">IF(ISNUMBER(K9),INDEX('All Team Data'!$D$7:$D$34,SMALL(IF('All Team Data'!$G$7:$G$34=K9,ROW('All Team Data'!$G$7:$G$34)-ROW('All Team Data'!$G$7)+1),COUNTIF($K$8:K9,K9))),"")</f>
        <v>10</v>
      </c>
      <c r="G9" s="70">
        <f t="array" ref="G9">IF(ISNUMBER(K9),INDEX('All Team Data'!$E$7:$E$34,SMALL(IF('All Team Data'!$G$7:$G$34=K9,ROW('All Team Data'!$G$7:$G$34)-ROW('All Team Data'!$G$7)+1),COUNTIF($K$8:K9,K9))),"")</f>
        <v>1</v>
      </c>
      <c r="H9" s="70">
        <f t="array" ref="H9">IF(ISNUMBER(K9),INDEX('All Team Data'!$F$7:$F$34,SMALL(IF('All Team Data'!$G$7:$G$34=K9,ROW('All Team Data'!$G$7:$G$34)-ROW('All Team Data'!$G$7)+1),COUNTIF($K$8:K9,K9))),"")</f>
        <v>2</v>
      </c>
      <c r="I9" s="70">
        <f t="array" ref="I9">IF(ISNUMBER(K9),INDEX('All Team Data'!$G$7:$G$34,SMALL(IF('All Team Data'!$G$7:$G$34=K9,ROW('All Team Data'!$G$7:$G$34)-ROW('All Team Data'!$G$7)+1),COUNTIF($K$8:K9,K9))),"")</f>
        <v>110</v>
      </c>
      <c r="J9" s="70">
        <f t="array" ref="J9">IF(ISNUMBER(K9),INDEX('All Team Data'!$H$7:$H$34,SMALL(IF('All Team Data'!$G$7:$G$34=K9,ROW('All Team Data'!$G$7:$G$34)-ROW('All Team Data'!$G$7)+1),COUNTIF($K$8:K9,K9))),"")</f>
        <v>46</v>
      </c>
      <c r="K9" s="71">
        <f>IF(ISERROR(IF(ISERROR(LARGE('All Team Data'!$G$7:$G$34,1)),"",(LARGE('All Team Data'!$G$7:$G$34,1)))),"",(IF(ISERROR(LARGE('All Team Data'!$G$7:$G$34,1)),"",(LARGE('All Team Data'!$G$7:$G$34,2)))))</f>
        <v>110</v>
      </c>
      <c r="L9" s="72">
        <f t="array" ref="L9">IF(ISNUMBER(K9),INDEX('All Team Data'!$I$7:$I$34,SMALL(IF('All Team Data'!$G$7:$G$34=K9,ROW('All Team Data'!$G$7:$G$34)-ROW('All Team Data'!$G$7)+1),COUNTIF($K$8:K9,K9))),"")</f>
        <v>39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68">
        <f t="shared" si="0"/>
        <v>2</v>
      </c>
      <c r="C10" s="63"/>
      <c r="D10" s="69" t="str">
        <f t="array" ref="D10">IF(ISNUMBER(K10),INDEX('All Team Data'!$B$7:$B$34,SMALL(IF('All Team Data'!$G$7:$G$34=K10,ROW('All Team Data'!$G$7:$G$34)-ROW('All Team Data'!$G$7)+1),COUNTIF($K$8:K10,K10))),"")</f>
        <v>Dorchester</v>
      </c>
      <c r="E10" s="70">
        <f t="array" ref="E10">IF(ISNUMBER(K10),INDEX('All Team Data'!$C$7:$C$34,SMALL(IF('All Team Data'!$G$7:$G$34=K10,ROW('All Team Data'!$G$7:$G$34)-ROW('All Team Data'!$G$7)+1),COUNTIF($K$8:K10,K10))),"")</f>
        <v>13</v>
      </c>
      <c r="F10" s="70">
        <f t="array" ref="F10">IF(ISNUMBER(K10),INDEX('All Team Data'!$D$7:$D$34,SMALL(IF('All Team Data'!$G$7:$G$34=K10,ROW('All Team Data'!$G$7:$G$34)-ROW('All Team Data'!$G$7)+1),COUNTIF($K$8:K10,K10))),"")</f>
        <v>11</v>
      </c>
      <c r="G10" s="70">
        <f t="array" ref="G10">IF(ISNUMBER(K10),INDEX('All Team Data'!$E$7:$E$34,SMALL(IF('All Team Data'!$G$7:$G$34=K10,ROW('All Team Data'!$G$7:$G$34)-ROW('All Team Data'!$G$7)+1),COUNTIF($K$8:K10,K10))),"")</f>
        <v>1</v>
      </c>
      <c r="H10" s="70">
        <f t="array" ref="H10">IF(ISNUMBER(K10),INDEX('All Team Data'!$F$7:$F$34,SMALL(IF('All Team Data'!$G$7:$G$34=K10,ROW('All Team Data'!$G$7:$G$34)-ROW('All Team Data'!$G$7)+1),COUNTIF($K$8:K10,K10))),"")</f>
        <v>1</v>
      </c>
      <c r="I10" s="70">
        <f t="array" ref="I10">IF(ISNUMBER(K10),INDEX('All Team Data'!$G$7:$G$34,SMALL(IF('All Team Data'!$G$7:$G$34=K10,ROW('All Team Data'!$G$7:$G$34)-ROW('All Team Data'!$G$7)+1),COUNTIF($K$8:K10,K10))),"")</f>
        <v>110</v>
      </c>
      <c r="J10" s="70">
        <f t="array" ref="J10">IF(ISNUMBER(K10),INDEX('All Team Data'!$H$7:$H$34,SMALL(IF('All Team Data'!$G$7:$G$34=K10,ROW('All Team Data'!$G$7:$G$34)-ROW('All Team Data'!$G$7)+1),COUNTIF($K$8:K10,K10))),"")</f>
        <v>46</v>
      </c>
      <c r="K10" s="71">
        <f>IF(ISERROR(IF(ISERROR(LARGE('All Team Data'!$G$7:$G$34,1)),"",(LARGE('All Team Data'!$G$7:$G$34,1)))),"",(IF(ISERROR(LARGE('All Team Data'!$G$7:$G$34,1)),"",(LARGE('All Team Data'!$G$7:$G$34,3)))))</f>
        <v>110</v>
      </c>
      <c r="L10" s="72">
        <f t="array" ref="L10">IF(ISNUMBER(K10),INDEX('All Team Data'!$I$7:$I$34,SMALL(IF('All Team Data'!$G$7:$G$34=K10,ROW('All Team Data'!$G$7:$G$34)-ROW('All Team Data'!$G$7)+1),COUNTIF($K$8:K10,K10))),"")</f>
        <v>27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"/>
      <c r="B11" s="68">
        <f t="shared" si="0"/>
        <v>4</v>
      </c>
      <c r="C11" s="63"/>
      <c r="D11" s="69" t="str">
        <f t="array" ref="D11">IF(ISNUMBER(K11),INDEX('All Team Data'!$B$7:$B$34,SMALL(IF('All Team Data'!$G$7:$G$34=K11,ROW('All Team Data'!$G$7:$G$34)-ROW('All Team Data'!$G$7)+1),COUNTIF($K$8:K11,K11))),"")</f>
        <v>Poole</v>
      </c>
      <c r="E11" s="70">
        <f t="array" ref="E11">IF(ISNUMBER(K11),INDEX('All Team Data'!$C$7:$C$34,SMALL(IF('All Team Data'!$G$7:$G$34=K11,ROW('All Team Data'!$G$7:$G$34)-ROW('All Team Data'!$G$7)+1),COUNTIF($K$8:K11,K11))),"")</f>
        <v>13</v>
      </c>
      <c r="F11" s="70">
        <f t="array" ref="F11">IF(ISNUMBER(K11),INDEX('All Team Data'!$D$7:$D$34,SMALL(IF('All Team Data'!$G$7:$G$34=K11,ROW('All Team Data'!$G$7:$G$34)-ROW('All Team Data'!$G$7)+1),COUNTIF($K$8:K11,K11))),"")</f>
        <v>7</v>
      </c>
      <c r="G11" s="70">
        <f t="array" ref="G11">IF(ISNUMBER(K11),INDEX('All Team Data'!$E$7:$E$34,SMALL(IF('All Team Data'!$G$7:$G$34=K11,ROW('All Team Data'!$G$7:$G$34)-ROW('All Team Data'!$G$7)+1),COUNTIF($K$8:K11,K11))),"")</f>
        <v>3</v>
      </c>
      <c r="H11" s="70">
        <f t="array" ref="H11">IF(ISNUMBER(K11),INDEX('All Team Data'!$F$7:$F$34,SMALL(IF('All Team Data'!$G$7:$G$34=K11,ROW('All Team Data'!$G$7:$G$34)-ROW('All Team Data'!$G$7)+1),COUNTIF($K$8:K11,K11))),"")</f>
        <v>3</v>
      </c>
      <c r="I11" s="70">
        <f t="array" ref="I11">IF(ISNUMBER(K11),INDEX('All Team Data'!$G$7:$G$34,SMALL(IF('All Team Data'!$G$7:$G$34=K11,ROW('All Team Data'!$G$7:$G$34)-ROW('All Team Data'!$G$7)+1),COUNTIF($K$8:K11,K11))),"")</f>
        <v>88</v>
      </c>
      <c r="J11" s="70">
        <f t="array" ref="J11">IF(ISNUMBER(K11),INDEX('All Team Data'!$H$7:$H$34,SMALL(IF('All Team Data'!$G$7:$G$34=K11,ROW('All Team Data'!$G$7:$G$34)-ROW('All Team Data'!$G$7)+1),COUNTIF($K$8:K11,K11))),"")</f>
        <v>68</v>
      </c>
      <c r="K11" s="71">
        <f>IF(ISERROR(IF(ISERROR(LARGE('All Team Data'!$G$7:$G$34,1)),"",(LARGE('All Team Data'!$G$7:$G$34,1)))),"",(IF(ISERROR(LARGE('All Team Data'!$G$7:$G$34,1)),"",(LARGE('All Team Data'!$G$7:$G$34,4)))))</f>
        <v>88</v>
      </c>
      <c r="L11" s="72">
        <f t="array" ref="L11">IF(ISNUMBER(K11),INDEX('All Team Data'!$I$7:$I$34,SMALL(IF('All Team Data'!$G$7:$G$34=K11,ROW('All Team Data'!$G$7:$G$34)-ROW('All Team Data'!$G$7)+1),COUNTIF($K$8:K11,K11))),"")</f>
        <v>33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"/>
      <c r="B12" s="68">
        <f t="shared" si="0"/>
        <v>5</v>
      </c>
      <c r="C12" s="63"/>
      <c r="D12" s="69" t="str">
        <f t="array" ref="D12">IF(ISNUMBER(K12),INDEX('All Team Data'!$B$7:$B$34,SMALL(IF('All Team Data'!$G$7:$G$34=K12,ROW('All Team Data'!$G$7:$G$34)-ROW('All Team Data'!$G$7)+1),COUNTIF($K$8:K12,K12))),"")</f>
        <v>Swanage</v>
      </c>
      <c r="E12" s="70">
        <f t="array" ref="E12">IF(ISNUMBER(K12),INDEX('All Team Data'!$C$7:$C$34,SMALL(IF('All Team Data'!$G$7:$G$34=K12,ROW('All Team Data'!$G$7:$G$34)-ROW('All Team Data'!$G$7)+1),COUNTIF($K$8:K12,K12))),"")</f>
        <v>13</v>
      </c>
      <c r="F12" s="70">
        <f t="array" ref="F12">IF(ISNUMBER(K12),INDEX('All Team Data'!$D$7:$D$34,SMALL(IF('All Team Data'!$G$7:$G$34=K12,ROW('All Team Data'!$G$7:$G$34)-ROW('All Team Data'!$G$7)+1),COUNTIF($K$8:K12,K12))),"")</f>
        <v>7</v>
      </c>
      <c r="G12" s="70">
        <f t="array" ref="G12">IF(ISNUMBER(K12),INDEX('All Team Data'!$E$7:$E$34,SMALL(IF('All Team Data'!$G$7:$G$34=K12,ROW('All Team Data'!$G$7:$G$34)-ROW('All Team Data'!$G$7)+1),COUNTIF($K$8:K12,K12))),"")</f>
        <v>1</v>
      </c>
      <c r="H12" s="70">
        <f t="array" ref="H12">IF(ISNUMBER(K12),INDEX('All Team Data'!$F$7:$F$34,SMALL(IF('All Team Data'!$G$7:$G$34=K12,ROW('All Team Data'!$G$7:$G$34)-ROW('All Team Data'!$G$7)+1),COUNTIF($K$8:K12,K12))),"")</f>
        <v>5</v>
      </c>
      <c r="I12" s="70">
        <f t="array" ref="I12">IF(ISNUMBER(K12),INDEX('All Team Data'!$G$7:$G$34,SMALL(IF('All Team Data'!$G$7:$G$34=K12,ROW('All Team Data'!$G$7:$G$34)-ROW('All Team Data'!$G$7)+1),COUNTIF($K$8:K12,K12))),"")</f>
        <v>85</v>
      </c>
      <c r="J12" s="70">
        <f t="array" ref="J12">IF(ISNUMBER(K12),INDEX('All Team Data'!$H$7:$H$34,SMALL(IF('All Team Data'!$G$7:$G$34=K12,ROW('All Team Data'!$G$7:$G$34)-ROW('All Team Data'!$G$7)+1),COUNTIF($K$8:K12,K12))),"")</f>
        <v>71</v>
      </c>
      <c r="K12" s="71">
        <f>IF(ISERROR(IF(ISERROR(LARGE('All Team Data'!$G$7:$G$34,1)),"",(LARGE('All Team Data'!$G$7:$G$34,1)))),"",(IF(ISERROR(LARGE('All Team Data'!$G$7:$G$34,1)),"",(LARGE('All Team Data'!$G$7:$G$34,5)))))</f>
        <v>85</v>
      </c>
      <c r="L12" s="72">
        <f t="array" ref="L12">IF(ISNUMBER(K12),INDEX('All Team Data'!$I$7:$I$34,SMALL(IF('All Team Data'!$G$7:$G$34=K12,ROW('All Team Data'!$G$7:$G$34)-ROW('All Team Data'!$G$7)+1),COUNTIF($K$8:K12,K12))),"")</f>
        <v>27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"/>
      <c r="B13" s="68">
        <f t="shared" si="0"/>
        <v>6</v>
      </c>
      <c r="C13" s="63"/>
      <c r="D13" s="69" t="str">
        <f t="array" ref="D13">IF(ISNUMBER(K13),INDEX('All Team Data'!$B$7:$B$34,SMALL(IF('All Team Data'!$G$7:$G$34=K13,ROW('All Team Data'!$G$7:$G$34)-ROW('All Team Data'!$G$7)+1),COUNTIF($K$8:K13,K13))),"")</f>
        <v>Alderholt</v>
      </c>
      <c r="E13" s="70">
        <f t="array" ref="E13">IF(ISNUMBER(K13),INDEX('All Team Data'!$C$7:$C$34,SMALL(IF('All Team Data'!$G$7:$G$34=K13,ROW('All Team Data'!$G$7:$G$34)-ROW('All Team Data'!$G$7)+1),COUNTIF($K$8:K13,K13))),"")</f>
        <v>13</v>
      </c>
      <c r="F13" s="70">
        <f t="array" ref="F13">IF(ISNUMBER(K13),INDEX('All Team Data'!$D$7:$D$34,SMALL(IF('All Team Data'!$G$7:$G$34=K13,ROW('All Team Data'!$G$7:$G$34)-ROW('All Team Data'!$G$7)+1),COUNTIF($K$8:K13,K13))),"")</f>
        <v>6</v>
      </c>
      <c r="G13" s="70">
        <f t="array" ref="G13">IF(ISNUMBER(K13),INDEX('All Team Data'!$E$7:$E$34,SMALL(IF('All Team Data'!$G$7:$G$34=K13,ROW('All Team Data'!$G$7:$G$34)-ROW('All Team Data'!$G$7)+1),COUNTIF($K$8:K13,K13))),"")</f>
        <v>1</v>
      </c>
      <c r="H13" s="70">
        <f t="array" ref="H13">IF(ISNUMBER(K13),INDEX('All Team Data'!$F$7:$F$34,SMALL(IF('All Team Data'!$G$7:$G$34=K13,ROW('All Team Data'!$G$7:$G$34)-ROW('All Team Data'!$G$7)+1),COUNTIF($K$8:K13,K13))),"")</f>
        <v>6</v>
      </c>
      <c r="I13" s="70">
        <f t="array" ref="I13">IF(ISNUMBER(K13),INDEX('All Team Data'!$G$7:$G$34,SMALL(IF('All Team Data'!$G$7:$G$34=K13,ROW('All Team Data'!$G$7:$G$34)-ROW('All Team Data'!$G$7)+1),COUNTIF($K$8:K13,K13))),"")</f>
        <v>80</v>
      </c>
      <c r="J13" s="70">
        <f t="array" ref="J13">IF(ISNUMBER(K13),INDEX('All Team Data'!$H$7:$H$34,SMALL(IF('All Team Data'!$G$7:$G$34=K13,ROW('All Team Data'!$G$7:$G$34)-ROW('All Team Data'!$G$7)+1),COUNTIF($K$8:K13,K13))),"")</f>
        <v>76</v>
      </c>
      <c r="K13" s="71">
        <f>IF(ISERROR(IF(ISERROR(LARGE('All Team Data'!$G$7:$G$34,1)),"",(LARGE('All Team Data'!$G$7:$G$34,1)))),"",(IF(ISERROR(LARGE('All Team Data'!$G$7:$G$34,1)),"",(LARGE('All Team Data'!$G$7:$G$34,6)))))</f>
        <v>80</v>
      </c>
      <c r="L13" s="72">
        <f t="array" ref="L13">IF(ISNUMBER(K13),INDEX('All Team Data'!$I$7:$I$34,SMALL(IF('All Team Data'!$G$7:$G$34=K13,ROW('All Team Data'!$G$7:$G$34)-ROW('All Team Data'!$G$7)+1),COUNTIF($K$8:K13,K13))),"")</f>
        <v>27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"/>
      <c r="B14" s="68">
        <f t="shared" si="0"/>
        <v>7</v>
      </c>
      <c r="C14" s="63"/>
      <c r="D14" s="69" t="str">
        <f t="array" ref="D14">IF(ISNUMBER(K14),INDEX('All Team Data'!$B$7:$B$34,SMALL(IF('All Team Data'!$G$7:$G$34=K14,ROW('All Team Data'!$G$7:$G$34)-ROW('All Team Data'!$G$7)+1),COUNTIF($K$8:K14,K14))),"")</f>
        <v>Bridport</v>
      </c>
      <c r="E14" s="70">
        <f t="array" ref="E14">IF(ISNUMBER(K14),INDEX('All Team Data'!$C$7:$C$34,SMALL(IF('All Team Data'!$G$7:$G$34=K14,ROW('All Team Data'!$G$7:$G$34)-ROW('All Team Data'!$G$7)+1),COUNTIF($K$8:K14,K14))),"")</f>
        <v>13</v>
      </c>
      <c r="F14" s="70">
        <f t="array" ref="F14">IF(ISNUMBER(K14),INDEX('All Team Data'!$D$7:$D$34,SMALL(IF('All Team Data'!$G$7:$G$34=K14,ROW('All Team Data'!$G$7:$G$34)-ROW('All Team Data'!$G$7)+1),COUNTIF($K$8:K14,K14))),"")</f>
        <v>6</v>
      </c>
      <c r="G14" s="70">
        <f t="array" ref="G14">IF(ISNUMBER(K14),INDEX('All Team Data'!$E$7:$E$34,SMALL(IF('All Team Data'!$G$7:$G$34=K14,ROW('All Team Data'!$G$7:$G$34)-ROW('All Team Data'!$G$7)+1),COUNTIF($K$8:K14,K14))),"")</f>
        <v>2</v>
      </c>
      <c r="H14" s="70">
        <f t="array" ref="H14">IF(ISNUMBER(K14),INDEX('All Team Data'!$F$7:$F$34,SMALL(IF('All Team Data'!$G$7:$G$34=K14,ROW('All Team Data'!$G$7:$G$34)-ROW('All Team Data'!$G$7)+1),COUNTIF($K$8:K14,K14))),"")</f>
        <v>5</v>
      </c>
      <c r="I14" s="70">
        <f t="array" ref="I14">IF(ISNUMBER(K14),INDEX('All Team Data'!$G$7:$G$34,SMALL(IF('All Team Data'!$G$7:$G$34=K14,ROW('All Team Data'!$G$7:$G$34)-ROW('All Team Data'!$G$7)+1),COUNTIF($K$8:K14,K14))),"")</f>
        <v>75</v>
      </c>
      <c r="J14" s="70">
        <f t="array" ref="J14">IF(ISNUMBER(K14),INDEX('All Team Data'!$H$7:$H$34,SMALL(IF('All Team Data'!$G$7:$G$34=K14,ROW('All Team Data'!$G$7:$G$34)-ROW('All Team Data'!$G$7)+1),COUNTIF($K$8:K14,K14))),"")</f>
        <v>81</v>
      </c>
      <c r="K14" s="71">
        <f>IF(ISERROR(IF(ISERROR(LARGE('All Team Data'!$G$7:$G$34,1)),"",(LARGE('All Team Data'!$G$7:$G$34,1)))),"",(IF(ISERROR(LARGE('All Team Data'!$G$7:$G$34,1)),"",(LARGE('All Team Data'!$G$7:$G$34,7)))))</f>
        <v>75</v>
      </c>
      <c r="L14" s="72">
        <f t="array" ref="L14">IF(ISNUMBER(K14),INDEX('All Team Data'!$I$7:$I$34,SMALL(IF('All Team Data'!$G$7:$G$34=K14,ROW('All Team Data'!$G$7:$G$34)-ROW('All Team Data'!$G$7)+1),COUNTIF($K$8:K14,K14))),"")</f>
        <v>19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"/>
      <c r="B15" s="68">
        <f t="shared" si="0"/>
        <v>8</v>
      </c>
      <c r="C15" s="63"/>
      <c r="D15" s="69" t="str">
        <f t="array" ref="D15">IF(ISNUMBER(K15),INDEX('All Team Data'!$B$7:$B$34,SMALL(IF('All Team Data'!$G$7:$G$34=K15,ROW('All Team Data'!$G$7:$G$34)-ROW('All Team Data'!$G$7)+1),COUNTIF($K$8:K15,K15))),"")</f>
        <v>Parkstone</v>
      </c>
      <c r="E15" s="70">
        <f t="array" ref="E15">IF(ISNUMBER(K15),INDEX('All Team Data'!$C$7:$C$34,SMALL(IF('All Team Data'!$G$7:$G$34=K15,ROW('All Team Data'!$G$7:$G$34)-ROW('All Team Data'!$G$7)+1),COUNTIF($K$8:K15,K15))),"")</f>
        <v>13</v>
      </c>
      <c r="F15" s="70">
        <f t="array" ref="F15">IF(ISNUMBER(K15),INDEX('All Team Data'!$D$7:$D$34,SMALL(IF('All Team Data'!$G$7:$G$34=K15,ROW('All Team Data'!$G$7:$G$34)-ROW('All Team Data'!$G$7)+1),COUNTIF($K$8:K15,K15))),"")</f>
        <v>4</v>
      </c>
      <c r="G15" s="70">
        <f t="array" ref="G15">IF(ISNUMBER(K15),INDEX('All Team Data'!$E$7:$E$34,SMALL(IF('All Team Data'!$G$7:$G$34=K15,ROW('All Team Data'!$G$7:$G$34)-ROW('All Team Data'!$G$7)+1),COUNTIF($K$8:K15,K15))),"")</f>
        <v>3</v>
      </c>
      <c r="H15" s="70">
        <f t="array" ref="H15">IF(ISNUMBER(K15),INDEX('All Team Data'!$F$7:$F$34,SMALL(IF('All Team Data'!$G$7:$G$34=K15,ROW('All Team Data'!$G$7:$G$34)-ROW('All Team Data'!$G$7)+1),COUNTIF($K$8:K15,K15))),"")</f>
        <v>6</v>
      </c>
      <c r="I15" s="70">
        <f t="array" ref="I15">IF(ISNUMBER(K15),INDEX('All Team Data'!$G$7:$G$34,SMALL(IF('All Team Data'!$G$7:$G$34=K15,ROW('All Team Data'!$G$7:$G$34)-ROW('All Team Data'!$G$7)+1),COUNTIF($K$8:K15,K15))),"")</f>
        <v>69</v>
      </c>
      <c r="J15" s="70">
        <f t="array" ref="J15">IF(ISNUMBER(K15),INDEX('All Team Data'!$H$7:$H$34,SMALL(IF('All Team Data'!$G$7:$G$34=K15,ROW('All Team Data'!$G$7:$G$34)-ROW('All Team Data'!$G$7)+1),COUNTIF($K$8:K15,K15))),"")</f>
        <v>87</v>
      </c>
      <c r="K15" s="71">
        <f>IF(ISERROR(IF(ISERROR(LARGE('All Team Data'!$G$7:$G$34,1)),"",(LARGE('All Team Data'!$G$7:$G$34,1)))),"",(IF(ISERROR(LARGE('All Team Data'!$G$7:$G$34,1)),"",(LARGE('All Team Data'!$G$7:$G$34,8)))))</f>
        <v>69</v>
      </c>
      <c r="L15" s="72">
        <f t="array" ref="L15">IF(ISNUMBER(K15),INDEX('All Team Data'!$I$7:$I$34,SMALL(IF('All Team Data'!$G$7:$G$34=K15,ROW('All Team Data'!$G$7:$G$34)-ROW('All Team Data'!$G$7)+1),COUNTIF($K$8:K15,K15))),"")</f>
        <v>21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"/>
      <c r="B16" s="68">
        <f t="shared" si="0"/>
        <v>9</v>
      </c>
      <c r="C16" s="63"/>
      <c r="D16" s="69" t="str">
        <f t="array" ref="D16">IF(ISNUMBER(K16),INDEX('All Team Data'!$B$7:$B$34,SMALL(IF('All Team Data'!$G$7:$G$34=K16,ROW('All Team Data'!$G$7:$G$34)-ROW('All Team Data'!$G$7)+1),COUNTIF($K$8:K16,K16))),"")</f>
        <v>Boscombe</v>
      </c>
      <c r="E16" s="70">
        <f t="array" ref="E16">IF(ISNUMBER(K16),INDEX('All Team Data'!$C$7:$C$34,SMALL(IF('All Team Data'!$G$7:$G$34=K16,ROW('All Team Data'!$G$7:$G$34)-ROW('All Team Data'!$G$7)+1),COUNTIF($K$8:K16,K16))),"")</f>
        <v>13</v>
      </c>
      <c r="F16" s="70">
        <f t="array" ref="F16">IF(ISNUMBER(K16),INDEX('All Team Data'!$D$7:$D$34,SMALL(IF('All Team Data'!$G$7:$G$34=K16,ROW('All Team Data'!$G$7:$G$34)-ROW('All Team Data'!$G$7)+1),COUNTIF($K$8:K16,K16))),"")</f>
        <v>5</v>
      </c>
      <c r="G16" s="70">
        <f t="array" ref="G16">IF(ISNUMBER(K16),INDEX('All Team Data'!$E$7:$E$34,SMALL(IF('All Team Data'!$G$7:$G$34=K16,ROW('All Team Data'!$G$7:$G$34)-ROW('All Team Data'!$G$7)+1),COUNTIF($K$8:K16,K16))),"")</f>
        <v>0</v>
      </c>
      <c r="H16" s="70">
        <f t="array" ref="H16">IF(ISNUMBER(K16),INDEX('All Team Data'!$F$7:$F$34,SMALL(IF('All Team Data'!$G$7:$G$34=K16,ROW('All Team Data'!$G$7:$G$34)-ROW('All Team Data'!$G$7)+1),COUNTIF($K$8:K16,K16))),"")</f>
        <v>8</v>
      </c>
      <c r="I16" s="70">
        <f t="array" ref="I16">IF(ISNUMBER(K16),INDEX('All Team Data'!$G$7:$G$34,SMALL(IF('All Team Data'!$G$7:$G$34=K16,ROW('All Team Data'!$G$7:$G$34)-ROW('All Team Data'!$G$7)+1),COUNTIF($K$8:K16,K16))),"")</f>
        <v>65</v>
      </c>
      <c r="J16" s="70">
        <f t="array" ref="J16">IF(ISNUMBER(K16),INDEX('All Team Data'!$H$7:$H$34,SMALL(IF('All Team Data'!$G$7:$G$34=K16,ROW('All Team Data'!$G$7:$G$34)-ROW('All Team Data'!$G$7)+1),COUNTIF($K$8:K16,K16))),"")</f>
        <v>91</v>
      </c>
      <c r="K16" s="71">
        <f>IF(ISERROR(IF(ISERROR(LARGE('All Team Data'!$G$7:$G$34,1)),"",(LARGE('All Team Data'!$G$7:$G$34,1)))),"",(IF(ISERROR(LARGE('All Team Data'!$G$7:$G$34,1)),"",(LARGE('All Team Data'!$G$7:$G$34,9)))))</f>
        <v>65</v>
      </c>
      <c r="L16" s="72">
        <f t="array" ref="L16">IF(ISNUMBER(K16),INDEX('All Team Data'!$I$7:$I$34,SMALL(IF('All Team Data'!$G$7:$G$34=K16,ROW('All Team Data'!$G$7:$G$34)-ROW('All Team Data'!$G$7)+1),COUNTIF($K$8:K16,K16))),"")</f>
        <v>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68">
        <f t="shared" si="0"/>
        <v>9</v>
      </c>
      <c r="C17" s="63"/>
      <c r="D17" s="69" t="str">
        <f t="array" ref="D17">IF(ISNUMBER(K17),INDEX('All Team Data'!$B$7:$B$34,SMALL(IF('All Team Data'!$G$7:$G$34=K17,ROW('All Team Data'!$G$7:$G$34)-ROW('All Team Data'!$G$7)+1),COUNTIF($K$8:K17,K17))),"")</f>
        <v>Shaftesbury</v>
      </c>
      <c r="E17" s="70">
        <f t="array" ref="E17">IF(ISNUMBER(K17),INDEX('All Team Data'!$C$7:$C$34,SMALL(IF('All Team Data'!$G$7:$G$34=K17,ROW('All Team Data'!$G$7:$G$34)-ROW('All Team Data'!$G$7)+1),COUNTIF($K$8:K17,K17))),"")</f>
        <v>13</v>
      </c>
      <c r="F17" s="70">
        <f t="array" ref="F17">IF(ISNUMBER(K17),INDEX('All Team Data'!$D$7:$D$34,SMALL(IF('All Team Data'!$G$7:$G$34=K17,ROW('All Team Data'!$G$7:$G$34)-ROW('All Team Data'!$G$7)+1),COUNTIF($K$8:K17,K17))),"")</f>
        <v>4</v>
      </c>
      <c r="G17" s="70">
        <f t="array" ref="G17">IF(ISNUMBER(K17),INDEX('All Team Data'!$E$7:$E$34,SMALL(IF('All Team Data'!$G$7:$G$34=K17,ROW('All Team Data'!$G$7:$G$34)-ROW('All Team Data'!$G$7)+1),COUNTIF($K$8:K17,K17))),"")</f>
        <v>3</v>
      </c>
      <c r="H17" s="70">
        <f t="array" ref="H17">IF(ISNUMBER(K17),INDEX('All Team Data'!$F$7:$F$34,SMALL(IF('All Team Data'!$G$7:$G$34=K17,ROW('All Team Data'!$G$7:$G$34)-ROW('All Team Data'!$G$7)+1),COUNTIF($K$8:K17,K17))),"")</f>
        <v>6</v>
      </c>
      <c r="I17" s="70">
        <f t="array" ref="I17">IF(ISNUMBER(K17),INDEX('All Team Data'!$G$7:$G$34,SMALL(IF('All Team Data'!$G$7:$G$34=K17,ROW('All Team Data'!$G$7:$G$34)-ROW('All Team Data'!$G$7)+1),COUNTIF($K$8:K17,K17))),"")</f>
        <v>65</v>
      </c>
      <c r="J17" s="70">
        <f t="array" ref="J17">IF(ISNUMBER(K17),INDEX('All Team Data'!$H$7:$H$34,SMALL(IF('All Team Data'!$G$7:$G$34=K17,ROW('All Team Data'!$G$7:$G$34)-ROW('All Team Data'!$G$7)+1),COUNTIF($K$8:K17,K17))),"")</f>
        <v>91</v>
      </c>
      <c r="K17" s="71">
        <f>IF(ISERROR(IF(ISERROR(LARGE('All Team Data'!$G$7:$G$34,1)),"",(LARGE('All Team Data'!$G$7:$G$34,1)))),"",(IF(ISERROR(LARGE('All Team Data'!$G$7:$G$34,1)),"",(LARGE('All Team Data'!$G$7:$G$34,10)))))</f>
        <v>65</v>
      </c>
      <c r="L17" s="72">
        <f t="array" ref="L17">IF(ISNUMBER(K17),INDEX('All Team Data'!$I$7:$I$34,SMALL(IF('All Team Data'!$G$7:$G$34=K17,ROW('All Team Data'!$G$7:$G$34)-ROW('All Team Data'!$G$7)+1),COUNTIF($K$8:K17,K17))),"")</f>
        <v>31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1"/>
      <c r="B18" s="68">
        <f t="shared" si="0"/>
        <v>11</v>
      </c>
      <c r="C18" s="63"/>
      <c r="D18" s="69" t="str">
        <f t="array" ref="D18">IF(ISNUMBER(K18),INDEX('All Team Data'!$B$7:$B$34,SMALL(IF('All Team Data'!$G$7:$G$34=K18,ROW('All Team Data'!$G$7:$G$34)-ROW('All Team Data'!$G$7)+1),COUNTIF($K$8:K18,K18))),"")</f>
        <v>Bournemouth</v>
      </c>
      <c r="E18" s="70">
        <f t="array" ref="E18">IF(ISNUMBER(K18),INDEX('All Team Data'!$C$7:$C$34,SMALL(IF('All Team Data'!$G$7:$G$34=K18,ROW('All Team Data'!$G$7:$G$34)-ROW('All Team Data'!$G$7)+1),COUNTIF($K$8:K18,K18))),"")</f>
        <v>13</v>
      </c>
      <c r="F18" s="70">
        <f t="array" ref="F18">IF(ISNUMBER(K18),INDEX('All Team Data'!$D$7:$D$34,SMALL(IF('All Team Data'!$G$7:$G$34=K18,ROW('All Team Data'!$G$7:$G$34)-ROW('All Team Data'!$G$7)+1),COUNTIF($K$8:K18,K18))),"")</f>
        <v>4</v>
      </c>
      <c r="G18" s="70">
        <f t="array" ref="G18">IF(ISNUMBER(K18),INDEX('All Team Data'!$E$7:$E$34,SMALL(IF('All Team Data'!$G$7:$G$34=K18,ROW('All Team Data'!$G$7:$G$34)-ROW('All Team Data'!$G$7)+1),COUNTIF($K$8:K18,K18))),"")</f>
        <v>1</v>
      </c>
      <c r="H18" s="70">
        <f t="array" ref="H18">IF(ISNUMBER(K18),INDEX('All Team Data'!$F$7:$F$34,SMALL(IF('All Team Data'!$G$7:$G$34=K18,ROW('All Team Data'!$G$7:$G$34)-ROW('All Team Data'!$G$7)+1),COUNTIF($K$8:K18,K18))),"")</f>
        <v>8</v>
      </c>
      <c r="I18" s="70">
        <f t="array" ref="I18">IF(ISNUMBER(K18),INDEX('All Team Data'!$G$7:$G$34,SMALL(IF('All Team Data'!$G$7:$G$34=K18,ROW('All Team Data'!$G$7:$G$34)-ROW('All Team Data'!$G$7)+1),COUNTIF($K$8:K18,K18))),"")</f>
        <v>61</v>
      </c>
      <c r="J18" s="70">
        <f t="array" ref="J18">IF(ISNUMBER(K18),INDEX('All Team Data'!$H$7:$H$34,SMALL(IF('All Team Data'!$G$7:$G$34=K18,ROW('All Team Data'!$G$7:$G$34)-ROW('All Team Data'!$G$7)+1),COUNTIF($K$8:K18,K18))),"")</f>
        <v>95</v>
      </c>
      <c r="K18" s="71">
        <f>IF(ISERROR(IF(ISERROR(LARGE('All Team Data'!$G$7:$G$34,1)),"",(LARGE('All Team Data'!$G$7:$G$34,1)))),"",(IF(ISERROR(LARGE('All Team Data'!$G$7:$G$34,1)),"",(LARGE('All Team Data'!$G$7:$G$34,11)))))</f>
        <v>61</v>
      </c>
      <c r="L18" s="72">
        <f t="array" ref="L18">IF(ISNUMBER(K18),INDEX('All Team Data'!$I$7:$I$34,SMALL(IF('All Team Data'!$G$7:$G$34=K18,ROW('All Team Data'!$G$7:$G$34)-ROW('All Team Data'!$G$7)+1),COUNTIF($K$8:K18,K18))),"")</f>
        <v>18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">
      <c r="A19" s="1"/>
      <c r="B19" s="68">
        <f t="shared" si="0"/>
        <v>11</v>
      </c>
      <c r="C19" s="63"/>
      <c r="D19" s="69" t="str">
        <f t="array" ref="D19">IF(ISNUMBER(K19),INDEX('All Team Data'!$B$7:$B$34,SMALL(IF('All Team Data'!$G$7:$G$34=K19,ROW('All Team Data'!$G$7:$G$34)-ROW('All Team Data'!$G$7)+1),COUNTIF($K$8:K19,K19))),"")</f>
        <v>Weymouth</v>
      </c>
      <c r="E19" s="70">
        <f t="array" ref="E19">IF(ISNUMBER(K19),INDEX('All Team Data'!$C$7:$C$34,SMALL(IF('All Team Data'!$G$7:$G$34=K19,ROW('All Team Data'!$G$7:$G$34)-ROW('All Team Data'!$G$7)+1),COUNTIF($K$8:K19,K19))),"")</f>
        <v>13</v>
      </c>
      <c r="F19" s="70">
        <f t="array" ref="F19">IF(ISNUMBER(K19),INDEX('All Team Data'!$D$7:$D$34,SMALL(IF('All Team Data'!$G$7:$G$34=K19,ROW('All Team Data'!$G$7:$G$34)-ROW('All Team Data'!$G$7)+1),COUNTIF($K$8:K19,K19))),"")</f>
        <v>1</v>
      </c>
      <c r="G19" s="70">
        <f t="array" ref="G19">IF(ISNUMBER(K19),INDEX('All Team Data'!$E$7:$E$34,SMALL(IF('All Team Data'!$G$7:$G$34=K19,ROW('All Team Data'!$G$7:$G$34)-ROW('All Team Data'!$G$7)+1),COUNTIF($K$8:K19,K19))),"")</f>
        <v>3</v>
      </c>
      <c r="H19" s="70">
        <f t="array" ref="H19">IF(ISNUMBER(K19),INDEX('All Team Data'!$F$7:$F$34,SMALL(IF('All Team Data'!$G$7:$G$34=K19,ROW('All Team Data'!$G$7:$G$34)-ROW('All Team Data'!$G$7)+1),COUNTIF($K$8:K19,K19))),"")</f>
        <v>9</v>
      </c>
      <c r="I19" s="70">
        <f t="array" ref="I19">IF(ISNUMBER(K19),INDEX('All Team Data'!$G$7:$G$34,SMALL(IF('All Team Data'!$G$7:$G$34=K19,ROW('All Team Data'!$G$7:$G$34)-ROW('All Team Data'!$G$7)+1),COUNTIF($K$8:K19,K19))),"")</f>
        <v>61</v>
      </c>
      <c r="J19" s="70">
        <f t="array" ref="J19">IF(ISNUMBER(K19),INDEX('All Team Data'!$H$7:$H$34,SMALL(IF('All Team Data'!$G$7:$G$34=K19,ROW('All Team Data'!$G$7:$G$34)-ROW('All Team Data'!$G$7)+1),COUNTIF($K$8:K19,K19))),"")</f>
        <v>95</v>
      </c>
      <c r="K19" s="71">
        <f>IF(ISERROR(IF(ISERROR(LARGE('All Team Data'!$G$7:$G$34,1)),"",(LARGE('All Team Data'!$G$7:$G$34,1)))),"",(IF(ISERROR(LARGE('All Team Data'!$G$7:$G$34,1)),"",(LARGE('All Team Data'!$G$7:$G$34,12)))))</f>
        <v>61</v>
      </c>
      <c r="L19" s="72">
        <f t="array" ref="L19">IF(ISNUMBER(K19),INDEX('All Team Data'!$I$7:$I$34,SMALL(IF('All Team Data'!$G$7:$G$34=K19,ROW('All Team Data'!$G$7:$G$34)-ROW('All Team Data'!$G$7)+1),COUNTIF($K$8:K19,K19))),"")</f>
        <v>32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1"/>
      <c r="B20" s="68">
        <f t="shared" si="0"/>
        <v>13</v>
      </c>
      <c r="C20" s="63"/>
      <c r="D20" s="69" t="str">
        <f t="array" ref="D20">IF(ISNUMBER(K20),INDEX('All Team Data'!$B$7:$B$34,SMALL(IF('All Team Data'!$G$7:$G$34=K20,ROW('All Team Data'!$G$7:$G$34)-ROW('All Team Data'!$G$7)+1),COUNTIF($K$8:K20,K20))),"")</f>
        <v>Portland</v>
      </c>
      <c r="E20" s="70">
        <f t="array" ref="E20">IF(ISNUMBER(K20),INDEX('All Team Data'!$C$7:$C$34,SMALL(IF('All Team Data'!$G$7:$G$34=K20,ROW('All Team Data'!$G$7:$G$34)-ROW('All Team Data'!$G$7)+1),COUNTIF($K$8:K20,K20))),"")</f>
        <v>13</v>
      </c>
      <c r="F20" s="70">
        <f t="array" ref="F20">IF(ISNUMBER(K20),INDEX('All Team Data'!$D$7:$D$34,SMALL(IF('All Team Data'!$G$7:$G$34=K20,ROW('All Team Data'!$G$7:$G$34)-ROW('All Team Data'!$G$7)+1),COUNTIF($K$8:K20,K20))),"")</f>
        <v>2</v>
      </c>
      <c r="G20" s="70">
        <f t="array" ref="G20">IF(ISNUMBER(K20),INDEX('All Team Data'!$E$7:$E$34,SMALL(IF('All Team Data'!$G$7:$G$34=K20,ROW('All Team Data'!$G$7:$G$34)-ROW('All Team Data'!$G$7)+1),COUNTIF($K$8:K20,K20))),"")</f>
        <v>2</v>
      </c>
      <c r="H20" s="70">
        <f t="array" ref="H20">IF(ISNUMBER(K20),INDEX('All Team Data'!$F$7:$F$34,SMALL(IF('All Team Data'!$G$7:$G$34=K20,ROW('All Team Data'!$G$7:$G$34)-ROW('All Team Data'!$G$7)+1),COUNTIF($K$8:K20,K20))),"")</f>
        <v>9</v>
      </c>
      <c r="I20" s="70">
        <f t="array" ref="I20">IF(ISNUMBER(K20),INDEX('All Team Data'!$G$7:$G$34,SMALL(IF('All Team Data'!$G$7:$G$34=K20,ROW('All Team Data'!$G$7:$G$34)-ROW('All Team Data'!$G$7)+1),COUNTIF($K$8:K20,K20))),"")</f>
        <v>54</v>
      </c>
      <c r="J20" s="70">
        <f t="array" ref="J20">IF(ISNUMBER(K20),INDEX('All Team Data'!$H$7:$H$34,SMALL(IF('All Team Data'!$G$7:$G$34=K20,ROW('All Team Data'!$G$7:$G$34)-ROW('All Team Data'!$G$7)+1),COUNTIF($K$8:K20,K20))),"")</f>
        <v>102</v>
      </c>
      <c r="K20" s="71">
        <f>IF(ISERROR(IF(ISERROR(LARGE('All Team Data'!$G$7:$G$34,1)),"",(LARGE('All Team Data'!$G$7:$G$34,1)))),"",(IF(ISERROR(LARGE('All Team Data'!$G$7:$G$34,1)),"",(LARGE('All Team Data'!$G$7:$G$34,13)))))</f>
        <v>54</v>
      </c>
      <c r="L20" s="72">
        <f t="array" ref="L20">IF(ISNUMBER(K20),INDEX('All Team Data'!$I$7:$I$34,SMALL(IF('All Team Data'!$G$7:$G$34=K20,ROW('All Team Data'!$G$7:$G$34)-ROW('All Team Data'!$G$7)+1),COUNTIF($K$8:K20,K20))),"")</f>
        <v>11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"/>
      <c r="B21" s="73">
        <f t="shared" si="0"/>
        <v>14</v>
      </c>
      <c r="C21" s="63"/>
      <c r="D21" s="74" t="str">
        <f t="array" ref="D21">IF(ISNUMBER(K21),INDEX('All Team Data'!$B$7:$B$34,SMALL(IF('All Team Data'!$G$7:$G$34=K21,ROW('All Team Data'!$G$7:$G$34)-ROW('All Team Data'!$G$7)+1),COUNTIF($K$8:K21,K21))),"")</f>
        <v>Alderney</v>
      </c>
      <c r="E21" s="75">
        <f t="array" ref="E21">IF(ISNUMBER(K21),INDEX('All Team Data'!$C$7:$C$34,SMALL(IF('All Team Data'!$G$7:$G$34=K21,ROW('All Team Data'!$G$7:$G$34)-ROW('All Team Data'!$G$7)+1),COUNTIF($K$8:K21,K21))),"")</f>
        <v>13</v>
      </c>
      <c r="F21" s="75">
        <f t="array" ref="F21">IF(ISNUMBER(K21),INDEX('All Team Data'!$D$7:$D$34,SMALL(IF('All Team Data'!$G$7:$G$34=K21,ROW('All Team Data'!$G$7:$G$34)-ROW('All Team Data'!$G$7)+1),COUNTIF($K$8:K21,K21))),"")</f>
        <v>0</v>
      </c>
      <c r="G21" s="75">
        <f t="array" ref="G21">IF(ISNUMBER(K21),INDEX('All Team Data'!$E$7:$E$34,SMALL(IF('All Team Data'!$G$7:$G$34=K21,ROW('All Team Data'!$G$7:$G$34)-ROW('All Team Data'!$G$7)+1),COUNTIF($K$8:K21,K21))),"")</f>
        <v>1</v>
      </c>
      <c r="H21" s="75">
        <f t="array" ref="H21">IF(ISNUMBER(K21),INDEX('All Team Data'!$F$7:$F$34,SMALL(IF('All Team Data'!$G$7:$G$34=K21,ROW('All Team Data'!$G$7:$G$34)-ROW('All Team Data'!$G$7)+1),COUNTIF($K$8:K21,K21))),"")</f>
        <v>12</v>
      </c>
      <c r="I21" s="75">
        <f t="array" ref="I21">IF(ISNUMBER(K21),INDEX('All Team Data'!$G$7:$G$34,SMALL(IF('All Team Data'!$G$7:$G$34=K21,ROW('All Team Data'!$G$7:$G$34)-ROW('All Team Data'!$G$7)+1),COUNTIF($K$8:K21,K21))),"")</f>
        <v>41</v>
      </c>
      <c r="J21" s="75">
        <f t="array" ref="J21">IF(ISNUMBER(K21),INDEX('All Team Data'!$H$7:$H$34,SMALL(IF('All Team Data'!$G$7:$G$34=K21,ROW('All Team Data'!$G$7:$G$34)-ROW('All Team Data'!$G$7)+1),COUNTIF($K$8:K21,K21))),"")</f>
        <v>115</v>
      </c>
      <c r="K21" s="76">
        <f>IF(ISERROR(IF(ISERROR(LARGE('All Team Data'!$G$7:$G$34,1)),"",(LARGE('All Team Data'!$G$7:$G$34,1)))),"",(IF(ISERROR(LARGE('All Team Data'!$G$7:$G$34,1)),"",(LARGE('All Team Data'!$G$7:$G$34,14)))))</f>
        <v>41</v>
      </c>
      <c r="L21" s="77">
        <f t="array" ref="L21">IF(ISNUMBER(K21),INDEX('All Team Data'!$I$7:$I$34,SMALL(IF('All Team Data'!$G$7:$G$34=K21,ROW('All Team Data'!$G$7:$G$34)-ROW('All Team Data'!$G$7)+1),COUNTIF($K$8:K21,K21))),"")</f>
        <v>16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hidden="1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hidden="1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hidden="1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hidden="1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hidden="1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hidden="1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hidden="1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hidden="1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hidden="1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hidden="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hidden="1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hidden="1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hidden="1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hidden="1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hidden="1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hidden="1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hidden="1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hidden="1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hidden="1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hidden="1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hidden="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hidden="1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hidden="1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hidden="1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hidden="1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hidden="1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hidden="1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hidden="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hidden="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hidden="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hidden="1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hidden="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hidden="1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hidden="1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hidden="1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hidden="1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hidden="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hidden="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hidden="1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hidden="1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hidden="1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hidden="1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hidden="1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hidden="1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hidden="1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hidden="1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hidden="1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hidden="1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hidden="1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hidden="1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hidden="1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hidden="1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hidden="1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hidden="1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hidden="1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hidden="1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hidden="1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hidden="1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hidden="1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hidden="1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hidden="1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hidden="1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hidden="1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hidden="1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hidden="1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hidden="1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hidden="1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hidden="1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hidden="1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hidden="1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hidden="1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hidden="1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hidden="1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hidden="1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hidden="1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hidden="1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hidden="1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hidden="1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hidden="1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hidden="1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hidden="1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/>
    <row r="223" spans="1:26" ht="15.75" customHeight="1" x14ac:dyDescent="0.2"/>
    <row r="224" spans="1:26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1">
    <mergeCell ref="I6:I7"/>
    <mergeCell ref="J6:J7"/>
    <mergeCell ref="K6:K7"/>
    <mergeCell ref="L6:L7"/>
    <mergeCell ref="B2:L3"/>
    <mergeCell ref="B6:B7"/>
    <mergeCell ref="D6:D7"/>
    <mergeCell ref="E6:E7"/>
    <mergeCell ref="F6:F7"/>
    <mergeCell ref="G6:G7"/>
    <mergeCell ref="H6:H7"/>
  </mergeCells>
  <pageMargins left="0.7" right="0.7" top="0.75" bottom="0.75" header="0" footer="0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08000"/>
  </sheetPr>
  <dimension ref="B1:BF543"/>
  <sheetViews>
    <sheetView showGridLines="0" tabSelected="1" workbookViewId="0">
      <selection activeCell="B8" sqref="B8"/>
    </sheetView>
  </sheetViews>
  <sheetFormatPr defaultColWidth="14.42578125" defaultRowHeight="15" customHeight="1" x14ac:dyDescent="0.2"/>
  <cols>
    <col min="1" max="1" width="1.140625" customWidth="1"/>
    <col min="2" max="2" width="5.140625" customWidth="1"/>
    <col min="3" max="3" width="0.85546875" customWidth="1"/>
    <col min="4" max="4" width="6.7109375" customWidth="1"/>
    <col min="5" max="5" width="0.5703125" customWidth="1"/>
    <col min="6" max="6" width="0.7109375" customWidth="1"/>
    <col min="7" max="7" width="20.5703125" customWidth="1"/>
    <col min="8" max="13" width="4.7109375" customWidth="1"/>
    <col min="14" max="29" width="6.7109375" customWidth="1"/>
    <col min="30" max="30" width="8" customWidth="1"/>
    <col min="31" max="31" width="7.85546875" hidden="1" customWidth="1"/>
    <col min="32" max="32" width="9.140625" hidden="1" customWidth="1"/>
    <col min="33" max="58" width="7.85546875" hidden="1" customWidth="1"/>
  </cols>
  <sheetData>
    <row r="1" spans="2:58" ht="12" customHeight="1" x14ac:dyDescent="0.2">
      <c r="C1" s="1"/>
      <c r="D1" s="2"/>
      <c r="E1" s="2"/>
      <c r="F1" s="78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79"/>
      <c r="AC1" s="79"/>
      <c r="AD1" s="80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1"/>
    </row>
    <row r="2" spans="2:58" ht="12.75" customHeight="1" x14ac:dyDescent="0.2">
      <c r="B2" s="166" t="s">
        <v>320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8"/>
      <c r="AD2" s="81"/>
      <c r="AE2" s="82"/>
      <c r="AF2" s="8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1"/>
    </row>
    <row r="3" spans="2:58" ht="12.75" customHeight="1" x14ac:dyDescent="0.2">
      <c r="B3" s="172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4"/>
      <c r="AD3" s="81"/>
      <c r="AE3" s="83"/>
      <c r="AF3" s="83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"/>
    </row>
    <row r="4" spans="2:58" ht="12.75" customHeight="1" x14ac:dyDescent="0.2">
      <c r="C4" s="1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3"/>
      <c r="AF4" s="83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</row>
    <row r="5" spans="2:58" ht="12.75" customHeight="1" x14ac:dyDescent="0.2">
      <c r="C5" s="1"/>
      <c r="D5" s="2"/>
      <c r="E5" s="2"/>
      <c r="F5" s="7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79"/>
      <c r="AC5" s="79"/>
      <c r="AD5" s="80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</row>
    <row r="6" spans="2:58" ht="13.5" customHeight="1" x14ac:dyDescent="0.2">
      <c r="B6" s="85">
        <v>0.66</v>
      </c>
      <c r="C6" s="1"/>
      <c r="D6" s="86" t="s">
        <v>321</v>
      </c>
      <c r="E6" s="6"/>
      <c r="F6" s="87" t="s">
        <v>322</v>
      </c>
      <c r="G6" s="88" t="s">
        <v>62</v>
      </c>
      <c r="H6" s="89" t="s">
        <v>323</v>
      </c>
      <c r="I6" s="89" t="s">
        <v>7</v>
      </c>
      <c r="J6" s="89" t="s">
        <v>8</v>
      </c>
      <c r="K6" s="89" t="s">
        <v>63</v>
      </c>
      <c r="L6" s="89" t="s">
        <v>64</v>
      </c>
      <c r="M6" s="89" t="s">
        <v>65</v>
      </c>
      <c r="N6" s="89" t="s">
        <v>324</v>
      </c>
      <c r="O6" s="89" t="s">
        <v>325</v>
      </c>
      <c r="P6" s="89" t="s">
        <v>326</v>
      </c>
      <c r="Q6" s="89" t="s">
        <v>327</v>
      </c>
      <c r="R6" s="89" t="s">
        <v>328</v>
      </c>
      <c r="S6" s="89" t="s">
        <v>329</v>
      </c>
      <c r="T6" s="89" t="s">
        <v>330</v>
      </c>
      <c r="U6" s="89" t="s">
        <v>331</v>
      </c>
      <c r="V6" s="89" t="s">
        <v>332</v>
      </c>
      <c r="W6" s="89" t="s">
        <v>333</v>
      </c>
      <c r="X6" s="89" t="s">
        <v>334</v>
      </c>
      <c r="Y6" s="89" t="s">
        <v>335</v>
      </c>
      <c r="Z6" s="89" t="s">
        <v>336</v>
      </c>
      <c r="AA6" s="89" t="s">
        <v>10</v>
      </c>
      <c r="AB6" s="90" t="s">
        <v>337</v>
      </c>
      <c r="AC6" s="91" t="s">
        <v>338</v>
      </c>
      <c r="AD6" s="217" t="s">
        <v>339</v>
      </c>
      <c r="AE6" s="218" t="s">
        <v>340</v>
      </c>
      <c r="AF6" s="214" t="s">
        <v>341</v>
      </c>
      <c r="AG6" s="214" t="s">
        <v>342</v>
      </c>
      <c r="AH6" s="214" t="s">
        <v>343</v>
      </c>
      <c r="AI6" s="214" t="s">
        <v>344</v>
      </c>
      <c r="AJ6" s="214" t="s">
        <v>345</v>
      </c>
      <c r="AK6" s="214" t="s">
        <v>346</v>
      </c>
      <c r="AL6" s="214" t="s">
        <v>347</v>
      </c>
      <c r="AM6" s="214" t="s">
        <v>348</v>
      </c>
      <c r="AN6" s="214" t="s">
        <v>349</v>
      </c>
      <c r="AO6" s="214" t="s">
        <v>350</v>
      </c>
      <c r="AP6" s="214" t="s">
        <v>351</v>
      </c>
      <c r="AQ6" s="214" t="s">
        <v>352</v>
      </c>
      <c r="AR6" s="214" t="s">
        <v>353</v>
      </c>
      <c r="AS6" s="214" t="s">
        <v>354</v>
      </c>
      <c r="AT6" s="214" t="s">
        <v>355</v>
      </c>
      <c r="AU6" s="214" t="s">
        <v>356</v>
      </c>
      <c r="AV6" s="214" t="s">
        <v>357</v>
      </c>
      <c r="AW6" s="214" t="s">
        <v>358</v>
      </c>
      <c r="AX6" s="214" t="s">
        <v>359</v>
      </c>
      <c r="AY6" s="214" t="s">
        <v>360</v>
      </c>
      <c r="AZ6" s="214" t="s">
        <v>361</v>
      </c>
      <c r="BA6" s="214" t="s">
        <v>362</v>
      </c>
      <c r="BB6" s="214" t="s">
        <v>363</v>
      </c>
      <c r="BC6" s="214" t="s">
        <v>364</v>
      </c>
      <c r="BD6" s="214" t="s">
        <v>365</v>
      </c>
      <c r="BE6" s="216"/>
      <c r="BF6" s="216"/>
    </row>
    <row r="7" spans="2:58" ht="13.5" customHeight="1" x14ac:dyDescent="0.2">
      <c r="B7" s="92"/>
      <c r="C7" s="1"/>
      <c r="D7" s="93"/>
      <c r="E7" s="6"/>
      <c r="F7" s="87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6"/>
      <c r="AC7" s="97"/>
      <c r="AD7" s="170"/>
      <c r="AE7" s="219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170"/>
      <c r="BF7" s="170"/>
    </row>
    <row r="8" spans="2:58" ht="12.75" customHeight="1" x14ac:dyDescent="0.2">
      <c r="B8" s="98" t="str">
        <f t="shared" ref="B8:B262" si="0">IF(ISERROR(IF(((I8/15)*100)&gt;66,"Y","N")),"",(IF(((I8/15)*100)&gt;66,"Y","N")))</f>
        <v>Y</v>
      </c>
      <c r="C8" s="1"/>
      <c r="D8" s="62">
        <f t="shared" ref="D8:D262" si="1">IF(ISERROR(RANK(AC8,$AC$8:$AC$343)),"",(RANK(AC8,$AC$8:$AC$343)))</f>
        <v>1</v>
      </c>
      <c r="E8" s="2"/>
      <c r="F8" s="78">
        <v>1</v>
      </c>
      <c r="G8" s="99" t="str">
        <f t="array" ref="G8">IF(ISNUMBER(AC8),INDEX('All Player Data Store'!$C$7:$C$594,SMALL(IF('All Player Data Store'!$Y$7:$Y$594=AC8,ROW('All Player Data Store'!$Y$7:$Y$594)-ROW('All Player Data Store'!$Y$7)+1),COUNTIF($AC$8:AC8,AC8))),"")</f>
        <v>Scott Mitchell</v>
      </c>
      <c r="H8" s="100" t="str">
        <f t="array" ref="H8">IF(ISNUMBER(AC8),INDEX('All Player Data Store'!$D$7:$D$594,SMALL(IF('All Player Data Store'!$Y$7:$Y$594=AC8,ROW('All Player Data Store'!$Y$7:$Y$594)-ROW('All Player Data Store'!$Y$7)+1),COUNTIF($AC$8:AC8,AC8))),"")</f>
        <v>Lyt</v>
      </c>
      <c r="I8" s="64">
        <f t="array" ref="I8">IF(ISNUMBER(AC8),INDEX('All Player Data Store'!$E$7:$E$594,SMALL(IF('All Player Data Store'!$Y$7:$Y$594=AC8,ROW('All Player Data Store'!$Y$7:$Y$594)-ROW('All Player Data Store'!$Y$7)+1),COUNTIF($AC$8:AC8,AC8))),"")</f>
        <v>13</v>
      </c>
      <c r="J8" s="65">
        <f t="array" ref="J8">IF(ISNUMBER(AC8),INDEX('All Player Data Store'!$F$7:$F$594,SMALL(IF('All Player Data Store'!$Y$7:$Y$594=AC8,ROW('All Player Data Store'!$Y$7:$Y$594)-ROW('All Player Data Store'!$Y$7)+1),COUNTIF($AC$8:AC8,AC8))),"")</f>
        <v>12</v>
      </c>
      <c r="K8" s="101">
        <f t="array" ref="K8">IF(ISNUMBER(AC8),INDEX('All Player Data Store'!$G$7:$G$594,SMALL(IF('All Player Data Store'!$Y$7:$Y$594=AC8,ROW('All Player Data Store'!$Y$7:$Y$594)-ROW('All Player Data Store'!$Y$7)+1),COUNTIF($AC$8:AC8,AC8))),"")</f>
        <v>1</v>
      </c>
      <c r="L8" s="101">
        <f t="array" ref="L8">IF(ISNUMBER(AC8),INDEX('All Player Data Store'!$H$7:$H$594,SMALL(IF('All Player Data Store'!$Y$7:$Y$594=AC8,ROW('All Player Data Store'!$Y$7:$Y$594)-ROW('All Player Data Store'!$Y$7)+1),COUNTIF($AC$8:AC8,AC8))),"")</f>
        <v>50</v>
      </c>
      <c r="M8" s="102">
        <f t="array" ref="M8">IF(ISNUMBER(AC8),INDEX('All Player Data Store'!$I$7:$I$594,SMALL(IF('All Player Data Store'!$Y$7:$Y$594=AC8,ROW('All Player Data Store'!$Y$7:$Y$594)-ROW('All Player Data Store'!$Y$7)+1),COUNTIF($AC$8:AC8,AC8))),"")</f>
        <v>9</v>
      </c>
      <c r="N8" s="103">
        <f t="array" ref="N8">IF(ISNUMBER(AC8),INDEX('All Player Data Store'!$J$7:$J$594,SMALL(IF('All Player Data Store'!$Y$7:$Y$594=AC8,ROW('All Player Data Store'!$Y$7:$Y$594)-ROW('All Player Data Store'!$Y$7)+1),COUNTIF($AC$8:AC8,AC8))),"")</f>
        <v>23.58</v>
      </c>
      <c r="O8" s="104">
        <f t="array" ref="O8">IF(ISNUMBER(AC8),INDEX('All Player Data Store'!$K$7:$K$594,SMALL(IF('All Player Data Store'!$Y$7:$Y$594=AC8,ROW('All Player Data Store'!$Y$7:$Y$594)-ROW('All Player Data Store'!$Y$7)+1),COUNTIF($AC$8:AC8,AC8))),"")</f>
        <v>30.67</v>
      </c>
      <c r="P8" s="104">
        <f t="array" ref="P8">IF(ISNUMBER(AC8),INDEX('All Player Data Store'!$L$7:$L$594,SMALL(IF('All Player Data Store'!$Y$7:$Y$594=AC8,ROW('All Player Data Store'!$Y$7:$Y$594)-ROW('All Player Data Store'!$Y$7)+1),COUNTIF($AC$8:AC8,AC8))),"")</f>
        <v>27.45</v>
      </c>
      <c r="Q8" s="104">
        <f t="array" ref="Q8">IF(ISNUMBER(AC8),INDEX('All Player Data Store'!$M$7:$M$594,SMALL(IF('All Player Data Store'!$Y$7:$Y$594=AC8,ROW('All Player Data Store'!$Y$7:$Y$594)-ROW('All Player Data Store'!$Y$7)+1),COUNTIF($AC$8:AC8,AC8))),"")</f>
        <v>30.36</v>
      </c>
      <c r="R8" s="104">
        <f t="array" ref="R8">IF(ISNUMBER(AC8),INDEX('All Player Data Store'!$N$7:$N$594,SMALL(IF('All Player Data Store'!$Y$7:$Y$594=AC8,ROW('All Player Data Store'!$Y$7:$Y$594)-ROW('All Player Data Store'!$Y$7)+1),COUNTIF($AC$8:AC8,AC8))),"")</f>
        <v>27.72</v>
      </c>
      <c r="S8" s="104">
        <f t="array" ref="S8">IF(ISNUMBER(AC8),INDEX('All Player Data Store'!$O$7:$O$594,SMALL(IF('All Player Data Store'!$Y$7:$Y$594=AC8,ROW('All Player Data Store'!$Y$7:$Y$594)-ROW('All Player Data Store'!$Y$7)+1),COUNTIF($AC$8:AC8,AC8))),"")</f>
        <v>28.23</v>
      </c>
      <c r="T8" s="104">
        <f t="array" ref="T8">IF(ISNUMBER(AC8),INDEX('All Player Data Store'!$P$7:$P$594,SMALL(IF('All Player Data Store'!$Y$7:$Y$594=AC8,ROW('All Player Data Store'!$Y$7:$Y$594)-ROW('All Player Data Store'!$Y$7)+1),COUNTIF($AC$8:AC8,AC8))),"")</f>
        <v>24.25</v>
      </c>
      <c r="U8" s="104">
        <f t="array" ref="U8">IF(ISNUMBER(AC8),INDEX('All Player Data Store'!$Q$7:$Q$594,SMALL(IF('All Player Data Store'!$Y$7:$Y$594=AC8,ROW('All Player Data Store'!$Y$7:$Y$594)-ROW('All Player Data Store'!$Y$7)+1),COUNTIF($AC$8:AC8,AC8))),"")</f>
        <v>28.23</v>
      </c>
      <c r="V8" s="104">
        <f t="array" ref="V8">IF(ISNUMBER(AC8),INDEX('All Player Data Store'!$R$7:$R$594,SMALL(IF('All Player Data Store'!$Y$7:$Y$594=AC8,ROW('All Player Data Store'!$Y$7:$Y$594)-ROW('All Player Data Store'!$Y$7)+1),COUNTIF($AC$8:AC8,AC8))),"")</f>
        <v>30.83</v>
      </c>
      <c r="W8" s="104">
        <f t="array" ref="W8">IF(ISNUMBER(AC8),INDEX('All Player Data Store'!$S$7:$S$594,SMALL(IF('All Player Data Store'!$Y$7:$Y$594=AC8,ROW('All Player Data Store'!$Y$7:$Y$594)-ROW('All Player Data Store'!$Y$7)+1),COUNTIF($AC$8:AC8,AC8))),"")</f>
        <v>32.200000000000003</v>
      </c>
      <c r="X8" s="104">
        <f t="array" ref="X8">IF(ISNUMBER(AC8),INDEX('All Player Data Store'!$T$7:$T$594,SMALL(IF('All Player Data Store'!$Y$7:$Y$594=AC8,ROW('All Player Data Store'!$Y$7:$Y$594)-ROW('All Player Data Store'!$Y$7)+1),COUNTIF($AC$8:AC8,AC8))),"")</f>
        <v>28.63</v>
      </c>
      <c r="Y8" s="104">
        <f t="array" ref="Y8">IF(ISNUMBER(AC8),INDEX('All Player Data Store'!$U$7:$U$594,SMALL(IF('All Player Data Store'!$Y$7:$Y$594=AC8,ROW('All Player Data Store'!$Y$7:$Y$594)-ROW('All Player Data Store'!$Y$7)+1),COUNTIF($AC$8:AC8,AC8))),"")</f>
        <v>28.63</v>
      </c>
      <c r="Z8" s="104">
        <f t="array" ref="Z8">IF(ISNUMBER(AC8),INDEX('All Player Data Store'!$V$7:$V$594,SMALL(IF('All Player Data Store'!$Y$7:$Y$594=AC8,ROW('All Player Data Store'!$Y$7:$Y$594)-ROW('All Player Data Store'!$Y$7)+1),COUNTIF($AC$8:AC8,AC8))),"")</f>
        <v>28.03</v>
      </c>
      <c r="AA8" s="101">
        <f t="array" ref="AA8">IF(ISNUMBER(AC8),INDEX('All Player Data Store'!$W$7:$W$594,SMALL(IF('All Player Data Store'!$Y$7:$Y$594=AC8,ROW('All Player Data Store'!$Y$7:$Y$594)-ROW('All Player Data Store'!$Y$7)+1),COUNTIF($AC$8:AC8,AC8))),"")</f>
        <v>17</v>
      </c>
      <c r="AB8" s="104">
        <f t="array" ref="AB8">IF(ISNUMBER(AC8),INDEX('All Player Data Store'!$X$7:$X$594,SMALL(IF('All Player Data Store'!$Y$7:$Y$594=AC8,ROW('All Player Data Store'!$Y$7:$Y$594)-ROW('All Player Data Store'!$Y$7)+1),COUNTIF($AC$8:AC8,AC8))),"")</f>
        <v>28.369999999999997</v>
      </c>
      <c r="AC8" s="105">
        <f>IF(ISERROR(IF(ISERROR(LARGE('All Player Data Store'!$Y$7:$Y$594,1)),"",(LARGE('All Player Data Store'!$Y$7:$Y$594,1)))),"",(IF(ISERROR(LARGE('All Player Data Store'!$Y$7:$Y$594,1)),"",(LARGE('All Player Data Store'!$Y$7:$Y$594,1)))))</f>
        <v>40.369999999999997</v>
      </c>
      <c r="AD8" s="106">
        <f t="shared" ref="AD8:AD108" si="2">IF(AND(I8&lt;&gt;"",G8&lt;&gt;""),3,IF(AND(G8&lt;&gt;"",I8=""),2,1))</f>
        <v>3</v>
      </c>
      <c r="AE8" s="107" t="str">
        <f t="array" ref="AE8">IF(ISNUMBER(AC8),INDEX('All Player Data Store'!$J$8:$J$594,SMALL(IF('All Player Data Store'!$Y$7:$Y$594=AC8,ROW('All Player Data Store'!$Y$7:$Y$594)-ROW('All Player Data Store'!$Y$7)+1),COUNTIF($AC$8:AC8,AC8))),"")</f>
        <v>4*0(2)</v>
      </c>
      <c r="AF8" s="108">
        <f t="shared" ref="AF8:AF262" si="3">IF(LEFT(AE8,1)="4",N8+1,N8)</f>
        <v>24.58</v>
      </c>
      <c r="AG8" s="108" t="str">
        <f t="array" ref="AG8">IF(ISNUMBER(AC8),INDEX('All Player Data Store'!$K$8:$K$594,SMALL(IF('All Player Data Store'!$Y$7:$Y$594=AC8,ROW('All Player Data Store'!$Y$7:$Y$594)-ROW('All Player Data Store'!$Y$7)+1),COUNTIF($AC$8:AC8,AC8))),"")</f>
        <v>4*2(2)</v>
      </c>
      <c r="AH8" s="108">
        <f t="shared" ref="AH8:AH262" si="4">IF(LEFT(AG8,1)="4",O8+1,O8)</f>
        <v>31.67</v>
      </c>
      <c r="AI8" s="108" t="str">
        <f t="array" ref="AI8">IF(ISNUMBER(AC8),INDEX('All Player Data Store'!$L$8:$L$594,SMALL(IF('All Player Data Store'!$Y$7:$Y$594=AC8,ROW('All Player Data Store'!$Y$7:$Y$594)-ROW('All Player Data Store'!$Y$7)+1),COUNTIF($AC$8:AC8,AC8))),"")</f>
        <v>4*0(2)</v>
      </c>
      <c r="AJ8" s="108">
        <f t="shared" ref="AJ8:AJ262" si="5">IF(LEFT(AI8,1)="4",P8+1,P8)</f>
        <v>28.45</v>
      </c>
      <c r="AK8" s="108" t="str">
        <f t="array" ref="AK8">IF(ISNUMBER(AC8),INDEX('All Player Data Store'!$M$8:$M$594,SMALL(IF('All Player Data Store'!$Y$7:$Y$594=AC8,ROW('All Player Data Store'!$Y$7:$Y$594)-ROW('All Player Data Store'!$Y$7)+1),COUNTIF($AC$8:AC8,AC8))),"")</f>
        <v>4*0(1)</v>
      </c>
      <c r="AL8" s="108">
        <f t="shared" ref="AL8:AL262" si="6">IF(LEFT(AK8,1)="4",Q8+1,Q8)</f>
        <v>31.36</v>
      </c>
      <c r="AM8" s="108" t="str">
        <f t="array" ref="AM8">IF(ISNUMBER(AC8),INDEX('All Player Data Store'!$N$8:$N$594,SMALL(IF('All Player Data Store'!$Y$7:$Y$594=AC8,ROW('All Player Data Store'!$Y$7:$Y$594)-ROW('All Player Data Store'!$Y$7)+1),COUNTIF($AC$8:AC8,AC8))),"")</f>
        <v>4*1(1)</v>
      </c>
      <c r="AN8" s="108">
        <f t="shared" ref="AN8:AN262" si="7">IF(LEFT(AM8,1)="4",R8+1,R8)</f>
        <v>28.72</v>
      </c>
      <c r="AO8" s="108" t="str">
        <f t="array" ref="AO8">IF(ISNUMBER(AC8),INDEX('All Player Data Store'!$O$8:$O$594,SMALL(IF('All Player Data Store'!$Y$7:$Y$594=AC8,ROW('All Player Data Store'!$Y$7:$Y$594)-ROW('All Player Data Store'!$Y$7)+1),COUNTIF($AC$8:AC8,AC8))),"")</f>
        <v>4*0(1)</v>
      </c>
      <c r="AP8" s="108">
        <f t="shared" ref="AP8:AP262" si="8">IF(LEFT(AO8,1)="4",S8+1,S8)</f>
        <v>29.23</v>
      </c>
      <c r="AQ8" s="108" t="str">
        <f t="array" ref="AQ8">IF(ISNUMBER(AC8),INDEX('All Player Data Store'!$P$8:$P$594,SMALL(IF('All Player Data Store'!$Y$7:$Y$594=AC8,ROW('All Player Data Store'!$Y$7:$Y$594)-ROW('All Player Data Store'!$Y$7)+1),COUNTIF($AC$8:AC8,AC8))),"")</f>
        <v>2*4(1)</v>
      </c>
      <c r="AR8" s="108">
        <f t="shared" ref="AR8:AR262" si="9">IF(LEFT(AQ8,1)="4",T8+1,T8)</f>
        <v>24.25</v>
      </c>
      <c r="AS8" s="108" t="str">
        <f t="array" ref="AS8">IF(ISNUMBER(AC8),INDEX('All Player Data Store'!$Q$8:$Q$594,SMALL(IF('All Player Data Store'!$Y$7:$Y$594=AC8,ROW('All Player Data Store'!$Y$7:$Y$594)-ROW('All Player Data Store'!$Y$7)+1),COUNTIF($AC$8:AC8,AC8))),"")</f>
        <v>4*0(1)</v>
      </c>
      <c r="AT8" s="108">
        <f t="shared" ref="AT8:AT262" si="10">IF(LEFT(AS8,1)="4",U8+1,U8)</f>
        <v>29.23</v>
      </c>
      <c r="AU8" s="108" t="str">
        <f t="array" ref="AU8">IF(ISNUMBER(AC8),INDEX('All Player Data Store'!$R$8:$R$594,SMALL(IF('All Player Data Store'!$Y$7:$Y$594=AC8,ROW('All Player Data Store'!$Y$7:$Y$594)-ROW('All Player Data Store'!$Y$7)+1),COUNTIF($AC$8:AC8,AC8))),"")</f>
        <v>4*0(3)</v>
      </c>
      <c r="AV8" s="108">
        <f t="shared" ref="AV8:AV262" si="11">IF(LEFT(AU8,1)="4",V8+1,V8)</f>
        <v>31.83</v>
      </c>
      <c r="AW8" s="108" t="str">
        <f t="array" ref="AW8">IF(ISNUMBER(AC8),INDEX('All Player Data Store'!$S$8:$S$594,SMALL(IF('All Player Data Store'!$Y$7:$Y$594=AC8,ROW('All Player Data Store'!$Y$7:$Y$594)-ROW('All Player Data Store'!$Y$7)+1),COUNTIF($AC$8:AC8,AC8))),"")</f>
        <v>4*1(2)</v>
      </c>
      <c r="AX8" s="108">
        <f t="shared" ref="AX8:AX262" si="12">IF(LEFT(AW8,1)="4",W8+1,W8)</f>
        <v>33.200000000000003</v>
      </c>
      <c r="AY8" s="108" t="str">
        <f t="array" ref="AY8">IF(ISNUMBER(AC8),INDEX('All Player Data Store'!$T$8:$T$594,SMALL(IF('All Player Data Store'!$Y$7:$Y$594=AC8,ROW('All Player Data Store'!$Y$7:$Y$594)-ROW('All Player Data Store'!$Y$7)+1),COUNTIF($AC$8:AC8,AC8))),"")</f>
        <v>4*0</v>
      </c>
      <c r="AZ8" s="108">
        <f t="shared" ref="AZ8:AZ262" si="13">IF(LEFT(AY8,1)="4",X8+1,X8)</f>
        <v>29.63</v>
      </c>
      <c r="BA8" s="108" t="str">
        <f t="array" ref="BA8">IF(ISNUMBER(AC8),INDEX('All Player Data Store'!$U$8:$U$594,SMALL(IF('All Player Data Store'!$Y$7:$Y$594=AC8,ROW('All Player Data Store'!$Y$7:$Y$594)-ROW('All Player Data Store'!$Y$7)+1),COUNTIF($AC$8:AC8,AC8))),"")</f>
        <v>4*0</v>
      </c>
      <c r="BB8" s="108">
        <f t="shared" ref="BB8:BB262" si="14">IF(LEFT(BA8,1)="4",Y8+1,Y8)</f>
        <v>29.63</v>
      </c>
      <c r="BC8" s="108" t="str">
        <f t="array" ref="BC8">IF(ISNUMBER(AC8),INDEX('All Player Data Store'!$V$8:$V$594,SMALL(IF('All Player Data Store'!$Y$7:$Y$594=AC8,ROW('All Player Data Store'!$Y$7:$Y$594)-ROW('All Player Data Store'!$Y$7)+1),COUNTIF($AC$8:AC8,AC8))),"")</f>
        <v>4*1(1)</v>
      </c>
      <c r="BD8" s="108">
        <f t="shared" ref="BD8:BD262" si="15">IF(LEFT(BC8,1)="4",Z8+1,Z8)</f>
        <v>29.03</v>
      </c>
      <c r="BE8" s="109"/>
    </row>
    <row r="9" spans="2:58" ht="12" customHeight="1" x14ac:dyDescent="0.2">
      <c r="B9" s="98" t="str">
        <f t="shared" si="0"/>
        <v>Y</v>
      </c>
      <c r="C9" s="1"/>
      <c r="D9" s="68">
        <f t="shared" si="1"/>
        <v>2</v>
      </c>
      <c r="E9" s="2"/>
      <c r="F9" s="78">
        <v>2</v>
      </c>
      <c r="G9" s="110" t="str">
        <f t="array" ref="G9">IF(ISNUMBER(AC9),INDEX('All Player Data Store'!$C$7:$C$594,SMALL(IF('All Player Data Store'!$Y$7:$Y$594=AC9,ROW('All Player Data Store'!$Y$7:$Y$594)-ROW('All Player Data Store'!$Y$7)+1),COUNTIF($AC$8:AC9,AC9))),"")</f>
        <v>Tommy Morris</v>
      </c>
      <c r="H9" s="111" t="str">
        <f t="array" ref="H9">IF(ISNUMBER(AC9),INDEX('All Player Data Store'!$D$7:$D$594,SMALL(IF('All Player Data Store'!$Y$7:$Y$594=AC9,ROW('All Player Data Store'!$Y$7:$Y$594)-ROW('All Player Data Store'!$Y$7)+1),COUNTIF($AC$8:AC9,AC9))),"")</f>
        <v>Chr</v>
      </c>
      <c r="I9" s="69">
        <f t="array" ref="I9">IF(ISNUMBER(AC9),INDEX('All Player Data Store'!$E$7:$E$594,SMALL(IF('All Player Data Store'!$Y$7:$Y$594=AC9,ROW('All Player Data Store'!$Y$7:$Y$594)-ROW('All Player Data Store'!$Y$7)+1),COUNTIF($AC$8:AC9,AC9))),"")</f>
        <v>13</v>
      </c>
      <c r="J9" s="70">
        <f t="array" ref="J9">IF(ISNUMBER(AC9),INDEX('All Player Data Store'!$F$7:$F$594,SMALL(IF('All Player Data Store'!$Y$7:$Y$594=AC9,ROW('All Player Data Store'!$Y$7:$Y$594)-ROW('All Player Data Store'!$Y$7)+1),COUNTIF($AC$8:AC9,AC9))),"")</f>
        <v>13</v>
      </c>
      <c r="K9" s="70" t="str">
        <f t="array" ref="K9">IF(ISNUMBER(AC9),INDEX('All Player Data Store'!$G$7:$G$594,SMALL(IF('All Player Data Store'!$Y$7:$Y$594=AC9,ROW('All Player Data Store'!$Y$7:$Y$594)-ROW('All Player Data Store'!$Y$7)+1),COUNTIF($AC$8:AC9,AC9))),"")</f>
        <v/>
      </c>
      <c r="L9" s="112">
        <f t="array" ref="L9">IF(ISNUMBER(AC9),INDEX('All Player Data Store'!$H$7:$H$594,SMALL(IF('All Player Data Store'!$Y$7:$Y$594=AC9,ROW('All Player Data Store'!$Y$7:$Y$594)-ROW('All Player Data Store'!$Y$7)+1),COUNTIF($AC$8:AC9,AC9))),"")</f>
        <v>52</v>
      </c>
      <c r="M9" s="113">
        <f t="array" ref="M9">IF(ISNUMBER(AC9),INDEX('All Player Data Store'!$I$7:$I$594,SMALL(IF('All Player Data Store'!$Y$7:$Y$594=AC9,ROW('All Player Data Store'!$Y$7:$Y$594)-ROW('All Player Data Store'!$Y$7)+1),COUNTIF($AC$8:AC9,AC9))),"")</f>
        <v>5</v>
      </c>
      <c r="N9" s="114">
        <f t="array" ref="N9">IF(ISNUMBER(AC9),INDEX('All Player Data Store'!$J$7:$J$594,SMALL(IF('All Player Data Store'!$Y$7:$Y$594=AC9,ROW('All Player Data Store'!$Y$7:$Y$594)-ROW('All Player Data Store'!$Y$7)+1),COUNTIF($AC$8:AC9,AC9))),"")</f>
        <v>25.37</v>
      </c>
      <c r="O9" s="108">
        <f t="array" ref="O9">IF(ISNUMBER(AC9),INDEX('All Player Data Store'!$K$7:$K$594,SMALL(IF('All Player Data Store'!$Y$7:$Y$594=AC9,ROW('All Player Data Store'!$Y$7:$Y$594)-ROW('All Player Data Store'!$Y$7)+1),COUNTIF($AC$8:AC9,AC9))),"")</f>
        <v>27.45</v>
      </c>
      <c r="P9" s="108">
        <f t="array" ref="P9">IF(ISNUMBER(AC9),INDEX('All Player Data Store'!$L$7:$L$594,SMALL(IF('All Player Data Store'!$Y$7:$Y$594=AC9,ROW('All Player Data Store'!$Y$7:$Y$594)-ROW('All Player Data Store'!$Y$7)+1),COUNTIF($AC$8:AC9,AC9))),"")</f>
        <v>29.91</v>
      </c>
      <c r="Q9" s="108">
        <f t="array" ref="Q9">IF(ISNUMBER(AC9),INDEX('All Player Data Store'!$M$7:$M$594,SMALL(IF('All Player Data Store'!$Y$7:$Y$594=AC9,ROW('All Player Data Store'!$Y$7:$Y$594)-ROW('All Player Data Store'!$Y$7)+1),COUNTIF($AC$8:AC9,AC9))),"")</f>
        <v>26.18</v>
      </c>
      <c r="R9" s="108">
        <f t="array" ref="R9">IF(ISNUMBER(AC9),INDEX('All Player Data Store'!$N$7:$N$594,SMALL(IF('All Player Data Store'!$Y$7:$Y$594=AC9,ROW('All Player Data Store'!$Y$7:$Y$594)-ROW('All Player Data Store'!$Y$7)+1),COUNTIF($AC$8:AC9,AC9))),"")</f>
        <v>23.93</v>
      </c>
      <c r="S9" s="108">
        <f t="array" ref="S9">IF(ISNUMBER(AC9),INDEX('All Player Data Store'!$O$7:$O$594,SMALL(IF('All Player Data Store'!$Y$7:$Y$594=AC9,ROW('All Player Data Store'!$Y$7:$Y$594)-ROW('All Player Data Store'!$Y$7)+1),COUNTIF($AC$8:AC9,AC9))),"")</f>
        <v>25.69</v>
      </c>
      <c r="T9" s="108">
        <f t="array" ref="T9">IF(ISNUMBER(AC9),INDEX('All Player Data Store'!$P$7:$P$594,SMALL(IF('All Player Data Store'!$Y$7:$Y$594=AC9,ROW('All Player Data Store'!$Y$7:$Y$594)-ROW('All Player Data Store'!$Y$7)+1),COUNTIF($AC$8:AC9,AC9))),"")</f>
        <v>29.91</v>
      </c>
      <c r="U9" s="108">
        <f t="array" ref="U9">IF(ISNUMBER(AC9),INDEX('All Player Data Store'!$Q$7:$Q$594,SMALL(IF('All Player Data Store'!$Y$7:$Y$594=AC9,ROW('All Player Data Store'!$Y$7:$Y$594)-ROW('All Player Data Store'!$Y$7)+1),COUNTIF($AC$8:AC9,AC9))),"")</f>
        <v>26.72</v>
      </c>
      <c r="V9" s="108">
        <f t="array" ref="V9">IF(ISNUMBER(AC9),INDEX('All Player Data Store'!$R$7:$R$594,SMALL(IF('All Player Data Store'!$Y$7:$Y$594=AC9,ROW('All Player Data Store'!$Y$7:$Y$594)-ROW('All Player Data Store'!$Y$7)+1),COUNTIF($AC$8:AC9,AC9))),"")</f>
        <v>23.3</v>
      </c>
      <c r="W9" s="108">
        <f t="array" ref="W9">IF(ISNUMBER(AC9),INDEX('All Player Data Store'!$S$7:$S$594,SMALL(IF('All Player Data Store'!$Y$7:$Y$594=AC9,ROW('All Player Data Store'!$Y$7:$Y$594)-ROW('All Player Data Store'!$Y$7)+1),COUNTIF($AC$8:AC9,AC9))),"")</f>
        <v>28.23</v>
      </c>
      <c r="X9" s="108">
        <f t="array" ref="X9">IF(ISNUMBER(AC9),INDEX('All Player Data Store'!$T$7:$T$594,SMALL(IF('All Player Data Store'!$Y$7:$Y$594=AC9,ROW('All Player Data Store'!$Y$7:$Y$594)-ROW('All Player Data Store'!$Y$7)+1),COUNTIF($AC$8:AC9,AC9))),"")</f>
        <v>27.08</v>
      </c>
      <c r="Y9" s="108">
        <f t="array" ref="Y9">IF(ISNUMBER(AC9),INDEX('All Player Data Store'!$U$7:$U$594,SMALL(IF('All Player Data Store'!$Y$7:$Y$594=AC9,ROW('All Player Data Store'!$Y$7:$Y$594)-ROW('All Player Data Store'!$Y$7)+1),COUNTIF($AC$8:AC9,AC9))),"")</f>
        <v>27.88</v>
      </c>
      <c r="Z9" s="108">
        <f t="array" ref="Z9">IF(ISNUMBER(AC9),INDEX('All Player Data Store'!$V$7:$V$594,SMALL(IF('All Player Data Store'!$Y$7:$Y$594=AC9,ROW('All Player Data Store'!$Y$7:$Y$594)-ROW('All Player Data Store'!$Y$7)+1),COUNTIF($AC$8:AC9,AC9))),"")</f>
        <v>28.23</v>
      </c>
      <c r="AA9" s="112">
        <f t="array" ref="AA9">IF(ISNUMBER(AC9),INDEX('All Player Data Store'!$W$7:$W$594,SMALL(IF('All Player Data Store'!$Y$7:$Y$594=AC9,ROW('All Player Data Store'!$Y$7:$Y$594)-ROW('All Player Data Store'!$Y$7)+1),COUNTIF($AC$8:AC9,AC9))),"")</f>
        <v>5</v>
      </c>
      <c r="AB9" s="108">
        <f t="array" ref="AB9">IF(ISNUMBER(AC9),INDEX('All Player Data Store'!$X$7:$X$594,SMALL(IF('All Player Data Store'!$Y$7:$Y$594=AC9,ROW('All Player Data Store'!$Y$7:$Y$594)-ROW('All Player Data Store'!$Y$7)+1),COUNTIF($AC$8:AC9,AC9))),"")</f>
        <v>26.913846153846155</v>
      </c>
      <c r="AC9" s="115">
        <f>IF(ISERROR(IF(ISERROR(LARGE('All Player Data Store'!$Y$7:$Y$594,2)),"",(LARGE('All Player Data Store'!$Y$7:$Y$594,2)))),"",(IF(ISERROR(LARGE('All Player Data Store'!$Y$7:$Y$594,2)),"",(LARGE('All Player Data Store'!$Y$7:$Y$594,2)))))</f>
        <v>39.913846153846151</v>
      </c>
      <c r="AD9" s="106">
        <f t="shared" si="2"/>
        <v>3</v>
      </c>
      <c r="AE9" s="107" t="str">
        <f t="array" ref="AE9">IF(ISNUMBER(AC9),INDEX('All Player Data Store'!$J$8:$J$594,SMALL(IF('All Player Data Store'!$Y$7:$Y$594=AC9,ROW('All Player Data Store'!$Y$7:$Y$594)-ROW('All Player Data Store'!$Y$7)+1),COUNTIF($AC$8:AC9,AC9))),"")</f>
        <v>4*0</v>
      </c>
      <c r="AF9" s="108">
        <f t="shared" si="3"/>
        <v>26.37</v>
      </c>
      <c r="AG9" s="108" t="str">
        <f t="array" ref="AG9">IF(ISNUMBER(AC9),INDEX('All Player Data Store'!$K$8:$K$594,SMALL(IF('All Player Data Store'!$Y$7:$Y$594=AC9,ROW('All Player Data Store'!$Y$7:$Y$594)-ROW('All Player Data Store'!$Y$7)+1),COUNTIF($AC$8:AC9,AC9))),"")</f>
        <v>4*0</v>
      </c>
      <c r="AH9" s="108">
        <f t="shared" si="4"/>
        <v>28.45</v>
      </c>
      <c r="AI9" s="108" t="str">
        <f t="array" ref="AI9">IF(ISNUMBER(AC9),INDEX('All Player Data Store'!$L$8:$L$594,SMALL(IF('All Player Data Store'!$Y$7:$Y$594=AC9,ROW('All Player Data Store'!$Y$7:$Y$594)-ROW('All Player Data Store'!$Y$7)+1),COUNTIF($AC$8:AC9,AC9))),"")</f>
        <v>4*0</v>
      </c>
      <c r="AJ9" s="108">
        <f t="shared" si="5"/>
        <v>30.91</v>
      </c>
      <c r="AK9" s="108" t="str">
        <f t="array" ref="AK9">IF(ISNUMBER(AC9),INDEX('All Player Data Store'!$M$8:$M$594,SMALL(IF('All Player Data Store'!$Y$7:$Y$594=AC9,ROW('All Player Data Store'!$Y$7:$Y$594)-ROW('All Player Data Store'!$Y$7)+1),COUNTIF($AC$8:AC9,AC9))),"")</f>
        <v>4*2</v>
      </c>
      <c r="AL9" s="108">
        <f t="shared" si="6"/>
        <v>27.18</v>
      </c>
      <c r="AM9" s="108" t="str">
        <f t="array" ref="AM9">IF(ISNUMBER(AC9),INDEX('All Player Data Store'!$N$8:$N$594,SMALL(IF('All Player Data Store'!$Y$7:$Y$594=AC9,ROW('All Player Data Store'!$Y$7:$Y$594)-ROW('All Player Data Store'!$Y$7)+1),COUNTIF($AC$8:AC9,AC9))),"")</f>
        <v>4*1(1)</v>
      </c>
      <c r="AN9" s="108">
        <f t="shared" si="7"/>
        <v>24.93</v>
      </c>
      <c r="AO9" s="108" t="str">
        <f t="array" ref="AO9">IF(ISNUMBER(AC9),INDEX('All Player Data Store'!$O$8:$O$594,SMALL(IF('All Player Data Store'!$Y$7:$Y$594=AC9,ROW('All Player Data Store'!$Y$7:$Y$594)-ROW('All Player Data Store'!$Y$7)+1),COUNTIF($AC$8:AC9,AC9))),"")</f>
        <v>4*0</v>
      </c>
      <c r="AP9" s="108">
        <f t="shared" si="8"/>
        <v>26.69</v>
      </c>
      <c r="AQ9" s="108" t="str">
        <f t="array" ref="AQ9">IF(ISNUMBER(AC9),INDEX('All Player Data Store'!$P$8:$P$594,SMALL(IF('All Player Data Store'!$Y$7:$Y$594=AC9,ROW('All Player Data Store'!$Y$7:$Y$594)-ROW('All Player Data Store'!$Y$7)+1),COUNTIF($AC$8:AC9,AC9))),"")</f>
        <v>4*0</v>
      </c>
      <c r="AR9" s="108">
        <f t="shared" si="9"/>
        <v>30.91</v>
      </c>
      <c r="AS9" s="108" t="str">
        <f t="array" ref="AS9">IF(ISNUMBER(AC9),INDEX('All Player Data Store'!$Q$8:$Q$594,SMALL(IF('All Player Data Store'!$Y$7:$Y$594=AC9,ROW('All Player Data Store'!$Y$7:$Y$594)-ROW('All Player Data Store'!$Y$7)+1),COUNTIF($AC$8:AC9,AC9))),"")</f>
        <v>4*1(1)</v>
      </c>
      <c r="AT9" s="108">
        <f t="shared" si="10"/>
        <v>27.72</v>
      </c>
      <c r="AU9" s="108" t="str">
        <f t="array" ref="AU9">IF(ISNUMBER(AC9),INDEX('All Player Data Store'!$R$8:$R$594,SMALL(IF('All Player Data Store'!$Y$7:$Y$594=AC9,ROW('All Player Data Store'!$Y$7:$Y$594)-ROW('All Player Data Store'!$Y$7)+1),COUNTIF($AC$8:AC9,AC9))),"")</f>
        <v>4*0</v>
      </c>
      <c r="AV9" s="108">
        <f t="shared" si="11"/>
        <v>24.3</v>
      </c>
      <c r="AW9" s="108" t="str">
        <f t="array" ref="AW9">IF(ISNUMBER(AC9),INDEX('All Player Data Store'!$S$8:$S$594,SMALL(IF('All Player Data Store'!$Y$7:$Y$594=AC9,ROW('All Player Data Store'!$Y$7:$Y$594)-ROW('All Player Data Store'!$Y$7)+1),COUNTIF($AC$8:AC9,AC9))),"")</f>
        <v>4*0(3)</v>
      </c>
      <c r="AX9" s="108">
        <f t="shared" si="12"/>
        <v>29.23</v>
      </c>
      <c r="AY9" s="108" t="str">
        <f t="array" ref="AY9">IF(ISNUMBER(AC9),INDEX('All Player Data Store'!$T$8:$T$594,SMALL(IF('All Player Data Store'!$Y$7:$Y$594=AC9,ROW('All Player Data Store'!$Y$7:$Y$594)-ROW('All Player Data Store'!$Y$7)+1),COUNTIF($AC$8:AC9,AC9))),"")</f>
        <v>4*0</v>
      </c>
      <c r="AZ9" s="108">
        <f t="shared" si="13"/>
        <v>28.08</v>
      </c>
      <c r="BA9" s="108" t="str">
        <f t="array" ref="BA9">IF(ISNUMBER(AC9),INDEX('All Player Data Store'!$U$8:$U$594,SMALL(IF('All Player Data Store'!$Y$7:$Y$594=AC9,ROW('All Player Data Store'!$Y$7:$Y$594)-ROW('All Player Data Store'!$Y$7)+1),COUNTIF($AC$8:AC9,AC9))),"")</f>
        <v>4*1</v>
      </c>
      <c r="BB9" s="108">
        <f t="shared" si="14"/>
        <v>28.88</v>
      </c>
      <c r="BC9" s="108" t="str">
        <f t="array" ref="BC9">IF(ISNUMBER(AC9),INDEX('All Player Data Store'!$V$8:$V$594,SMALL(IF('All Player Data Store'!$Y$7:$Y$594=AC9,ROW('All Player Data Store'!$Y$7:$Y$594)-ROW('All Player Data Store'!$Y$7)+1),COUNTIF($AC$8:AC9,AC9))),"")</f>
        <v>4*0</v>
      </c>
      <c r="BD9" s="108">
        <f t="shared" si="15"/>
        <v>29.23</v>
      </c>
      <c r="BE9" s="1"/>
    </row>
    <row r="10" spans="2:58" ht="12" customHeight="1" x14ac:dyDescent="0.2">
      <c r="B10" s="98" t="str">
        <f t="shared" si="0"/>
        <v>Y</v>
      </c>
      <c r="C10" s="1"/>
      <c r="D10" s="68">
        <f t="shared" si="1"/>
        <v>3</v>
      </c>
      <c r="E10" s="2"/>
      <c r="F10" s="78">
        <v>3</v>
      </c>
      <c r="G10" s="110" t="str">
        <f t="array" ref="G10">IF(ISNUMBER(AC10),INDEX('All Player Data Store'!$C$7:$C$594,SMALL(IF('All Player Data Store'!$Y$7:$Y$594=AC10,ROW('All Player Data Store'!$Y$7:$Y$594)-ROW('All Player Data Store'!$Y$7)+1),COUNTIF($AC$8:AC10,AC10))),"")</f>
        <v>Carl Beattie</v>
      </c>
      <c r="H10" s="111" t="str">
        <f t="array" ref="H10">IF(ISNUMBER(AC10),INDEX('All Player Data Store'!$D$7:$D$594,SMALL(IF('All Player Data Store'!$Y$7:$Y$594=AC10,ROW('All Player Data Store'!$Y$7:$Y$594)-ROW('All Player Data Store'!$Y$7)+1),COUNTIF($AC$8:AC10,AC10))),"")</f>
        <v>Poo</v>
      </c>
      <c r="I10" s="69">
        <f t="array" ref="I10">IF(ISNUMBER(AC10),INDEX('All Player Data Store'!$E$7:$E$594,SMALL(IF('All Player Data Store'!$Y$7:$Y$594=AC10,ROW('All Player Data Store'!$Y$7:$Y$594)-ROW('All Player Data Store'!$Y$7)+1),COUNTIF($AC$8:AC10,AC10))),"")</f>
        <v>13</v>
      </c>
      <c r="J10" s="70">
        <f t="array" ref="J10">IF(ISNUMBER(AC10),INDEX('All Player Data Store'!$F$7:$F$594,SMALL(IF('All Player Data Store'!$Y$7:$Y$594=AC10,ROW('All Player Data Store'!$Y$7:$Y$594)-ROW('All Player Data Store'!$Y$7)+1),COUNTIF($AC$8:AC10,AC10))),"")</f>
        <v>12</v>
      </c>
      <c r="K10" s="112">
        <f t="array" ref="K10">IF(ISNUMBER(AC10),INDEX('All Player Data Store'!$G$7:$G$594,SMALL(IF('All Player Data Store'!$Y$7:$Y$594=AC10,ROW('All Player Data Store'!$Y$7:$Y$594)-ROW('All Player Data Store'!$Y$7)+1),COUNTIF($AC$8:AC10,AC10))),"")</f>
        <v>1</v>
      </c>
      <c r="L10" s="112">
        <f t="array" ref="L10">IF(ISNUMBER(AC10),INDEX('All Player Data Store'!$H$7:$H$594,SMALL(IF('All Player Data Store'!$Y$7:$Y$594=AC10,ROW('All Player Data Store'!$Y$7:$Y$594)-ROW('All Player Data Store'!$Y$7)+1),COUNTIF($AC$8:AC10,AC10))),"")</f>
        <v>51</v>
      </c>
      <c r="M10" s="113">
        <f t="array" ref="M10">IF(ISNUMBER(AC10),INDEX('All Player Data Store'!$I$7:$I$594,SMALL(IF('All Player Data Store'!$Y$7:$Y$594=AC10,ROW('All Player Data Store'!$Y$7:$Y$594)-ROW('All Player Data Store'!$Y$7)+1),COUNTIF($AC$8:AC10,AC10))),"")</f>
        <v>18</v>
      </c>
      <c r="N10" s="114">
        <f t="array" ref="N10">IF(ISNUMBER(AC10),INDEX('All Player Data Store'!$J$7:$J$594,SMALL(IF('All Player Data Store'!$Y$7:$Y$594=AC10,ROW('All Player Data Store'!$Y$7:$Y$594)-ROW('All Player Data Store'!$Y$7)+1),COUNTIF($AC$8:AC10,AC10))),"")</f>
        <v>21.45</v>
      </c>
      <c r="O10" s="108">
        <f t="array" ref="O10">IF(ISNUMBER(AC10),INDEX('All Player Data Store'!$K$7:$K$594,SMALL(IF('All Player Data Store'!$Y$7:$Y$594=AC10,ROW('All Player Data Store'!$Y$7:$Y$594)-ROW('All Player Data Store'!$Y$7)+1),COUNTIF($AC$8:AC10,AC10))),"")</f>
        <v>26.62</v>
      </c>
      <c r="P10" s="108">
        <f t="array" ref="P10">IF(ISNUMBER(AC10),INDEX('All Player Data Store'!$L$7:$L$594,SMALL(IF('All Player Data Store'!$Y$7:$Y$594=AC10,ROW('All Player Data Store'!$Y$7:$Y$594)-ROW('All Player Data Store'!$Y$7)+1),COUNTIF($AC$8:AC10,AC10))),"")</f>
        <v>28.59</v>
      </c>
      <c r="Q10" s="108">
        <f t="array" ref="Q10">IF(ISNUMBER(AC10),INDEX('All Player Data Store'!$M$7:$M$594,SMALL(IF('All Player Data Store'!$Y$7:$Y$594=AC10,ROW('All Player Data Store'!$Y$7:$Y$594)-ROW('All Player Data Store'!$Y$7)+1),COUNTIF($AC$8:AC10,AC10))),"")</f>
        <v>25.04</v>
      </c>
      <c r="R10" s="108">
        <f t="array" ref="R10">IF(ISNUMBER(AC10),INDEX('All Player Data Store'!$N$7:$N$594,SMALL(IF('All Player Data Store'!$Y$7:$Y$594=AC10,ROW('All Player Data Store'!$Y$7:$Y$594)-ROW('All Player Data Store'!$Y$7)+1),COUNTIF($AC$8:AC10,AC10))),"")</f>
        <v>28.27</v>
      </c>
      <c r="S10" s="108">
        <f t="array" ref="S10">IF(ISNUMBER(AC10),INDEX('All Player Data Store'!$O$7:$O$594,SMALL(IF('All Player Data Store'!$Y$7:$Y$594=AC10,ROW('All Player Data Store'!$Y$7:$Y$594)-ROW('All Player Data Store'!$Y$7)+1),COUNTIF($AC$8:AC10,AC10))),"")</f>
        <v>22.77</v>
      </c>
      <c r="T10" s="108">
        <f t="array" ref="T10">IF(ISNUMBER(AC10),INDEX('All Player Data Store'!$P$7:$P$594,SMALL(IF('All Player Data Store'!$Y$7:$Y$594=AC10,ROW('All Player Data Store'!$Y$7:$Y$594)-ROW('All Player Data Store'!$Y$7)+1),COUNTIF($AC$8:AC10,AC10))),"")</f>
        <v>25.06</v>
      </c>
      <c r="U10" s="108">
        <f t="array" ref="U10">IF(ISNUMBER(AC10),INDEX('All Player Data Store'!$Q$7:$Q$594,SMALL(IF('All Player Data Store'!$Y$7:$Y$594=AC10,ROW('All Player Data Store'!$Y$7:$Y$594)-ROW('All Player Data Store'!$Y$7)+1),COUNTIF($AC$8:AC10,AC10))),"")</f>
        <v>21.51</v>
      </c>
      <c r="V10" s="108">
        <f t="array" ref="V10">IF(ISNUMBER(AC10),INDEX('All Player Data Store'!$R$7:$R$594,SMALL(IF('All Player Data Store'!$Y$7:$Y$594=AC10,ROW('All Player Data Store'!$Y$7:$Y$594)-ROW('All Player Data Store'!$Y$7)+1),COUNTIF($AC$8:AC10,AC10))),"")</f>
        <v>27.45</v>
      </c>
      <c r="W10" s="108">
        <f t="array" ref="W10">IF(ISNUMBER(AC10),INDEX('All Player Data Store'!$S$7:$S$594,SMALL(IF('All Player Data Store'!$Y$7:$Y$594=AC10,ROW('All Player Data Store'!$Y$7:$Y$594)-ROW('All Player Data Store'!$Y$7)+1),COUNTIF($AC$8:AC10,AC10))),"")</f>
        <v>26.31</v>
      </c>
      <c r="X10" s="108">
        <f t="array" ref="X10">IF(ISNUMBER(AC10),INDEX('All Player Data Store'!$T$7:$T$594,SMALL(IF('All Player Data Store'!$Y$7:$Y$594=AC10,ROW('All Player Data Store'!$Y$7:$Y$594)-ROW('All Player Data Store'!$Y$7)+1),COUNTIF($AC$8:AC10,AC10))),"")</f>
        <v>23.29</v>
      </c>
      <c r="Y10" s="108">
        <f t="array" ref="Y10">IF(ISNUMBER(AC10),INDEX('All Player Data Store'!$U$7:$U$594,SMALL(IF('All Player Data Store'!$Y$7:$Y$594=AC10,ROW('All Player Data Store'!$Y$7:$Y$594)-ROW('All Player Data Store'!$Y$7)+1),COUNTIF($AC$8:AC10,AC10))),"")</f>
        <v>23.57</v>
      </c>
      <c r="Z10" s="108">
        <f t="array" ref="Z10">IF(ISNUMBER(AC10),INDEX('All Player Data Store'!$V$7:$V$594,SMALL(IF('All Player Data Store'!$Y$7:$Y$594=AC10,ROW('All Player Data Store'!$Y$7:$Y$594)-ROW('All Player Data Store'!$Y$7)+1),COUNTIF($AC$8:AC10,AC10))),"")</f>
        <v>25.91</v>
      </c>
      <c r="AA10" s="112">
        <f t="array" ref="AA10">IF(ISNUMBER(AC10),INDEX('All Player Data Store'!$W$7:$W$594,SMALL(IF('All Player Data Store'!$Y$7:$Y$594=AC10,ROW('All Player Data Store'!$Y$7:$Y$594)-ROW('All Player Data Store'!$Y$7)+1),COUNTIF($AC$8:AC10,AC10))),"")</f>
        <v>13</v>
      </c>
      <c r="AB10" s="108">
        <f t="array" ref="AB10">IF(ISNUMBER(AC10),INDEX('All Player Data Store'!$X$7:$X$594,SMALL(IF('All Player Data Store'!$Y$7:$Y$594=AC10,ROW('All Player Data Store'!$Y$7:$Y$594)-ROW('All Player Data Store'!$Y$7)+1),COUNTIF($AC$8:AC10,AC10))),"")</f>
        <v>25.064615384615387</v>
      </c>
      <c r="AC10" s="115">
        <f>IF(ISERROR(IF(ISERROR(LARGE('All Player Data Store'!$Y$7:$Y$594,3)),"",(LARGE('All Player Data Store'!$Y$7:$Y$594,3)))),"",(IF(ISERROR(LARGE('All Player Data Store'!$Y$7:$Y$594,3)),"",(LARGE('All Player Data Store'!$Y$7:$Y$594,3)))))</f>
        <v>37.064615384615387</v>
      </c>
      <c r="AD10" s="106">
        <f t="shared" si="2"/>
        <v>3</v>
      </c>
      <c r="AE10" s="107" t="str">
        <f t="array" ref="AE10">IF(ISNUMBER(AC10),INDEX('All Player Data Store'!$J$8:$J$594,SMALL(IF('All Player Data Store'!$Y$7:$Y$594=AC10,ROW('All Player Data Store'!$Y$7:$Y$594)-ROW('All Player Data Store'!$Y$7)+1),COUNTIF($AC$8:AC10,AC10))),"")</f>
        <v>4*1(2)</v>
      </c>
      <c r="AF10" s="108">
        <f t="shared" si="3"/>
        <v>22.45</v>
      </c>
      <c r="AG10" s="108" t="str">
        <f t="array" ref="AG10">IF(ISNUMBER(AC10),INDEX('All Player Data Store'!$K$8:$K$594,SMALL(IF('All Player Data Store'!$Y$7:$Y$594=AC10,ROW('All Player Data Store'!$Y$7:$Y$594)-ROW('All Player Data Store'!$Y$7)+1),COUNTIF($AC$8:AC10,AC10))),"")</f>
        <v>4*1</v>
      </c>
      <c r="AH10" s="108">
        <f t="shared" si="4"/>
        <v>27.62</v>
      </c>
      <c r="AI10" s="108" t="str">
        <f t="array" ref="AI10">IF(ISNUMBER(AC10),INDEX('All Player Data Store'!$L$8:$L$594,SMALL(IF('All Player Data Store'!$Y$7:$Y$594=AC10,ROW('All Player Data Store'!$Y$7:$Y$594)-ROW('All Player Data Store'!$Y$7)+1),COUNTIF($AC$8:AC10,AC10))),"")</f>
        <v>4*1(1)</v>
      </c>
      <c r="AJ10" s="108">
        <f t="shared" si="5"/>
        <v>29.59</v>
      </c>
      <c r="AK10" s="108" t="str">
        <f t="array" ref="AK10">IF(ISNUMBER(AC10),INDEX('All Player Data Store'!$M$8:$M$594,SMALL(IF('All Player Data Store'!$Y$7:$Y$594=AC10,ROW('All Player Data Store'!$Y$7:$Y$594)-ROW('All Player Data Store'!$Y$7)+1),COUNTIF($AC$8:AC10,AC10))),"")</f>
        <v>4*2</v>
      </c>
      <c r="AL10" s="108">
        <f t="shared" si="6"/>
        <v>26.04</v>
      </c>
      <c r="AM10" s="108" t="str">
        <f t="array" ref="AM10">IF(ISNUMBER(AC10),INDEX('All Player Data Store'!$N$8:$N$594,SMALL(IF('All Player Data Store'!$Y$7:$Y$594=AC10,ROW('All Player Data Store'!$Y$7:$Y$594)-ROW('All Player Data Store'!$Y$7)+1),COUNTIF($AC$8:AC10,AC10))),"")</f>
        <v>4*1(2)</v>
      </c>
      <c r="AN10" s="108">
        <f t="shared" si="7"/>
        <v>29.27</v>
      </c>
      <c r="AO10" s="108" t="str">
        <f t="array" ref="AO10">IF(ISNUMBER(AC10),INDEX('All Player Data Store'!$O$8:$O$594,SMALL(IF('All Player Data Store'!$Y$7:$Y$594=AC10,ROW('All Player Data Store'!$Y$7:$Y$594)-ROW('All Player Data Store'!$Y$7)+1),COUNTIF($AC$8:AC10,AC10))),"")</f>
        <v>4*0</v>
      </c>
      <c r="AP10" s="108">
        <f t="shared" si="8"/>
        <v>23.77</v>
      </c>
      <c r="AQ10" s="108" t="str">
        <f t="array" ref="AQ10">IF(ISNUMBER(AC10),INDEX('All Player Data Store'!$P$8:$P$594,SMALL(IF('All Player Data Store'!$Y$7:$Y$594=AC10,ROW('All Player Data Store'!$Y$7:$Y$594)-ROW('All Player Data Store'!$Y$7)+1),COUNTIF($AC$8:AC10,AC10))),"")</f>
        <v>4*1(1)</v>
      </c>
      <c r="AR10" s="108">
        <f t="shared" si="9"/>
        <v>26.06</v>
      </c>
      <c r="AS10" s="108" t="str">
        <f t="array" ref="AS10">IF(ISNUMBER(AC10),INDEX('All Player Data Store'!$Q$8:$Q$594,SMALL(IF('All Player Data Store'!$Y$7:$Y$594=AC10,ROW('All Player Data Store'!$Y$7:$Y$594)-ROW('All Player Data Store'!$Y$7)+1),COUNTIF($AC$8:AC10,AC10))),"")</f>
        <v>4*3(2)</v>
      </c>
      <c r="AT10" s="108">
        <f t="shared" si="10"/>
        <v>22.51</v>
      </c>
      <c r="AU10" s="108" t="str">
        <f t="array" ref="AU10">IF(ISNUMBER(AC10),INDEX('All Player Data Store'!$R$8:$R$594,SMALL(IF('All Player Data Store'!$Y$7:$Y$594=AC10,ROW('All Player Data Store'!$Y$7:$Y$594)-ROW('All Player Data Store'!$Y$7)+1),COUNTIF($AC$8:AC10,AC10))),"")</f>
        <v>4*0(1)</v>
      </c>
      <c r="AV10" s="108">
        <f t="shared" si="11"/>
        <v>28.45</v>
      </c>
      <c r="AW10" s="108" t="str">
        <f t="array" ref="AW10">IF(ISNUMBER(AC10),INDEX('All Player Data Store'!$S$8:$S$594,SMALL(IF('All Player Data Store'!$Y$7:$Y$594=AC10,ROW('All Player Data Store'!$Y$7:$Y$594)-ROW('All Player Data Store'!$Y$7)+1),COUNTIF($AC$8:AC10,AC10))),"")</f>
        <v>4*0</v>
      </c>
      <c r="AX10" s="108">
        <f t="shared" si="12"/>
        <v>27.31</v>
      </c>
      <c r="AY10" s="108" t="str">
        <f t="array" ref="AY10">IF(ISNUMBER(AC10),INDEX('All Player Data Store'!$T$8:$T$594,SMALL(IF('All Player Data Store'!$Y$7:$Y$594=AC10,ROW('All Player Data Store'!$Y$7:$Y$594)-ROW('All Player Data Store'!$Y$7)+1),COUNTIF($AC$8:AC10,AC10))),"")</f>
        <v>3*4(2)</v>
      </c>
      <c r="AZ10" s="108">
        <f t="shared" si="13"/>
        <v>23.29</v>
      </c>
      <c r="BA10" s="108" t="str">
        <f t="array" ref="BA10">IF(ISNUMBER(AC10),INDEX('All Player Data Store'!$U$8:$U$594,SMALL(IF('All Player Data Store'!$Y$7:$Y$594=AC10,ROW('All Player Data Store'!$Y$7:$Y$594)-ROW('All Player Data Store'!$Y$7)+1),COUNTIF($AC$8:AC10,AC10))),"")</f>
        <v>4*2</v>
      </c>
      <c r="BB10" s="108">
        <f t="shared" si="14"/>
        <v>24.57</v>
      </c>
      <c r="BC10" s="108" t="str">
        <f t="array" ref="BC10">IF(ISNUMBER(AC10),INDEX('All Player Data Store'!$V$8:$V$594,SMALL(IF('All Player Data Store'!$Y$7:$Y$594=AC10,ROW('All Player Data Store'!$Y$7:$Y$594)-ROW('All Player Data Store'!$Y$7)+1),COUNTIF($AC$8:AC10,AC10))),"")</f>
        <v>4*2(2)</v>
      </c>
      <c r="BD10" s="108">
        <f t="shared" si="15"/>
        <v>26.91</v>
      </c>
      <c r="BE10" s="1"/>
    </row>
    <row r="11" spans="2:58" ht="12" customHeight="1" x14ac:dyDescent="0.2">
      <c r="B11" s="98" t="str">
        <f t="shared" si="0"/>
        <v>Y</v>
      </c>
      <c r="C11" s="1"/>
      <c r="D11" s="68">
        <f t="shared" si="1"/>
        <v>4</v>
      </c>
      <c r="E11" s="2"/>
      <c r="F11" s="78">
        <v>4</v>
      </c>
      <c r="G11" s="110" t="str">
        <f t="array" ref="G11">IF(ISNUMBER(AC11),INDEX('All Player Data Store'!$C$7:$C$594,SMALL(IF('All Player Data Store'!$Y$7:$Y$594=AC11,ROW('All Player Data Store'!$Y$7:$Y$594)-ROW('All Player Data Store'!$Y$7)+1),COUNTIF($AC$8:AC11,AC11))),"")</f>
        <v>Henry Cooper</v>
      </c>
      <c r="H11" s="111" t="str">
        <f t="array" ref="H11">IF(ISNUMBER(AC11),INDEX('All Player Data Store'!$D$7:$D$594,SMALL(IF('All Player Data Store'!$Y$7:$Y$594=AC11,ROW('All Player Data Store'!$Y$7:$Y$594)-ROW('All Player Data Store'!$Y$7)+1),COUNTIF($AC$8:AC11,AC11))),"")</f>
        <v>Dor</v>
      </c>
      <c r="I11" s="69">
        <f t="array" ref="I11">IF(ISNUMBER(AC11),INDEX('All Player Data Store'!$E$7:$E$594,SMALL(IF('All Player Data Store'!$Y$7:$Y$594=AC11,ROW('All Player Data Store'!$Y$7:$Y$594)-ROW('All Player Data Store'!$Y$7)+1),COUNTIF($AC$8:AC11,AC11))),"")</f>
        <v>13</v>
      </c>
      <c r="J11" s="70">
        <f t="array" ref="J11">IF(ISNUMBER(AC11),INDEX('All Player Data Store'!$F$7:$F$594,SMALL(IF('All Player Data Store'!$Y$7:$Y$594=AC11,ROW('All Player Data Store'!$Y$7:$Y$594)-ROW('All Player Data Store'!$Y$7)+1),COUNTIF($AC$8:AC11,AC11))),"")</f>
        <v>12</v>
      </c>
      <c r="K11" s="112">
        <f t="array" ref="K11">IF(ISNUMBER(AC11),INDEX('All Player Data Store'!$G$7:$G$594,SMALL(IF('All Player Data Store'!$Y$7:$Y$594=AC11,ROW('All Player Data Store'!$Y$7:$Y$594)-ROW('All Player Data Store'!$Y$7)+1),COUNTIF($AC$8:AC11,AC11))),"")</f>
        <v>1</v>
      </c>
      <c r="L11" s="112">
        <f t="array" ref="L11">IF(ISNUMBER(AC11),INDEX('All Player Data Store'!$H$7:$H$594,SMALL(IF('All Player Data Store'!$Y$7:$Y$594=AC11,ROW('All Player Data Store'!$Y$7:$Y$594)-ROW('All Player Data Store'!$Y$7)+1),COUNTIF($AC$8:AC11,AC11))),"")</f>
        <v>49</v>
      </c>
      <c r="M11" s="113">
        <f t="array" ref="M11">IF(ISNUMBER(AC11),INDEX('All Player Data Store'!$I$7:$I$594,SMALL(IF('All Player Data Store'!$Y$7:$Y$594=AC11,ROW('All Player Data Store'!$Y$7:$Y$594)-ROW('All Player Data Store'!$Y$7)+1),COUNTIF($AC$8:AC11,AC11))),"")</f>
        <v>16</v>
      </c>
      <c r="N11" s="114">
        <f t="array" ref="N11">IF(ISNUMBER(AC11),INDEX('All Player Data Store'!$J$7:$J$594,SMALL(IF('All Player Data Store'!$Y$7:$Y$594=AC11,ROW('All Player Data Store'!$Y$7:$Y$594)-ROW('All Player Data Store'!$Y$7)+1),COUNTIF($AC$8:AC11,AC11))),"")</f>
        <v>25.05</v>
      </c>
      <c r="O11" s="108">
        <f t="array" ref="O11">IF(ISNUMBER(AC11),INDEX('All Player Data Store'!$K$7:$K$594,SMALL(IF('All Player Data Store'!$Y$7:$Y$594=AC11,ROW('All Player Data Store'!$Y$7:$Y$594)-ROW('All Player Data Store'!$Y$7)+1),COUNTIF($AC$8:AC11,AC11))),"")</f>
        <v>29.04</v>
      </c>
      <c r="P11" s="108">
        <f t="array" ref="P11">IF(ISNUMBER(AC11),INDEX('All Player Data Store'!$L$7:$L$594,SMALL(IF('All Player Data Store'!$Y$7:$Y$594=AC11,ROW('All Player Data Store'!$Y$7:$Y$594)-ROW('All Player Data Store'!$Y$7)+1),COUNTIF($AC$8:AC11,AC11))),"")</f>
        <v>27.45</v>
      </c>
      <c r="Q11" s="108">
        <f t="array" ref="Q11">IF(ISNUMBER(AC11),INDEX('All Player Data Store'!$M$7:$M$594,SMALL(IF('All Player Data Store'!$Y$7:$Y$594=AC11,ROW('All Player Data Store'!$Y$7:$Y$594)-ROW('All Player Data Store'!$Y$7)+1),COUNTIF($AC$8:AC11,AC11))),"")</f>
        <v>22.08</v>
      </c>
      <c r="R11" s="108">
        <f t="array" ref="R11">IF(ISNUMBER(AC11),INDEX('All Player Data Store'!$N$7:$N$594,SMALL(IF('All Player Data Store'!$Y$7:$Y$594=AC11,ROW('All Player Data Store'!$Y$7:$Y$594)-ROW('All Player Data Store'!$Y$7)+1),COUNTIF($AC$8:AC11,AC11))),"")</f>
        <v>26.03</v>
      </c>
      <c r="S11" s="108">
        <f t="array" ref="S11">IF(ISNUMBER(AC11),INDEX('All Player Data Store'!$O$7:$O$594,SMALL(IF('All Player Data Store'!$Y$7:$Y$594=AC11,ROW('All Player Data Store'!$Y$7:$Y$594)-ROW('All Player Data Store'!$Y$7)+1),COUNTIF($AC$8:AC11,AC11))),"")</f>
        <v>21.68</v>
      </c>
      <c r="T11" s="108">
        <f t="array" ref="T11">IF(ISNUMBER(AC11),INDEX('All Player Data Store'!$P$7:$P$594,SMALL(IF('All Player Data Store'!$Y$7:$Y$594=AC11,ROW('All Player Data Store'!$Y$7:$Y$594)-ROW('All Player Data Store'!$Y$7)+1),COUNTIF($AC$8:AC11,AC11))),"")</f>
        <v>28.23</v>
      </c>
      <c r="U11" s="108">
        <f t="array" ref="U11">IF(ISNUMBER(AC11),INDEX('All Player Data Store'!$Q$7:$Q$594,SMALL(IF('All Player Data Store'!$Y$7:$Y$594=AC11,ROW('All Player Data Store'!$Y$7:$Y$594)-ROW('All Player Data Store'!$Y$7)+1),COUNTIF($AC$8:AC11,AC11))),"")</f>
        <v>26.39</v>
      </c>
      <c r="V11" s="108">
        <f t="array" ref="V11">IF(ISNUMBER(AC11),INDEX('All Player Data Store'!$R$7:$R$594,SMALL(IF('All Player Data Store'!$Y$7:$Y$594=AC11,ROW('All Player Data Store'!$Y$7:$Y$594)-ROW('All Player Data Store'!$Y$7)+1),COUNTIF($AC$8:AC11,AC11))),"")</f>
        <v>21.09</v>
      </c>
      <c r="W11" s="108">
        <f t="array" ref="W11">IF(ISNUMBER(AC11),INDEX('All Player Data Store'!$S$7:$S$594,SMALL(IF('All Player Data Store'!$Y$7:$Y$594=AC11,ROW('All Player Data Store'!$Y$7:$Y$594)-ROW('All Player Data Store'!$Y$7)+1),COUNTIF($AC$8:AC11,AC11))),"")</f>
        <v>25.31</v>
      </c>
      <c r="X11" s="108">
        <f t="array" ref="X11">IF(ISNUMBER(AC11),INDEX('All Player Data Store'!$T$7:$T$594,SMALL(IF('All Player Data Store'!$Y$7:$Y$594=AC11,ROW('All Player Data Store'!$Y$7:$Y$594)-ROW('All Player Data Store'!$Y$7)+1),COUNTIF($AC$8:AC11,AC11))),"")</f>
        <v>23.94</v>
      </c>
      <c r="Y11" s="108">
        <f t="array" ref="Y11">IF(ISNUMBER(AC11),INDEX('All Player Data Store'!$U$7:$U$594,SMALL(IF('All Player Data Store'!$Y$7:$Y$594=AC11,ROW('All Player Data Store'!$Y$7:$Y$594)-ROW('All Player Data Store'!$Y$7)+1),COUNTIF($AC$8:AC11,AC11))),"")</f>
        <v>25.05</v>
      </c>
      <c r="Z11" s="108">
        <f t="array" ref="Z11">IF(ISNUMBER(AC11),INDEX('All Player Data Store'!$V$7:$V$594,SMALL(IF('All Player Data Store'!$Y$7:$Y$594=AC11,ROW('All Player Data Store'!$Y$7:$Y$594)-ROW('All Player Data Store'!$Y$7)+1),COUNTIF($AC$8:AC11,AC11))),"")</f>
        <v>22.26</v>
      </c>
      <c r="AA11" s="112">
        <f t="array" ref="AA11">IF(ISNUMBER(AC11),INDEX('All Player Data Store'!$W$7:$W$594,SMALL(IF('All Player Data Store'!$Y$7:$Y$594=AC11,ROW('All Player Data Store'!$Y$7:$Y$594)-ROW('All Player Data Store'!$Y$7)+1),COUNTIF($AC$8:AC11,AC11))),"")</f>
        <v>4</v>
      </c>
      <c r="AB11" s="108">
        <f t="array" ref="AB11">IF(ISNUMBER(AC11),INDEX('All Player Data Store'!$X$7:$X$594,SMALL(IF('All Player Data Store'!$Y$7:$Y$594=AC11,ROW('All Player Data Store'!$Y$7:$Y$594)-ROW('All Player Data Store'!$Y$7)+1),COUNTIF($AC$8:AC11,AC11))),"")</f>
        <v>24.892307692307693</v>
      </c>
      <c r="AC11" s="115">
        <f>IF(ISERROR(IF(ISERROR(LARGE('All Player Data Store'!$Y$7:$Y$594,4)),"",(LARGE('All Player Data Store'!$Y$7:$Y$594,4)))),"",(IF(ISERROR(LARGE('All Player Data Store'!$Y$7:$Y$594,4)),"",(LARGE('All Player Data Store'!$Y$7:$Y$594,4)))))</f>
        <v>36.892307692307696</v>
      </c>
      <c r="AD11" s="106">
        <f t="shared" si="2"/>
        <v>3</v>
      </c>
      <c r="AE11" s="107" t="str">
        <f t="array" ref="AE11">IF(ISNUMBER(AC11),INDEX('All Player Data Store'!$J$8:$J$594,SMALL(IF('All Player Data Store'!$Y$7:$Y$594=AC11,ROW('All Player Data Store'!$Y$7:$Y$594)-ROW('All Player Data Store'!$Y$7)+1),COUNTIF($AC$8:AC11,AC11))),"")</f>
        <v>4*0</v>
      </c>
      <c r="AF11" s="108">
        <f t="shared" si="3"/>
        <v>26.05</v>
      </c>
      <c r="AG11" s="108" t="str">
        <f t="array" ref="AG11">IF(ISNUMBER(AC11),INDEX('All Player Data Store'!$K$8:$K$594,SMALL(IF('All Player Data Store'!$Y$7:$Y$594=AC11,ROW('All Player Data Store'!$Y$7:$Y$594)-ROW('All Player Data Store'!$Y$7)+1),COUNTIF($AC$8:AC11,AC11))),"")</f>
        <v>4*0(1)</v>
      </c>
      <c r="AH11" s="108">
        <f t="shared" si="4"/>
        <v>30.04</v>
      </c>
      <c r="AI11" s="108" t="str">
        <f t="array" ref="AI11">IF(ISNUMBER(AC11),INDEX('All Player Data Store'!$L$8:$L$594,SMALL(IF('All Player Data Store'!$Y$7:$Y$594=AC11,ROW('All Player Data Store'!$Y$7:$Y$594)-ROW('All Player Data Store'!$Y$7)+1),COUNTIF($AC$8:AC11,AC11))),"")</f>
        <v>4*0(1)</v>
      </c>
      <c r="AJ11" s="108">
        <f t="shared" si="5"/>
        <v>28.45</v>
      </c>
      <c r="AK11" s="108" t="str">
        <f t="array" ref="AK11">IF(ISNUMBER(AC11),INDEX('All Player Data Store'!$M$8:$M$594,SMALL(IF('All Player Data Store'!$Y$7:$Y$594=AC11,ROW('All Player Data Store'!$Y$7:$Y$594)-ROW('All Player Data Store'!$Y$7)+1),COUNTIF($AC$8:AC11,AC11))),"")</f>
        <v>4*1</v>
      </c>
      <c r="AL11" s="108">
        <f t="shared" si="6"/>
        <v>23.08</v>
      </c>
      <c r="AM11" s="108" t="str">
        <f t="array" ref="AM11">IF(ISNUMBER(AC11),INDEX('All Player Data Store'!$N$8:$N$594,SMALL(IF('All Player Data Store'!$Y$7:$Y$594=AC11,ROW('All Player Data Store'!$Y$7:$Y$594)-ROW('All Player Data Store'!$Y$7)+1),COUNTIF($AC$8:AC11,AC11))),"")</f>
        <v>4*0</v>
      </c>
      <c r="AN11" s="108">
        <f t="shared" si="7"/>
        <v>27.03</v>
      </c>
      <c r="AO11" s="108" t="str">
        <f t="array" ref="AO11">IF(ISNUMBER(AC11),INDEX('All Player Data Store'!$O$8:$O$594,SMALL(IF('All Player Data Store'!$Y$7:$Y$594=AC11,ROW('All Player Data Store'!$Y$7:$Y$594)-ROW('All Player Data Store'!$Y$7)+1),COUNTIF($AC$8:AC11,AC11))),"")</f>
        <v>4*2</v>
      </c>
      <c r="AP11" s="108">
        <f t="shared" si="8"/>
        <v>22.68</v>
      </c>
      <c r="AQ11" s="108" t="str">
        <f t="array" ref="AQ11">IF(ISNUMBER(AC11),INDEX('All Player Data Store'!$P$8:$P$594,SMALL(IF('All Player Data Store'!$Y$7:$Y$594=AC11,ROW('All Player Data Store'!$Y$7:$Y$594)-ROW('All Player Data Store'!$Y$7)+1),COUNTIF($AC$8:AC11,AC11))),"")</f>
        <v>4*0(1)</v>
      </c>
      <c r="AR11" s="108">
        <f t="shared" si="9"/>
        <v>29.23</v>
      </c>
      <c r="AS11" s="108" t="str">
        <f t="array" ref="AS11">IF(ISNUMBER(AC11),INDEX('All Player Data Store'!$Q$8:$Q$594,SMALL(IF('All Player Data Store'!$Y$7:$Y$594=AC11,ROW('All Player Data Store'!$Y$7:$Y$594)-ROW('All Player Data Store'!$Y$7)+1),COUNTIF($AC$8:AC11,AC11))),"")</f>
        <v>4*3(1)</v>
      </c>
      <c r="AT11" s="108">
        <f t="shared" si="10"/>
        <v>27.39</v>
      </c>
      <c r="AU11" s="108" t="str">
        <f t="array" ref="AU11">IF(ISNUMBER(AC11),INDEX('All Player Data Store'!$R$8:$R$594,SMALL(IF('All Player Data Store'!$Y$7:$Y$594=AC11,ROW('All Player Data Store'!$Y$7:$Y$594)-ROW('All Player Data Store'!$Y$7)+1),COUNTIF($AC$8:AC11,AC11))),"")</f>
        <v>4*0</v>
      </c>
      <c r="AV11" s="108">
        <f t="shared" si="11"/>
        <v>22.09</v>
      </c>
      <c r="AW11" s="108" t="str">
        <f t="array" ref="AW11">IF(ISNUMBER(AC11),INDEX('All Player Data Store'!$S$8:$S$594,SMALL(IF('All Player Data Store'!$Y$7:$Y$594=AC11,ROW('All Player Data Store'!$Y$7:$Y$594)-ROW('All Player Data Store'!$Y$7)+1),COUNTIF($AC$8:AC11,AC11))),"")</f>
        <v>1*4</v>
      </c>
      <c r="AX11" s="108">
        <f t="shared" si="12"/>
        <v>25.31</v>
      </c>
      <c r="AY11" s="108" t="str">
        <f t="array" ref="AY11">IF(ISNUMBER(AC11),INDEX('All Player Data Store'!$T$8:$T$594,SMALL(IF('All Player Data Store'!$Y$7:$Y$594=AC11,ROW('All Player Data Store'!$Y$7:$Y$594)-ROW('All Player Data Store'!$Y$7)+1),COUNTIF($AC$8:AC11,AC11))),"")</f>
        <v>4*3</v>
      </c>
      <c r="AZ11" s="108">
        <f t="shared" si="13"/>
        <v>24.94</v>
      </c>
      <c r="BA11" s="108" t="str">
        <f t="array" ref="BA11">IF(ISNUMBER(AC11),INDEX('All Player Data Store'!$U$8:$U$594,SMALL(IF('All Player Data Store'!$Y$7:$Y$594=AC11,ROW('All Player Data Store'!$Y$7:$Y$594)-ROW('All Player Data Store'!$Y$7)+1),COUNTIF($AC$8:AC11,AC11))),"")</f>
        <v>4*0</v>
      </c>
      <c r="BB11" s="108">
        <f t="shared" si="14"/>
        <v>26.05</v>
      </c>
      <c r="BC11" s="108" t="str">
        <f t="array" ref="BC11">IF(ISNUMBER(AC11),INDEX('All Player Data Store'!$V$8:$V$594,SMALL(IF('All Player Data Store'!$Y$7:$Y$594=AC11,ROW('All Player Data Store'!$Y$7:$Y$594)-ROW('All Player Data Store'!$Y$7)+1),COUNTIF($AC$8:AC11,AC11))),"")</f>
        <v>4*3</v>
      </c>
      <c r="BD11" s="108">
        <f t="shared" si="15"/>
        <v>23.26</v>
      </c>
      <c r="BE11" s="1"/>
    </row>
    <row r="12" spans="2:58" ht="12" customHeight="1" x14ac:dyDescent="0.2">
      <c r="B12" s="98" t="str">
        <f t="shared" si="0"/>
        <v>Y</v>
      </c>
      <c r="C12" s="1"/>
      <c r="D12" s="68">
        <f t="shared" si="1"/>
        <v>5</v>
      </c>
      <c r="E12" s="2"/>
      <c r="F12" s="78">
        <v>5</v>
      </c>
      <c r="G12" s="110" t="str">
        <f t="array" ref="G12">IF(ISNUMBER(AC12),INDEX('All Player Data Store'!$C$7:$C$594,SMALL(IF('All Player Data Store'!$Y$7:$Y$594=AC12,ROW('All Player Data Store'!$Y$7:$Y$594)-ROW('All Player Data Store'!$Y$7)+1),COUNTIF($AC$8:AC12,AC12))),"")</f>
        <v>Ricky King</v>
      </c>
      <c r="H12" s="111" t="str">
        <f t="array" ref="H12">IF(ISNUMBER(AC12),INDEX('All Player Data Store'!$D$7:$D$594,SMALL(IF('All Player Data Store'!$Y$7:$Y$594=AC12,ROW('All Player Data Store'!$Y$7:$Y$594)-ROW('All Player Data Store'!$Y$7)+1),COUNTIF($AC$8:AC12,AC12))),"")</f>
        <v>Swa</v>
      </c>
      <c r="I12" s="69">
        <f t="array" ref="I12">IF(ISNUMBER(AC12),INDEX('All Player Data Store'!$E$7:$E$594,SMALL(IF('All Player Data Store'!$Y$7:$Y$594=AC12,ROW('All Player Data Store'!$Y$7:$Y$594)-ROW('All Player Data Store'!$Y$7)+1),COUNTIF($AC$8:AC12,AC12))),"")</f>
        <v>11</v>
      </c>
      <c r="J12" s="70">
        <f t="array" ref="J12">IF(ISNUMBER(AC12),INDEX('All Player Data Store'!$F$7:$F$594,SMALL(IF('All Player Data Store'!$Y$7:$Y$594=AC12,ROW('All Player Data Store'!$Y$7:$Y$594)-ROW('All Player Data Store'!$Y$7)+1),COUNTIF($AC$8:AC12,AC12))),"")</f>
        <v>10</v>
      </c>
      <c r="K12" s="112">
        <f t="array" ref="K12">IF(ISNUMBER(AC12),INDEX('All Player Data Store'!$G$7:$G$594,SMALL(IF('All Player Data Store'!$Y$7:$Y$594=AC12,ROW('All Player Data Store'!$Y$7:$Y$594)-ROW('All Player Data Store'!$Y$7)+1),COUNTIF($AC$8:AC12,AC12))),"")</f>
        <v>1</v>
      </c>
      <c r="L12" s="112">
        <f t="array" ref="L12">IF(ISNUMBER(AC12),INDEX('All Player Data Store'!$H$7:$H$594,SMALL(IF('All Player Data Store'!$Y$7:$Y$594=AC12,ROW('All Player Data Store'!$Y$7:$Y$594)-ROW('All Player Data Store'!$Y$7)+1),COUNTIF($AC$8:AC12,AC12))),"")</f>
        <v>43</v>
      </c>
      <c r="M12" s="113">
        <f t="array" ref="M12">IF(ISNUMBER(AC12),INDEX('All Player Data Store'!$I$7:$I$594,SMALL(IF('All Player Data Store'!$Y$7:$Y$594=AC12,ROW('All Player Data Store'!$Y$7:$Y$594)-ROW('All Player Data Store'!$Y$7)+1),COUNTIF($AC$8:AC12,AC12))),"")</f>
        <v>20</v>
      </c>
      <c r="N12" s="114">
        <f t="array" ref="N12">IF(ISNUMBER(AC12),INDEX('All Player Data Store'!$J$7:$J$594,SMALL(IF('All Player Data Store'!$Y$7:$Y$594=AC12,ROW('All Player Data Store'!$Y$7:$Y$594)-ROW('All Player Data Store'!$Y$7)+1),COUNTIF($AC$8:AC12,AC12))),"")</f>
        <v>25.37</v>
      </c>
      <c r="O12" s="108" t="str">
        <f t="array" ref="O12">IF(ISNUMBER(AC12),INDEX('All Player Data Store'!$K$7:$K$594,SMALL(IF('All Player Data Store'!$Y$7:$Y$594=AC12,ROW('All Player Data Store'!$Y$7:$Y$594)-ROW('All Player Data Store'!$Y$7)+1),COUNTIF($AC$8:AC12,AC12))),"")</f>
        <v/>
      </c>
      <c r="P12" s="108">
        <f t="array" ref="P12">IF(ISNUMBER(AC12),INDEX('All Player Data Store'!$L$7:$L$594,SMALL(IF('All Player Data Store'!$Y$7:$Y$594=AC12,ROW('All Player Data Store'!$Y$7:$Y$594)-ROW('All Player Data Store'!$Y$7)+1),COUNTIF($AC$8:AC12,AC12))),"")</f>
        <v>29.41</v>
      </c>
      <c r="Q12" s="108">
        <f t="array" ref="Q12">IF(ISNUMBER(AC12),INDEX('All Player Data Store'!$M$7:$M$594,SMALL(IF('All Player Data Store'!$Y$7:$Y$594=AC12,ROW('All Player Data Store'!$Y$7:$Y$594)-ROW('All Player Data Store'!$Y$7)+1),COUNTIF($AC$8:AC12,AC12))),"")</f>
        <v>23.7</v>
      </c>
      <c r="R12" s="108">
        <f t="array" ref="R12">IF(ISNUMBER(AC12),INDEX('All Player Data Store'!$N$7:$N$594,SMALL(IF('All Player Data Store'!$Y$7:$Y$594=AC12,ROW('All Player Data Store'!$Y$7:$Y$594)-ROW('All Player Data Store'!$Y$7)+1),COUNTIF($AC$8:AC12,AC12))),"")</f>
        <v>27.64</v>
      </c>
      <c r="S12" s="108" t="str">
        <f t="array" ref="S12">IF(ISNUMBER(AC12),INDEX('All Player Data Store'!$O$7:$O$594,SMALL(IF('All Player Data Store'!$Y$7:$Y$594=AC12,ROW('All Player Data Store'!$Y$7:$Y$594)-ROW('All Player Data Store'!$Y$7)+1),COUNTIF($AC$8:AC12,AC12))),"")</f>
        <v/>
      </c>
      <c r="T12" s="108">
        <f t="array" ref="T12">IF(ISNUMBER(AC12),INDEX('All Player Data Store'!$P$7:$P$594,SMALL(IF('All Player Data Store'!$Y$7:$Y$594=AC12,ROW('All Player Data Store'!$Y$7:$Y$594)-ROW('All Player Data Store'!$Y$7)+1),COUNTIF($AC$8:AC12,AC12))),"")</f>
        <v>24.56</v>
      </c>
      <c r="U12" s="108">
        <f t="array" ref="U12">IF(ISNUMBER(AC12),INDEX('All Player Data Store'!$Q$7:$Q$594,SMALL(IF('All Player Data Store'!$Y$7:$Y$594=AC12,ROW('All Player Data Store'!$Y$7:$Y$594)-ROW('All Player Data Store'!$Y$7)+1),COUNTIF($AC$8:AC12,AC12))),"")</f>
        <v>25.99</v>
      </c>
      <c r="V12" s="108">
        <f t="array" ref="V12">IF(ISNUMBER(AC12),INDEX('All Player Data Store'!$R$7:$R$594,SMALL(IF('All Player Data Store'!$Y$7:$Y$594=AC12,ROW('All Player Data Store'!$Y$7:$Y$594)-ROW('All Player Data Store'!$Y$7)+1),COUNTIF($AC$8:AC12,AC12))),"")</f>
        <v>24.46</v>
      </c>
      <c r="W12" s="108">
        <f t="array" ref="W12">IF(ISNUMBER(AC12),INDEX('All Player Data Store'!$S$7:$S$594,SMALL(IF('All Player Data Store'!$Y$7:$Y$594=AC12,ROW('All Player Data Store'!$Y$7:$Y$594)-ROW('All Player Data Store'!$Y$7)+1),COUNTIF($AC$8:AC12,AC12))),"")</f>
        <v>28.48</v>
      </c>
      <c r="X12" s="108">
        <f t="array" ref="X12">IF(ISNUMBER(AC12),INDEX('All Player Data Store'!$T$7:$T$594,SMALL(IF('All Player Data Store'!$Y$7:$Y$594=AC12,ROW('All Player Data Store'!$Y$7:$Y$594)-ROW('All Player Data Store'!$Y$7)+1),COUNTIF($AC$8:AC12,AC12))),"")</f>
        <v>27.79</v>
      </c>
      <c r="Y12" s="108">
        <f t="array" ref="Y12">IF(ISNUMBER(AC12),INDEX('All Player Data Store'!$U$7:$U$594,SMALL(IF('All Player Data Store'!$Y$7:$Y$594=AC12,ROW('All Player Data Store'!$Y$7:$Y$594)-ROW('All Player Data Store'!$Y$7)+1),COUNTIF($AC$8:AC12,AC12))),"")</f>
        <v>26.25</v>
      </c>
      <c r="Z12" s="108">
        <f t="array" ref="Z12">IF(ISNUMBER(AC12),INDEX('All Player Data Store'!$V$7:$V$594,SMALL(IF('All Player Data Store'!$Y$7:$Y$594=AC12,ROW('All Player Data Store'!$Y$7:$Y$594)-ROW('All Player Data Store'!$Y$7)+1),COUNTIF($AC$8:AC12,AC12))),"")</f>
        <v>25.85</v>
      </c>
      <c r="AA12" s="112">
        <f t="array" ref="AA12">IF(ISNUMBER(AC12),INDEX('All Player Data Store'!$W$7:$W$594,SMALL(IF('All Player Data Store'!$Y$7:$Y$594=AC12,ROW('All Player Data Store'!$Y$7:$Y$594)-ROW('All Player Data Store'!$Y$7)+1),COUNTIF($AC$8:AC12,AC12))),"")</f>
        <v>8</v>
      </c>
      <c r="AB12" s="108">
        <f t="array" ref="AB12">IF(ISNUMBER(AC12),INDEX('All Player Data Store'!$X$7:$X$594,SMALL(IF('All Player Data Store'!$Y$7:$Y$594=AC12,ROW('All Player Data Store'!$Y$7:$Y$594)-ROW('All Player Data Store'!$Y$7)+1),COUNTIF($AC$8:AC12,AC12))),"")</f>
        <v>26.318181818181817</v>
      </c>
      <c r="AC12" s="115">
        <f>IF(ISERROR(IF(ISERROR(LARGE('All Player Data Store'!$Y$7:$Y$594,5)),"",(LARGE('All Player Data Store'!$Y$7:$Y$594,5)))),"",(IF(ISERROR(LARGE('All Player Data Store'!$Y$7:$Y$594,5)),"",(LARGE('All Player Data Store'!$Y$7:$Y$594,5)))))</f>
        <v>36.318181818181813</v>
      </c>
      <c r="AD12" s="106">
        <f t="shared" si="2"/>
        <v>3</v>
      </c>
      <c r="AE12" s="107" t="str">
        <f t="array" ref="AE12">IF(ISNUMBER(AC12),INDEX('All Player Data Store'!$J$8:$J$594,SMALL(IF('All Player Data Store'!$Y$7:$Y$594=AC12,ROW('All Player Data Store'!$Y$7:$Y$594)-ROW('All Player Data Store'!$Y$7)+1),COUNTIF($AC$8:AC12,AC12))),"")</f>
        <v>4*3</v>
      </c>
      <c r="AF12" s="108">
        <f t="shared" si="3"/>
        <v>26.37</v>
      </c>
      <c r="AG12" s="108" t="str">
        <f t="array" ref="AG12">IF(ISNUMBER(AC12),INDEX('All Player Data Store'!$K$8:$K$594,SMALL(IF('All Player Data Store'!$Y$7:$Y$594=AC12,ROW('All Player Data Store'!$Y$7:$Y$594)-ROW('All Player Data Store'!$Y$7)+1),COUNTIF($AC$8:AC12,AC12))),"")</f>
        <v/>
      </c>
      <c r="AH12" s="108" t="str">
        <f t="shared" si="4"/>
        <v/>
      </c>
      <c r="AI12" s="108" t="str">
        <f t="array" ref="AI12">IF(ISNUMBER(AC12),INDEX('All Player Data Store'!$L$8:$L$594,SMALL(IF('All Player Data Store'!$Y$7:$Y$594=AC12,ROW('All Player Data Store'!$Y$7:$Y$594)-ROW('All Player Data Store'!$Y$7)+1),COUNTIF($AC$8:AC12,AC12))),"")</f>
        <v>4*1(1)</v>
      </c>
      <c r="AJ12" s="108">
        <f t="shared" si="5"/>
        <v>30.41</v>
      </c>
      <c r="AK12" s="108" t="str">
        <f t="array" ref="AK12">IF(ISNUMBER(AC12),INDEX('All Player Data Store'!$M$8:$M$594,SMALL(IF('All Player Data Store'!$Y$7:$Y$594=AC12,ROW('All Player Data Store'!$Y$7:$Y$594)-ROW('All Player Data Store'!$Y$7)+1),COUNTIF($AC$8:AC12,AC12))),"")</f>
        <v>4*1</v>
      </c>
      <c r="AL12" s="108">
        <f t="shared" si="6"/>
        <v>24.7</v>
      </c>
      <c r="AM12" s="108" t="str">
        <f t="array" ref="AM12">IF(ISNUMBER(AC12),INDEX('All Player Data Store'!$N$8:$N$594,SMALL(IF('All Player Data Store'!$Y$7:$Y$594=AC12,ROW('All Player Data Store'!$Y$7:$Y$594)-ROW('All Player Data Store'!$Y$7)+1),COUNTIF($AC$8:AC12,AC12))),"")</f>
        <v>4*1(2)</v>
      </c>
      <c r="AN12" s="108">
        <f t="shared" si="7"/>
        <v>28.64</v>
      </c>
      <c r="AO12" s="108" t="str">
        <f t="array" ref="AO12">IF(ISNUMBER(AC12),INDEX('All Player Data Store'!$O$8:$O$594,SMALL(IF('All Player Data Store'!$Y$7:$Y$594=AC12,ROW('All Player Data Store'!$Y$7:$Y$594)-ROW('All Player Data Store'!$Y$7)+1),COUNTIF($AC$8:AC12,AC12))),"")</f>
        <v/>
      </c>
      <c r="AP12" s="108" t="str">
        <f t="shared" si="8"/>
        <v/>
      </c>
      <c r="AQ12" s="108" t="str">
        <f t="array" ref="AQ12">IF(ISNUMBER(AC12),INDEX('All Player Data Store'!$P$8:$P$594,SMALL(IF('All Player Data Store'!$Y$7:$Y$594=AC12,ROW('All Player Data Store'!$Y$7:$Y$594)-ROW('All Player Data Store'!$Y$7)+1),COUNTIF($AC$8:AC12,AC12))),"")</f>
        <v>4*3</v>
      </c>
      <c r="AR12" s="108">
        <f t="shared" si="9"/>
        <v>25.56</v>
      </c>
      <c r="AS12" s="108" t="str">
        <f t="array" ref="AS12">IF(ISNUMBER(AC12),INDEX('All Player Data Store'!$Q$8:$Q$594,SMALL(IF('All Player Data Store'!$Y$7:$Y$594=AC12,ROW('All Player Data Store'!$Y$7:$Y$594)-ROW('All Player Data Store'!$Y$7)+1),COUNTIF($AC$8:AC12,AC12))),"")</f>
        <v>4*1(1)</v>
      </c>
      <c r="AT12" s="108">
        <f t="shared" si="10"/>
        <v>26.99</v>
      </c>
      <c r="AU12" s="108" t="str">
        <f t="array" ref="AU12">IF(ISNUMBER(AC12),INDEX('All Player Data Store'!$R$8:$R$594,SMALL(IF('All Player Data Store'!$Y$7:$Y$594=AC12,ROW('All Player Data Store'!$Y$7:$Y$594)-ROW('All Player Data Store'!$Y$7)+1),COUNTIF($AC$8:AC12,AC12))),"")</f>
        <v>4*1(1)</v>
      </c>
      <c r="AV12" s="108">
        <f t="shared" si="11"/>
        <v>25.46</v>
      </c>
      <c r="AW12" s="108" t="str">
        <f t="array" ref="AW12">IF(ISNUMBER(AC12),INDEX('All Player Data Store'!$S$8:$S$594,SMALL(IF('All Player Data Store'!$Y$7:$Y$594=AC12,ROW('All Player Data Store'!$Y$7:$Y$594)-ROW('All Player Data Store'!$Y$7)+1),COUNTIF($AC$8:AC12,AC12))),"")</f>
        <v>3*4</v>
      </c>
      <c r="AX12" s="108">
        <f t="shared" si="12"/>
        <v>28.48</v>
      </c>
      <c r="AY12" s="108" t="str">
        <f t="array" ref="AY12">IF(ISNUMBER(AC12),INDEX('All Player Data Store'!$T$8:$T$594,SMALL(IF('All Player Data Store'!$Y$7:$Y$594=AC12,ROW('All Player Data Store'!$Y$7:$Y$594)-ROW('All Player Data Store'!$Y$7)+1),COUNTIF($AC$8:AC12,AC12))),"")</f>
        <v>4*1(1)</v>
      </c>
      <c r="AZ12" s="108">
        <f t="shared" si="13"/>
        <v>28.79</v>
      </c>
      <c r="BA12" s="108" t="str">
        <f t="array" ref="BA12">IF(ISNUMBER(AC12),INDEX('All Player Data Store'!$U$8:$U$594,SMALL(IF('All Player Data Store'!$Y$7:$Y$594=AC12,ROW('All Player Data Store'!$Y$7:$Y$594)-ROW('All Player Data Store'!$Y$7)+1),COUNTIF($AC$8:AC12,AC12))),"")</f>
        <v>4*2</v>
      </c>
      <c r="BB12" s="108">
        <f t="shared" si="14"/>
        <v>27.25</v>
      </c>
      <c r="BC12" s="108" t="str">
        <f t="array" ref="BC12">IF(ISNUMBER(AC12),INDEX('All Player Data Store'!$V$8:$V$594,SMALL(IF('All Player Data Store'!$Y$7:$Y$594=AC12,ROW('All Player Data Store'!$Y$7:$Y$594)-ROW('All Player Data Store'!$Y$7)+1),COUNTIF($AC$8:AC12,AC12))),"")</f>
        <v>4*2(2)</v>
      </c>
      <c r="BD12" s="108">
        <f t="shared" si="15"/>
        <v>26.85</v>
      </c>
      <c r="BE12" s="1"/>
    </row>
    <row r="13" spans="2:58" ht="12" customHeight="1" x14ac:dyDescent="0.2">
      <c r="B13" s="98" t="str">
        <f t="shared" si="0"/>
        <v>Y</v>
      </c>
      <c r="C13" s="1"/>
      <c r="D13" s="68">
        <f t="shared" si="1"/>
        <v>6</v>
      </c>
      <c r="E13" s="2"/>
      <c r="F13" s="78">
        <v>6</v>
      </c>
      <c r="G13" s="110" t="str">
        <f t="array" ref="G13">IF(ISNUMBER(AC13),INDEX('All Player Data Store'!$C$7:$C$594,SMALL(IF('All Player Data Store'!$Y$7:$Y$594=AC13,ROW('All Player Data Store'!$Y$7:$Y$594)-ROW('All Player Data Store'!$Y$7)+1),COUNTIF($AC$8:AC13,AC13))),"")</f>
        <v>Paul Carter</v>
      </c>
      <c r="H13" s="111" t="str">
        <f t="array" ref="H13">IF(ISNUMBER(AC13),INDEX('All Player Data Store'!$D$7:$D$594,SMALL(IF('All Player Data Store'!$Y$7:$Y$594=AC13,ROW('All Player Data Store'!$Y$7:$Y$594)-ROW('All Player Data Store'!$Y$7)+1),COUNTIF($AC$8:AC13,AC13))),"")</f>
        <v>Bou</v>
      </c>
      <c r="I13" s="69">
        <f t="array" ref="I13">IF(ISNUMBER(AC13),INDEX('All Player Data Store'!$E$7:$E$594,SMALL(IF('All Player Data Store'!$Y$7:$Y$594=AC13,ROW('All Player Data Store'!$Y$7:$Y$594)-ROW('All Player Data Store'!$Y$7)+1),COUNTIF($AC$8:AC13,AC13))),"")</f>
        <v>13</v>
      </c>
      <c r="J13" s="70">
        <f t="array" ref="J13">IF(ISNUMBER(AC13),INDEX('All Player Data Store'!$F$7:$F$594,SMALL(IF('All Player Data Store'!$Y$7:$Y$594=AC13,ROW('All Player Data Store'!$Y$7:$Y$594)-ROW('All Player Data Store'!$Y$7)+1),COUNTIF($AC$8:AC13,AC13))),"")</f>
        <v>11</v>
      </c>
      <c r="K13" s="112">
        <f t="array" ref="K13">IF(ISNUMBER(AC13),INDEX('All Player Data Store'!$G$7:$G$594,SMALL(IF('All Player Data Store'!$Y$7:$Y$594=AC13,ROW('All Player Data Store'!$Y$7:$Y$594)-ROW('All Player Data Store'!$Y$7)+1),COUNTIF($AC$8:AC13,AC13))),"")</f>
        <v>2</v>
      </c>
      <c r="L13" s="112">
        <f t="array" ref="L13">IF(ISNUMBER(AC13),INDEX('All Player Data Store'!$H$7:$H$594,SMALL(IF('All Player Data Store'!$Y$7:$Y$594=AC13,ROW('All Player Data Store'!$Y$7:$Y$594)-ROW('All Player Data Store'!$Y$7)+1),COUNTIF($AC$8:AC13,AC13))),"")</f>
        <v>47</v>
      </c>
      <c r="M13" s="113">
        <f t="array" ref="M13">IF(ISNUMBER(AC13),INDEX('All Player Data Store'!$I$7:$I$594,SMALL(IF('All Player Data Store'!$Y$7:$Y$594=AC13,ROW('All Player Data Store'!$Y$7:$Y$594)-ROW('All Player Data Store'!$Y$7)+1),COUNTIF($AC$8:AC13,AC13))),"")</f>
        <v>19</v>
      </c>
      <c r="N13" s="114">
        <f t="array" ref="N13">IF(ISNUMBER(AC13),INDEX('All Player Data Store'!$J$7:$J$594,SMALL(IF('All Player Data Store'!$Y$7:$Y$594=AC13,ROW('All Player Data Store'!$Y$7:$Y$594)-ROW('All Player Data Store'!$Y$7)+1),COUNTIF($AC$8:AC13,AC13))),"")</f>
        <v>26.72</v>
      </c>
      <c r="O13" s="108">
        <f t="array" ref="O13">IF(ISNUMBER(AC13),INDEX('All Player Data Store'!$K$7:$K$594,SMALL(IF('All Player Data Store'!$Y$7:$Y$594=AC13,ROW('All Player Data Store'!$Y$7:$Y$594)-ROW('All Player Data Store'!$Y$7)+1),COUNTIF($AC$8:AC13,AC13))),"")</f>
        <v>23.63</v>
      </c>
      <c r="P13" s="108">
        <f t="array" ref="P13">IF(ISNUMBER(AC13),INDEX('All Player Data Store'!$L$7:$L$594,SMALL(IF('All Player Data Store'!$Y$7:$Y$594=AC13,ROW('All Player Data Store'!$Y$7:$Y$594)-ROW('All Player Data Store'!$Y$7)+1),COUNTIF($AC$8:AC13,AC13))),"")</f>
        <v>27.13</v>
      </c>
      <c r="Q13" s="108">
        <f t="array" ref="Q13">IF(ISNUMBER(AC13),INDEX('All Player Data Store'!$M$7:$M$594,SMALL(IF('All Player Data Store'!$Y$7:$Y$594=AC13,ROW('All Player Data Store'!$Y$7:$Y$594)-ROW('All Player Data Store'!$Y$7)+1),COUNTIF($AC$8:AC13,AC13))),"")</f>
        <v>23.89</v>
      </c>
      <c r="R13" s="108">
        <f t="array" ref="R13">IF(ISNUMBER(AC13),INDEX('All Player Data Store'!$N$7:$N$594,SMALL(IF('All Player Data Store'!$Y$7:$Y$594=AC13,ROW('All Player Data Store'!$Y$7:$Y$594)-ROW('All Player Data Store'!$Y$7)+1),COUNTIF($AC$8:AC13,AC13))),"")</f>
        <v>25.1</v>
      </c>
      <c r="S13" s="108">
        <f t="array" ref="S13">IF(ISNUMBER(AC13),INDEX('All Player Data Store'!$O$7:$O$594,SMALL(IF('All Player Data Store'!$Y$7:$Y$594=AC13,ROW('All Player Data Store'!$Y$7:$Y$594)-ROW('All Player Data Store'!$Y$7)+1),COUNTIF($AC$8:AC13,AC13))),"")</f>
        <v>27.08</v>
      </c>
      <c r="T13" s="108">
        <f t="array" ref="T13">IF(ISNUMBER(AC13),INDEX('All Player Data Store'!$P$7:$P$594,SMALL(IF('All Player Data Store'!$Y$7:$Y$594=AC13,ROW('All Player Data Store'!$Y$7:$Y$594)-ROW('All Player Data Store'!$Y$7)+1),COUNTIF($AC$8:AC13,AC13))),"")</f>
        <v>28.23</v>
      </c>
      <c r="U13" s="108">
        <f t="array" ref="U13">IF(ISNUMBER(AC13),INDEX('All Player Data Store'!$Q$7:$Q$594,SMALL(IF('All Player Data Store'!$Y$7:$Y$594=AC13,ROW('All Player Data Store'!$Y$7:$Y$594)-ROW('All Player Data Store'!$Y$7)+1),COUNTIF($AC$8:AC13,AC13))),"")</f>
        <v>22.97</v>
      </c>
      <c r="V13" s="108">
        <f t="array" ref="V13">IF(ISNUMBER(AC13),INDEX('All Player Data Store'!$R$7:$R$594,SMALL(IF('All Player Data Store'!$Y$7:$Y$594=AC13,ROW('All Player Data Store'!$Y$7:$Y$594)-ROW('All Player Data Store'!$Y$7)+1),COUNTIF($AC$8:AC13,AC13))),"")</f>
        <v>23.18</v>
      </c>
      <c r="W13" s="108">
        <f t="array" ref="W13">IF(ISNUMBER(AC13),INDEX('All Player Data Store'!$S$7:$S$594,SMALL(IF('All Player Data Store'!$Y$7:$Y$594=AC13,ROW('All Player Data Store'!$Y$7:$Y$594)-ROW('All Player Data Store'!$Y$7)+1),COUNTIF($AC$8:AC13,AC13))),"")</f>
        <v>24.04</v>
      </c>
      <c r="X13" s="108">
        <f t="array" ref="X13">IF(ISNUMBER(AC13),INDEX('All Player Data Store'!$T$7:$T$594,SMALL(IF('All Player Data Store'!$Y$7:$Y$594=AC13,ROW('All Player Data Store'!$Y$7:$Y$594)-ROW('All Player Data Store'!$Y$7)+1),COUNTIF($AC$8:AC13,AC13))),"")</f>
        <v>26.07</v>
      </c>
      <c r="Y13" s="108">
        <f t="array" ref="Y13">IF(ISNUMBER(AC13),INDEX('All Player Data Store'!$U$7:$U$594,SMALL(IF('All Player Data Store'!$Y$7:$Y$594=AC13,ROW('All Player Data Store'!$Y$7:$Y$594)-ROW('All Player Data Store'!$Y$7)+1),COUNTIF($AC$8:AC13,AC13))),"")</f>
        <v>24.49</v>
      </c>
      <c r="Z13" s="108">
        <f t="array" ref="Z13">IF(ISNUMBER(AC13),INDEX('All Player Data Store'!$V$7:$V$594,SMALL(IF('All Player Data Store'!$Y$7:$Y$594=AC13,ROW('All Player Data Store'!$Y$7:$Y$594)-ROW('All Player Data Store'!$Y$7)+1),COUNTIF($AC$8:AC13,AC13))),"")</f>
        <v>23.86</v>
      </c>
      <c r="AA13" s="112">
        <f t="array" ref="AA13">IF(ISNUMBER(AC13),INDEX('All Player Data Store'!$W$7:$W$594,SMALL(IF('All Player Data Store'!$Y$7:$Y$594=AC13,ROW('All Player Data Store'!$Y$7:$Y$594)-ROW('All Player Data Store'!$Y$7)+1),COUNTIF($AC$8:AC13,AC13))),"")</f>
        <v>5</v>
      </c>
      <c r="AB13" s="108">
        <f t="array" ref="AB13">IF(ISNUMBER(AC13),INDEX('All Player Data Store'!$X$7:$X$594,SMALL(IF('All Player Data Store'!$Y$7:$Y$594=AC13,ROW('All Player Data Store'!$Y$7:$Y$594)-ROW('All Player Data Store'!$Y$7)+1),COUNTIF($AC$8:AC13,AC13))),"")</f>
        <v>25.106923076923081</v>
      </c>
      <c r="AC13" s="115">
        <f>IF(ISERROR(IF(ISERROR(LARGE('All Player Data Store'!$Y$7:$Y$594,6)),"",(LARGE('All Player Data Store'!$Y$7:$Y$594,6)))),"",(IF(ISERROR(LARGE('All Player Data Store'!$Y$7:$Y$594,6)),"",(LARGE('All Player Data Store'!$Y$7:$Y$594,6)))))</f>
        <v>36.106923076923081</v>
      </c>
      <c r="AD13" s="106">
        <f t="shared" si="2"/>
        <v>3</v>
      </c>
      <c r="AE13" s="107" t="str">
        <f t="array" ref="AE13">IF(ISNUMBER(AC13),INDEX('All Player Data Store'!$J$8:$J$594,SMALL(IF('All Player Data Store'!$Y$7:$Y$594=AC13,ROW('All Player Data Store'!$Y$7:$Y$594)-ROW('All Player Data Store'!$Y$7)+1),COUNTIF($AC$8:AC13,AC13))),"")</f>
        <v>4*0(2)</v>
      </c>
      <c r="AF13" s="108">
        <f t="shared" si="3"/>
        <v>27.72</v>
      </c>
      <c r="AG13" s="108" t="str">
        <f t="array" ref="AG13">IF(ISNUMBER(AC13),INDEX('All Player Data Store'!$K$8:$K$594,SMALL(IF('All Player Data Store'!$Y$7:$Y$594=AC13,ROW('All Player Data Store'!$Y$7:$Y$594)-ROW('All Player Data Store'!$Y$7)+1),COUNTIF($AC$8:AC13,AC13))),"")</f>
        <v>4*2</v>
      </c>
      <c r="AH13" s="108">
        <f t="shared" si="4"/>
        <v>24.63</v>
      </c>
      <c r="AI13" s="108" t="str">
        <f t="array" ref="AI13">IF(ISNUMBER(AC13),INDEX('All Player Data Store'!$L$8:$L$594,SMALL(IF('All Player Data Store'!$Y$7:$Y$594=AC13,ROW('All Player Data Store'!$Y$7:$Y$594)-ROW('All Player Data Store'!$Y$7)+1),COUNTIF($AC$8:AC13,AC13))),"")</f>
        <v>2*4</v>
      </c>
      <c r="AJ13" s="108">
        <f t="shared" si="5"/>
        <v>27.13</v>
      </c>
      <c r="AK13" s="108" t="str">
        <f t="array" ref="AK13">IF(ISNUMBER(AC13),INDEX('All Player Data Store'!$M$8:$M$594,SMALL(IF('All Player Data Store'!$Y$7:$Y$594=AC13,ROW('All Player Data Store'!$Y$7:$Y$594)-ROW('All Player Data Store'!$Y$7)+1),COUNTIF($AC$8:AC13,AC13))),"")</f>
        <v>4*2</v>
      </c>
      <c r="AL13" s="108">
        <f t="shared" si="6"/>
        <v>24.89</v>
      </c>
      <c r="AM13" s="108" t="str">
        <f t="array" ref="AM13">IF(ISNUMBER(AC13),INDEX('All Player Data Store'!$N$8:$N$594,SMALL(IF('All Player Data Store'!$Y$7:$Y$594=AC13,ROW('All Player Data Store'!$Y$7:$Y$594)-ROW('All Player Data Store'!$Y$7)+1),COUNTIF($AC$8:AC13,AC13))),"")</f>
        <v>4*1</v>
      </c>
      <c r="AN13" s="108">
        <f t="shared" si="7"/>
        <v>26.1</v>
      </c>
      <c r="AO13" s="108" t="str">
        <f t="array" ref="AO13">IF(ISNUMBER(AC13),INDEX('All Player Data Store'!$O$8:$O$594,SMALL(IF('All Player Data Store'!$Y$7:$Y$594=AC13,ROW('All Player Data Store'!$Y$7:$Y$594)-ROW('All Player Data Store'!$Y$7)+1),COUNTIF($AC$8:AC13,AC13))),"")</f>
        <v>4*0(1)</v>
      </c>
      <c r="AP13" s="108">
        <f t="shared" si="8"/>
        <v>28.08</v>
      </c>
      <c r="AQ13" s="108" t="str">
        <f t="array" ref="AQ13">IF(ISNUMBER(AC13),INDEX('All Player Data Store'!$P$8:$P$594,SMALL(IF('All Player Data Store'!$Y$7:$Y$594=AC13,ROW('All Player Data Store'!$Y$7:$Y$594)-ROW('All Player Data Store'!$Y$7)+1),COUNTIF($AC$8:AC13,AC13))),"")</f>
        <v>4*0</v>
      </c>
      <c r="AR13" s="108">
        <f t="shared" si="9"/>
        <v>29.23</v>
      </c>
      <c r="AS13" s="108" t="str">
        <f t="array" ref="AS13">IF(ISNUMBER(AC13),INDEX('All Player Data Store'!$Q$8:$Q$594,SMALL(IF('All Player Data Store'!$Y$7:$Y$594=AC13,ROW('All Player Data Store'!$Y$7:$Y$594)-ROW('All Player Data Store'!$Y$7)+1),COUNTIF($AC$8:AC13,AC13))),"")</f>
        <v>4*1(2)</v>
      </c>
      <c r="AT13" s="108">
        <f t="shared" si="10"/>
        <v>23.97</v>
      </c>
      <c r="AU13" s="108" t="str">
        <f t="array" ref="AU13">IF(ISNUMBER(AC13),INDEX('All Player Data Store'!$R$8:$R$594,SMALL(IF('All Player Data Store'!$Y$7:$Y$594=AC13,ROW('All Player Data Store'!$Y$7:$Y$594)-ROW('All Player Data Store'!$Y$7)+1),COUNTIF($AC$8:AC13,AC13))),"")</f>
        <v>4*1</v>
      </c>
      <c r="AV13" s="108">
        <f t="shared" si="11"/>
        <v>24.18</v>
      </c>
      <c r="AW13" s="108" t="str">
        <f t="array" ref="AW13">IF(ISNUMBER(AC13),INDEX('All Player Data Store'!$S$8:$S$594,SMALL(IF('All Player Data Store'!$Y$7:$Y$594=AC13,ROW('All Player Data Store'!$Y$7:$Y$594)-ROW('All Player Data Store'!$Y$7)+1),COUNTIF($AC$8:AC13,AC13))),"")</f>
        <v>4*1</v>
      </c>
      <c r="AX13" s="108">
        <f t="shared" si="12"/>
        <v>25.04</v>
      </c>
      <c r="AY13" s="108" t="str">
        <f t="array" ref="AY13">IF(ISNUMBER(AC13),INDEX('All Player Data Store'!$T$8:$T$594,SMALL(IF('All Player Data Store'!$Y$7:$Y$594=AC13,ROW('All Player Data Store'!$Y$7:$Y$594)-ROW('All Player Data Store'!$Y$7)+1),COUNTIF($AC$8:AC13,AC13))),"")</f>
        <v>1*4</v>
      </c>
      <c r="AZ13" s="108">
        <f t="shared" si="13"/>
        <v>26.07</v>
      </c>
      <c r="BA13" s="108" t="str">
        <f t="array" ref="BA13">IF(ISNUMBER(AC13),INDEX('All Player Data Store'!$U$8:$U$594,SMALL(IF('All Player Data Store'!$Y$7:$Y$594=AC13,ROW('All Player Data Store'!$Y$7:$Y$594)-ROW('All Player Data Store'!$Y$7)+1),COUNTIF($AC$8:AC13,AC13))),"")</f>
        <v>4*3</v>
      </c>
      <c r="BB13" s="108">
        <f t="shared" si="14"/>
        <v>25.49</v>
      </c>
      <c r="BC13" s="108" t="str">
        <f t="array" ref="BC13">IF(ISNUMBER(AC13),INDEX('All Player Data Store'!$V$8:$V$594,SMALL(IF('All Player Data Store'!$Y$7:$Y$594=AC13,ROW('All Player Data Store'!$Y$7:$Y$594)-ROW('All Player Data Store'!$Y$7)+1),COUNTIF($AC$8:AC13,AC13))),"")</f>
        <v>4*0</v>
      </c>
      <c r="BD13" s="108">
        <f t="shared" si="15"/>
        <v>24.86</v>
      </c>
      <c r="BE13" s="1"/>
    </row>
    <row r="14" spans="2:58" ht="12" customHeight="1" x14ac:dyDescent="0.2">
      <c r="B14" s="98" t="str">
        <f t="shared" si="0"/>
        <v>Y</v>
      </c>
      <c r="C14" s="1"/>
      <c r="D14" s="68">
        <f t="shared" si="1"/>
        <v>7</v>
      </c>
      <c r="E14" s="2"/>
      <c r="F14" s="78">
        <v>7</v>
      </c>
      <c r="G14" s="110" t="str">
        <f t="array" ref="G14">IF(ISNUMBER(AC14),INDEX('All Player Data Store'!$C$7:$C$594,SMALL(IF('All Player Data Store'!$Y$7:$Y$594=AC14,ROW('All Player Data Store'!$Y$7:$Y$594)-ROW('All Player Data Store'!$Y$7)+1),COUNTIF($AC$8:AC14,AC14))),"")</f>
        <v>Daniel Rawlings</v>
      </c>
      <c r="H14" s="111" t="str">
        <f t="array" ref="H14">IF(ISNUMBER(AC14),INDEX('All Player Data Store'!$D$7:$D$594,SMALL(IF('All Player Data Store'!$Y$7:$Y$594=AC14,ROW('All Player Data Store'!$Y$7:$Y$594)-ROW('All Player Data Store'!$Y$7)+1),COUNTIF($AC$8:AC14,AC14))),"")</f>
        <v>Bri</v>
      </c>
      <c r="I14" s="69">
        <f t="array" ref="I14">IF(ISNUMBER(AC14),INDEX('All Player Data Store'!$E$7:$E$594,SMALL(IF('All Player Data Store'!$Y$7:$Y$594=AC14,ROW('All Player Data Store'!$Y$7:$Y$594)-ROW('All Player Data Store'!$Y$7)+1),COUNTIF($AC$8:AC14,AC14))),"")</f>
        <v>11</v>
      </c>
      <c r="J14" s="70">
        <f t="array" ref="J14">IF(ISNUMBER(AC14),INDEX('All Player Data Store'!$F$7:$F$594,SMALL(IF('All Player Data Store'!$Y$7:$Y$594=AC14,ROW('All Player Data Store'!$Y$7:$Y$594)-ROW('All Player Data Store'!$Y$7)+1),COUNTIF($AC$8:AC14,AC14))),"")</f>
        <v>10</v>
      </c>
      <c r="K14" s="112">
        <f t="array" ref="K14">IF(ISNUMBER(AC14),INDEX('All Player Data Store'!$G$7:$G$594,SMALL(IF('All Player Data Store'!$Y$7:$Y$594=AC14,ROW('All Player Data Store'!$Y$7:$Y$594)-ROW('All Player Data Store'!$Y$7)+1),COUNTIF($AC$8:AC14,AC14))),"")</f>
        <v>1</v>
      </c>
      <c r="L14" s="112">
        <f t="array" ref="L14">IF(ISNUMBER(AC14),INDEX('All Player Data Store'!$H$7:$H$594,SMALL(IF('All Player Data Store'!$Y$7:$Y$594=AC14,ROW('All Player Data Store'!$Y$7:$Y$594)-ROW('All Player Data Store'!$Y$7)+1),COUNTIF($AC$8:AC14,AC14))),"")</f>
        <v>42</v>
      </c>
      <c r="M14" s="113">
        <f t="array" ref="M14">IF(ISNUMBER(AC14),INDEX('All Player Data Store'!$I$7:$I$594,SMALL(IF('All Player Data Store'!$Y$7:$Y$594=AC14,ROW('All Player Data Store'!$Y$7:$Y$594)-ROW('All Player Data Store'!$Y$7)+1),COUNTIF($AC$8:AC14,AC14))),"")</f>
        <v>16</v>
      </c>
      <c r="N14" s="114" t="str">
        <f t="array" ref="N14">IF(ISNUMBER(AC14),INDEX('All Player Data Store'!$J$7:$J$594,SMALL(IF('All Player Data Store'!$Y$7:$Y$594=AC14,ROW('All Player Data Store'!$Y$7:$Y$594)-ROW('All Player Data Store'!$Y$7)+1),COUNTIF($AC$8:AC14,AC14))),"")</f>
        <v/>
      </c>
      <c r="O14" s="108">
        <f t="array" ref="O14">IF(ISNUMBER(AC14),INDEX('All Player Data Store'!$K$7:$K$594,SMALL(IF('All Player Data Store'!$Y$7:$Y$594=AC14,ROW('All Player Data Store'!$Y$7:$Y$594)-ROW('All Player Data Store'!$Y$7)+1),COUNTIF($AC$8:AC14,AC14))),"")</f>
        <v>26.85</v>
      </c>
      <c r="P14" s="108">
        <f t="array" ref="P14">IF(ISNUMBER(AC14),INDEX('All Player Data Store'!$L$7:$L$594,SMALL(IF('All Player Data Store'!$Y$7:$Y$594=AC14,ROW('All Player Data Store'!$Y$7:$Y$594)-ROW('All Player Data Store'!$Y$7)+1),COUNTIF($AC$8:AC14,AC14))),"")</f>
        <v>24.95</v>
      </c>
      <c r="Q14" s="108">
        <f t="array" ref="Q14">IF(ISNUMBER(AC14),INDEX('All Player Data Store'!$M$7:$M$594,SMALL(IF('All Player Data Store'!$Y$7:$Y$594=AC14,ROW('All Player Data Store'!$Y$7:$Y$594)-ROW('All Player Data Store'!$Y$7)+1),COUNTIF($AC$8:AC14,AC14))),"")</f>
        <v>25.05</v>
      </c>
      <c r="R14" s="108">
        <f t="array" ref="R14">IF(ISNUMBER(AC14),INDEX('All Player Data Store'!$N$7:$N$594,SMALL(IF('All Player Data Store'!$Y$7:$Y$594=AC14,ROW('All Player Data Store'!$Y$7:$Y$594)-ROW('All Player Data Store'!$Y$7)+1),COUNTIF($AC$8:AC14,AC14))),"")</f>
        <v>21.84</v>
      </c>
      <c r="S14" s="108">
        <f t="array" ref="S14">IF(ISNUMBER(AC14),INDEX('All Player Data Store'!$O$7:$O$594,SMALL(IF('All Player Data Store'!$Y$7:$Y$594=AC14,ROW('All Player Data Store'!$Y$7:$Y$594)-ROW('All Player Data Store'!$Y$7)+1),COUNTIF($AC$8:AC14,AC14))),"")</f>
        <v>27.47</v>
      </c>
      <c r="T14" s="108">
        <f t="array" ref="T14">IF(ISNUMBER(AC14),INDEX('All Player Data Store'!$P$7:$P$594,SMALL(IF('All Player Data Store'!$Y$7:$Y$594=AC14,ROW('All Player Data Store'!$Y$7:$Y$594)-ROW('All Player Data Store'!$Y$7)+1),COUNTIF($AC$8:AC14,AC14))),"")</f>
        <v>22.01</v>
      </c>
      <c r="U14" s="108">
        <f t="array" ref="U14">IF(ISNUMBER(AC14),INDEX('All Player Data Store'!$Q$7:$Q$594,SMALL(IF('All Player Data Store'!$Y$7:$Y$594=AC14,ROW('All Player Data Store'!$Y$7:$Y$594)-ROW('All Player Data Store'!$Y$7)+1),COUNTIF($AC$8:AC14,AC14))),"")</f>
        <v>26.39</v>
      </c>
      <c r="V14" s="108">
        <f t="array" ref="V14">IF(ISNUMBER(AC14),INDEX('All Player Data Store'!$R$7:$R$594,SMALL(IF('All Player Data Store'!$Y$7:$Y$594=AC14,ROW('All Player Data Store'!$Y$7:$Y$594)-ROW('All Player Data Store'!$Y$7)+1),COUNTIF($AC$8:AC14,AC14))),"")</f>
        <v>23.16</v>
      </c>
      <c r="W14" s="108">
        <f t="array" ref="W14">IF(ISNUMBER(AC14),INDEX('All Player Data Store'!$S$7:$S$594,SMALL(IF('All Player Data Store'!$Y$7:$Y$594=AC14,ROW('All Player Data Store'!$Y$7:$Y$594)-ROW('All Player Data Store'!$Y$7)+1),COUNTIF($AC$8:AC14,AC14))),"")</f>
        <v>25.37</v>
      </c>
      <c r="X14" s="108" t="str">
        <f t="array" ref="X14">IF(ISNUMBER(AC14),INDEX('All Player Data Store'!$T$7:$T$594,SMALL(IF('All Player Data Store'!$Y$7:$Y$594=AC14,ROW('All Player Data Store'!$Y$7:$Y$594)-ROW('All Player Data Store'!$Y$7)+1),COUNTIF($AC$8:AC14,AC14))),"")</f>
        <v/>
      </c>
      <c r="Y14" s="108">
        <f t="array" ref="Y14">IF(ISNUMBER(AC14),INDEX('All Player Data Store'!$U$7:$U$594,SMALL(IF('All Player Data Store'!$Y$7:$Y$594=AC14,ROW('All Player Data Store'!$Y$7:$Y$594)-ROW('All Player Data Store'!$Y$7)+1),COUNTIF($AC$8:AC14,AC14))),"")</f>
        <v>27.91</v>
      </c>
      <c r="Z14" s="108">
        <f t="array" ref="Z14">IF(ISNUMBER(AC14),INDEX('All Player Data Store'!$V$7:$V$594,SMALL(IF('All Player Data Store'!$Y$7:$Y$594=AC14,ROW('All Player Data Store'!$Y$7:$Y$594)-ROW('All Player Data Store'!$Y$7)+1),COUNTIF($AC$8:AC14,AC14))),"")</f>
        <v>28.77</v>
      </c>
      <c r="AA14" s="112">
        <f t="array" ref="AA14">IF(ISNUMBER(AC14),INDEX('All Player Data Store'!$W$7:$W$594,SMALL(IF('All Player Data Store'!$Y$7:$Y$594=AC14,ROW('All Player Data Store'!$Y$7:$Y$594)-ROW('All Player Data Store'!$Y$7)+1),COUNTIF($AC$8:AC14,AC14))),"")</f>
        <v>4</v>
      </c>
      <c r="AB14" s="108">
        <f t="array" ref="AB14">IF(ISNUMBER(AC14),INDEX('All Player Data Store'!$X$7:$X$594,SMALL(IF('All Player Data Store'!$Y$7:$Y$594=AC14,ROW('All Player Data Store'!$Y$7:$Y$594)-ROW('All Player Data Store'!$Y$7)+1),COUNTIF($AC$8:AC14,AC14))),"")</f>
        <v>25.433636363636364</v>
      </c>
      <c r="AC14" s="115">
        <f>IF(ISERROR(IF(ISERROR(LARGE('All Player Data Store'!$Y$7:$Y$594,7)),"",(LARGE('All Player Data Store'!$Y$7:$Y$594,7)))),"",(IF(ISERROR(LARGE('All Player Data Store'!$Y$7:$Y$594,7)),"",(LARGE('All Player Data Store'!$Y$7:$Y$594,7)))))</f>
        <v>35.433636363636367</v>
      </c>
      <c r="AD14" s="106">
        <f t="shared" si="2"/>
        <v>3</v>
      </c>
      <c r="AE14" s="107" t="str">
        <f t="array" ref="AE14">IF(ISNUMBER(AC14),INDEX('All Player Data Store'!$J$8:$J$594,SMALL(IF('All Player Data Store'!$Y$7:$Y$594=AC14,ROW('All Player Data Store'!$Y$7:$Y$594)-ROW('All Player Data Store'!$Y$7)+1),COUNTIF($AC$8:AC14,AC14))),"")</f>
        <v/>
      </c>
      <c r="AF14" s="108" t="str">
        <f t="shared" si="3"/>
        <v/>
      </c>
      <c r="AG14" s="108" t="str">
        <f t="array" ref="AG14">IF(ISNUMBER(AC14),INDEX('All Player Data Store'!$K$8:$K$594,SMALL(IF('All Player Data Store'!$Y$7:$Y$594=AC14,ROW('All Player Data Store'!$Y$7:$Y$594)-ROW('All Player Data Store'!$Y$7)+1),COUNTIF($AC$8:AC14,AC14))),"")</f>
        <v>2*4</v>
      </c>
      <c r="AH14" s="108">
        <f t="shared" si="4"/>
        <v>26.85</v>
      </c>
      <c r="AI14" s="108" t="str">
        <f t="array" ref="AI14">IF(ISNUMBER(AC14),INDEX('All Player Data Store'!$L$8:$L$594,SMALL(IF('All Player Data Store'!$Y$7:$Y$594=AC14,ROW('All Player Data Store'!$Y$7:$Y$594)-ROW('All Player Data Store'!$Y$7)+1),COUNTIF($AC$8:AC14,AC14))),"")</f>
        <v>4*2</v>
      </c>
      <c r="AJ14" s="108">
        <f t="shared" si="5"/>
        <v>25.95</v>
      </c>
      <c r="AK14" s="108" t="str">
        <f t="array" ref="AK14">IF(ISNUMBER(AC14),INDEX('All Player Data Store'!$M$8:$M$594,SMALL(IF('All Player Data Store'!$Y$7:$Y$594=AC14,ROW('All Player Data Store'!$Y$7:$Y$594)-ROW('All Player Data Store'!$Y$7)+1),COUNTIF($AC$8:AC14,AC14))),"")</f>
        <v>4*0</v>
      </c>
      <c r="AL14" s="108">
        <f t="shared" si="6"/>
        <v>26.05</v>
      </c>
      <c r="AM14" s="108" t="str">
        <f t="array" ref="AM14">IF(ISNUMBER(AC14),INDEX('All Player Data Store'!$N$8:$N$594,SMALL(IF('All Player Data Store'!$Y$7:$Y$594=AC14,ROW('All Player Data Store'!$Y$7:$Y$594)-ROW('All Player Data Store'!$Y$7)+1),COUNTIF($AC$8:AC14,AC14))),"")</f>
        <v>4*2</v>
      </c>
      <c r="AN14" s="108">
        <f t="shared" si="7"/>
        <v>22.84</v>
      </c>
      <c r="AO14" s="108" t="str">
        <f t="array" ref="AO14">IF(ISNUMBER(AC14),INDEX('All Player Data Store'!$O$8:$O$594,SMALL(IF('All Player Data Store'!$Y$7:$Y$594=AC14,ROW('All Player Data Store'!$Y$7:$Y$594)-ROW('All Player Data Store'!$Y$7)+1),COUNTIF($AC$8:AC14,AC14))),"")</f>
        <v>4*1</v>
      </c>
      <c r="AP14" s="108">
        <f t="shared" si="8"/>
        <v>28.47</v>
      </c>
      <c r="AQ14" s="108" t="str">
        <f t="array" ref="AQ14">IF(ISNUMBER(AC14),INDEX('All Player Data Store'!$P$8:$P$594,SMALL(IF('All Player Data Store'!$Y$7:$Y$594=AC14,ROW('All Player Data Store'!$Y$7:$Y$594)-ROW('All Player Data Store'!$Y$7)+1),COUNTIF($AC$8:AC14,AC14))),"")</f>
        <v>4*1</v>
      </c>
      <c r="AR14" s="108">
        <f t="shared" si="9"/>
        <v>23.01</v>
      </c>
      <c r="AS14" s="108" t="str">
        <f t="array" ref="AS14">IF(ISNUMBER(AC14),INDEX('All Player Data Store'!$Q$8:$Q$594,SMALL(IF('All Player Data Store'!$Y$7:$Y$594=AC14,ROW('All Player Data Store'!$Y$7:$Y$594)-ROW('All Player Data Store'!$Y$7)+1),COUNTIF($AC$8:AC14,AC14))),"")</f>
        <v>4*2</v>
      </c>
      <c r="AT14" s="108">
        <f t="shared" si="10"/>
        <v>27.39</v>
      </c>
      <c r="AU14" s="108" t="str">
        <f t="array" ref="AU14">IF(ISNUMBER(AC14),INDEX('All Player Data Store'!$R$8:$R$594,SMALL(IF('All Player Data Store'!$Y$7:$Y$594=AC14,ROW('All Player Data Store'!$Y$7:$Y$594)-ROW('All Player Data Store'!$Y$7)+1),COUNTIF($AC$8:AC14,AC14))),"")</f>
        <v>4*1</v>
      </c>
      <c r="AV14" s="108">
        <f t="shared" si="11"/>
        <v>24.16</v>
      </c>
      <c r="AW14" s="108" t="str">
        <f t="array" ref="AW14">IF(ISNUMBER(AC14),INDEX('All Player Data Store'!$S$8:$S$594,SMALL(IF('All Player Data Store'!$Y$7:$Y$594=AC14,ROW('All Player Data Store'!$Y$7:$Y$594)-ROW('All Player Data Store'!$Y$7)+1),COUNTIF($AC$8:AC14,AC14))),"")</f>
        <v>4*0(1)</v>
      </c>
      <c r="AX14" s="108">
        <f t="shared" si="12"/>
        <v>26.37</v>
      </c>
      <c r="AY14" s="108" t="str">
        <f t="array" ref="AY14">IF(ISNUMBER(AC14),INDEX('All Player Data Store'!$T$8:$T$594,SMALL(IF('All Player Data Store'!$Y$7:$Y$594=AC14,ROW('All Player Data Store'!$Y$7:$Y$594)-ROW('All Player Data Store'!$Y$7)+1),COUNTIF($AC$8:AC14,AC14))),"")</f>
        <v/>
      </c>
      <c r="AZ14" s="108" t="str">
        <f t="shared" si="13"/>
        <v/>
      </c>
      <c r="BA14" s="108" t="str">
        <f t="array" ref="BA14">IF(ISNUMBER(AC14),INDEX('All Player Data Store'!$U$8:$U$594,SMALL(IF('All Player Data Store'!$Y$7:$Y$594=AC14,ROW('All Player Data Store'!$Y$7:$Y$594)-ROW('All Player Data Store'!$Y$7)+1),COUNTIF($AC$8:AC14,AC14))),"")</f>
        <v>4*1(1)</v>
      </c>
      <c r="BB14" s="108">
        <f t="shared" si="14"/>
        <v>28.91</v>
      </c>
      <c r="BC14" s="108" t="str">
        <f t="array" ref="BC14">IF(ISNUMBER(AC14),INDEX('All Player Data Store'!$V$8:$V$594,SMALL(IF('All Player Data Store'!$Y$7:$Y$594=AC14,ROW('All Player Data Store'!$Y$7:$Y$594)-ROW('All Player Data Store'!$Y$7)+1),COUNTIF($AC$8:AC14,AC14))),"")</f>
        <v>4*2(2)</v>
      </c>
      <c r="BD14" s="108">
        <f t="shared" si="15"/>
        <v>29.77</v>
      </c>
      <c r="BE14" s="1"/>
    </row>
    <row r="15" spans="2:58" ht="12" customHeight="1" x14ac:dyDescent="0.2">
      <c r="B15" s="98" t="str">
        <f t="shared" si="0"/>
        <v>Y</v>
      </c>
      <c r="C15" s="1"/>
      <c r="D15" s="68">
        <f t="shared" si="1"/>
        <v>8</v>
      </c>
      <c r="E15" s="2"/>
      <c r="F15" s="78">
        <v>8</v>
      </c>
      <c r="G15" s="110" t="str">
        <f t="array" ref="G15">IF(ISNUMBER(AC15),INDEX('All Player Data Store'!$C$7:$C$594,SMALL(IF('All Player Data Store'!$Y$7:$Y$594=AC15,ROW('All Player Data Store'!$Y$7:$Y$594)-ROW('All Player Data Store'!$Y$7)+1),COUNTIF($AC$8:AC15,AC15))),"")</f>
        <v>Daniel Perry</v>
      </c>
      <c r="H15" s="111" t="str">
        <f t="array" ref="H15">IF(ISNUMBER(AC15),INDEX('All Player Data Store'!$D$7:$D$594,SMALL(IF('All Player Data Store'!$Y$7:$Y$594=AC15,ROW('All Player Data Store'!$Y$7:$Y$594)-ROW('All Player Data Store'!$Y$7)+1),COUNTIF($AC$8:AC15,AC15))),"")</f>
        <v>Lyt</v>
      </c>
      <c r="I15" s="69">
        <f t="array" ref="I15">IF(ISNUMBER(AC15),INDEX('All Player Data Store'!$E$7:$E$594,SMALL(IF('All Player Data Store'!$Y$7:$Y$594=AC15,ROW('All Player Data Store'!$Y$7:$Y$594)-ROW('All Player Data Store'!$Y$7)+1),COUNTIF($AC$8:AC15,AC15))),"")</f>
        <v>11</v>
      </c>
      <c r="J15" s="70">
        <f t="array" ref="J15">IF(ISNUMBER(AC15),INDEX('All Player Data Store'!$F$7:$F$594,SMALL(IF('All Player Data Store'!$Y$7:$Y$594=AC15,ROW('All Player Data Store'!$Y$7:$Y$594)-ROW('All Player Data Store'!$Y$7)+1),COUNTIF($AC$8:AC15,AC15))),"")</f>
        <v>10</v>
      </c>
      <c r="K15" s="112">
        <f t="array" ref="K15">IF(ISNUMBER(AC15),INDEX('All Player Data Store'!$G$7:$G$594,SMALL(IF('All Player Data Store'!$Y$7:$Y$594=AC15,ROW('All Player Data Store'!$Y$7:$Y$594)-ROW('All Player Data Store'!$Y$7)+1),COUNTIF($AC$8:AC15,AC15))),"")</f>
        <v>1</v>
      </c>
      <c r="L15" s="112">
        <f t="array" ref="L15">IF(ISNUMBER(AC15),INDEX('All Player Data Store'!$H$7:$H$594,SMALL(IF('All Player Data Store'!$Y$7:$Y$594=AC15,ROW('All Player Data Store'!$Y$7:$Y$594)-ROW('All Player Data Store'!$Y$7)+1),COUNTIF($AC$8:AC15,AC15))),"")</f>
        <v>42</v>
      </c>
      <c r="M15" s="113">
        <f t="array" ref="M15">IF(ISNUMBER(AC15),INDEX('All Player Data Store'!$I$7:$I$594,SMALL(IF('All Player Data Store'!$Y$7:$Y$594=AC15,ROW('All Player Data Store'!$Y$7:$Y$594)-ROW('All Player Data Store'!$Y$7)+1),COUNTIF($AC$8:AC15,AC15))),"")</f>
        <v>10</v>
      </c>
      <c r="N15" s="114">
        <f t="array" ref="N15">IF(ISNUMBER(AC15),INDEX('All Player Data Store'!$J$7:$J$594,SMALL(IF('All Player Data Store'!$Y$7:$Y$594=AC15,ROW('All Player Data Store'!$Y$7:$Y$594)-ROW('All Player Data Store'!$Y$7)+1),COUNTIF($AC$8:AC15,AC15))),"")</f>
        <v>24.44</v>
      </c>
      <c r="O15" s="108">
        <f t="array" ref="O15">IF(ISNUMBER(AC15),INDEX('All Player Data Store'!$K$7:$K$594,SMALL(IF('All Player Data Store'!$Y$7:$Y$594=AC15,ROW('All Player Data Store'!$Y$7:$Y$594)-ROW('All Player Data Store'!$Y$7)+1),COUNTIF($AC$8:AC15,AC15))),"")</f>
        <v>23.03</v>
      </c>
      <c r="P15" s="108">
        <f t="array" ref="P15">IF(ISNUMBER(AC15),INDEX('All Player Data Store'!$L$7:$L$594,SMALL(IF('All Player Data Store'!$Y$7:$Y$594=AC15,ROW('All Player Data Store'!$Y$7:$Y$594)-ROW('All Player Data Store'!$Y$7)+1),COUNTIF($AC$8:AC15,AC15))),"")</f>
        <v>27.26</v>
      </c>
      <c r="Q15" s="108">
        <f t="array" ref="Q15">IF(ISNUMBER(AC15),INDEX('All Player Data Store'!$M$7:$M$594,SMALL(IF('All Player Data Store'!$Y$7:$Y$594=AC15,ROW('All Player Data Store'!$Y$7:$Y$594)-ROW('All Player Data Store'!$Y$7)+1),COUNTIF($AC$8:AC15,AC15))),"")</f>
        <v>27.08</v>
      </c>
      <c r="R15" s="108">
        <f t="array" ref="R15">IF(ISNUMBER(AC15),INDEX('All Player Data Store'!$N$7:$N$594,SMALL(IF('All Player Data Store'!$Y$7:$Y$594=AC15,ROW('All Player Data Store'!$Y$7:$Y$594)-ROW('All Player Data Store'!$Y$7)+1),COUNTIF($AC$8:AC15,AC15))),"")</f>
        <v>24.68</v>
      </c>
      <c r="S15" s="108">
        <f t="array" ref="S15">IF(ISNUMBER(AC15),INDEX('All Player Data Store'!$O$7:$O$594,SMALL(IF('All Player Data Store'!$Y$7:$Y$594=AC15,ROW('All Player Data Store'!$Y$7:$Y$594)-ROW('All Player Data Store'!$Y$7)+1),COUNTIF($AC$8:AC15,AC15))),"")</f>
        <v>22.59</v>
      </c>
      <c r="T15" s="108">
        <f t="array" ref="T15">IF(ISNUMBER(AC15),INDEX('All Player Data Store'!$P$7:$P$594,SMALL(IF('All Player Data Store'!$Y$7:$Y$594=AC15,ROW('All Player Data Store'!$Y$7:$Y$594)-ROW('All Player Data Store'!$Y$7)+1),COUNTIF($AC$8:AC15,AC15))),"")</f>
        <v>23.86</v>
      </c>
      <c r="U15" s="108">
        <f t="array" ref="U15">IF(ISNUMBER(AC15),INDEX('All Player Data Store'!$Q$7:$Q$594,SMALL(IF('All Player Data Store'!$Y$7:$Y$594=AC15,ROW('All Player Data Store'!$Y$7:$Y$594)-ROW('All Player Data Store'!$Y$7)+1),COUNTIF($AC$8:AC15,AC15))),"")</f>
        <v>25.18</v>
      </c>
      <c r="V15" s="108" t="str">
        <f t="array" ref="V15">IF(ISNUMBER(AC15),INDEX('All Player Data Store'!$R$7:$R$594,SMALL(IF('All Player Data Store'!$Y$7:$Y$594=AC15,ROW('All Player Data Store'!$Y$7:$Y$594)-ROW('All Player Data Store'!$Y$7)+1),COUNTIF($AC$8:AC15,AC15))),"")</f>
        <v/>
      </c>
      <c r="W15" s="108">
        <f t="array" ref="W15">IF(ISNUMBER(AC15),INDEX('All Player Data Store'!$S$7:$S$594,SMALL(IF('All Player Data Store'!$Y$7:$Y$594=AC15,ROW('All Player Data Store'!$Y$7:$Y$594)-ROW('All Player Data Store'!$Y$7)+1),COUNTIF($AC$8:AC15,AC15))),"")</f>
        <v>29.47</v>
      </c>
      <c r="X15" s="108">
        <f t="array" ref="X15">IF(ISNUMBER(AC15),INDEX('All Player Data Store'!$T$7:$T$594,SMALL(IF('All Player Data Store'!$Y$7:$Y$594=AC15,ROW('All Player Data Store'!$Y$7:$Y$594)-ROW('All Player Data Store'!$Y$7)+1),COUNTIF($AC$8:AC15,AC15))),"")</f>
        <v>22.77</v>
      </c>
      <c r="Y15" s="108">
        <f t="array" ref="Y15">IF(ISNUMBER(AC15),INDEX('All Player Data Store'!$U$7:$U$594,SMALL(IF('All Player Data Store'!$Y$7:$Y$594=AC15,ROW('All Player Data Store'!$Y$7:$Y$594)-ROW('All Player Data Store'!$Y$7)+1),COUNTIF($AC$8:AC15,AC15))),"")</f>
        <v>28.23</v>
      </c>
      <c r="Z15" s="108" t="str">
        <f t="array" ref="Z15">IF(ISNUMBER(AC15),INDEX('All Player Data Store'!$V$7:$V$594,SMALL(IF('All Player Data Store'!$Y$7:$Y$594=AC15,ROW('All Player Data Store'!$Y$7:$Y$594)-ROW('All Player Data Store'!$Y$7)+1),COUNTIF($AC$8:AC15,AC15))),"")</f>
        <v/>
      </c>
      <c r="AA15" s="112">
        <f t="array" ref="AA15">IF(ISNUMBER(AC15),INDEX('All Player Data Store'!$W$7:$W$594,SMALL(IF('All Player Data Store'!$Y$7:$Y$594=AC15,ROW('All Player Data Store'!$Y$7:$Y$594)-ROW('All Player Data Store'!$Y$7)+1),COUNTIF($AC$8:AC15,AC15))),"")</f>
        <v>7</v>
      </c>
      <c r="AB15" s="108">
        <f t="array" ref="AB15">IF(ISNUMBER(AC15),INDEX('All Player Data Store'!$X$7:$X$594,SMALL(IF('All Player Data Store'!$Y$7:$Y$594=AC15,ROW('All Player Data Store'!$Y$7:$Y$594)-ROW('All Player Data Store'!$Y$7)+1),COUNTIF($AC$8:AC15,AC15))),"")</f>
        <v>25.326363636363638</v>
      </c>
      <c r="AC15" s="115">
        <f>IF(ISERROR(IF(ISERROR(LARGE('All Player Data Store'!$Y$7:$Y$594,8)),"",(LARGE('All Player Data Store'!$Y$7:$Y$594,8)))),"",(IF(ISERROR(LARGE('All Player Data Store'!$Y$7:$Y$594,8)),"",(LARGE('All Player Data Store'!$Y$7:$Y$594,8)))))</f>
        <v>35.326363636363638</v>
      </c>
      <c r="AD15" s="106">
        <f t="shared" si="2"/>
        <v>3</v>
      </c>
      <c r="AE15" s="107" t="str">
        <f t="array" ref="AE15">IF(ISNUMBER(AC15),INDEX('All Player Data Store'!$J$8:$J$594,SMALL(IF('All Player Data Store'!$Y$7:$Y$594=AC15,ROW('All Player Data Store'!$Y$7:$Y$594)-ROW('All Player Data Store'!$Y$7)+1),COUNTIF($AC$8:AC15,AC15))),"")</f>
        <v>4*0</v>
      </c>
      <c r="AF15" s="108">
        <f t="shared" si="3"/>
        <v>25.44</v>
      </c>
      <c r="AG15" s="108" t="str">
        <f t="array" ref="AG15">IF(ISNUMBER(AC15),INDEX('All Player Data Store'!$K$8:$K$594,SMALL(IF('All Player Data Store'!$Y$7:$Y$594=AC15,ROW('All Player Data Store'!$Y$7:$Y$594)-ROW('All Player Data Store'!$Y$7)+1),COUNTIF($AC$8:AC15,AC15))),"")</f>
        <v>4*0</v>
      </c>
      <c r="AH15" s="108">
        <f t="shared" si="4"/>
        <v>24.03</v>
      </c>
      <c r="AI15" s="108" t="str">
        <f t="array" ref="AI15">IF(ISNUMBER(AC15),INDEX('All Player Data Store'!$L$8:$L$594,SMALL(IF('All Player Data Store'!$Y$7:$Y$594=AC15,ROW('All Player Data Store'!$Y$7:$Y$594)-ROW('All Player Data Store'!$Y$7)+1),COUNTIF($AC$8:AC15,AC15))),"")</f>
        <v>4*3(3)</v>
      </c>
      <c r="AJ15" s="108">
        <f t="shared" si="5"/>
        <v>28.26</v>
      </c>
      <c r="AK15" s="108" t="str">
        <f t="array" ref="AK15">IF(ISNUMBER(AC15),INDEX('All Player Data Store'!$M$8:$M$594,SMALL(IF('All Player Data Store'!$Y$7:$Y$594=AC15,ROW('All Player Data Store'!$Y$7:$Y$594)-ROW('All Player Data Store'!$Y$7)+1),COUNTIF($AC$8:AC15,AC15))),"")</f>
        <v>4*0</v>
      </c>
      <c r="AL15" s="108">
        <f t="shared" si="6"/>
        <v>28.08</v>
      </c>
      <c r="AM15" s="108" t="str">
        <f t="array" ref="AM15">IF(ISNUMBER(AC15),INDEX('All Player Data Store'!$N$8:$N$594,SMALL(IF('All Player Data Store'!$Y$7:$Y$594=AC15,ROW('All Player Data Store'!$Y$7:$Y$594)-ROW('All Player Data Store'!$Y$7)+1),COUNTIF($AC$8:AC15,AC15))),"")</f>
        <v>2*4(1)</v>
      </c>
      <c r="AN15" s="108">
        <f t="shared" si="7"/>
        <v>24.68</v>
      </c>
      <c r="AO15" s="108" t="str">
        <f t="array" ref="AO15">IF(ISNUMBER(AC15),INDEX('All Player Data Store'!$O$8:$O$594,SMALL(IF('All Player Data Store'!$Y$7:$Y$594=AC15,ROW('All Player Data Store'!$Y$7:$Y$594)-ROW('All Player Data Store'!$Y$7)+1),COUNTIF($AC$8:AC15,AC15))),"")</f>
        <v>4*1(1)</v>
      </c>
      <c r="AP15" s="108">
        <f t="shared" si="8"/>
        <v>23.59</v>
      </c>
      <c r="AQ15" s="108" t="str">
        <f t="array" ref="AQ15">IF(ISNUMBER(AC15),INDEX('All Player Data Store'!$P$8:$P$594,SMALL(IF('All Player Data Store'!$Y$7:$Y$594=AC15,ROW('All Player Data Store'!$Y$7:$Y$594)-ROW('All Player Data Store'!$Y$7)+1),COUNTIF($AC$8:AC15,AC15))),"")</f>
        <v>4*0</v>
      </c>
      <c r="AR15" s="108">
        <f t="shared" si="9"/>
        <v>24.86</v>
      </c>
      <c r="AS15" s="108" t="str">
        <f t="array" ref="AS15">IF(ISNUMBER(AC15),INDEX('All Player Data Store'!$Q$8:$Q$594,SMALL(IF('All Player Data Store'!$Y$7:$Y$594=AC15,ROW('All Player Data Store'!$Y$7:$Y$594)-ROW('All Player Data Store'!$Y$7)+1),COUNTIF($AC$8:AC15,AC15))),"")</f>
        <v>4*2</v>
      </c>
      <c r="AT15" s="108">
        <f t="shared" si="10"/>
        <v>26.18</v>
      </c>
      <c r="AU15" s="108" t="str">
        <f t="array" ref="AU15">IF(ISNUMBER(AC15),INDEX('All Player Data Store'!$R$8:$R$594,SMALL(IF('All Player Data Store'!$Y$7:$Y$594=AC15,ROW('All Player Data Store'!$Y$7:$Y$594)-ROW('All Player Data Store'!$Y$7)+1),COUNTIF($AC$8:AC15,AC15))),"")</f>
        <v/>
      </c>
      <c r="AV15" s="108" t="str">
        <f t="shared" si="11"/>
        <v/>
      </c>
      <c r="AW15" s="108" t="str">
        <f t="array" ref="AW15">IF(ISNUMBER(AC15),INDEX('All Player Data Store'!$S$8:$S$594,SMALL(IF('All Player Data Store'!$Y$7:$Y$594=AC15,ROW('All Player Data Store'!$Y$7:$Y$594)-ROW('All Player Data Store'!$Y$7)+1),COUNTIF($AC$8:AC15,AC15))),"")</f>
        <v>4*0(2)</v>
      </c>
      <c r="AX15" s="108">
        <f t="shared" si="12"/>
        <v>30.47</v>
      </c>
      <c r="AY15" s="108" t="str">
        <f t="array" ref="AY15">IF(ISNUMBER(AC15),INDEX('All Player Data Store'!$T$8:$T$594,SMALL(IF('All Player Data Store'!$Y$7:$Y$594=AC15,ROW('All Player Data Store'!$Y$7:$Y$594)-ROW('All Player Data Store'!$Y$7)+1),COUNTIF($AC$8:AC15,AC15))),"")</f>
        <v>4*0</v>
      </c>
      <c r="AZ15" s="108">
        <f t="shared" si="13"/>
        <v>23.77</v>
      </c>
      <c r="BA15" s="108" t="str">
        <f t="array" ref="BA15">IF(ISNUMBER(AC15),INDEX('All Player Data Store'!$U$8:$U$594,SMALL(IF('All Player Data Store'!$Y$7:$Y$594=AC15,ROW('All Player Data Store'!$Y$7:$Y$594)-ROW('All Player Data Store'!$Y$7)+1),COUNTIF($AC$8:AC15,AC15))),"")</f>
        <v>4*0</v>
      </c>
      <c r="BB15" s="108">
        <f t="shared" si="14"/>
        <v>29.23</v>
      </c>
      <c r="BC15" s="108" t="str">
        <f t="array" ref="BC15">IF(ISNUMBER(AC15),INDEX('All Player Data Store'!$V$8:$V$594,SMALL(IF('All Player Data Store'!$Y$7:$Y$594=AC15,ROW('All Player Data Store'!$Y$7:$Y$594)-ROW('All Player Data Store'!$Y$7)+1),COUNTIF($AC$8:AC15,AC15))),"")</f>
        <v/>
      </c>
      <c r="BD15" s="108" t="str">
        <f t="shared" si="15"/>
        <v/>
      </c>
      <c r="BE15" s="1"/>
    </row>
    <row r="16" spans="2:58" ht="12" customHeight="1" x14ac:dyDescent="0.2">
      <c r="B16" s="98" t="str">
        <f t="shared" si="0"/>
        <v>Y</v>
      </c>
      <c r="C16" s="1"/>
      <c r="D16" s="68">
        <f t="shared" si="1"/>
        <v>9</v>
      </c>
      <c r="E16" s="2"/>
      <c r="F16" s="78">
        <v>9</v>
      </c>
      <c r="G16" s="110" t="str">
        <f t="array" ref="G16">IF(ISNUMBER(AC16),INDEX('All Player Data Store'!$C$7:$C$594,SMALL(IF('All Player Data Store'!$Y$7:$Y$594=AC16,ROW('All Player Data Store'!$Y$7:$Y$594)-ROW('All Player Data Store'!$Y$7)+1),COUNTIF($AC$8:AC16,AC16))),"")</f>
        <v>Matt Yarrow</v>
      </c>
      <c r="H16" s="111" t="str">
        <f t="array" ref="H16">IF(ISNUMBER(AC16),INDEX('All Player Data Store'!$D$7:$D$594,SMALL(IF('All Player Data Store'!$Y$7:$Y$594=AC16,ROW('All Player Data Store'!$Y$7:$Y$594)-ROW('All Player Data Store'!$Y$7)+1),COUNTIF($AC$8:AC16,AC16))),"")</f>
        <v>Dor</v>
      </c>
      <c r="I16" s="69">
        <f t="array" ref="I16">IF(ISNUMBER(AC16),INDEX('All Player Data Store'!$E$7:$E$594,SMALL(IF('All Player Data Store'!$Y$7:$Y$594=AC16,ROW('All Player Data Store'!$Y$7:$Y$594)-ROW('All Player Data Store'!$Y$7)+1),COUNTIF($AC$8:AC16,AC16))),"")</f>
        <v>12</v>
      </c>
      <c r="J16" s="70">
        <f t="array" ref="J16">IF(ISNUMBER(AC16),INDEX('All Player Data Store'!$F$7:$F$594,SMALL(IF('All Player Data Store'!$Y$7:$Y$594=AC16,ROW('All Player Data Store'!$Y$7:$Y$594)-ROW('All Player Data Store'!$Y$7)+1),COUNTIF($AC$8:AC16,AC16))),"")</f>
        <v>10</v>
      </c>
      <c r="K16" s="112">
        <f t="array" ref="K16">IF(ISNUMBER(AC16),INDEX('All Player Data Store'!$G$7:$G$594,SMALL(IF('All Player Data Store'!$Y$7:$Y$594=AC16,ROW('All Player Data Store'!$Y$7:$Y$594)-ROW('All Player Data Store'!$Y$7)+1),COUNTIF($AC$8:AC16,AC16))),"")</f>
        <v>2</v>
      </c>
      <c r="L16" s="112">
        <f t="array" ref="L16">IF(ISNUMBER(AC16),INDEX('All Player Data Store'!$H$7:$H$594,SMALL(IF('All Player Data Store'!$Y$7:$Y$594=AC16,ROW('All Player Data Store'!$Y$7:$Y$594)-ROW('All Player Data Store'!$Y$7)+1),COUNTIF($AC$8:AC16,AC16))),"")</f>
        <v>43</v>
      </c>
      <c r="M16" s="113">
        <f t="array" ref="M16">IF(ISNUMBER(AC16),INDEX('All Player Data Store'!$I$7:$I$594,SMALL(IF('All Player Data Store'!$Y$7:$Y$594=AC16,ROW('All Player Data Store'!$Y$7:$Y$594)-ROW('All Player Data Store'!$Y$7)+1),COUNTIF($AC$8:AC16,AC16))),"")</f>
        <v>17</v>
      </c>
      <c r="N16" s="114">
        <f t="array" ref="N16">IF(ISNUMBER(AC16),INDEX('All Player Data Store'!$J$7:$J$594,SMALL(IF('All Player Data Store'!$Y$7:$Y$594=AC16,ROW('All Player Data Store'!$Y$7:$Y$594)-ROW('All Player Data Store'!$Y$7)+1),COUNTIF($AC$8:AC16,AC16))),"")</f>
        <v>22.52</v>
      </c>
      <c r="O16" s="108">
        <f t="array" ref="O16">IF(ISNUMBER(AC16),INDEX('All Player Data Store'!$K$7:$K$594,SMALL(IF('All Player Data Store'!$Y$7:$Y$594=AC16,ROW('All Player Data Store'!$Y$7:$Y$594)-ROW('All Player Data Store'!$Y$7)+1),COUNTIF($AC$8:AC16,AC16))),"")</f>
        <v>24.72</v>
      </c>
      <c r="P16" s="108">
        <f t="array" ref="P16">IF(ISNUMBER(AC16),INDEX('All Player Data Store'!$L$7:$L$594,SMALL(IF('All Player Data Store'!$Y$7:$Y$594=AC16,ROW('All Player Data Store'!$Y$7:$Y$594)-ROW('All Player Data Store'!$Y$7)+1),COUNTIF($AC$8:AC16,AC16))),"")</f>
        <v>29.25</v>
      </c>
      <c r="Q16" s="108">
        <f t="array" ref="Q16">IF(ISNUMBER(AC16),INDEX('All Player Data Store'!$M$7:$M$594,SMALL(IF('All Player Data Store'!$Y$7:$Y$594=AC16,ROW('All Player Data Store'!$Y$7:$Y$594)-ROW('All Player Data Store'!$Y$7)+1),COUNTIF($AC$8:AC16,AC16))),"")</f>
        <v>32.85</v>
      </c>
      <c r="R16" s="108">
        <f t="array" ref="R16">IF(ISNUMBER(AC16),INDEX('All Player Data Store'!$N$7:$N$594,SMALL(IF('All Player Data Store'!$Y$7:$Y$594=AC16,ROW('All Player Data Store'!$Y$7:$Y$594)-ROW('All Player Data Store'!$Y$7)+1),COUNTIF($AC$8:AC16,AC16))),"")</f>
        <v>21.09</v>
      </c>
      <c r="S16" s="108">
        <f t="array" ref="S16">IF(ISNUMBER(AC16),INDEX('All Player Data Store'!$O$7:$O$594,SMALL(IF('All Player Data Store'!$Y$7:$Y$594=AC16,ROW('All Player Data Store'!$Y$7:$Y$594)-ROW('All Player Data Store'!$Y$7)+1),COUNTIF($AC$8:AC16,AC16))),"")</f>
        <v>26.03</v>
      </c>
      <c r="T16" s="108">
        <f t="array" ref="T16">IF(ISNUMBER(AC16),INDEX('All Player Data Store'!$P$7:$P$594,SMALL(IF('All Player Data Store'!$Y$7:$Y$594=AC16,ROW('All Player Data Store'!$Y$7:$Y$594)-ROW('All Player Data Store'!$Y$7)+1),COUNTIF($AC$8:AC16,AC16))),"")</f>
        <v>22.98</v>
      </c>
      <c r="U16" s="108">
        <f t="array" ref="U16">IF(ISNUMBER(AC16),INDEX('All Player Data Store'!$Q$7:$Q$594,SMALL(IF('All Player Data Store'!$Y$7:$Y$594=AC16,ROW('All Player Data Store'!$Y$7:$Y$594)-ROW('All Player Data Store'!$Y$7)+1),COUNTIF($AC$8:AC16,AC16))),"")</f>
        <v>25.26</v>
      </c>
      <c r="V16" s="108">
        <f t="array" ref="V16">IF(ISNUMBER(AC16),INDEX('All Player Data Store'!$R$7:$R$594,SMALL(IF('All Player Data Store'!$Y$7:$Y$594=AC16,ROW('All Player Data Store'!$Y$7:$Y$594)-ROW('All Player Data Store'!$Y$7)+1),COUNTIF($AC$8:AC16,AC16))),"")</f>
        <v>24.03</v>
      </c>
      <c r="W16" s="108">
        <f t="array" ref="W16">IF(ISNUMBER(AC16),INDEX('All Player Data Store'!$S$7:$S$594,SMALL(IF('All Player Data Store'!$Y$7:$Y$594=AC16,ROW('All Player Data Store'!$Y$7:$Y$594)-ROW('All Player Data Store'!$Y$7)+1),COUNTIF($AC$8:AC16,AC16))),"")</f>
        <v>23.4</v>
      </c>
      <c r="X16" s="108">
        <f t="array" ref="X16">IF(ISNUMBER(AC16),INDEX('All Player Data Store'!$T$7:$T$594,SMALL(IF('All Player Data Store'!$Y$7:$Y$594=AC16,ROW('All Player Data Store'!$Y$7:$Y$594)-ROW('All Player Data Store'!$Y$7)+1),COUNTIF($AC$8:AC16,AC16))),"")</f>
        <v>27.45</v>
      </c>
      <c r="Y16" s="108">
        <f t="array" ref="Y16">IF(ISNUMBER(AC16),INDEX('All Player Data Store'!$U$7:$U$594,SMALL(IF('All Player Data Store'!$Y$7:$Y$594=AC16,ROW('All Player Data Store'!$Y$7:$Y$594)-ROW('All Player Data Store'!$Y$7)+1),COUNTIF($AC$8:AC16,AC16))),"")</f>
        <v>22.61</v>
      </c>
      <c r="Z16" s="108" t="str">
        <f t="array" ref="Z16">IF(ISNUMBER(AC16),INDEX('All Player Data Store'!$V$7:$V$594,SMALL(IF('All Player Data Store'!$Y$7:$Y$594=AC16,ROW('All Player Data Store'!$Y$7:$Y$594)-ROW('All Player Data Store'!$Y$7)+1),COUNTIF($AC$8:AC16,AC16))),"")</f>
        <v/>
      </c>
      <c r="AA16" s="112">
        <f t="array" ref="AA16">IF(ISNUMBER(AC16),INDEX('All Player Data Store'!$W$7:$W$594,SMALL(IF('All Player Data Store'!$Y$7:$Y$594=AC16,ROW('All Player Data Store'!$Y$7:$Y$594)-ROW('All Player Data Store'!$Y$7)+1),COUNTIF($AC$8:AC16,AC16))),"")</f>
        <v>4</v>
      </c>
      <c r="AB16" s="108">
        <f t="array" ref="AB16">IF(ISNUMBER(AC16),INDEX('All Player Data Store'!$X$7:$X$594,SMALL(IF('All Player Data Store'!$Y$7:$Y$594=AC16,ROW('All Player Data Store'!$Y$7:$Y$594)-ROW('All Player Data Store'!$Y$7)+1),COUNTIF($AC$8:AC16,AC16))),"")</f>
        <v>25.182500000000001</v>
      </c>
      <c r="AC16" s="115">
        <f>IF(ISERROR(IF(ISERROR(LARGE('All Player Data Store'!$Y$7:$Y$594,9)),"",(LARGE('All Player Data Store'!$Y$7:$Y$594,9)))),"",(IF(ISERROR(LARGE('All Player Data Store'!$Y$7:$Y$594,9)),"",(LARGE('All Player Data Store'!$Y$7:$Y$594,9)))))</f>
        <v>35.182500000000005</v>
      </c>
      <c r="AD16" s="106">
        <f t="shared" si="2"/>
        <v>3</v>
      </c>
      <c r="AE16" s="107" t="str">
        <f t="array" ref="AE16">IF(ISNUMBER(AC16),INDEX('All Player Data Store'!$J$8:$J$594,SMALL(IF('All Player Data Store'!$Y$7:$Y$594=AC16,ROW('All Player Data Store'!$Y$7:$Y$594)-ROW('All Player Data Store'!$Y$7)+1),COUNTIF($AC$8:AC16,AC16))),"")</f>
        <v>4*0</v>
      </c>
      <c r="AF16" s="108">
        <f t="shared" si="3"/>
        <v>23.52</v>
      </c>
      <c r="AG16" s="108" t="str">
        <f t="array" ref="AG16">IF(ISNUMBER(AC16),INDEX('All Player Data Store'!$K$8:$K$594,SMALL(IF('All Player Data Store'!$Y$7:$Y$594=AC16,ROW('All Player Data Store'!$Y$7:$Y$594)-ROW('All Player Data Store'!$Y$7)+1),COUNTIF($AC$8:AC16,AC16))),"")</f>
        <v>4*3</v>
      </c>
      <c r="AH16" s="108">
        <f t="shared" si="4"/>
        <v>25.72</v>
      </c>
      <c r="AI16" s="108" t="str">
        <f t="array" ref="AI16">IF(ISNUMBER(AC16),INDEX('All Player Data Store'!$L$8:$L$594,SMALL(IF('All Player Data Store'!$Y$7:$Y$594=AC16,ROW('All Player Data Store'!$Y$7:$Y$594)-ROW('All Player Data Store'!$Y$7)+1),COUNTIF($AC$8:AC16,AC16))),"")</f>
        <v>4*2(1)</v>
      </c>
      <c r="AJ16" s="108">
        <f t="shared" si="5"/>
        <v>30.25</v>
      </c>
      <c r="AK16" s="108" t="str">
        <f t="array" ref="AK16">IF(ISNUMBER(AC16),INDEX('All Player Data Store'!$M$8:$M$594,SMALL(IF('All Player Data Store'!$Y$7:$Y$594=AC16,ROW('All Player Data Store'!$Y$7:$Y$594)-ROW('All Player Data Store'!$Y$7)+1),COUNTIF($AC$8:AC16,AC16))),"")</f>
        <v>4*0(1)</v>
      </c>
      <c r="AL16" s="108">
        <f t="shared" si="6"/>
        <v>33.85</v>
      </c>
      <c r="AM16" s="108" t="str">
        <f t="array" ref="AM16">IF(ISNUMBER(AC16),INDEX('All Player Data Store'!$N$8:$N$594,SMALL(IF('All Player Data Store'!$Y$7:$Y$594=AC16,ROW('All Player Data Store'!$Y$7:$Y$594)-ROW('All Player Data Store'!$Y$7)+1),COUNTIF($AC$8:AC16,AC16))),"")</f>
        <v>4*0(1)</v>
      </c>
      <c r="AN16" s="108">
        <f t="shared" si="7"/>
        <v>22.09</v>
      </c>
      <c r="AO16" s="108" t="str">
        <f t="array" ref="AO16">IF(ISNUMBER(AC16),INDEX('All Player Data Store'!$O$8:$O$594,SMALL(IF('All Player Data Store'!$Y$7:$Y$594=AC16,ROW('All Player Data Store'!$Y$7:$Y$594)-ROW('All Player Data Store'!$Y$7)+1),COUNTIF($AC$8:AC16,AC16))),"")</f>
        <v>4*0</v>
      </c>
      <c r="AP16" s="108">
        <f t="shared" si="8"/>
        <v>27.03</v>
      </c>
      <c r="AQ16" s="108" t="str">
        <f t="array" ref="AQ16">IF(ISNUMBER(AC16),INDEX('All Player Data Store'!$P$8:$P$594,SMALL(IF('All Player Data Store'!$Y$7:$Y$594=AC16,ROW('All Player Data Store'!$Y$7:$Y$594)-ROW('All Player Data Store'!$Y$7)+1),COUNTIF($AC$8:AC16,AC16))),"")</f>
        <v>2*4</v>
      </c>
      <c r="AR16" s="108">
        <f t="shared" si="9"/>
        <v>22.98</v>
      </c>
      <c r="AS16" s="108" t="str">
        <f t="array" ref="AS16">IF(ISNUMBER(AC16),INDEX('All Player Data Store'!$Q$8:$Q$594,SMALL(IF('All Player Data Store'!$Y$7:$Y$594=AC16,ROW('All Player Data Store'!$Y$7:$Y$594)-ROW('All Player Data Store'!$Y$7)+1),COUNTIF($AC$8:AC16,AC16))),"")</f>
        <v>4*1(1)</v>
      </c>
      <c r="AT16" s="108">
        <f t="shared" si="10"/>
        <v>26.26</v>
      </c>
      <c r="AU16" s="108" t="str">
        <f t="array" ref="AU16">IF(ISNUMBER(AC16),INDEX('All Player Data Store'!$R$8:$R$594,SMALL(IF('All Player Data Store'!$Y$7:$Y$594=AC16,ROW('All Player Data Store'!$Y$7:$Y$594)-ROW('All Player Data Store'!$Y$7)+1),COUNTIF($AC$8:AC16,AC16))),"")</f>
        <v>1*4</v>
      </c>
      <c r="AV16" s="108">
        <f t="shared" si="11"/>
        <v>24.03</v>
      </c>
      <c r="AW16" s="108" t="str">
        <f t="array" ref="AW16">IF(ISNUMBER(AC16),INDEX('All Player Data Store'!$S$8:$S$594,SMALL(IF('All Player Data Store'!$Y$7:$Y$594=AC16,ROW('All Player Data Store'!$Y$7:$Y$594)-ROW('All Player Data Store'!$Y$7)+1),COUNTIF($AC$8:AC16,AC16))),"")</f>
        <v>4*2</v>
      </c>
      <c r="AX16" s="108">
        <f t="shared" si="12"/>
        <v>24.4</v>
      </c>
      <c r="AY16" s="108" t="str">
        <f t="array" ref="AY16">IF(ISNUMBER(AC16),INDEX('All Player Data Store'!$T$8:$T$594,SMALL(IF('All Player Data Store'!$Y$7:$Y$594=AC16,ROW('All Player Data Store'!$Y$7:$Y$594)-ROW('All Player Data Store'!$Y$7)+1),COUNTIF($AC$8:AC16,AC16))),"")</f>
        <v>4*0</v>
      </c>
      <c r="AZ16" s="108">
        <f t="shared" si="13"/>
        <v>28.45</v>
      </c>
      <c r="BA16" s="108" t="str">
        <f t="array" ref="BA16">IF(ISNUMBER(AC16),INDEX('All Player Data Store'!$U$8:$U$594,SMALL(IF('All Player Data Store'!$Y$7:$Y$594=AC16,ROW('All Player Data Store'!$Y$7:$Y$594)-ROW('All Player Data Store'!$Y$7)+1),COUNTIF($AC$8:AC16,AC16))),"")</f>
        <v>4*1</v>
      </c>
      <c r="BB16" s="108">
        <f t="shared" si="14"/>
        <v>23.61</v>
      </c>
      <c r="BC16" s="108" t="str">
        <f t="array" ref="BC16">IF(ISNUMBER(AC16),INDEX('All Player Data Store'!$V$8:$V$594,SMALL(IF('All Player Data Store'!$Y$7:$Y$594=AC16,ROW('All Player Data Store'!$Y$7:$Y$594)-ROW('All Player Data Store'!$Y$7)+1),COUNTIF($AC$8:AC16,AC16))),"")</f>
        <v/>
      </c>
      <c r="BD16" s="108" t="str">
        <f t="shared" si="15"/>
        <v/>
      </c>
      <c r="BE16" s="1"/>
    </row>
    <row r="17" spans="2:57" ht="12" customHeight="1" x14ac:dyDescent="0.2">
      <c r="B17" s="98" t="str">
        <f t="shared" si="0"/>
        <v>Y</v>
      </c>
      <c r="C17" s="1"/>
      <c r="D17" s="68">
        <f t="shared" si="1"/>
        <v>10</v>
      </c>
      <c r="E17" s="2"/>
      <c r="F17" s="78">
        <v>10</v>
      </c>
      <c r="G17" s="110" t="str">
        <f t="array" ref="G17">IF(ISNUMBER(AC17),INDEX('All Player Data Store'!$C$7:$C$594,SMALL(IF('All Player Data Store'!$Y$7:$Y$594=AC17,ROW('All Player Data Store'!$Y$7:$Y$594)-ROW('All Player Data Store'!$Y$7)+1),COUNTIF($AC$8:AC17,AC17))),"")</f>
        <v>Mark Grimes</v>
      </c>
      <c r="H17" s="111" t="str">
        <f t="array" ref="H17">IF(ISNUMBER(AC17),INDEX('All Player Data Store'!$D$7:$D$594,SMALL(IF('All Player Data Store'!$Y$7:$Y$594=AC17,ROW('All Player Data Store'!$Y$7:$Y$594)-ROW('All Player Data Store'!$Y$7)+1),COUNTIF($AC$8:AC17,AC17))),"")</f>
        <v>Chr</v>
      </c>
      <c r="I17" s="69">
        <f t="array" ref="I17">IF(ISNUMBER(AC17),INDEX('All Player Data Store'!$E$7:$E$594,SMALL(IF('All Player Data Store'!$Y$7:$Y$594=AC17,ROW('All Player Data Store'!$Y$7:$Y$594)-ROW('All Player Data Store'!$Y$7)+1),COUNTIF($AC$8:AC17,AC17))),"")</f>
        <v>12</v>
      </c>
      <c r="J17" s="70">
        <f t="array" ref="J17">IF(ISNUMBER(AC17),INDEX('All Player Data Store'!$F$7:$F$594,SMALL(IF('All Player Data Store'!$Y$7:$Y$594=AC17,ROW('All Player Data Store'!$Y$7:$Y$594)-ROW('All Player Data Store'!$Y$7)+1),COUNTIF($AC$8:AC17,AC17))),"")</f>
        <v>9</v>
      </c>
      <c r="K17" s="112">
        <f t="array" ref="K17">IF(ISNUMBER(AC17),INDEX('All Player Data Store'!$G$7:$G$594,SMALL(IF('All Player Data Store'!$Y$7:$Y$594=AC17,ROW('All Player Data Store'!$Y$7:$Y$594)-ROW('All Player Data Store'!$Y$7)+1),COUNTIF($AC$8:AC17,AC17))),"")</f>
        <v>3</v>
      </c>
      <c r="L17" s="112">
        <f t="array" ref="L17">IF(ISNUMBER(AC17),INDEX('All Player Data Store'!$H$7:$H$594,SMALL(IF('All Player Data Store'!$Y$7:$Y$594=AC17,ROW('All Player Data Store'!$Y$7:$Y$594)-ROW('All Player Data Store'!$Y$7)+1),COUNTIF($AC$8:AC17,AC17))),"")</f>
        <v>41</v>
      </c>
      <c r="M17" s="113">
        <f t="array" ref="M17">IF(ISNUMBER(AC17),INDEX('All Player Data Store'!$I$7:$I$594,SMALL(IF('All Player Data Store'!$Y$7:$Y$594=AC17,ROW('All Player Data Store'!$Y$7:$Y$594)-ROW('All Player Data Store'!$Y$7)+1),COUNTIF($AC$8:AC17,AC17))),"")</f>
        <v>27</v>
      </c>
      <c r="N17" s="114">
        <f t="array" ref="N17">IF(ISNUMBER(AC17),INDEX('All Player Data Store'!$J$7:$J$594,SMALL(IF('All Player Data Store'!$Y$7:$Y$594=AC17,ROW('All Player Data Store'!$Y$7:$Y$594)-ROW('All Player Data Store'!$Y$7)+1),COUNTIF($AC$8:AC17,AC17))),"")</f>
        <v>24.29</v>
      </c>
      <c r="O17" s="108">
        <f t="array" ref="O17">IF(ISNUMBER(AC17),INDEX('All Player Data Store'!$K$7:$K$594,SMALL(IF('All Player Data Store'!$Y$7:$Y$594=AC17,ROW('All Player Data Store'!$Y$7:$Y$594)-ROW('All Player Data Store'!$Y$7)+1),COUNTIF($AC$8:AC17,AC17))),"")</f>
        <v>25.66</v>
      </c>
      <c r="P17" s="108">
        <f t="array" ref="P17">IF(ISNUMBER(AC17),INDEX('All Player Data Store'!$L$7:$L$594,SMALL(IF('All Player Data Store'!$Y$7:$Y$594=AC17,ROW('All Player Data Store'!$Y$7:$Y$594)-ROW('All Player Data Store'!$Y$7)+1),COUNTIF($AC$8:AC17,AC17))),"")</f>
        <v>25.22</v>
      </c>
      <c r="Q17" s="108">
        <f t="array" ref="Q17">IF(ISNUMBER(AC17),INDEX('All Player Data Store'!$M$7:$M$594,SMALL(IF('All Player Data Store'!$Y$7:$Y$594=AC17,ROW('All Player Data Store'!$Y$7:$Y$594)-ROW('All Player Data Store'!$Y$7)+1),COUNTIF($AC$8:AC17,AC17))),"")</f>
        <v>24.25</v>
      </c>
      <c r="R17" s="108">
        <f t="array" ref="R17">IF(ISNUMBER(AC17),INDEX('All Player Data Store'!$N$7:$N$594,SMALL(IF('All Player Data Store'!$Y$7:$Y$594=AC17,ROW('All Player Data Store'!$Y$7:$Y$594)-ROW('All Player Data Store'!$Y$7)+1),COUNTIF($AC$8:AC17,AC17))),"")</f>
        <v>30.36</v>
      </c>
      <c r="S17" s="108">
        <f t="array" ref="S17">IF(ISNUMBER(AC17),INDEX('All Player Data Store'!$O$7:$O$594,SMALL(IF('All Player Data Store'!$Y$7:$Y$594=AC17,ROW('All Player Data Store'!$Y$7:$Y$594)-ROW('All Player Data Store'!$Y$7)+1),COUNTIF($AC$8:AC17,AC17))),"")</f>
        <v>24.31</v>
      </c>
      <c r="T17" s="108">
        <f t="array" ref="T17">IF(ISNUMBER(AC17),INDEX('All Player Data Store'!$P$7:$P$594,SMALL(IF('All Player Data Store'!$Y$7:$Y$594=AC17,ROW('All Player Data Store'!$Y$7:$Y$594)-ROW('All Player Data Store'!$Y$7)+1),COUNTIF($AC$8:AC17,AC17))),"")</f>
        <v>28.4</v>
      </c>
      <c r="U17" s="108">
        <f t="array" ref="U17">IF(ISNUMBER(AC17),INDEX('All Player Data Store'!$Q$7:$Q$594,SMALL(IF('All Player Data Store'!$Y$7:$Y$594=AC17,ROW('All Player Data Store'!$Y$7:$Y$594)-ROW('All Player Data Store'!$Y$7)+1),COUNTIF($AC$8:AC17,AC17))),"")</f>
        <v>25.15</v>
      </c>
      <c r="V17" s="108">
        <f t="array" ref="V17">IF(ISNUMBER(AC17),INDEX('All Player Data Store'!$R$7:$R$594,SMALL(IF('All Player Data Store'!$Y$7:$Y$594=AC17,ROW('All Player Data Store'!$Y$7:$Y$594)-ROW('All Player Data Store'!$Y$7)+1),COUNTIF($AC$8:AC17,AC17))),"")</f>
        <v>26.03</v>
      </c>
      <c r="W17" s="108">
        <f t="array" ref="W17">IF(ISNUMBER(AC17),INDEX('All Player Data Store'!$S$7:$S$594,SMALL(IF('All Player Data Store'!$Y$7:$Y$594=AC17,ROW('All Player Data Store'!$Y$7:$Y$594)-ROW('All Player Data Store'!$Y$7)+1),COUNTIF($AC$8:AC17,AC17))),"")</f>
        <v>27.46</v>
      </c>
      <c r="X17" s="108" t="str">
        <f t="array" ref="X17">IF(ISNUMBER(AC17),INDEX('All Player Data Store'!$T$7:$T$594,SMALL(IF('All Player Data Store'!$Y$7:$Y$594=AC17,ROW('All Player Data Store'!$Y$7:$Y$594)-ROW('All Player Data Store'!$Y$7)+1),COUNTIF($AC$8:AC17,AC17))),"")</f>
        <v/>
      </c>
      <c r="Y17" s="108">
        <f t="array" ref="Y17">IF(ISNUMBER(AC17),INDEX('All Player Data Store'!$U$7:$U$594,SMALL(IF('All Player Data Store'!$Y$7:$Y$594=AC17,ROW('All Player Data Store'!$Y$7:$Y$594)-ROW('All Player Data Store'!$Y$7)+1),COUNTIF($AC$8:AC17,AC17))),"")</f>
        <v>25.74</v>
      </c>
      <c r="Z17" s="108">
        <f t="array" ref="Z17">IF(ISNUMBER(AC17),INDEX('All Player Data Store'!$V$7:$V$594,SMALL(IF('All Player Data Store'!$Y$7:$Y$594=AC17,ROW('All Player Data Store'!$Y$7:$Y$594)-ROW('All Player Data Store'!$Y$7)+1),COUNTIF($AC$8:AC17,AC17))),"")</f>
        <v>24.46</v>
      </c>
      <c r="AA17" s="112">
        <f t="array" ref="AA17">IF(ISNUMBER(AC17),INDEX('All Player Data Store'!$W$7:$W$594,SMALL(IF('All Player Data Store'!$Y$7:$Y$594=AC17,ROW('All Player Data Store'!$Y$7:$Y$594)-ROW('All Player Data Store'!$Y$7)+1),COUNTIF($AC$8:AC17,AC17))),"")</f>
        <v>15</v>
      </c>
      <c r="AB17" s="108">
        <f t="array" ref="AB17">IF(ISNUMBER(AC17),INDEX('All Player Data Store'!$X$7:$X$594,SMALL(IF('All Player Data Store'!$Y$7:$Y$594=AC17,ROW('All Player Data Store'!$Y$7:$Y$594)-ROW('All Player Data Store'!$Y$7)+1),COUNTIF($AC$8:AC17,AC17))),"")</f>
        <v>25.944166666666664</v>
      </c>
      <c r="AC17" s="115">
        <f>IF(ISERROR(IF(ISERROR(LARGE('All Player Data Store'!$Y$7:$Y$594,10)),"",(LARGE('All Player Data Store'!$Y$7:$Y$594,10)))),"",(IF(ISERROR(LARGE('All Player Data Store'!$Y$7:$Y$594,10)),"",(LARGE('All Player Data Store'!$Y$7:$Y$594,10)))))</f>
        <v>34.944166666666661</v>
      </c>
      <c r="AD17" s="106">
        <f t="shared" si="2"/>
        <v>3</v>
      </c>
      <c r="AE17" s="107" t="str">
        <f t="array" ref="AE17">IF(ISNUMBER(AC17),INDEX('All Player Data Store'!$J$8:$J$594,SMALL(IF('All Player Data Store'!$Y$7:$Y$594=AC17,ROW('All Player Data Store'!$Y$7:$Y$594)-ROW('All Player Data Store'!$Y$7)+1),COUNTIF($AC$8:AC17,AC17))),"")</f>
        <v>2*4(2)</v>
      </c>
      <c r="AF17" s="108">
        <f t="shared" si="3"/>
        <v>24.29</v>
      </c>
      <c r="AG17" s="108" t="str">
        <f t="array" ref="AG17">IF(ISNUMBER(AC17),INDEX('All Player Data Store'!$K$8:$K$594,SMALL(IF('All Player Data Store'!$Y$7:$Y$594=AC17,ROW('All Player Data Store'!$Y$7:$Y$594)-ROW('All Player Data Store'!$Y$7)+1),COUNTIF($AC$8:AC17,AC17))),"")</f>
        <v>4*3(1)</v>
      </c>
      <c r="AH17" s="108">
        <f t="shared" si="4"/>
        <v>26.66</v>
      </c>
      <c r="AI17" s="108" t="str">
        <f t="array" ref="AI17">IF(ISNUMBER(AC17),INDEX('All Player Data Store'!$L$8:$L$594,SMALL(IF('All Player Data Store'!$Y$7:$Y$594=AC17,ROW('All Player Data Store'!$Y$7:$Y$594)-ROW('All Player Data Store'!$Y$7)+1),COUNTIF($AC$8:AC17,AC17))),"")</f>
        <v>4*2</v>
      </c>
      <c r="AJ17" s="108">
        <f t="shared" si="5"/>
        <v>26.22</v>
      </c>
      <c r="AK17" s="108" t="str">
        <f t="array" ref="AK17">IF(ISNUMBER(AC17),INDEX('All Player Data Store'!$M$8:$M$594,SMALL(IF('All Player Data Store'!$Y$7:$Y$594=AC17,ROW('All Player Data Store'!$Y$7:$Y$594)-ROW('All Player Data Store'!$Y$7)+1),COUNTIF($AC$8:AC17,AC17))),"")</f>
        <v>2*4</v>
      </c>
      <c r="AL17" s="108">
        <f t="shared" si="6"/>
        <v>24.25</v>
      </c>
      <c r="AM17" s="108" t="str">
        <f t="array" ref="AM17">IF(ISNUMBER(AC17),INDEX('All Player Data Store'!$N$8:$N$594,SMALL(IF('All Player Data Store'!$Y$7:$Y$594=AC17,ROW('All Player Data Store'!$Y$7:$Y$594)-ROW('All Player Data Store'!$Y$7)+1),COUNTIF($AC$8:AC17,AC17))),"")</f>
        <v>4*0(1)</v>
      </c>
      <c r="AN17" s="108">
        <f t="shared" si="7"/>
        <v>31.36</v>
      </c>
      <c r="AO17" s="108" t="str">
        <f t="array" ref="AO17">IF(ISNUMBER(AC17),INDEX('All Player Data Store'!$O$8:$O$594,SMALL(IF('All Player Data Store'!$Y$7:$Y$594=AC17,ROW('All Player Data Store'!$Y$7:$Y$594)-ROW('All Player Data Store'!$Y$7)+1),COUNTIF($AC$8:AC17,AC17))),"")</f>
        <v>1*4(1)</v>
      </c>
      <c r="AP17" s="108">
        <f t="shared" si="8"/>
        <v>24.31</v>
      </c>
      <c r="AQ17" s="108" t="str">
        <f t="array" ref="AQ17">IF(ISNUMBER(AC17),INDEX('All Player Data Store'!$P$8:$P$594,SMALL(IF('All Player Data Store'!$Y$7:$Y$594=AC17,ROW('All Player Data Store'!$Y$7:$Y$594)-ROW('All Player Data Store'!$Y$7)+1),COUNTIF($AC$8:AC17,AC17))),"")</f>
        <v>4*2(3)</v>
      </c>
      <c r="AR17" s="108">
        <f t="shared" si="9"/>
        <v>29.4</v>
      </c>
      <c r="AS17" s="108" t="str">
        <f t="array" ref="AS17">IF(ISNUMBER(AC17),INDEX('All Player Data Store'!$Q$8:$Q$594,SMALL(IF('All Player Data Store'!$Y$7:$Y$594=AC17,ROW('All Player Data Store'!$Y$7:$Y$594)-ROW('All Player Data Store'!$Y$7)+1),COUNTIF($AC$8:AC17,AC17))),"")</f>
        <v>4*1(3)</v>
      </c>
      <c r="AT17" s="108">
        <f t="shared" si="10"/>
        <v>26.15</v>
      </c>
      <c r="AU17" s="108" t="str">
        <f t="array" ref="AU17">IF(ISNUMBER(AC17),INDEX('All Player Data Store'!$R$8:$R$594,SMALL(IF('All Player Data Store'!$Y$7:$Y$594=AC17,ROW('All Player Data Store'!$Y$7:$Y$594)-ROW('All Player Data Store'!$Y$7)+1),COUNTIF($AC$8:AC17,AC17))),"")</f>
        <v>4*0(1)</v>
      </c>
      <c r="AV17" s="108">
        <f t="shared" si="11"/>
        <v>27.03</v>
      </c>
      <c r="AW17" s="108" t="str">
        <f t="array" ref="AW17">IF(ISNUMBER(AC17),INDEX('All Player Data Store'!$S$8:$S$594,SMALL(IF('All Player Data Store'!$Y$7:$Y$594=AC17,ROW('All Player Data Store'!$Y$7:$Y$594)-ROW('All Player Data Store'!$Y$7)+1),COUNTIF($AC$8:AC17,AC17))),"")</f>
        <v>4*3</v>
      </c>
      <c r="AX17" s="108">
        <f t="shared" si="12"/>
        <v>28.46</v>
      </c>
      <c r="AY17" s="108" t="str">
        <f t="array" ref="AY17">IF(ISNUMBER(AC17),INDEX('All Player Data Store'!$T$8:$T$594,SMALL(IF('All Player Data Store'!$Y$7:$Y$594=AC17,ROW('All Player Data Store'!$Y$7:$Y$594)-ROW('All Player Data Store'!$Y$7)+1),COUNTIF($AC$8:AC17,AC17))),"")</f>
        <v/>
      </c>
      <c r="AZ17" s="108" t="str">
        <f t="shared" si="13"/>
        <v/>
      </c>
      <c r="BA17" s="108" t="str">
        <f t="array" ref="BA17">IF(ISNUMBER(AC17),INDEX('All Player Data Store'!$U$8:$U$594,SMALL(IF('All Player Data Store'!$Y$7:$Y$594=AC17,ROW('All Player Data Store'!$Y$7:$Y$594)-ROW('All Player Data Store'!$Y$7)+1),COUNTIF($AC$8:AC17,AC17))),"")</f>
        <v>4*1(3)</v>
      </c>
      <c r="BB17" s="108">
        <f t="shared" si="14"/>
        <v>26.74</v>
      </c>
      <c r="BC17" s="108" t="str">
        <f t="array" ref="BC17">IF(ISNUMBER(AC17),INDEX('All Player Data Store'!$V$8:$V$594,SMALL(IF('All Player Data Store'!$Y$7:$Y$594=AC17,ROW('All Player Data Store'!$Y$7:$Y$594)-ROW('All Player Data Store'!$Y$7)+1),COUNTIF($AC$8:AC17,AC17))),"")</f>
        <v>4*3</v>
      </c>
      <c r="BD17" s="108">
        <f t="shared" si="15"/>
        <v>25.46</v>
      </c>
      <c r="BE17" s="1"/>
    </row>
    <row r="18" spans="2:57" ht="12" customHeight="1" x14ac:dyDescent="0.2">
      <c r="B18" s="98" t="str">
        <f t="shared" si="0"/>
        <v>Y</v>
      </c>
      <c r="C18" s="1"/>
      <c r="D18" s="68">
        <f t="shared" si="1"/>
        <v>11</v>
      </c>
      <c r="E18" s="2"/>
      <c r="F18" s="78">
        <v>11</v>
      </c>
      <c r="G18" s="110" t="str">
        <f t="array" ref="G18">IF(ISNUMBER(AC18),INDEX('All Player Data Store'!$C$7:$C$594,SMALL(IF('All Player Data Store'!$Y$7:$Y$594=AC18,ROW('All Player Data Store'!$Y$7:$Y$594)-ROW('All Player Data Store'!$Y$7)+1),COUNTIF($AC$8:AC18,AC18))),"")</f>
        <v>Kevin Smith</v>
      </c>
      <c r="H18" s="111" t="str">
        <f t="array" ref="H18">IF(ISNUMBER(AC18),INDEX('All Player Data Store'!$D$7:$D$594,SMALL(IF('All Player Data Store'!$Y$7:$Y$594=AC18,ROW('All Player Data Store'!$Y$7:$Y$594)-ROW('All Player Data Store'!$Y$7)+1),COUNTIF($AC$8:AC18,AC18))),"")</f>
        <v>Poo</v>
      </c>
      <c r="I18" s="69">
        <f t="array" ref="I18">IF(ISNUMBER(AC18),INDEX('All Player Data Store'!$E$7:$E$594,SMALL(IF('All Player Data Store'!$Y$7:$Y$594=AC18,ROW('All Player Data Store'!$Y$7:$Y$594)-ROW('All Player Data Store'!$Y$7)+1),COUNTIF($AC$8:AC18,AC18))),"")</f>
        <v>13</v>
      </c>
      <c r="J18" s="70">
        <f t="array" ref="J18">IF(ISNUMBER(AC18),INDEX('All Player Data Store'!$F$7:$F$594,SMALL(IF('All Player Data Store'!$Y$7:$Y$594=AC18,ROW('All Player Data Store'!$Y$7:$Y$594)-ROW('All Player Data Store'!$Y$7)+1),COUNTIF($AC$8:AC18,AC18))),"")</f>
        <v>11</v>
      </c>
      <c r="K18" s="112">
        <f t="array" ref="K18">IF(ISNUMBER(AC18),INDEX('All Player Data Store'!$G$7:$G$594,SMALL(IF('All Player Data Store'!$Y$7:$Y$594=AC18,ROW('All Player Data Store'!$Y$7:$Y$594)-ROW('All Player Data Store'!$Y$7)+1),COUNTIF($AC$8:AC18,AC18))),"")</f>
        <v>2</v>
      </c>
      <c r="L18" s="112">
        <f t="array" ref="L18">IF(ISNUMBER(AC18),INDEX('All Player Data Store'!$H$7:$H$594,SMALL(IF('All Player Data Store'!$Y$7:$Y$594=AC18,ROW('All Player Data Store'!$Y$7:$Y$594)-ROW('All Player Data Store'!$Y$7)+1),COUNTIF($AC$8:AC18,AC18))),"")</f>
        <v>50</v>
      </c>
      <c r="M18" s="113">
        <f t="array" ref="M18">IF(ISNUMBER(AC18),INDEX('All Player Data Store'!$I$7:$I$594,SMALL(IF('All Player Data Store'!$Y$7:$Y$594=AC18,ROW('All Player Data Store'!$Y$7:$Y$594)-ROW('All Player Data Store'!$Y$7)+1),COUNTIF($AC$8:AC18,AC18))),"")</f>
        <v>20</v>
      </c>
      <c r="N18" s="114">
        <f t="array" ref="N18">IF(ISNUMBER(AC18),INDEX('All Player Data Store'!$J$7:$J$594,SMALL(IF('All Player Data Store'!$Y$7:$Y$594=AC18,ROW('All Player Data Store'!$Y$7:$Y$594)-ROW('All Player Data Store'!$Y$7)+1),COUNTIF($AC$8:AC18,AC18))),"")</f>
        <v>26.01</v>
      </c>
      <c r="O18" s="108">
        <f t="array" ref="O18">IF(ISNUMBER(AC18),INDEX('All Player Data Store'!$K$7:$K$594,SMALL(IF('All Player Data Store'!$Y$7:$Y$594=AC18,ROW('All Player Data Store'!$Y$7:$Y$594)-ROW('All Player Data Store'!$Y$7)+1),COUNTIF($AC$8:AC18,AC18))),"")</f>
        <v>23.61</v>
      </c>
      <c r="P18" s="108">
        <f t="array" ref="P18">IF(ISNUMBER(AC18),INDEX('All Player Data Store'!$L$7:$L$594,SMALL(IF('All Player Data Store'!$Y$7:$Y$594=AC18,ROW('All Player Data Store'!$Y$7:$Y$594)-ROW('All Player Data Store'!$Y$7)+1),COUNTIF($AC$8:AC18,AC18))),"")</f>
        <v>26.37</v>
      </c>
      <c r="Q18" s="108">
        <f t="array" ref="Q18">IF(ISNUMBER(AC18),INDEX('All Player Data Store'!$M$7:$M$594,SMALL(IF('All Player Data Store'!$Y$7:$Y$594=AC18,ROW('All Player Data Store'!$Y$7:$Y$594)-ROW('All Player Data Store'!$Y$7)+1),COUNTIF($AC$8:AC18,AC18))),"")</f>
        <v>23.16</v>
      </c>
      <c r="R18" s="108">
        <f t="array" ref="R18">IF(ISNUMBER(AC18),INDEX('All Player Data Store'!$N$7:$N$594,SMALL(IF('All Player Data Store'!$Y$7:$Y$594=AC18,ROW('All Player Data Store'!$Y$7:$Y$594)-ROW('All Player Data Store'!$Y$7)+1),COUNTIF($AC$8:AC18,AC18))),"")</f>
        <v>24.5</v>
      </c>
      <c r="S18" s="108">
        <f t="array" ref="S18">IF(ISNUMBER(AC18),INDEX('All Player Data Store'!$O$7:$O$594,SMALL(IF('All Player Data Store'!$Y$7:$Y$594=AC18,ROW('All Player Data Store'!$Y$7:$Y$594)-ROW('All Player Data Store'!$Y$7)+1),COUNTIF($AC$8:AC18,AC18))),"")</f>
        <v>21.24</v>
      </c>
      <c r="T18" s="108">
        <f t="array" ref="T18">IF(ISNUMBER(AC18),INDEX('All Player Data Store'!$P$7:$P$594,SMALL(IF('All Player Data Store'!$Y$7:$Y$594=AC18,ROW('All Player Data Store'!$Y$7:$Y$594)-ROW('All Player Data Store'!$Y$7)+1),COUNTIF($AC$8:AC18,AC18))),"")</f>
        <v>25.34</v>
      </c>
      <c r="U18" s="108">
        <f t="array" ref="U18">IF(ISNUMBER(AC18),INDEX('All Player Data Store'!$Q$7:$Q$594,SMALL(IF('All Player Data Store'!$Y$7:$Y$594=AC18,ROW('All Player Data Store'!$Y$7:$Y$594)-ROW('All Player Data Store'!$Y$7)+1),COUNTIF($AC$8:AC18,AC18))),"")</f>
        <v>22.96</v>
      </c>
      <c r="V18" s="108">
        <f t="array" ref="V18">IF(ISNUMBER(AC18),INDEX('All Player Data Store'!$R$7:$R$594,SMALL(IF('All Player Data Store'!$Y$7:$Y$594=AC18,ROW('All Player Data Store'!$Y$7:$Y$594)-ROW('All Player Data Store'!$Y$7)+1),COUNTIF($AC$8:AC18,AC18))),"")</f>
        <v>23.76</v>
      </c>
      <c r="W18" s="108">
        <f t="array" ref="W18">IF(ISNUMBER(AC18),INDEX('All Player Data Store'!$S$7:$S$594,SMALL(IF('All Player Data Store'!$Y$7:$Y$594=AC18,ROW('All Player Data Store'!$Y$7:$Y$594)-ROW('All Player Data Store'!$Y$7)+1),COUNTIF($AC$8:AC18,AC18))),"")</f>
        <v>23.86</v>
      </c>
      <c r="X18" s="108">
        <f t="array" ref="X18">IF(ISNUMBER(AC18),INDEX('All Player Data Store'!$T$7:$T$594,SMALL(IF('All Player Data Store'!$Y$7:$Y$594=AC18,ROW('All Player Data Store'!$Y$7:$Y$594)-ROW('All Player Data Store'!$Y$7)+1),COUNTIF($AC$8:AC18,AC18))),"")</f>
        <v>19.3</v>
      </c>
      <c r="Y18" s="108">
        <f t="array" ref="Y18">IF(ISNUMBER(AC18),INDEX('All Player Data Store'!$U$7:$U$594,SMALL(IF('All Player Data Store'!$Y$7:$Y$594=AC18,ROW('All Player Data Store'!$Y$7:$Y$594)-ROW('All Player Data Store'!$Y$7)+1),COUNTIF($AC$8:AC18,AC18))),"")</f>
        <v>25.47</v>
      </c>
      <c r="Z18" s="108">
        <f t="array" ref="Z18">IF(ISNUMBER(AC18),INDEX('All Player Data Store'!$V$7:$V$594,SMALL(IF('All Player Data Store'!$Y$7:$Y$594=AC18,ROW('All Player Data Store'!$Y$7:$Y$594)-ROW('All Player Data Store'!$Y$7)+1),COUNTIF($AC$8:AC18,AC18))),"")</f>
        <v>25.04</v>
      </c>
      <c r="AA18" s="112">
        <f t="array" ref="AA18">IF(ISNUMBER(AC18),INDEX('All Player Data Store'!$W$7:$W$594,SMALL(IF('All Player Data Store'!$Y$7:$Y$594=AC18,ROW('All Player Data Store'!$Y$7:$Y$594)-ROW('All Player Data Store'!$Y$7)+1),COUNTIF($AC$8:AC18,AC18))),"")</f>
        <v>5</v>
      </c>
      <c r="AB18" s="108">
        <f t="array" ref="AB18">IF(ISNUMBER(AC18),INDEX('All Player Data Store'!$X$7:$X$594,SMALL(IF('All Player Data Store'!$Y$7:$Y$594=AC18,ROW('All Player Data Store'!$Y$7:$Y$594)-ROW('All Player Data Store'!$Y$7)+1),COUNTIF($AC$8:AC18,AC18))),"")</f>
        <v>23.893846153846159</v>
      </c>
      <c r="AC18" s="115">
        <f>IF(ISERROR(IF(ISERROR(LARGE('All Player Data Store'!$Y$7:$Y$594,11)),"",(LARGE('All Player Data Store'!$Y$7:$Y$594,11)))),"",(IF(ISERROR(LARGE('All Player Data Store'!$Y$7:$Y$594,11)),"",(LARGE('All Player Data Store'!$Y$7:$Y$594,11)))))</f>
        <v>34.893846153846155</v>
      </c>
      <c r="AD18" s="106">
        <f t="shared" si="2"/>
        <v>3</v>
      </c>
      <c r="AE18" s="107" t="str">
        <f t="array" ref="AE18">IF(ISNUMBER(AC18),INDEX('All Player Data Store'!$J$8:$J$594,SMALL(IF('All Player Data Store'!$Y$7:$Y$594=AC18,ROW('All Player Data Store'!$Y$7:$Y$594)-ROW('All Player Data Store'!$Y$7)+1),COUNTIF($AC$8:AC18,AC18))),"")</f>
        <v>4*1(1)</v>
      </c>
      <c r="AF18" s="108">
        <f t="shared" si="3"/>
        <v>27.01</v>
      </c>
      <c r="AG18" s="108" t="str">
        <f t="array" ref="AG18">IF(ISNUMBER(AC18),INDEX('All Player Data Store'!$K$8:$K$594,SMALL(IF('All Player Data Store'!$Y$7:$Y$594=AC18,ROW('All Player Data Store'!$Y$7:$Y$594)-ROW('All Player Data Store'!$Y$7)+1),COUNTIF($AC$8:AC18,AC18))),"")</f>
        <v>4*1</v>
      </c>
      <c r="AH18" s="108">
        <f t="shared" si="4"/>
        <v>24.61</v>
      </c>
      <c r="AI18" s="108" t="str">
        <f t="array" ref="AI18">IF(ISNUMBER(AC18),INDEX('All Player Data Store'!$L$8:$L$594,SMALL(IF('All Player Data Store'!$Y$7:$Y$594=AC18,ROW('All Player Data Store'!$Y$7:$Y$594)-ROW('All Player Data Store'!$Y$7)+1),COUNTIF($AC$8:AC18,AC18))),"")</f>
        <v>4*0(1)</v>
      </c>
      <c r="AJ18" s="108">
        <f t="shared" si="5"/>
        <v>27.37</v>
      </c>
      <c r="AK18" s="108" t="str">
        <f t="array" ref="AK18">IF(ISNUMBER(AC18),INDEX('All Player Data Store'!$M$8:$M$594,SMALL(IF('All Player Data Store'!$Y$7:$Y$594=AC18,ROW('All Player Data Store'!$Y$7:$Y$594)-ROW('All Player Data Store'!$Y$7)+1),COUNTIF($AC$8:AC18,AC18))),"")</f>
        <v>4*1</v>
      </c>
      <c r="AL18" s="108">
        <f t="shared" si="6"/>
        <v>24.16</v>
      </c>
      <c r="AM18" s="108" t="str">
        <f t="array" ref="AM18">IF(ISNUMBER(AC18),INDEX('All Player Data Store'!$N$8:$N$594,SMALL(IF('All Player Data Store'!$Y$7:$Y$594=AC18,ROW('All Player Data Store'!$Y$7:$Y$594)-ROW('All Player Data Store'!$Y$7)+1),COUNTIF($AC$8:AC18,AC18))),"")</f>
        <v>3*4(1)</v>
      </c>
      <c r="AN18" s="108">
        <f t="shared" si="7"/>
        <v>24.5</v>
      </c>
      <c r="AO18" s="108" t="str">
        <f t="array" ref="AO18">IF(ISNUMBER(AC18),INDEX('All Player Data Store'!$O$8:$O$594,SMALL(IF('All Player Data Store'!$Y$7:$Y$594=AC18,ROW('All Player Data Store'!$Y$7:$Y$594)-ROW('All Player Data Store'!$Y$7)+1),COUNTIF($AC$8:AC18,AC18))),"")</f>
        <v>4*1</v>
      </c>
      <c r="AP18" s="108">
        <f t="shared" si="8"/>
        <v>22.24</v>
      </c>
      <c r="AQ18" s="108" t="str">
        <f t="array" ref="AQ18">IF(ISNUMBER(AC18),INDEX('All Player Data Store'!$P$8:$P$594,SMALL(IF('All Player Data Store'!$Y$7:$Y$594=AC18,ROW('All Player Data Store'!$Y$7:$Y$594)-ROW('All Player Data Store'!$Y$7)+1),COUNTIF($AC$8:AC18,AC18))),"")</f>
        <v>3*4</v>
      </c>
      <c r="AR18" s="108">
        <f t="shared" si="9"/>
        <v>25.34</v>
      </c>
      <c r="AS18" s="108" t="str">
        <f t="array" ref="AS18">IF(ISNUMBER(AC18),INDEX('All Player Data Store'!$Q$8:$Q$594,SMALL(IF('All Player Data Store'!$Y$7:$Y$594=AC18,ROW('All Player Data Store'!$Y$7:$Y$594)-ROW('All Player Data Store'!$Y$7)+1),COUNTIF($AC$8:AC18,AC18))),"")</f>
        <v>4*3(2)</v>
      </c>
      <c r="AT18" s="108">
        <f t="shared" si="10"/>
        <v>23.96</v>
      </c>
      <c r="AU18" s="108" t="str">
        <f t="array" ref="AU18">IF(ISNUMBER(AC18),INDEX('All Player Data Store'!$R$8:$R$594,SMALL(IF('All Player Data Store'!$Y$7:$Y$594=AC18,ROW('All Player Data Store'!$Y$7:$Y$594)-ROW('All Player Data Store'!$Y$7)+1),COUNTIF($AC$8:AC18,AC18))),"")</f>
        <v>4*1</v>
      </c>
      <c r="AV18" s="108">
        <f t="shared" si="11"/>
        <v>24.76</v>
      </c>
      <c r="AW18" s="108" t="str">
        <f t="array" ref="AW18">IF(ISNUMBER(AC18),INDEX('All Player Data Store'!$S$8:$S$594,SMALL(IF('All Player Data Store'!$Y$7:$Y$594=AC18,ROW('All Player Data Store'!$Y$7:$Y$594)-ROW('All Player Data Store'!$Y$7)+1),COUNTIF($AC$8:AC18,AC18))),"")</f>
        <v>4*1</v>
      </c>
      <c r="AX18" s="108">
        <f t="shared" si="12"/>
        <v>24.86</v>
      </c>
      <c r="AY18" s="108" t="str">
        <f t="array" ref="AY18">IF(ISNUMBER(AC18),INDEX('All Player Data Store'!$T$8:$T$594,SMALL(IF('All Player Data Store'!$Y$7:$Y$594=AC18,ROW('All Player Data Store'!$Y$7:$Y$594)-ROW('All Player Data Store'!$Y$7)+1),COUNTIF($AC$8:AC18,AC18))),"")</f>
        <v>4*0</v>
      </c>
      <c r="AZ18" s="108">
        <f t="shared" si="13"/>
        <v>20.3</v>
      </c>
      <c r="BA18" s="108" t="str">
        <f t="array" ref="BA18">IF(ISNUMBER(AC18),INDEX('All Player Data Store'!$U$8:$U$594,SMALL(IF('All Player Data Store'!$Y$7:$Y$594=AC18,ROW('All Player Data Store'!$Y$7:$Y$594)-ROW('All Player Data Store'!$Y$7)+1),COUNTIF($AC$8:AC18,AC18))),"")</f>
        <v>4*1</v>
      </c>
      <c r="BB18" s="108">
        <f t="shared" si="14"/>
        <v>26.47</v>
      </c>
      <c r="BC18" s="108" t="str">
        <f t="array" ref="BC18">IF(ISNUMBER(AC18),INDEX('All Player Data Store'!$V$8:$V$594,SMALL(IF('All Player Data Store'!$Y$7:$Y$594=AC18,ROW('All Player Data Store'!$Y$7:$Y$594)-ROW('All Player Data Store'!$Y$7)+1),COUNTIF($AC$8:AC18,AC18))),"")</f>
        <v>4*2</v>
      </c>
      <c r="BD18" s="108">
        <f t="shared" si="15"/>
        <v>26.04</v>
      </c>
      <c r="BE18" s="1"/>
    </row>
    <row r="19" spans="2:57" ht="12" customHeight="1" x14ac:dyDescent="0.2">
      <c r="B19" s="98" t="str">
        <f t="shared" si="0"/>
        <v>Y</v>
      </c>
      <c r="C19" s="1"/>
      <c r="D19" s="68">
        <f t="shared" si="1"/>
        <v>12</v>
      </c>
      <c r="E19" s="2"/>
      <c r="F19" s="78">
        <v>12</v>
      </c>
      <c r="G19" s="110" t="str">
        <f t="array" ref="G19">IF(ISNUMBER(AC19),INDEX('All Player Data Store'!$C$7:$C$594,SMALL(IF('All Player Data Store'!$Y$7:$Y$594=AC19,ROW('All Player Data Store'!$Y$7:$Y$594)-ROW('All Player Data Store'!$Y$7)+1),COUNTIF($AC$8:AC19,AC19))),"")</f>
        <v>Dale Masterman</v>
      </c>
      <c r="H19" s="111" t="str">
        <f t="array" ref="H19">IF(ISNUMBER(AC19),INDEX('All Player Data Store'!$D$7:$D$594,SMALL(IF('All Player Data Store'!$Y$7:$Y$594=AC19,ROW('All Player Data Store'!$Y$7:$Y$594)-ROW('All Player Data Store'!$Y$7)+1),COUNTIF($AC$8:AC19,AC19))),"")</f>
        <v>Lyt</v>
      </c>
      <c r="I19" s="69">
        <f t="array" ref="I19">IF(ISNUMBER(AC19),INDEX('All Player Data Store'!$E$7:$E$594,SMALL(IF('All Player Data Store'!$Y$7:$Y$594=AC19,ROW('All Player Data Store'!$Y$7:$Y$594)-ROW('All Player Data Store'!$Y$7)+1),COUNTIF($AC$8:AC19,AC19))),"")</f>
        <v>10</v>
      </c>
      <c r="J19" s="70">
        <f t="array" ref="J19">IF(ISNUMBER(AC19),INDEX('All Player Data Store'!$F$7:$F$594,SMALL(IF('All Player Data Store'!$Y$7:$Y$594=AC19,ROW('All Player Data Store'!$Y$7:$Y$594)-ROW('All Player Data Store'!$Y$7)+1),COUNTIF($AC$8:AC19,AC19))),"")</f>
        <v>9</v>
      </c>
      <c r="K19" s="112">
        <f t="array" ref="K19">IF(ISNUMBER(AC19),INDEX('All Player Data Store'!$G$7:$G$594,SMALL(IF('All Player Data Store'!$Y$7:$Y$594=AC19,ROW('All Player Data Store'!$Y$7:$Y$594)-ROW('All Player Data Store'!$Y$7)+1),COUNTIF($AC$8:AC19,AC19))),"")</f>
        <v>1</v>
      </c>
      <c r="L19" s="112">
        <f t="array" ref="L19">IF(ISNUMBER(AC19),INDEX('All Player Data Store'!$H$7:$H$594,SMALL(IF('All Player Data Store'!$Y$7:$Y$594=AC19,ROW('All Player Data Store'!$Y$7:$Y$594)-ROW('All Player Data Store'!$Y$7)+1),COUNTIF($AC$8:AC19,AC19))),"")</f>
        <v>36</v>
      </c>
      <c r="M19" s="113">
        <f t="array" ref="M19">IF(ISNUMBER(AC19),INDEX('All Player Data Store'!$I$7:$I$594,SMALL(IF('All Player Data Store'!$Y$7:$Y$594=AC19,ROW('All Player Data Store'!$Y$7:$Y$594)-ROW('All Player Data Store'!$Y$7)+1),COUNTIF($AC$8:AC19,AC19))),"")</f>
        <v>15</v>
      </c>
      <c r="N19" s="114">
        <f t="array" ref="N19">IF(ISNUMBER(AC19),INDEX('All Player Data Store'!$J$7:$J$594,SMALL(IF('All Player Data Store'!$Y$7:$Y$594=AC19,ROW('All Player Data Store'!$Y$7:$Y$594)-ROW('All Player Data Store'!$Y$7)+1),COUNTIF($AC$8:AC19,AC19))),"")</f>
        <v>26.72</v>
      </c>
      <c r="O19" s="108" t="str">
        <f t="array" ref="O19">IF(ISNUMBER(AC19),INDEX('All Player Data Store'!$K$7:$K$594,SMALL(IF('All Player Data Store'!$Y$7:$Y$594=AC19,ROW('All Player Data Store'!$Y$7:$Y$594)-ROW('All Player Data Store'!$Y$7)+1),COUNTIF($AC$8:AC19,AC19))),"")</f>
        <v/>
      </c>
      <c r="P19" s="108" t="str">
        <f t="array" ref="P19">IF(ISNUMBER(AC19),INDEX('All Player Data Store'!$L$7:$L$594,SMALL(IF('All Player Data Store'!$Y$7:$Y$594=AC19,ROW('All Player Data Store'!$Y$7:$Y$594)-ROW('All Player Data Store'!$Y$7)+1),COUNTIF($AC$8:AC19,AC19))),"")</f>
        <v/>
      </c>
      <c r="Q19" s="108">
        <f t="array" ref="Q19">IF(ISNUMBER(AC19),INDEX('All Player Data Store'!$M$7:$M$594,SMALL(IF('All Player Data Store'!$Y$7:$Y$594=AC19,ROW('All Player Data Store'!$Y$7:$Y$594)-ROW('All Player Data Store'!$Y$7)+1),COUNTIF($AC$8:AC19,AC19))),"")</f>
        <v>24.09</v>
      </c>
      <c r="R19" s="108">
        <f t="array" ref="R19">IF(ISNUMBER(AC19),INDEX('All Player Data Store'!$N$7:$N$594,SMALL(IF('All Player Data Store'!$Y$7:$Y$594=AC19,ROW('All Player Data Store'!$Y$7:$Y$594)-ROW('All Player Data Store'!$Y$7)+1),COUNTIF($AC$8:AC19,AC19))),"")</f>
        <v>26.24</v>
      </c>
      <c r="S19" s="108">
        <f t="array" ref="S19">IF(ISNUMBER(AC19),INDEX('All Player Data Store'!$O$7:$O$594,SMALL(IF('All Player Data Store'!$Y$7:$Y$594=AC19,ROW('All Player Data Store'!$Y$7:$Y$594)-ROW('All Player Data Store'!$Y$7)+1),COUNTIF($AC$8:AC19,AC19))),"")</f>
        <v>23.8</v>
      </c>
      <c r="T19" s="108">
        <f t="array" ref="T19">IF(ISNUMBER(AC19),INDEX('All Player Data Store'!$P$7:$P$594,SMALL(IF('All Player Data Store'!$Y$7:$Y$594=AC19,ROW('All Player Data Store'!$Y$7:$Y$594)-ROW('All Player Data Store'!$Y$7)+1),COUNTIF($AC$8:AC19,AC19))),"")</f>
        <v>27.97</v>
      </c>
      <c r="U19" s="108">
        <f t="array" ref="U19">IF(ISNUMBER(AC19),INDEX('All Player Data Store'!$Q$7:$Q$594,SMALL(IF('All Player Data Store'!$Y$7:$Y$594=AC19,ROW('All Player Data Store'!$Y$7:$Y$594)-ROW('All Player Data Store'!$Y$7)+1),COUNTIF($AC$8:AC19,AC19))),"")</f>
        <v>28.57</v>
      </c>
      <c r="V19" s="108" t="str">
        <f t="array" ref="V19">IF(ISNUMBER(AC19),INDEX('All Player Data Store'!$R$7:$R$594,SMALL(IF('All Player Data Store'!$Y$7:$Y$594=AC19,ROW('All Player Data Store'!$Y$7:$Y$594)-ROW('All Player Data Store'!$Y$7)+1),COUNTIF($AC$8:AC19,AC19))),"")</f>
        <v/>
      </c>
      <c r="W19" s="108">
        <f t="array" ref="W19">IF(ISNUMBER(AC19),INDEX('All Player Data Store'!$S$7:$S$594,SMALL(IF('All Player Data Store'!$Y$7:$Y$594=AC19,ROW('All Player Data Store'!$Y$7:$Y$594)-ROW('All Player Data Store'!$Y$7)+1),COUNTIF($AC$8:AC19,AC19))),"")</f>
        <v>22.47</v>
      </c>
      <c r="X19" s="108">
        <f t="array" ref="X19">IF(ISNUMBER(AC19),INDEX('All Player Data Store'!$T$7:$T$594,SMALL(IF('All Player Data Store'!$Y$7:$Y$594=AC19,ROW('All Player Data Store'!$Y$7:$Y$594)-ROW('All Player Data Store'!$Y$7)+1),COUNTIF($AC$8:AC19,AC19))),"")</f>
        <v>23.03</v>
      </c>
      <c r="Y19" s="108">
        <f t="array" ref="Y19">IF(ISNUMBER(AC19),INDEX('All Player Data Store'!$U$7:$U$594,SMALL(IF('All Player Data Store'!$Y$7:$Y$594=AC19,ROW('All Player Data Store'!$Y$7:$Y$594)-ROW('All Player Data Store'!$Y$7)+1),COUNTIF($AC$8:AC19,AC19))),"")</f>
        <v>23.41</v>
      </c>
      <c r="Z19" s="108">
        <f t="array" ref="Z19">IF(ISNUMBER(AC19),INDEX('All Player Data Store'!$V$7:$V$594,SMALL(IF('All Player Data Store'!$Y$7:$Y$594=AC19,ROW('All Player Data Store'!$Y$7:$Y$594)-ROW('All Player Data Store'!$Y$7)+1),COUNTIF($AC$8:AC19,AC19))),"")</f>
        <v>28.74</v>
      </c>
      <c r="AA19" s="112">
        <f t="array" ref="AA19">IF(ISNUMBER(AC19),INDEX('All Player Data Store'!$W$7:$W$594,SMALL(IF('All Player Data Store'!$Y$7:$Y$594=AC19,ROW('All Player Data Store'!$Y$7:$Y$594)-ROW('All Player Data Store'!$Y$7)+1),COUNTIF($AC$8:AC19,AC19))),"")</f>
        <v>8</v>
      </c>
      <c r="AB19" s="108">
        <f t="array" ref="AB19">IF(ISNUMBER(AC19),INDEX('All Player Data Store'!$X$7:$X$594,SMALL(IF('All Player Data Store'!$Y$7:$Y$594=AC19,ROW('All Player Data Store'!$Y$7:$Y$594)-ROW('All Player Data Store'!$Y$7)+1),COUNTIF($AC$8:AC19,AC19))),"")</f>
        <v>25.503999999999998</v>
      </c>
      <c r="AC19" s="115">
        <f>IF(ISERROR(IF(ISERROR(LARGE('All Player Data Store'!$Y$7:$Y$594,12)),"",(LARGE('All Player Data Store'!$Y$7:$Y$594,12)))),"",(IF(ISERROR(LARGE('All Player Data Store'!$Y$7:$Y$594,12)),"",(LARGE('All Player Data Store'!$Y$7:$Y$594,12)))))</f>
        <v>34.503999999999998</v>
      </c>
      <c r="AD19" s="106">
        <f t="shared" si="2"/>
        <v>3</v>
      </c>
      <c r="AE19" s="107" t="str">
        <f t="array" ref="AE19">IF(ISNUMBER(AC19),INDEX('All Player Data Store'!$J$8:$J$594,SMALL(IF('All Player Data Store'!$Y$7:$Y$594=AC19,ROW('All Player Data Store'!$Y$7:$Y$594)-ROW('All Player Data Store'!$Y$7)+1),COUNTIF($AC$8:AC19,AC19))),"")</f>
        <v>4*0</v>
      </c>
      <c r="AF19" s="108">
        <f t="shared" si="3"/>
        <v>27.72</v>
      </c>
      <c r="AG19" s="108" t="str">
        <f t="array" ref="AG19">IF(ISNUMBER(AC19),INDEX('All Player Data Store'!$K$8:$K$594,SMALL(IF('All Player Data Store'!$Y$7:$Y$594=AC19,ROW('All Player Data Store'!$Y$7:$Y$594)-ROW('All Player Data Store'!$Y$7)+1),COUNTIF($AC$8:AC19,AC19))),"")</f>
        <v/>
      </c>
      <c r="AH19" s="108" t="str">
        <f t="shared" si="4"/>
        <v/>
      </c>
      <c r="AI19" s="108" t="str">
        <f t="array" ref="AI19">IF(ISNUMBER(AC19),INDEX('All Player Data Store'!$L$8:$L$594,SMALL(IF('All Player Data Store'!$Y$7:$Y$594=AC19,ROW('All Player Data Store'!$Y$7:$Y$594)-ROW('All Player Data Store'!$Y$7)+1),COUNTIF($AC$8:AC19,AC19))),"")</f>
        <v/>
      </c>
      <c r="AJ19" s="108" t="str">
        <f t="shared" si="5"/>
        <v/>
      </c>
      <c r="AK19" s="108" t="str">
        <f t="array" ref="AK19">IF(ISNUMBER(AC19),INDEX('All Player Data Store'!$M$8:$M$594,SMALL(IF('All Player Data Store'!$Y$7:$Y$594=AC19,ROW('All Player Data Store'!$Y$7:$Y$594)-ROW('All Player Data Store'!$Y$7)+1),COUNTIF($AC$8:AC19,AC19))),"")</f>
        <v>4*3</v>
      </c>
      <c r="AL19" s="108">
        <f t="shared" si="6"/>
        <v>25.09</v>
      </c>
      <c r="AM19" s="108" t="str">
        <f t="array" ref="AM19">IF(ISNUMBER(AC19),INDEX('All Player Data Store'!$N$8:$N$594,SMALL(IF('All Player Data Store'!$Y$7:$Y$594=AC19,ROW('All Player Data Store'!$Y$7:$Y$594)-ROW('All Player Data Store'!$Y$7)+1),COUNTIF($AC$8:AC19,AC19))),"")</f>
        <v>4*1</v>
      </c>
      <c r="AN19" s="108">
        <f t="shared" si="7"/>
        <v>27.24</v>
      </c>
      <c r="AO19" s="108" t="str">
        <f t="array" ref="AO19">IF(ISNUMBER(AC19),INDEX('All Player Data Store'!$O$8:$O$594,SMALL(IF('All Player Data Store'!$Y$7:$Y$594=AC19,ROW('All Player Data Store'!$Y$7:$Y$594)-ROW('All Player Data Store'!$Y$7)+1),COUNTIF($AC$8:AC19,AC19))),"")</f>
        <v>4*1</v>
      </c>
      <c r="AP19" s="108">
        <f t="shared" si="8"/>
        <v>24.8</v>
      </c>
      <c r="AQ19" s="108" t="str">
        <f t="array" ref="AQ19">IF(ISNUMBER(AC19),INDEX('All Player Data Store'!$P$8:$P$594,SMALL(IF('All Player Data Store'!$Y$7:$Y$594=AC19,ROW('All Player Data Store'!$Y$7:$Y$594)-ROW('All Player Data Store'!$Y$7)+1),COUNTIF($AC$8:AC19,AC19))),"")</f>
        <v>4*1(4)</v>
      </c>
      <c r="AR19" s="108">
        <f t="shared" si="9"/>
        <v>28.97</v>
      </c>
      <c r="AS19" s="108" t="str">
        <f t="array" ref="AS19">IF(ISNUMBER(AC19),INDEX('All Player Data Store'!$Q$8:$Q$594,SMALL(IF('All Player Data Store'!$Y$7:$Y$594=AC19,ROW('All Player Data Store'!$Y$7:$Y$594)-ROW('All Player Data Store'!$Y$7)+1),COUNTIF($AC$8:AC19,AC19))),"")</f>
        <v>4*2(2)</v>
      </c>
      <c r="AT19" s="108">
        <f t="shared" si="10"/>
        <v>29.57</v>
      </c>
      <c r="AU19" s="108" t="str">
        <f t="array" ref="AU19">IF(ISNUMBER(AC19),INDEX('All Player Data Store'!$R$8:$R$594,SMALL(IF('All Player Data Store'!$Y$7:$Y$594=AC19,ROW('All Player Data Store'!$Y$7:$Y$594)-ROW('All Player Data Store'!$Y$7)+1),COUNTIF($AC$8:AC19,AC19))),"")</f>
        <v/>
      </c>
      <c r="AV19" s="108" t="str">
        <f t="shared" si="11"/>
        <v/>
      </c>
      <c r="AW19" s="108" t="str">
        <f t="array" ref="AW19">IF(ISNUMBER(AC19),INDEX('All Player Data Store'!$S$8:$S$594,SMALL(IF('All Player Data Store'!$Y$7:$Y$594=AC19,ROW('All Player Data Store'!$Y$7:$Y$594)-ROW('All Player Data Store'!$Y$7)+1),COUNTIF($AC$8:AC19,AC19))),"")</f>
        <v>4*2</v>
      </c>
      <c r="AX19" s="108">
        <f t="shared" si="12"/>
        <v>23.47</v>
      </c>
      <c r="AY19" s="108" t="str">
        <f t="array" ref="AY19">IF(ISNUMBER(AC19),INDEX('All Player Data Store'!$T$8:$T$594,SMALL(IF('All Player Data Store'!$Y$7:$Y$594=AC19,ROW('All Player Data Store'!$Y$7:$Y$594)-ROW('All Player Data Store'!$Y$7)+1),COUNTIF($AC$8:AC19,AC19))),"")</f>
        <v>4*0</v>
      </c>
      <c r="AZ19" s="108">
        <f t="shared" si="13"/>
        <v>24.03</v>
      </c>
      <c r="BA19" s="108" t="str">
        <f t="array" ref="BA19">IF(ISNUMBER(AC19),INDEX('All Player Data Store'!$U$8:$U$594,SMALL(IF('All Player Data Store'!$Y$7:$Y$594=AC19,ROW('All Player Data Store'!$Y$7:$Y$594)-ROW('All Player Data Store'!$Y$7)+1),COUNTIF($AC$8:AC19,AC19))),"")</f>
        <v>0*4</v>
      </c>
      <c r="BB19" s="108">
        <f t="shared" si="14"/>
        <v>23.41</v>
      </c>
      <c r="BC19" s="108" t="str">
        <f t="array" ref="BC19">IF(ISNUMBER(AC19),INDEX('All Player Data Store'!$V$8:$V$594,SMALL(IF('All Player Data Store'!$Y$7:$Y$594=AC19,ROW('All Player Data Store'!$Y$7:$Y$594)-ROW('All Player Data Store'!$Y$7)+1),COUNTIF($AC$8:AC19,AC19))),"")</f>
        <v>4*1(2)</v>
      </c>
      <c r="BD19" s="108">
        <f t="shared" si="15"/>
        <v>29.74</v>
      </c>
      <c r="BE19" s="1"/>
    </row>
    <row r="20" spans="2:57" ht="12" customHeight="1" x14ac:dyDescent="0.2">
      <c r="B20" s="98" t="str">
        <f t="shared" si="0"/>
        <v>Y</v>
      </c>
      <c r="C20" s="1"/>
      <c r="D20" s="68">
        <f t="shared" si="1"/>
        <v>13</v>
      </c>
      <c r="E20" s="2"/>
      <c r="F20" s="78">
        <v>13</v>
      </c>
      <c r="G20" s="110" t="str">
        <f t="array" ref="G20">IF(ISNUMBER(AC20),INDEX('All Player Data Store'!$C$7:$C$594,SMALL(IF('All Player Data Store'!$Y$7:$Y$594=AC20,ROW('All Player Data Store'!$Y$7:$Y$594)-ROW('All Player Data Store'!$Y$7)+1),COUNTIF($AC$8:AC20,AC20))),"")</f>
        <v>Robbie Martin</v>
      </c>
      <c r="H20" s="111" t="str">
        <f t="array" ref="H20">IF(ISNUMBER(AC20),INDEX('All Player Data Store'!$D$7:$D$594,SMALL(IF('All Player Data Store'!$Y$7:$Y$594=AC20,ROW('All Player Data Store'!$Y$7:$Y$594)-ROW('All Player Data Store'!$Y$7)+1),COUNTIF($AC$8:AC20,AC20))),"")</f>
        <v>Ald</v>
      </c>
      <c r="I20" s="69">
        <f t="array" ref="I20">IF(ISNUMBER(AC20),INDEX('All Player Data Store'!$E$7:$E$594,SMALL(IF('All Player Data Store'!$Y$7:$Y$594=AC20,ROW('All Player Data Store'!$Y$7:$Y$594)-ROW('All Player Data Store'!$Y$7)+1),COUNTIF($AC$8:AC20,AC20))),"")</f>
        <v>10</v>
      </c>
      <c r="J20" s="70">
        <f t="array" ref="J20">IF(ISNUMBER(AC20),INDEX('All Player Data Store'!$F$7:$F$594,SMALL(IF('All Player Data Store'!$Y$7:$Y$594=AC20,ROW('All Player Data Store'!$Y$7:$Y$594)-ROW('All Player Data Store'!$Y$7)+1),COUNTIF($AC$8:AC20,AC20))),"")</f>
        <v>9</v>
      </c>
      <c r="K20" s="112">
        <f t="array" ref="K20">IF(ISNUMBER(AC20),INDEX('All Player Data Store'!$G$7:$G$594,SMALL(IF('All Player Data Store'!$Y$7:$Y$594=AC20,ROW('All Player Data Store'!$Y$7:$Y$594)-ROW('All Player Data Store'!$Y$7)+1),COUNTIF($AC$8:AC20,AC20))),"")</f>
        <v>1</v>
      </c>
      <c r="L20" s="112">
        <f t="array" ref="L20">IF(ISNUMBER(AC20),INDEX('All Player Data Store'!$H$7:$H$594,SMALL(IF('All Player Data Store'!$Y$7:$Y$594=AC20,ROW('All Player Data Store'!$Y$7:$Y$594)-ROW('All Player Data Store'!$Y$7)+1),COUNTIF($AC$8:AC20,AC20))),"")</f>
        <v>39</v>
      </c>
      <c r="M20" s="113">
        <f t="array" ref="M20">IF(ISNUMBER(AC20),INDEX('All Player Data Store'!$I$7:$I$594,SMALL(IF('All Player Data Store'!$Y$7:$Y$594=AC20,ROW('All Player Data Store'!$Y$7:$Y$594)-ROW('All Player Data Store'!$Y$7)+1),COUNTIF($AC$8:AC20,AC20))),"")</f>
        <v>15</v>
      </c>
      <c r="N20" s="114" t="str">
        <f t="array" ref="N20">IF(ISNUMBER(AC20),INDEX('All Player Data Store'!$J$7:$J$594,SMALL(IF('All Player Data Store'!$Y$7:$Y$594=AC20,ROW('All Player Data Store'!$Y$7:$Y$594)-ROW('All Player Data Store'!$Y$7)+1),COUNTIF($AC$8:AC20,AC20))),"")</f>
        <v/>
      </c>
      <c r="O20" s="108">
        <f t="array" ref="O20">IF(ISNUMBER(AC20),INDEX('All Player Data Store'!$K$7:$K$594,SMALL(IF('All Player Data Store'!$Y$7:$Y$594=AC20,ROW('All Player Data Store'!$Y$7:$Y$594)-ROW('All Player Data Store'!$Y$7)+1),COUNTIF($AC$8:AC20,AC20))),"")</f>
        <v>26.41</v>
      </c>
      <c r="P20" s="108">
        <f t="array" ref="P20">IF(ISNUMBER(AC20),INDEX('All Player Data Store'!$L$7:$L$594,SMALL(IF('All Player Data Store'!$Y$7:$Y$594=AC20,ROW('All Player Data Store'!$Y$7:$Y$594)-ROW('All Player Data Store'!$Y$7)+1),COUNTIF($AC$8:AC20,AC20))),"")</f>
        <v>22.02</v>
      </c>
      <c r="Q20" s="108" t="str">
        <f t="array" ref="Q20">IF(ISNUMBER(AC20),INDEX('All Player Data Store'!$M$7:$M$594,SMALL(IF('All Player Data Store'!$Y$7:$Y$594=AC20,ROW('All Player Data Store'!$Y$7:$Y$594)-ROW('All Player Data Store'!$Y$7)+1),COUNTIF($AC$8:AC20,AC20))),"")</f>
        <v/>
      </c>
      <c r="R20" s="108">
        <f t="array" ref="R20">IF(ISNUMBER(AC20),INDEX('All Player Data Store'!$N$7:$N$594,SMALL(IF('All Player Data Store'!$Y$7:$Y$594=AC20,ROW('All Player Data Store'!$Y$7:$Y$594)-ROW('All Player Data Store'!$Y$7)+1),COUNTIF($AC$8:AC20,AC20))),"")</f>
        <v>23.91</v>
      </c>
      <c r="S20" s="108" t="str">
        <f t="array" ref="S20">IF(ISNUMBER(AC20),INDEX('All Player Data Store'!$O$7:$O$594,SMALL(IF('All Player Data Store'!$Y$7:$Y$594=AC20,ROW('All Player Data Store'!$Y$7:$Y$594)-ROW('All Player Data Store'!$Y$7)+1),COUNTIF($AC$8:AC20,AC20))),"")</f>
        <v/>
      </c>
      <c r="T20" s="108">
        <f t="array" ref="T20">IF(ISNUMBER(AC20),INDEX('All Player Data Store'!$P$7:$P$594,SMALL(IF('All Player Data Store'!$Y$7:$Y$594=AC20,ROW('All Player Data Store'!$Y$7:$Y$594)-ROW('All Player Data Store'!$Y$7)+1),COUNTIF($AC$8:AC20,AC20))),"")</f>
        <v>22.85</v>
      </c>
      <c r="U20" s="108">
        <f t="array" ref="U20">IF(ISNUMBER(AC20),INDEX('All Player Data Store'!$Q$7:$Q$594,SMALL(IF('All Player Data Store'!$Y$7:$Y$594=AC20,ROW('All Player Data Store'!$Y$7:$Y$594)-ROW('All Player Data Store'!$Y$7)+1),COUNTIF($AC$8:AC20,AC20))),"")</f>
        <v>29.04</v>
      </c>
      <c r="V20" s="108">
        <f t="array" ref="V20">IF(ISNUMBER(AC20),INDEX('All Player Data Store'!$R$7:$R$594,SMALL(IF('All Player Data Store'!$Y$7:$Y$594=AC20,ROW('All Player Data Store'!$Y$7:$Y$594)-ROW('All Player Data Store'!$Y$7)+1),COUNTIF($AC$8:AC20,AC20))),"")</f>
        <v>23.49</v>
      </c>
      <c r="W20" s="108">
        <f t="array" ref="W20">IF(ISNUMBER(AC20),INDEX('All Player Data Store'!$S$7:$S$594,SMALL(IF('All Player Data Store'!$Y$7:$Y$594=AC20,ROW('All Player Data Store'!$Y$7:$Y$594)-ROW('All Player Data Store'!$Y$7)+1),COUNTIF($AC$8:AC20,AC20))),"")</f>
        <v>27.39</v>
      </c>
      <c r="X20" s="108">
        <f t="array" ref="X20">IF(ISNUMBER(AC20),INDEX('All Player Data Store'!$T$7:$T$594,SMALL(IF('All Player Data Store'!$Y$7:$Y$594=AC20,ROW('All Player Data Store'!$Y$7:$Y$594)-ROW('All Player Data Store'!$Y$7)+1),COUNTIF($AC$8:AC20,AC20))),"")</f>
        <v>27.83</v>
      </c>
      <c r="Y20" s="108">
        <f t="array" ref="Y20">IF(ISNUMBER(AC20),INDEX('All Player Data Store'!$U$7:$U$594,SMALL(IF('All Player Data Store'!$Y$7:$Y$594=AC20,ROW('All Player Data Store'!$Y$7:$Y$594)-ROW('All Player Data Store'!$Y$7)+1),COUNTIF($AC$8:AC20,AC20))),"")</f>
        <v>20.27</v>
      </c>
      <c r="Z20" s="108">
        <f t="array" ref="Z20">IF(ISNUMBER(AC20),INDEX('All Player Data Store'!$V$7:$V$594,SMALL(IF('All Player Data Store'!$Y$7:$Y$594=AC20,ROW('All Player Data Store'!$Y$7:$Y$594)-ROW('All Player Data Store'!$Y$7)+1),COUNTIF($AC$8:AC20,AC20))),"")</f>
        <v>28.83</v>
      </c>
      <c r="AA20" s="112">
        <f t="array" ref="AA20">IF(ISNUMBER(AC20),INDEX('All Player Data Store'!$W$7:$W$594,SMALL(IF('All Player Data Store'!$Y$7:$Y$594=AC20,ROW('All Player Data Store'!$Y$7:$Y$594)-ROW('All Player Data Store'!$Y$7)+1),COUNTIF($AC$8:AC20,AC20))),"")</f>
        <v>4</v>
      </c>
      <c r="AB20" s="108">
        <f t="array" ref="AB20">IF(ISNUMBER(AC20),INDEX('All Player Data Store'!$X$7:$X$594,SMALL(IF('All Player Data Store'!$Y$7:$Y$594=AC20,ROW('All Player Data Store'!$Y$7:$Y$594)-ROW('All Player Data Store'!$Y$7)+1),COUNTIF($AC$8:AC20,AC20))),"")</f>
        <v>25.204000000000001</v>
      </c>
      <c r="AC20" s="115">
        <f>IF(ISERROR(IF(ISERROR(LARGE('All Player Data Store'!$Y$7:$Y$594,13)),"",(LARGE('All Player Data Store'!$Y$7:$Y$594,13)))),"",(IF(ISERROR(LARGE('All Player Data Store'!$Y$7:$Y$594,13)),"",(LARGE('All Player Data Store'!$Y$7:$Y$594,13)))))</f>
        <v>34.204000000000001</v>
      </c>
      <c r="AD20" s="106">
        <f t="shared" si="2"/>
        <v>3</v>
      </c>
      <c r="AE20" s="107" t="str">
        <f t="array" ref="AE20">IF(ISNUMBER(AC20),INDEX('All Player Data Store'!$J$8:$J$594,SMALL(IF('All Player Data Store'!$Y$7:$Y$594=AC20,ROW('All Player Data Store'!$Y$7:$Y$594)-ROW('All Player Data Store'!$Y$7)+1),COUNTIF($AC$8:AC20,AC20))),"")</f>
        <v/>
      </c>
      <c r="AF20" s="108" t="str">
        <f t="shared" si="3"/>
        <v/>
      </c>
      <c r="AG20" s="108" t="str">
        <f t="array" ref="AG20">IF(ISNUMBER(AC20),INDEX('All Player Data Store'!$K$8:$K$594,SMALL(IF('All Player Data Store'!$Y$7:$Y$594=AC20,ROW('All Player Data Store'!$Y$7:$Y$594)-ROW('All Player Data Store'!$Y$7)+1),COUNTIF($AC$8:AC20,AC20))),"")</f>
        <v>3*4(1)</v>
      </c>
      <c r="AH20" s="108">
        <f t="shared" si="4"/>
        <v>26.41</v>
      </c>
      <c r="AI20" s="108" t="str">
        <f t="array" ref="AI20">IF(ISNUMBER(AC20),INDEX('All Player Data Store'!$L$8:$L$594,SMALL(IF('All Player Data Store'!$Y$7:$Y$594=AC20,ROW('All Player Data Store'!$Y$7:$Y$594)-ROW('All Player Data Store'!$Y$7)+1),COUNTIF($AC$8:AC20,AC20))),"")</f>
        <v>4*0</v>
      </c>
      <c r="AJ20" s="108">
        <f t="shared" si="5"/>
        <v>23.02</v>
      </c>
      <c r="AK20" s="108" t="str">
        <f t="array" ref="AK20">IF(ISNUMBER(AC20),INDEX('All Player Data Store'!$M$8:$M$594,SMALL(IF('All Player Data Store'!$Y$7:$Y$594=AC20,ROW('All Player Data Store'!$Y$7:$Y$594)-ROW('All Player Data Store'!$Y$7)+1),COUNTIF($AC$8:AC20,AC20))),"")</f>
        <v/>
      </c>
      <c r="AL20" s="108" t="str">
        <f t="shared" si="6"/>
        <v/>
      </c>
      <c r="AM20" s="108" t="str">
        <f t="array" ref="AM20">IF(ISNUMBER(AC20),INDEX('All Player Data Store'!$N$8:$N$594,SMALL(IF('All Player Data Store'!$Y$7:$Y$594=AC20,ROW('All Player Data Store'!$Y$7:$Y$594)-ROW('All Player Data Store'!$Y$7)+1),COUNTIF($AC$8:AC20,AC20))),"")</f>
        <v>4*2</v>
      </c>
      <c r="AN20" s="108">
        <f t="shared" si="7"/>
        <v>24.91</v>
      </c>
      <c r="AO20" s="108" t="str">
        <f t="array" ref="AO20">IF(ISNUMBER(AC20),INDEX('All Player Data Store'!$O$8:$O$594,SMALL(IF('All Player Data Store'!$Y$7:$Y$594=AC20,ROW('All Player Data Store'!$Y$7:$Y$594)-ROW('All Player Data Store'!$Y$7)+1),COUNTIF($AC$8:AC20,AC20))),"")</f>
        <v/>
      </c>
      <c r="AP20" s="108" t="str">
        <f t="shared" si="8"/>
        <v/>
      </c>
      <c r="AQ20" s="108" t="str">
        <f t="array" ref="AQ20">IF(ISNUMBER(AC20),INDEX('All Player Data Store'!$P$8:$P$594,SMALL(IF('All Player Data Store'!$Y$7:$Y$594=AC20,ROW('All Player Data Store'!$Y$7:$Y$594)-ROW('All Player Data Store'!$Y$7)+1),COUNTIF($AC$8:AC20,AC20))),"")</f>
        <v>4*2</v>
      </c>
      <c r="AR20" s="108">
        <f t="shared" si="9"/>
        <v>23.85</v>
      </c>
      <c r="AS20" s="108" t="str">
        <f t="array" ref="AS20">IF(ISNUMBER(AC20),INDEX('All Player Data Store'!$Q$8:$Q$594,SMALL(IF('All Player Data Store'!$Y$7:$Y$594=AC20,ROW('All Player Data Store'!$Y$7:$Y$594)-ROW('All Player Data Store'!$Y$7)+1),COUNTIF($AC$8:AC20,AC20))),"")</f>
        <v>4*0</v>
      </c>
      <c r="AT20" s="108">
        <f t="shared" si="10"/>
        <v>30.04</v>
      </c>
      <c r="AU20" s="108" t="str">
        <f t="array" ref="AU20">IF(ISNUMBER(AC20),INDEX('All Player Data Store'!$R$8:$R$594,SMALL(IF('All Player Data Store'!$Y$7:$Y$594=AC20,ROW('All Player Data Store'!$Y$7:$Y$594)-ROW('All Player Data Store'!$Y$7)+1),COUNTIF($AC$8:AC20,AC20))),"")</f>
        <v>4*2(1)</v>
      </c>
      <c r="AV20" s="108">
        <f t="shared" si="11"/>
        <v>24.49</v>
      </c>
      <c r="AW20" s="108" t="str">
        <f t="array" ref="AW20">IF(ISNUMBER(AC20),INDEX('All Player Data Store'!$S$8:$S$594,SMALL(IF('All Player Data Store'!$Y$7:$Y$594=AC20,ROW('All Player Data Store'!$Y$7:$Y$594)-ROW('All Player Data Store'!$Y$7)+1),COUNTIF($AC$8:AC20,AC20))),"")</f>
        <v>4*1</v>
      </c>
      <c r="AX20" s="108">
        <f t="shared" si="12"/>
        <v>28.39</v>
      </c>
      <c r="AY20" s="108" t="str">
        <f t="array" ref="AY20">IF(ISNUMBER(AC20),INDEX('All Player Data Store'!$T$8:$T$594,SMALL(IF('All Player Data Store'!$Y$7:$Y$594=AC20,ROW('All Player Data Store'!$Y$7:$Y$594)-ROW('All Player Data Store'!$Y$7)+1),COUNTIF($AC$8:AC20,AC20))),"")</f>
        <v>4*0(1)</v>
      </c>
      <c r="AZ20" s="108">
        <f t="shared" si="13"/>
        <v>28.83</v>
      </c>
      <c r="BA20" s="108" t="str">
        <f t="array" ref="BA20">IF(ISNUMBER(AC20),INDEX('All Player Data Store'!$U$8:$U$594,SMALL(IF('All Player Data Store'!$Y$7:$Y$594=AC20,ROW('All Player Data Store'!$Y$7:$Y$594)-ROW('All Player Data Store'!$Y$7)+1),COUNTIF($AC$8:AC20,AC20))),"")</f>
        <v>4*1(1)</v>
      </c>
      <c r="BB20" s="108">
        <f t="shared" si="14"/>
        <v>21.27</v>
      </c>
      <c r="BC20" s="108" t="str">
        <f t="array" ref="BC20">IF(ISNUMBER(AC20),INDEX('All Player Data Store'!$V$8:$V$594,SMALL(IF('All Player Data Store'!$Y$7:$Y$594=AC20,ROW('All Player Data Store'!$Y$7:$Y$594)-ROW('All Player Data Store'!$Y$7)+1),COUNTIF($AC$8:AC20,AC20))),"")</f>
        <v>4*3</v>
      </c>
      <c r="BD20" s="108">
        <f t="shared" si="15"/>
        <v>29.83</v>
      </c>
      <c r="BE20" s="1"/>
    </row>
    <row r="21" spans="2:57" ht="12" customHeight="1" x14ac:dyDescent="0.2">
      <c r="B21" s="98" t="str">
        <f t="shared" si="0"/>
        <v>Y</v>
      </c>
      <c r="C21" s="1"/>
      <c r="D21" s="68">
        <f t="shared" si="1"/>
        <v>14</v>
      </c>
      <c r="E21" s="2"/>
      <c r="F21" s="78">
        <v>14</v>
      </c>
      <c r="G21" s="110" t="str">
        <f t="array" ref="G21">IF(ISNUMBER(AC21),INDEX('All Player Data Store'!$C$7:$C$594,SMALL(IF('All Player Data Store'!$Y$7:$Y$594=AC21,ROW('All Player Data Store'!$Y$7:$Y$594)-ROW('All Player Data Store'!$Y$7)+1),COUNTIF($AC$8:AC21,AC21))),"")</f>
        <v>Danny Pearce</v>
      </c>
      <c r="H21" s="111" t="str">
        <f t="array" ref="H21">IF(ISNUMBER(AC21),INDEX('All Player Data Store'!$D$7:$D$594,SMALL(IF('All Player Data Store'!$Y$7:$Y$594=AC21,ROW('All Player Data Store'!$Y$7:$Y$594)-ROW('All Player Data Store'!$Y$7)+1),COUNTIF($AC$8:AC21,AC21))),"")</f>
        <v>Lyt</v>
      </c>
      <c r="I21" s="69">
        <f t="array" ref="I21">IF(ISNUMBER(AC21),INDEX('All Player Data Store'!$E$7:$E$594,SMALL(IF('All Player Data Store'!$Y$7:$Y$594=AC21,ROW('All Player Data Store'!$Y$7:$Y$594)-ROW('All Player Data Store'!$Y$7)+1),COUNTIF($AC$8:AC21,AC21))),"")</f>
        <v>12</v>
      </c>
      <c r="J21" s="70">
        <f t="array" ref="J21">IF(ISNUMBER(AC21),INDEX('All Player Data Store'!$F$7:$F$594,SMALL(IF('All Player Data Store'!$Y$7:$Y$594=AC21,ROW('All Player Data Store'!$Y$7:$Y$594)-ROW('All Player Data Store'!$Y$7)+1),COUNTIF($AC$8:AC21,AC21))),"")</f>
        <v>10</v>
      </c>
      <c r="K21" s="112">
        <f t="array" ref="K21">IF(ISNUMBER(AC21),INDEX('All Player Data Store'!$G$7:$G$594,SMALL(IF('All Player Data Store'!$Y$7:$Y$594=AC21,ROW('All Player Data Store'!$Y$7:$Y$594)-ROW('All Player Data Store'!$Y$7)+1),COUNTIF($AC$8:AC21,AC21))),"")</f>
        <v>2</v>
      </c>
      <c r="L21" s="112">
        <f t="array" ref="L21">IF(ISNUMBER(AC21),INDEX('All Player Data Store'!$H$7:$H$594,SMALL(IF('All Player Data Store'!$Y$7:$Y$594=AC21,ROW('All Player Data Store'!$Y$7:$Y$594)-ROW('All Player Data Store'!$Y$7)+1),COUNTIF($AC$8:AC21,AC21))),"")</f>
        <v>42</v>
      </c>
      <c r="M21" s="113">
        <f t="array" ref="M21">IF(ISNUMBER(AC21),INDEX('All Player Data Store'!$I$7:$I$594,SMALL(IF('All Player Data Store'!$Y$7:$Y$594=AC21,ROW('All Player Data Store'!$Y$7:$Y$594)-ROW('All Player Data Store'!$Y$7)+1),COUNTIF($AC$8:AC21,AC21))),"")</f>
        <v>19</v>
      </c>
      <c r="N21" s="114">
        <f t="array" ref="N21">IF(ISNUMBER(AC21),INDEX('All Player Data Store'!$J$7:$J$594,SMALL(IF('All Player Data Store'!$Y$7:$Y$594=AC21,ROW('All Player Data Store'!$Y$7:$Y$594)-ROW('All Player Data Store'!$Y$7)+1),COUNTIF($AC$8:AC21,AC21))),"")</f>
        <v>22.09</v>
      </c>
      <c r="O21" s="108">
        <f t="array" ref="O21">IF(ISNUMBER(AC21),INDEX('All Player Data Store'!$K$7:$K$594,SMALL(IF('All Player Data Store'!$Y$7:$Y$594=AC21,ROW('All Player Data Store'!$Y$7:$Y$594)-ROW('All Player Data Store'!$Y$7)+1),COUNTIF($AC$8:AC21,AC21))),"")</f>
        <v>24.71</v>
      </c>
      <c r="P21" s="108">
        <f t="array" ref="P21">IF(ISNUMBER(AC21),INDEX('All Player Data Store'!$L$7:$L$594,SMALL(IF('All Player Data Store'!$Y$7:$Y$594=AC21,ROW('All Player Data Store'!$Y$7:$Y$594)-ROW('All Player Data Store'!$Y$7)+1),COUNTIF($AC$8:AC21,AC21))),"")</f>
        <v>27.7</v>
      </c>
      <c r="Q21" s="108">
        <f t="array" ref="Q21">IF(ISNUMBER(AC21),INDEX('All Player Data Store'!$M$7:$M$594,SMALL(IF('All Player Data Store'!$Y$7:$Y$594=AC21,ROW('All Player Data Store'!$Y$7:$Y$594)-ROW('All Player Data Store'!$Y$7)+1),COUNTIF($AC$8:AC21,AC21))),"")</f>
        <v>23.75</v>
      </c>
      <c r="R21" s="108">
        <f t="array" ref="R21">IF(ISNUMBER(AC21),INDEX('All Player Data Store'!$N$7:$N$594,SMALL(IF('All Player Data Store'!$Y$7:$Y$594=AC21,ROW('All Player Data Store'!$Y$7:$Y$594)-ROW('All Player Data Store'!$Y$7)+1),COUNTIF($AC$8:AC21,AC21))),"")</f>
        <v>23.86</v>
      </c>
      <c r="S21" s="108">
        <f t="array" ref="S21">IF(ISNUMBER(AC21),INDEX('All Player Data Store'!$O$7:$O$594,SMALL(IF('All Player Data Store'!$Y$7:$Y$594=AC21,ROW('All Player Data Store'!$Y$7:$Y$594)-ROW('All Player Data Store'!$Y$7)+1),COUNTIF($AC$8:AC21,AC21))),"")</f>
        <v>23.87</v>
      </c>
      <c r="T21" s="108">
        <f t="array" ref="T21">IF(ISNUMBER(AC21),INDEX('All Player Data Store'!$P$7:$P$594,SMALL(IF('All Player Data Store'!$Y$7:$Y$594=AC21,ROW('All Player Data Store'!$Y$7:$Y$594)-ROW('All Player Data Store'!$Y$7)+1),COUNTIF($AC$8:AC21,AC21))),"")</f>
        <v>29.91</v>
      </c>
      <c r="U21" s="108">
        <f t="array" ref="U21">IF(ISNUMBER(AC21),INDEX('All Player Data Store'!$Q$7:$Q$594,SMALL(IF('All Player Data Store'!$Y$7:$Y$594=AC21,ROW('All Player Data Store'!$Y$7:$Y$594)-ROW('All Player Data Store'!$Y$7)+1),COUNTIF($AC$8:AC21,AC21))),"")</f>
        <v>19.809999999999999</v>
      </c>
      <c r="V21" s="108">
        <f t="array" ref="V21">IF(ISNUMBER(AC21),INDEX('All Player Data Store'!$R$7:$R$594,SMALL(IF('All Player Data Store'!$Y$7:$Y$594=AC21,ROW('All Player Data Store'!$Y$7:$Y$594)-ROW('All Player Data Store'!$Y$7)+1),COUNTIF($AC$8:AC21,AC21))),"")</f>
        <v>26.03</v>
      </c>
      <c r="W21" s="108" t="str">
        <f t="array" ref="W21">IF(ISNUMBER(AC21),INDEX('All Player Data Store'!$S$7:$S$594,SMALL(IF('All Player Data Store'!$Y$7:$Y$594=AC21,ROW('All Player Data Store'!$Y$7:$Y$594)-ROW('All Player Data Store'!$Y$7)+1),COUNTIF($AC$8:AC21,AC21))),"")</f>
        <v/>
      </c>
      <c r="X21" s="108">
        <f t="array" ref="X21">IF(ISNUMBER(AC21),INDEX('All Player Data Store'!$T$7:$T$594,SMALL(IF('All Player Data Store'!$Y$7:$Y$594=AC21,ROW('All Player Data Store'!$Y$7:$Y$594)-ROW('All Player Data Store'!$Y$7)+1),COUNTIF($AC$8:AC21,AC21))),"")</f>
        <v>21.09</v>
      </c>
      <c r="Y21" s="108">
        <f t="array" ref="Y21">IF(ISNUMBER(AC21),INDEX('All Player Data Store'!$U$7:$U$594,SMALL(IF('All Player Data Store'!$Y$7:$Y$594=AC21,ROW('All Player Data Store'!$Y$7:$Y$594)-ROW('All Player Data Store'!$Y$7)+1),COUNTIF($AC$8:AC21,AC21))),"")</f>
        <v>19.66</v>
      </c>
      <c r="Z21" s="108">
        <f t="array" ref="Z21">IF(ISNUMBER(AC21),INDEX('All Player Data Store'!$V$7:$V$594,SMALL(IF('All Player Data Store'!$Y$7:$Y$594=AC21,ROW('All Player Data Store'!$Y$7:$Y$594)-ROW('All Player Data Store'!$Y$7)+1),COUNTIF($AC$8:AC21,AC21))),"")</f>
        <v>25.46</v>
      </c>
      <c r="AA21" s="112">
        <f t="array" ref="AA21">IF(ISNUMBER(AC21),INDEX('All Player Data Store'!$W$7:$W$594,SMALL(IF('All Player Data Store'!$Y$7:$Y$594=AC21,ROW('All Player Data Store'!$Y$7:$Y$594)-ROW('All Player Data Store'!$Y$7)+1),COUNTIF($AC$8:AC21,AC21))),"")</f>
        <v>7</v>
      </c>
      <c r="AB21" s="108">
        <f t="array" ref="AB21">IF(ISNUMBER(AC21),INDEX('All Player Data Store'!$X$7:$X$594,SMALL(IF('All Player Data Store'!$Y$7:$Y$594=AC21,ROW('All Player Data Store'!$Y$7:$Y$594)-ROW('All Player Data Store'!$Y$7)+1),COUNTIF($AC$8:AC21,AC21))),"")</f>
        <v>23.995000000000001</v>
      </c>
      <c r="AC21" s="115">
        <f>IF(ISERROR(IF(ISERROR(LARGE('All Player Data Store'!$Y$7:$Y$594,14)),"",(LARGE('All Player Data Store'!$Y$7:$Y$594,14)))),"",(IF(ISERROR(LARGE('All Player Data Store'!$Y$7:$Y$594,14)),"",(LARGE('All Player Data Store'!$Y$7:$Y$594,14)))))</f>
        <v>33.995000000000005</v>
      </c>
      <c r="AD21" s="106">
        <f t="shared" si="2"/>
        <v>3</v>
      </c>
      <c r="AE21" s="107" t="str">
        <f t="array" ref="AE21">IF(ISNUMBER(AC21),INDEX('All Player Data Store'!$J$8:$J$594,SMALL(IF('All Player Data Store'!$Y$7:$Y$594=AC21,ROW('All Player Data Store'!$Y$7:$Y$594)-ROW('All Player Data Store'!$Y$7)+1),COUNTIF($AC$8:AC21,AC21))),"")</f>
        <v>4*2(1)</v>
      </c>
      <c r="AF21" s="108">
        <f t="shared" si="3"/>
        <v>23.09</v>
      </c>
      <c r="AG21" s="108" t="str">
        <f t="array" ref="AG21">IF(ISNUMBER(AC21),INDEX('All Player Data Store'!$K$8:$K$594,SMALL(IF('All Player Data Store'!$Y$7:$Y$594=AC21,ROW('All Player Data Store'!$Y$7:$Y$594)-ROW('All Player Data Store'!$Y$7)+1),COUNTIF($AC$8:AC21,AC21))),"")</f>
        <v>4*1(2)</v>
      </c>
      <c r="AH21" s="108">
        <f t="shared" si="4"/>
        <v>25.71</v>
      </c>
      <c r="AI21" s="108" t="str">
        <f t="array" ref="AI21">IF(ISNUMBER(AC21),INDEX('All Player Data Store'!$L$8:$L$594,SMALL(IF('All Player Data Store'!$Y$7:$Y$594=AC21,ROW('All Player Data Store'!$Y$7:$Y$594)-ROW('All Player Data Store'!$Y$7)+1),COUNTIF($AC$8:AC21,AC21))),"")</f>
        <v>4*1</v>
      </c>
      <c r="AJ21" s="108">
        <f t="shared" si="5"/>
        <v>28.7</v>
      </c>
      <c r="AK21" s="108" t="str">
        <f t="array" ref="AK21">IF(ISNUMBER(AC21),INDEX('All Player Data Store'!$M$8:$M$594,SMALL(IF('All Player Data Store'!$Y$7:$Y$594=AC21,ROW('All Player Data Store'!$Y$7:$Y$594)-ROW('All Player Data Store'!$Y$7)+1),COUNTIF($AC$8:AC21,AC21))),"")</f>
        <v>4*2(1)</v>
      </c>
      <c r="AL21" s="108">
        <f t="shared" si="6"/>
        <v>24.75</v>
      </c>
      <c r="AM21" s="108" t="str">
        <f t="array" ref="AM21">IF(ISNUMBER(AC21),INDEX('All Player Data Store'!$N$8:$N$594,SMALL(IF('All Player Data Store'!$Y$7:$Y$594=AC21,ROW('All Player Data Store'!$Y$7:$Y$594)-ROW('All Player Data Store'!$Y$7)+1),COUNTIF($AC$8:AC21,AC21))),"")</f>
        <v>4*3</v>
      </c>
      <c r="AN21" s="108">
        <f t="shared" si="7"/>
        <v>24.86</v>
      </c>
      <c r="AO21" s="108" t="str">
        <f t="array" ref="AO21">IF(ISNUMBER(AC21),INDEX('All Player Data Store'!$O$8:$O$594,SMALL(IF('All Player Data Store'!$Y$7:$Y$594=AC21,ROW('All Player Data Store'!$Y$7:$Y$594)-ROW('All Player Data Store'!$Y$7)+1),COUNTIF($AC$8:AC21,AC21))),"")</f>
        <v>4*1</v>
      </c>
      <c r="AP21" s="108">
        <f t="shared" si="8"/>
        <v>24.87</v>
      </c>
      <c r="AQ21" s="108" t="str">
        <f t="array" ref="AQ21">IF(ISNUMBER(AC21),INDEX('All Player Data Store'!$P$8:$P$594,SMALL(IF('All Player Data Store'!$Y$7:$Y$594=AC21,ROW('All Player Data Store'!$Y$7:$Y$594)-ROW('All Player Data Store'!$Y$7)+1),COUNTIF($AC$8:AC21,AC21))),"")</f>
        <v>4*0(1)</v>
      </c>
      <c r="AR21" s="108">
        <f t="shared" si="9"/>
        <v>30.91</v>
      </c>
      <c r="AS21" s="108" t="str">
        <f t="array" ref="AS21">IF(ISNUMBER(AC21),INDEX('All Player Data Store'!$Q$8:$Q$594,SMALL(IF('All Player Data Store'!$Y$7:$Y$594=AC21,ROW('All Player Data Store'!$Y$7:$Y$594)-ROW('All Player Data Store'!$Y$7)+1),COUNTIF($AC$8:AC21,AC21))),"")</f>
        <v>1*4</v>
      </c>
      <c r="AT21" s="108">
        <f t="shared" si="10"/>
        <v>19.809999999999999</v>
      </c>
      <c r="AU21" s="108" t="str">
        <f t="array" ref="AU21">IF(ISNUMBER(AC21),INDEX('All Player Data Store'!$R$8:$R$594,SMALL(IF('All Player Data Store'!$Y$7:$Y$594=AC21,ROW('All Player Data Store'!$Y$7:$Y$594)-ROW('All Player Data Store'!$Y$7)+1),COUNTIF($AC$8:AC21,AC21))),"")</f>
        <v>4*0(1)</v>
      </c>
      <c r="AV21" s="108">
        <f t="shared" si="11"/>
        <v>27.03</v>
      </c>
      <c r="AW21" s="108" t="str">
        <f t="array" ref="AW21">IF(ISNUMBER(AC21),INDEX('All Player Data Store'!$S$8:$S$594,SMALL(IF('All Player Data Store'!$Y$7:$Y$594=AC21,ROW('All Player Data Store'!$Y$7:$Y$594)-ROW('All Player Data Store'!$Y$7)+1),COUNTIF($AC$8:AC21,AC21))),"")</f>
        <v/>
      </c>
      <c r="AX21" s="108" t="str">
        <f t="shared" si="12"/>
        <v/>
      </c>
      <c r="AY21" s="108" t="str">
        <f t="array" ref="AY21">IF(ISNUMBER(AC21),INDEX('All Player Data Store'!$T$8:$T$594,SMALL(IF('All Player Data Store'!$Y$7:$Y$594=AC21,ROW('All Player Data Store'!$Y$7:$Y$594)-ROW('All Player Data Store'!$Y$7)+1),COUNTIF($AC$8:AC21,AC21))),"")</f>
        <v>4*0</v>
      </c>
      <c r="AZ21" s="108">
        <f t="shared" si="13"/>
        <v>22.09</v>
      </c>
      <c r="BA21" s="108" t="str">
        <f t="array" ref="BA21">IF(ISNUMBER(AC21),INDEX('All Player Data Store'!$U$8:$U$594,SMALL(IF('All Player Data Store'!$Y$7:$Y$594=AC21,ROW('All Player Data Store'!$Y$7:$Y$594)-ROW('All Player Data Store'!$Y$7)+1),COUNTIF($AC$8:AC21,AC21))),"")</f>
        <v>1*4</v>
      </c>
      <c r="BB21" s="108">
        <f t="shared" si="14"/>
        <v>19.66</v>
      </c>
      <c r="BC21" s="108" t="str">
        <f t="array" ref="BC21">IF(ISNUMBER(AC21),INDEX('All Player Data Store'!$V$8:$V$594,SMALL(IF('All Player Data Store'!$Y$7:$Y$594=AC21,ROW('All Player Data Store'!$Y$7:$Y$594)-ROW('All Player Data Store'!$Y$7)+1),COUNTIF($AC$8:AC21,AC21))),"")</f>
        <v>4*1(1)</v>
      </c>
      <c r="BD21" s="108">
        <f t="shared" si="15"/>
        <v>26.46</v>
      </c>
      <c r="BE21" s="1"/>
    </row>
    <row r="22" spans="2:57" ht="12" customHeight="1" x14ac:dyDescent="0.2">
      <c r="B22" s="98" t="str">
        <f t="shared" si="0"/>
        <v>Y</v>
      </c>
      <c r="C22" s="1"/>
      <c r="D22" s="68">
        <f t="shared" si="1"/>
        <v>15</v>
      </c>
      <c r="E22" s="2"/>
      <c r="F22" s="78">
        <v>15</v>
      </c>
      <c r="G22" s="110" t="str">
        <f t="array" ref="G22">IF(ISNUMBER(AC22),INDEX('All Player Data Store'!$C$7:$C$594,SMALL(IF('All Player Data Store'!$Y$7:$Y$594=AC22,ROW('All Player Data Store'!$Y$7:$Y$594)-ROW('All Player Data Store'!$Y$7)+1),COUNTIF($AC$8:AC22,AC22))),"")</f>
        <v>Tim Clothier</v>
      </c>
      <c r="H22" s="111" t="str">
        <f t="array" ref="H22">IF(ISNUMBER(AC22),INDEX('All Player Data Store'!$D$7:$D$594,SMALL(IF('All Player Data Store'!$Y$7:$Y$594=AC22,ROW('All Player Data Store'!$Y$7:$Y$594)-ROW('All Player Data Store'!$Y$7)+1),COUNTIF($AC$8:AC22,AC22))),"")</f>
        <v>Ald</v>
      </c>
      <c r="I22" s="69">
        <f t="array" ref="I22">IF(ISNUMBER(AC22),INDEX('All Player Data Store'!$E$7:$E$594,SMALL(IF('All Player Data Store'!$Y$7:$Y$594=AC22,ROW('All Player Data Store'!$Y$7:$Y$594)-ROW('All Player Data Store'!$Y$7)+1),COUNTIF($AC$8:AC22,AC22))),"")</f>
        <v>12</v>
      </c>
      <c r="J22" s="70">
        <f t="array" ref="J22">IF(ISNUMBER(AC22),INDEX('All Player Data Store'!$F$7:$F$594,SMALL(IF('All Player Data Store'!$Y$7:$Y$594=AC22,ROW('All Player Data Store'!$Y$7:$Y$594)-ROW('All Player Data Store'!$Y$7)+1),COUNTIF($AC$8:AC22,AC22))),"")</f>
        <v>10</v>
      </c>
      <c r="K22" s="112">
        <f t="array" ref="K22">IF(ISNUMBER(AC22),INDEX('All Player Data Store'!$G$7:$G$594,SMALL(IF('All Player Data Store'!$Y$7:$Y$594=AC22,ROW('All Player Data Store'!$Y$7:$Y$594)-ROW('All Player Data Store'!$Y$7)+1),COUNTIF($AC$8:AC22,AC22))),"")</f>
        <v>2</v>
      </c>
      <c r="L22" s="112">
        <f t="array" ref="L22">IF(ISNUMBER(AC22),INDEX('All Player Data Store'!$H$7:$H$594,SMALL(IF('All Player Data Store'!$Y$7:$Y$594=AC22,ROW('All Player Data Store'!$Y$7:$Y$594)-ROW('All Player Data Store'!$Y$7)+1),COUNTIF($AC$8:AC22,AC22))),"")</f>
        <v>43</v>
      </c>
      <c r="M22" s="113">
        <f t="array" ref="M22">IF(ISNUMBER(AC22),INDEX('All Player Data Store'!$I$7:$I$594,SMALL(IF('All Player Data Store'!$Y$7:$Y$594=AC22,ROW('All Player Data Store'!$Y$7:$Y$594)-ROW('All Player Data Store'!$Y$7)+1),COUNTIF($AC$8:AC22,AC22))),"")</f>
        <v>23</v>
      </c>
      <c r="N22" s="114">
        <f t="array" ref="N22">IF(ISNUMBER(AC22),INDEX('All Player Data Store'!$J$7:$J$594,SMALL(IF('All Player Data Store'!$Y$7:$Y$594=AC22,ROW('All Player Data Store'!$Y$7:$Y$594)-ROW('All Player Data Store'!$Y$7)+1),COUNTIF($AC$8:AC22,AC22))),"")</f>
        <v>23.3</v>
      </c>
      <c r="O22" s="108">
        <f t="array" ref="O22">IF(ISNUMBER(AC22),INDEX('All Player Data Store'!$K$7:$K$594,SMALL(IF('All Player Data Store'!$Y$7:$Y$594=AC22,ROW('All Player Data Store'!$Y$7:$Y$594)-ROW('All Player Data Store'!$Y$7)+1),COUNTIF($AC$8:AC22,AC22))),"")</f>
        <v>23.68</v>
      </c>
      <c r="P22" s="108">
        <f t="array" ref="P22">IF(ISNUMBER(AC22),INDEX('All Player Data Store'!$L$7:$L$594,SMALL(IF('All Player Data Store'!$Y$7:$Y$594=AC22,ROW('All Player Data Store'!$Y$7:$Y$594)-ROW('All Player Data Store'!$Y$7)+1),COUNTIF($AC$8:AC22,AC22))),"")</f>
        <v>27.1</v>
      </c>
      <c r="Q22" s="108">
        <f t="array" ref="Q22">IF(ISNUMBER(AC22),INDEX('All Player Data Store'!$M$7:$M$594,SMALL(IF('All Player Data Store'!$Y$7:$Y$594=AC22,ROW('All Player Data Store'!$Y$7:$Y$594)-ROW('All Player Data Store'!$Y$7)+1),COUNTIF($AC$8:AC22,AC22))),"")</f>
        <v>21.88</v>
      </c>
      <c r="R22" s="108">
        <f t="array" ref="R22">IF(ISNUMBER(AC22),INDEX('All Player Data Store'!$N$7:$N$594,SMALL(IF('All Player Data Store'!$Y$7:$Y$594=AC22,ROW('All Player Data Store'!$Y$7:$Y$594)-ROW('All Player Data Store'!$Y$7)+1),COUNTIF($AC$8:AC22,AC22))),"")</f>
        <v>23.93</v>
      </c>
      <c r="S22" s="108">
        <f t="array" ref="S22">IF(ISNUMBER(AC22),INDEX('All Player Data Store'!$O$7:$O$594,SMALL(IF('All Player Data Store'!$Y$7:$Y$594=AC22,ROW('All Player Data Store'!$Y$7:$Y$594)-ROW('All Player Data Store'!$Y$7)+1),COUNTIF($AC$8:AC22,AC22))),"")</f>
        <v>20.87</v>
      </c>
      <c r="T22" s="108">
        <f t="array" ref="T22">IF(ISNUMBER(AC22),INDEX('All Player Data Store'!$P$7:$P$594,SMALL(IF('All Player Data Store'!$Y$7:$Y$594=AC22,ROW('All Player Data Store'!$Y$7:$Y$594)-ROW('All Player Data Store'!$Y$7)+1),COUNTIF($AC$8:AC22,AC22))),"")</f>
        <v>23.71</v>
      </c>
      <c r="U22" s="108">
        <f t="array" ref="U22">IF(ISNUMBER(AC22),INDEX('All Player Data Store'!$Q$7:$Q$594,SMALL(IF('All Player Data Store'!$Y$7:$Y$594=AC22,ROW('All Player Data Store'!$Y$7:$Y$594)-ROW('All Player Data Store'!$Y$7)+1),COUNTIF($AC$8:AC22,AC22))),"")</f>
        <v>21.08</v>
      </c>
      <c r="V22" s="108">
        <f t="array" ref="V22">IF(ISNUMBER(AC22),INDEX('All Player Data Store'!$R$7:$R$594,SMALL(IF('All Player Data Store'!$Y$7:$Y$594=AC22,ROW('All Player Data Store'!$Y$7:$Y$594)-ROW('All Player Data Store'!$Y$7)+1),COUNTIF($AC$8:AC22,AC22))),"")</f>
        <v>26.22</v>
      </c>
      <c r="W22" s="108">
        <f t="array" ref="W22">IF(ISNUMBER(AC22),INDEX('All Player Data Store'!$S$7:$S$594,SMALL(IF('All Player Data Store'!$Y$7:$Y$594=AC22,ROW('All Player Data Store'!$Y$7:$Y$594)-ROW('All Player Data Store'!$Y$7)+1),COUNTIF($AC$8:AC22,AC22))),"")</f>
        <v>21.8</v>
      </c>
      <c r="X22" s="108">
        <f t="array" ref="X22">IF(ISNUMBER(AC22),INDEX('All Player Data Store'!$T$7:$T$594,SMALL(IF('All Player Data Store'!$Y$7:$Y$594=AC22,ROW('All Player Data Store'!$Y$7:$Y$594)-ROW('All Player Data Store'!$Y$7)+1),COUNTIF($AC$8:AC22,AC22))),"")</f>
        <v>22.74</v>
      </c>
      <c r="Y22" s="108" t="str">
        <f t="array" ref="Y22">IF(ISNUMBER(AC22),INDEX('All Player Data Store'!$U$7:$U$594,SMALL(IF('All Player Data Store'!$Y$7:$Y$594=AC22,ROW('All Player Data Store'!$Y$7:$Y$594)-ROW('All Player Data Store'!$Y$7)+1),COUNTIF($AC$8:AC22,AC22))),"")</f>
        <v/>
      </c>
      <c r="Z22" s="108">
        <f t="array" ref="Z22">IF(ISNUMBER(AC22),INDEX('All Player Data Store'!$V$7:$V$594,SMALL(IF('All Player Data Store'!$Y$7:$Y$594=AC22,ROW('All Player Data Store'!$Y$7:$Y$594)-ROW('All Player Data Store'!$Y$7)+1),COUNTIF($AC$8:AC22,AC22))),"")</f>
        <v>27.21</v>
      </c>
      <c r="AA22" s="112">
        <f t="array" ref="AA22">IF(ISNUMBER(AC22),INDEX('All Player Data Store'!$W$7:$W$594,SMALL(IF('All Player Data Store'!$Y$7:$Y$594=AC22,ROW('All Player Data Store'!$Y$7:$Y$594)-ROW('All Player Data Store'!$Y$7)+1),COUNTIF($AC$8:AC22,AC22))),"")</f>
        <v>7</v>
      </c>
      <c r="AB22" s="108">
        <f t="array" ref="AB22">IF(ISNUMBER(AC22),INDEX('All Player Data Store'!$X$7:$X$594,SMALL(IF('All Player Data Store'!$Y$7:$Y$594=AC22,ROW('All Player Data Store'!$Y$7:$Y$594)-ROW('All Player Data Store'!$Y$7)+1),COUNTIF($AC$8:AC22,AC22))),"")</f>
        <v>23.626666666666665</v>
      </c>
      <c r="AC22" s="115">
        <f>IF(ISERROR(IF(ISERROR(LARGE('All Player Data Store'!$Y$7:$Y$594,15)),"",(LARGE('All Player Data Store'!$Y$7:$Y$594,15)))),"",(IF(ISERROR(LARGE('All Player Data Store'!$Y$7:$Y$594,15)),"",(LARGE('All Player Data Store'!$Y$7:$Y$594,15)))))</f>
        <v>33.626666666666665</v>
      </c>
      <c r="AD22" s="106">
        <f t="shared" si="2"/>
        <v>3</v>
      </c>
      <c r="AE22" s="107" t="str">
        <f t="array" ref="AE22">IF(ISNUMBER(AC22),INDEX('All Player Data Store'!$J$8:$J$594,SMALL(IF('All Player Data Store'!$Y$7:$Y$594=AC22,ROW('All Player Data Store'!$Y$7:$Y$594)-ROW('All Player Data Store'!$Y$7)+1),COUNTIF($AC$8:AC22,AC22))),"")</f>
        <v>4*0</v>
      </c>
      <c r="AF22" s="108">
        <f t="shared" si="3"/>
        <v>24.3</v>
      </c>
      <c r="AG22" s="108" t="str">
        <f t="array" ref="AG22">IF(ISNUMBER(AC22),INDEX('All Player Data Store'!$K$8:$K$594,SMALL(IF('All Player Data Store'!$Y$7:$Y$594=AC22,ROW('All Player Data Store'!$Y$7:$Y$594)-ROW('All Player Data Store'!$Y$7)+1),COUNTIF($AC$8:AC22,AC22))),"")</f>
        <v>4*1(1)</v>
      </c>
      <c r="AH22" s="108">
        <f t="shared" si="4"/>
        <v>24.68</v>
      </c>
      <c r="AI22" s="108" t="str">
        <f t="array" ref="AI22">IF(ISNUMBER(AC22),INDEX('All Player Data Store'!$L$8:$L$594,SMALL(IF('All Player Data Store'!$Y$7:$Y$594=AC22,ROW('All Player Data Store'!$Y$7:$Y$594)-ROW('All Player Data Store'!$Y$7)+1),COUNTIF($AC$8:AC22,AC22))),"")</f>
        <v>1*4</v>
      </c>
      <c r="AJ22" s="108">
        <f t="shared" si="5"/>
        <v>27.1</v>
      </c>
      <c r="AK22" s="108" t="str">
        <f t="array" ref="AK22">IF(ISNUMBER(AC22),INDEX('All Player Data Store'!$M$8:$M$594,SMALL(IF('All Player Data Store'!$Y$7:$Y$594=AC22,ROW('All Player Data Store'!$Y$7:$Y$594)-ROW('All Player Data Store'!$Y$7)+1),COUNTIF($AC$8:AC22,AC22))),"")</f>
        <v>2*4(1)</v>
      </c>
      <c r="AL22" s="108">
        <f t="shared" si="6"/>
        <v>21.88</v>
      </c>
      <c r="AM22" s="108" t="str">
        <f t="array" ref="AM22">IF(ISNUMBER(AC22),INDEX('All Player Data Store'!$N$8:$N$594,SMALL(IF('All Player Data Store'!$Y$7:$Y$594=AC22,ROW('All Player Data Store'!$Y$7:$Y$594)-ROW('All Player Data Store'!$Y$7)+1),COUNTIF($AC$8:AC22,AC22))),"")</f>
        <v>4*1(2)</v>
      </c>
      <c r="AN22" s="108">
        <f t="shared" si="7"/>
        <v>24.93</v>
      </c>
      <c r="AO22" s="108" t="str">
        <f t="array" ref="AO22">IF(ISNUMBER(AC22),INDEX('All Player Data Store'!$O$8:$O$594,SMALL(IF('All Player Data Store'!$Y$7:$Y$594=AC22,ROW('All Player Data Store'!$Y$7:$Y$594)-ROW('All Player Data Store'!$Y$7)+1),COUNTIF($AC$8:AC22,AC22))),"")</f>
        <v>4*3</v>
      </c>
      <c r="AP22" s="108">
        <f t="shared" si="8"/>
        <v>21.87</v>
      </c>
      <c r="AQ22" s="108" t="str">
        <f t="array" ref="AQ22">IF(ISNUMBER(AC22),INDEX('All Player Data Store'!$P$8:$P$594,SMALL(IF('All Player Data Store'!$Y$7:$Y$594=AC22,ROW('All Player Data Store'!$Y$7:$Y$594)-ROW('All Player Data Store'!$Y$7)+1),COUNTIF($AC$8:AC22,AC22))),"")</f>
        <v>4*1</v>
      </c>
      <c r="AR22" s="108">
        <f t="shared" si="9"/>
        <v>24.71</v>
      </c>
      <c r="AS22" s="108" t="str">
        <f t="array" ref="AS22">IF(ISNUMBER(AC22),INDEX('All Player Data Store'!$Q$8:$Q$594,SMALL(IF('All Player Data Store'!$Y$7:$Y$594=AC22,ROW('All Player Data Store'!$Y$7:$Y$594)-ROW('All Player Data Store'!$Y$7)+1),COUNTIF($AC$8:AC22,AC22))),"")</f>
        <v>4*2</v>
      </c>
      <c r="AT22" s="108">
        <f t="shared" si="10"/>
        <v>22.08</v>
      </c>
      <c r="AU22" s="108" t="str">
        <f t="array" ref="AU22">IF(ISNUMBER(AC22),INDEX('All Player Data Store'!$R$8:$R$594,SMALL(IF('All Player Data Store'!$Y$7:$Y$594=AC22,ROW('All Player Data Store'!$Y$7:$Y$594)-ROW('All Player Data Store'!$Y$7)+1),COUNTIF($AC$8:AC22,AC22))),"")</f>
        <v>4*1(2)</v>
      </c>
      <c r="AV22" s="108">
        <f t="shared" si="11"/>
        <v>27.22</v>
      </c>
      <c r="AW22" s="108" t="str">
        <f t="array" ref="AW22">IF(ISNUMBER(AC22),INDEX('All Player Data Store'!$S$8:$S$594,SMALL(IF('All Player Data Store'!$Y$7:$Y$594=AC22,ROW('All Player Data Store'!$Y$7:$Y$594)-ROW('All Player Data Store'!$Y$7)+1),COUNTIF($AC$8:AC22,AC22))),"")</f>
        <v>4*2</v>
      </c>
      <c r="AX22" s="108">
        <f t="shared" si="12"/>
        <v>22.8</v>
      </c>
      <c r="AY22" s="108" t="str">
        <f t="array" ref="AY22">IF(ISNUMBER(AC22),INDEX('All Player Data Store'!$T$8:$T$594,SMALL(IF('All Player Data Store'!$Y$7:$Y$594=AC22,ROW('All Player Data Store'!$Y$7:$Y$594)-ROW('All Player Data Store'!$Y$7)+1),COUNTIF($AC$8:AC22,AC22))),"")</f>
        <v>4*3(1)</v>
      </c>
      <c r="AZ22" s="108">
        <f t="shared" si="13"/>
        <v>23.74</v>
      </c>
      <c r="BA22" s="108" t="str">
        <f t="array" ref="BA22">IF(ISNUMBER(AC22),INDEX('All Player Data Store'!$U$8:$U$594,SMALL(IF('All Player Data Store'!$Y$7:$Y$594=AC22,ROW('All Player Data Store'!$Y$7:$Y$594)-ROW('All Player Data Store'!$Y$7)+1),COUNTIF($AC$8:AC22,AC22))),"")</f>
        <v/>
      </c>
      <c r="BB22" s="108" t="str">
        <f t="shared" si="14"/>
        <v/>
      </c>
      <c r="BC22" s="108" t="str">
        <f t="array" ref="BC22">IF(ISNUMBER(AC22),INDEX('All Player Data Store'!$V$8:$V$594,SMALL(IF('All Player Data Store'!$Y$7:$Y$594=AC22,ROW('All Player Data Store'!$Y$7:$Y$594)-ROW('All Player Data Store'!$Y$7)+1),COUNTIF($AC$8:AC22,AC22))),"")</f>
        <v>4*1</v>
      </c>
      <c r="BD22" s="108">
        <f t="shared" si="15"/>
        <v>28.21</v>
      </c>
      <c r="BE22" s="1"/>
    </row>
    <row r="23" spans="2:57" ht="12" customHeight="1" x14ac:dyDescent="0.2">
      <c r="B23" s="98" t="str">
        <f t="shared" si="0"/>
        <v>Y</v>
      </c>
      <c r="C23" s="1"/>
      <c r="D23" s="68">
        <f t="shared" si="1"/>
        <v>16</v>
      </c>
      <c r="E23" s="2"/>
      <c r="F23" s="78">
        <v>16</v>
      </c>
      <c r="G23" s="110" t="str">
        <f t="array" ref="G23">IF(ISNUMBER(AC23),INDEX('All Player Data Store'!$C$7:$C$594,SMALL(IF('All Player Data Store'!$Y$7:$Y$594=AC23,ROW('All Player Data Store'!$Y$7:$Y$594)-ROW('All Player Data Store'!$Y$7)+1),COUNTIF($AC$8:AC23,AC23))),"")</f>
        <v>Ryan Mabey</v>
      </c>
      <c r="H23" s="111" t="str">
        <f t="array" ref="H23">IF(ISNUMBER(AC23),INDEX('All Player Data Store'!$D$7:$D$594,SMALL(IF('All Player Data Store'!$Y$7:$Y$594=AC23,ROW('All Player Data Store'!$Y$7:$Y$594)-ROW('All Player Data Store'!$Y$7)+1),COUNTIF($AC$8:AC23,AC23))),"")</f>
        <v>Lyt</v>
      </c>
      <c r="I23" s="69">
        <f t="array" ref="I23">IF(ISNUMBER(AC23),INDEX('All Player Data Store'!$E$7:$E$594,SMALL(IF('All Player Data Store'!$Y$7:$Y$594=AC23,ROW('All Player Data Store'!$Y$7:$Y$594)-ROW('All Player Data Store'!$Y$7)+1),COUNTIF($AC$8:AC23,AC23))),"")</f>
        <v>11</v>
      </c>
      <c r="J23" s="70">
        <f t="array" ref="J23">IF(ISNUMBER(AC23),INDEX('All Player Data Store'!$F$7:$F$594,SMALL(IF('All Player Data Store'!$Y$7:$Y$594=AC23,ROW('All Player Data Store'!$Y$7:$Y$594)-ROW('All Player Data Store'!$Y$7)+1),COUNTIF($AC$8:AC23,AC23))),"")</f>
        <v>10</v>
      </c>
      <c r="K23" s="112">
        <f t="array" ref="K23">IF(ISNUMBER(AC23),INDEX('All Player Data Store'!$G$7:$G$594,SMALL(IF('All Player Data Store'!$Y$7:$Y$594=AC23,ROW('All Player Data Store'!$Y$7:$Y$594)-ROW('All Player Data Store'!$Y$7)+1),COUNTIF($AC$8:AC23,AC23))),"")</f>
        <v>1</v>
      </c>
      <c r="L23" s="112">
        <f t="array" ref="L23">IF(ISNUMBER(AC23),INDEX('All Player Data Store'!$H$7:$H$594,SMALL(IF('All Player Data Store'!$Y$7:$Y$594=AC23,ROW('All Player Data Store'!$Y$7:$Y$594)-ROW('All Player Data Store'!$Y$7)+1),COUNTIF($AC$8:AC23,AC23))),"")</f>
        <v>40</v>
      </c>
      <c r="M23" s="113">
        <f t="array" ref="M23">IF(ISNUMBER(AC23),INDEX('All Player Data Store'!$I$7:$I$594,SMALL(IF('All Player Data Store'!$Y$7:$Y$594=AC23,ROW('All Player Data Store'!$Y$7:$Y$594)-ROW('All Player Data Store'!$Y$7)+1),COUNTIF($AC$8:AC23,AC23))),"")</f>
        <v>21</v>
      </c>
      <c r="N23" s="114">
        <f t="array" ref="N23">IF(ISNUMBER(AC23),INDEX('All Player Data Store'!$J$7:$J$594,SMALL(IF('All Player Data Store'!$Y$7:$Y$594=AC23,ROW('All Player Data Store'!$Y$7:$Y$594)-ROW('All Player Data Store'!$Y$7)+1),COUNTIF($AC$8:AC23,AC23))),"")</f>
        <v>24.77</v>
      </c>
      <c r="O23" s="108" t="str">
        <f t="array" ref="O23">IF(ISNUMBER(AC23),INDEX('All Player Data Store'!$K$7:$K$594,SMALL(IF('All Player Data Store'!$Y$7:$Y$594=AC23,ROW('All Player Data Store'!$Y$7:$Y$594)-ROW('All Player Data Store'!$Y$7)+1),COUNTIF($AC$8:AC23,AC23))),"")</f>
        <v/>
      </c>
      <c r="P23" s="108">
        <f t="array" ref="P23">IF(ISNUMBER(AC23),INDEX('All Player Data Store'!$L$7:$L$594,SMALL(IF('All Player Data Store'!$Y$7:$Y$594=AC23,ROW('All Player Data Store'!$Y$7:$Y$594)-ROW('All Player Data Store'!$Y$7)+1),COUNTIF($AC$8:AC23,AC23))),"")</f>
        <v>23.44</v>
      </c>
      <c r="Q23" s="108">
        <f t="array" ref="Q23">IF(ISNUMBER(AC23),INDEX('All Player Data Store'!$M$7:$M$594,SMALL(IF('All Player Data Store'!$Y$7:$Y$594=AC23,ROW('All Player Data Store'!$Y$7:$Y$594)-ROW('All Player Data Store'!$Y$7)+1),COUNTIF($AC$8:AC23,AC23))),"")</f>
        <v>23.21</v>
      </c>
      <c r="R23" s="108">
        <f t="array" ref="R23">IF(ISNUMBER(AC23),INDEX('All Player Data Store'!$N$7:$N$594,SMALL(IF('All Player Data Store'!$Y$7:$Y$594=AC23,ROW('All Player Data Store'!$Y$7:$Y$594)-ROW('All Player Data Store'!$Y$7)+1),COUNTIF($AC$8:AC23,AC23))),"")</f>
        <v>24.67</v>
      </c>
      <c r="S23" s="108">
        <f t="array" ref="S23">IF(ISNUMBER(AC23),INDEX('All Player Data Store'!$O$7:$O$594,SMALL(IF('All Player Data Store'!$Y$7:$Y$594=AC23,ROW('All Player Data Store'!$Y$7:$Y$594)-ROW('All Player Data Store'!$Y$7)+1),COUNTIF($AC$8:AC23,AC23))),"")</f>
        <v>22.24</v>
      </c>
      <c r="T23" s="108">
        <f t="array" ref="T23">IF(ISNUMBER(AC23),INDEX('All Player Data Store'!$P$7:$P$594,SMALL(IF('All Player Data Store'!$Y$7:$Y$594=AC23,ROW('All Player Data Store'!$Y$7:$Y$594)-ROW('All Player Data Store'!$Y$7)+1),COUNTIF($AC$8:AC23,AC23))),"")</f>
        <v>22.34</v>
      </c>
      <c r="U23" s="108">
        <f t="array" ref="U23">IF(ISNUMBER(AC23),INDEX('All Player Data Store'!$Q$7:$Q$594,SMALL(IF('All Player Data Store'!$Y$7:$Y$594=AC23,ROW('All Player Data Store'!$Y$7:$Y$594)-ROW('All Player Data Store'!$Y$7)+1),COUNTIF($AC$8:AC23,AC23))),"")</f>
        <v>23.08</v>
      </c>
      <c r="V23" s="108">
        <f t="array" ref="V23">IF(ISNUMBER(AC23),INDEX('All Player Data Store'!$R$7:$R$594,SMALL(IF('All Player Data Store'!$Y$7:$Y$594=AC23,ROW('All Player Data Store'!$Y$7:$Y$594)-ROW('All Player Data Store'!$Y$7)+1),COUNTIF($AC$8:AC23,AC23))),"")</f>
        <v>25.49</v>
      </c>
      <c r="W23" s="108">
        <f t="array" ref="W23">IF(ISNUMBER(AC23),INDEX('All Player Data Store'!$S$7:$S$594,SMALL(IF('All Player Data Store'!$Y$7:$Y$594=AC23,ROW('All Player Data Store'!$Y$7:$Y$594)-ROW('All Player Data Store'!$Y$7)+1),COUNTIF($AC$8:AC23,AC23))),"")</f>
        <v>20.72</v>
      </c>
      <c r="X23" s="108">
        <f t="array" ref="X23">IF(ISNUMBER(AC23),INDEX('All Player Data Store'!$T$7:$T$594,SMALL(IF('All Player Data Store'!$Y$7:$Y$594=AC23,ROW('All Player Data Store'!$Y$7:$Y$594)-ROW('All Player Data Store'!$Y$7)+1),COUNTIF($AC$8:AC23,AC23))),"")</f>
        <v>24.44</v>
      </c>
      <c r="Y23" s="108">
        <f t="array" ref="Y23">IF(ISNUMBER(AC23),INDEX('All Player Data Store'!$U$7:$U$594,SMALL(IF('All Player Data Store'!$Y$7:$Y$594=AC23,ROW('All Player Data Store'!$Y$7:$Y$594)-ROW('All Player Data Store'!$Y$7)+1),COUNTIF($AC$8:AC23,AC23))),"")</f>
        <v>24.94</v>
      </c>
      <c r="Z23" s="108" t="str">
        <f t="array" ref="Z23">IF(ISNUMBER(AC23),INDEX('All Player Data Store'!$V$7:$V$594,SMALL(IF('All Player Data Store'!$Y$7:$Y$594=AC23,ROW('All Player Data Store'!$Y$7:$Y$594)-ROW('All Player Data Store'!$Y$7)+1),COUNTIF($AC$8:AC23,AC23))),"")</f>
        <v/>
      </c>
      <c r="AA23" s="112">
        <f t="array" ref="AA23">IF(ISNUMBER(AC23),INDEX('All Player Data Store'!$W$7:$W$594,SMALL(IF('All Player Data Store'!$Y$7:$Y$594=AC23,ROW('All Player Data Store'!$Y$7:$Y$594)-ROW('All Player Data Store'!$Y$7)+1),COUNTIF($AC$8:AC23,AC23))),"")</f>
        <v>3</v>
      </c>
      <c r="AB23" s="108">
        <f t="array" ref="AB23">IF(ISNUMBER(AC23),INDEX('All Player Data Store'!$X$7:$X$594,SMALL(IF('All Player Data Store'!$Y$7:$Y$594=AC23,ROW('All Player Data Store'!$Y$7:$Y$594)-ROW('All Player Data Store'!$Y$7)+1),COUNTIF($AC$8:AC23,AC23))),"")</f>
        <v>23.576363636363638</v>
      </c>
      <c r="AC23" s="115">
        <f>IF(ISERROR(IF(ISERROR(LARGE('All Player Data Store'!$Y$7:$Y$594,16)),"",(LARGE('All Player Data Store'!$Y$7:$Y$594,16)))),"",(IF(ISERROR(LARGE('All Player Data Store'!$Y$7:$Y$594,16)),"",(LARGE('All Player Data Store'!$Y$7:$Y$594,16)))))</f>
        <v>33.576363636363638</v>
      </c>
      <c r="AD23" s="106">
        <f t="shared" si="2"/>
        <v>3</v>
      </c>
      <c r="AE23" s="107" t="str">
        <f t="array" ref="AE23">IF(ISNUMBER(AC23),INDEX('All Player Data Store'!$J$8:$J$594,SMALL(IF('All Player Data Store'!$Y$7:$Y$594=AC23,ROW('All Player Data Store'!$Y$7:$Y$594)-ROW('All Player Data Store'!$Y$7)+1),COUNTIF($AC$8:AC23,AC23))),"")</f>
        <v>4*3(1)</v>
      </c>
      <c r="AF23" s="108">
        <f t="shared" si="3"/>
        <v>25.77</v>
      </c>
      <c r="AG23" s="108" t="str">
        <f t="array" ref="AG23">IF(ISNUMBER(AC23),INDEX('All Player Data Store'!$K$8:$K$594,SMALL(IF('All Player Data Store'!$Y$7:$Y$594=AC23,ROW('All Player Data Store'!$Y$7:$Y$594)-ROW('All Player Data Store'!$Y$7)+1),COUNTIF($AC$8:AC23,AC23))),"")</f>
        <v/>
      </c>
      <c r="AH23" s="108" t="str">
        <f t="shared" si="4"/>
        <v/>
      </c>
      <c r="AI23" s="108" t="str">
        <f t="array" ref="AI23">IF(ISNUMBER(AC23),INDEX('All Player Data Store'!$L$8:$L$594,SMALL(IF('All Player Data Store'!$Y$7:$Y$594=AC23,ROW('All Player Data Store'!$Y$7:$Y$594)-ROW('All Player Data Store'!$Y$7)+1),COUNTIF($AC$8:AC23,AC23))),"")</f>
        <v>4*1</v>
      </c>
      <c r="AJ23" s="108">
        <f t="shared" si="5"/>
        <v>24.44</v>
      </c>
      <c r="AK23" s="108" t="str">
        <f t="array" ref="AK23">IF(ISNUMBER(AC23),INDEX('All Player Data Store'!$M$8:$M$594,SMALL(IF('All Player Data Store'!$Y$7:$Y$594=AC23,ROW('All Player Data Store'!$Y$7:$Y$594)-ROW('All Player Data Store'!$Y$7)+1),COUNTIF($AC$8:AC23,AC23))),"")</f>
        <v>4*1</v>
      </c>
      <c r="AL23" s="108">
        <f t="shared" si="6"/>
        <v>24.21</v>
      </c>
      <c r="AM23" s="108" t="str">
        <f t="array" ref="AM23">IF(ISNUMBER(AC23),INDEX('All Player Data Store'!$N$8:$N$594,SMALL(IF('All Player Data Store'!$Y$7:$Y$594=AC23,ROW('All Player Data Store'!$Y$7:$Y$594)-ROW('All Player Data Store'!$Y$7)+1),COUNTIF($AC$8:AC23,AC23))),"")</f>
        <v>4*3</v>
      </c>
      <c r="AN23" s="108">
        <f t="shared" si="7"/>
        <v>25.67</v>
      </c>
      <c r="AO23" s="108" t="str">
        <f t="array" ref="AO23">IF(ISNUMBER(AC23),INDEX('All Player Data Store'!$O$8:$O$594,SMALL(IF('All Player Data Store'!$Y$7:$Y$594=AC23,ROW('All Player Data Store'!$Y$7:$Y$594)-ROW('All Player Data Store'!$Y$7)+1),COUNTIF($AC$8:AC23,AC23))),"")</f>
        <v>0*4</v>
      </c>
      <c r="AP23" s="108">
        <f t="shared" si="8"/>
        <v>22.24</v>
      </c>
      <c r="AQ23" s="108" t="str">
        <f t="array" ref="AQ23">IF(ISNUMBER(AC23),INDEX('All Player Data Store'!$P$8:$P$594,SMALL(IF('All Player Data Store'!$Y$7:$Y$594=AC23,ROW('All Player Data Store'!$Y$7:$Y$594)-ROW('All Player Data Store'!$Y$7)+1),COUNTIF($AC$8:AC23,AC23))),"")</f>
        <v>4*1</v>
      </c>
      <c r="AR23" s="108">
        <f t="shared" si="9"/>
        <v>23.34</v>
      </c>
      <c r="AS23" s="108" t="str">
        <f t="array" ref="AS23">IF(ISNUMBER(AC23),INDEX('All Player Data Store'!$Q$8:$Q$594,SMALL(IF('All Player Data Store'!$Y$7:$Y$594=AC23,ROW('All Player Data Store'!$Y$7:$Y$594)-ROW('All Player Data Store'!$Y$7)+1),COUNTIF($AC$8:AC23,AC23))),"")</f>
        <v>4*3(2)</v>
      </c>
      <c r="AT23" s="108">
        <f t="shared" si="10"/>
        <v>24.08</v>
      </c>
      <c r="AU23" s="108" t="str">
        <f t="array" ref="AU23">IF(ISNUMBER(AC23),INDEX('All Player Data Store'!$R$8:$R$594,SMALL(IF('All Player Data Store'!$Y$7:$Y$594=AC23,ROW('All Player Data Store'!$Y$7:$Y$594)-ROW('All Player Data Store'!$Y$7)+1),COUNTIF($AC$8:AC23,AC23))),"")</f>
        <v>4*1</v>
      </c>
      <c r="AV23" s="108">
        <f t="shared" si="11"/>
        <v>26.49</v>
      </c>
      <c r="AW23" s="108" t="str">
        <f t="array" ref="AW23">IF(ISNUMBER(AC23),INDEX('All Player Data Store'!$S$8:$S$594,SMALL(IF('All Player Data Store'!$Y$7:$Y$594=AC23,ROW('All Player Data Store'!$Y$7:$Y$594)-ROW('All Player Data Store'!$Y$7)+1),COUNTIF($AC$8:AC23,AC23))),"")</f>
        <v>4*2</v>
      </c>
      <c r="AX23" s="108">
        <f t="shared" si="12"/>
        <v>21.72</v>
      </c>
      <c r="AY23" s="108" t="str">
        <f t="array" ref="AY23">IF(ISNUMBER(AC23),INDEX('All Player Data Store'!$T$8:$T$594,SMALL(IF('All Player Data Store'!$Y$7:$Y$594=AC23,ROW('All Player Data Store'!$Y$7:$Y$594)-ROW('All Player Data Store'!$Y$7)+1),COUNTIF($AC$8:AC23,AC23))),"")</f>
        <v>4*0</v>
      </c>
      <c r="AZ23" s="108">
        <f t="shared" si="13"/>
        <v>25.44</v>
      </c>
      <c r="BA23" s="108" t="str">
        <f t="array" ref="BA23">IF(ISNUMBER(AC23),INDEX('All Player Data Store'!$U$8:$U$594,SMALL(IF('All Player Data Store'!$Y$7:$Y$594=AC23,ROW('All Player Data Store'!$Y$7:$Y$594)-ROW('All Player Data Store'!$Y$7)+1),COUNTIF($AC$8:AC23,AC23))),"")</f>
        <v>4*2</v>
      </c>
      <c r="BB23" s="108">
        <f t="shared" si="14"/>
        <v>25.94</v>
      </c>
      <c r="BC23" s="108" t="str">
        <f t="array" ref="BC23">IF(ISNUMBER(AC23),INDEX('All Player Data Store'!$V$8:$V$594,SMALL(IF('All Player Data Store'!$Y$7:$Y$594=AC23,ROW('All Player Data Store'!$Y$7:$Y$594)-ROW('All Player Data Store'!$Y$7)+1),COUNTIF($AC$8:AC23,AC23))),"")</f>
        <v/>
      </c>
      <c r="BD23" s="108" t="str">
        <f t="shared" si="15"/>
        <v/>
      </c>
      <c r="BE23" s="1"/>
    </row>
    <row r="24" spans="2:57" ht="12" customHeight="1" x14ac:dyDescent="0.2">
      <c r="B24" s="98" t="str">
        <f t="shared" si="0"/>
        <v>Y</v>
      </c>
      <c r="C24" s="1"/>
      <c r="D24" s="68">
        <f t="shared" si="1"/>
        <v>17</v>
      </c>
      <c r="E24" s="2"/>
      <c r="F24" s="78">
        <v>17</v>
      </c>
      <c r="G24" s="110" t="str">
        <f t="array" ref="G24">IF(ISNUMBER(AC24),INDEX('All Player Data Store'!$C$7:$C$594,SMALL(IF('All Player Data Store'!$Y$7:$Y$594=AC24,ROW('All Player Data Store'!$Y$7:$Y$594)-ROW('All Player Data Store'!$Y$7)+1),COUNTIF($AC$8:AC24,AC24))),"")</f>
        <v>Steve O'marah</v>
      </c>
      <c r="H24" s="111" t="str">
        <f t="array" ref="H24">IF(ISNUMBER(AC24),INDEX('All Player Data Store'!$D$7:$D$594,SMALL(IF('All Player Data Store'!$Y$7:$Y$594=AC24,ROW('All Player Data Store'!$Y$7:$Y$594)-ROW('All Player Data Store'!$Y$7)+1),COUNTIF($AC$8:AC24,AC24))),"")</f>
        <v>Ald</v>
      </c>
      <c r="I24" s="69">
        <f t="array" ref="I24">IF(ISNUMBER(AC24),INDEX('All Player Data Store'!$E$7:$E$594,SMALL(IF('All Player Data Store'!$Y$7:$Y$594=AC24,ROW('All Player Data Store'!$Y$7:$Y$594)-ROW('All Player Data Store'!$Y$7)+1),COUNTIF($AC$8:AC24,AC24))),"")</f>
        <v>12</v>
      </c>
      <c r="J24" s="70">
        <f t="array" ref="J24">IF(ISNUMBER(AC24),INDEX('All Player Data Store'!$F$7:$F$594,SMALL(IF('All Player Data Store'!$Y$7:$Y$594=AC24,ROW('All Player Data Store'!$Y$7:$Y$594)-ROW('All Player Data Store'!$Y$7)+1),COUNTIF($AC$8:AC24,AC24))),"")</f>
        <v>10</v>
      </c>
      <c r="K24" s="112">
        <f t="array" ref="K24">IF(ISNUMBER(AC24),INDEX('All Player Data Store'!$G$7:$G$594,SMALL(IF('All Player Data Store'!$Y$7:$Y$594=AC24,ROW('All Player Data Store'!$Y$7:$Y$594)-ROW('All Player Data Store'!$Y$7)+1),COUNTIF($AC$8:AC24,AC24))),"")</f>
        <v>2</v>
      </c>
      <c r="L24" s="112">
        <f t="array" ref="L24">IF(ISNUMBER(AC24),INDEX('All Player Data Store'!$H$7:$H$594,SMALL(IF('All Player Data Store'!$Y$7:$Y$594=AC24,ROW('All Player Data Store'!$Y$7:$Y$594)-ROW('All Player Data Store'!$Y$7)+1),COUNTIF($AC$8:AC24,AC24))),"")</f>
        <v>42</v>
      </c>
      <c r="M24" s="113">
        <f t="array" ref="M24">IF(ISNUMBER(AC24),INDEX('All Player Data Store'!$I$7:$I$594,SMALL(IF('All Player Data Store'!$Y$7:$Y$594=AC24,ROW('All Player Data Store'!$Y$7:$Y$594)-ROW('All Player Data Store'!$Y$7)+1),COUNTIF($AC$8:AC24,AC24))),"")</f>
        <v>14</v>
      </c>
      <c r="N24" s="114">
        <f t="array" ref="N24">IF(ISNUMBER(AC24),INDEX('All Player Data Store'!$J$7:$J$594,SMALL(IF('All Player Data Store'!$Y$7:$Y$594=AC24,ROW('All Player Data Store'!$Y$7:$Y$594)-ROW('All Player Data Store'!$Y$7)+1),COUNTIF($AC$8:AC24,AC24))),"")</f>
        <v>22.77</v>
      </c>
      <c r="O24" s="108">
        <f t="array" ref="O24">IF(ISNUMBER(AC24),INDEX('All Player Data Store'!$K$7:$K$594,SMALL(IF('All Player Data Store'!$Y$7:$Y$594=AC24,ROW('All Player Data Store'!$Y$7:$Y$594)-ROW('All Player Data Store'!$Y$7)+1),COUNTIF($AC$8:AC24,AC24))),"")</f>
        <v>19.079999999999998</v>
      </c>
      <c r="P24" s="108">
        <f t="array" ref="P24">IF(ISNUMBER(AC24),INDEX('All Player Data Store'!$L$7:$L$594,SMALL(IF('All Player Data Store'!$Y$7:$Y$594=AC24,ROW('All Player Data Store'!$Y$7:$Y$594)-ROW('All Player Data Store'!$Y$7)+1),COUNTIF($AC$8:AC24,AC24))),"")</f>
        <v>22.72</v>
      </c>
      <c r="Q24" s="108" t="str">
        <f t="array" ref="Q24">IF(ISNUMBER(AC24),INDEX('All Player Data Store'!$M$7:$M$594,SMALL(IF('All Player Data Store'!$Y$7:$Y$594=AC24,ROW('All Player Data Store'!$Y$7:$Y$594)-ROW('All Player Data Store'!$Y$7)+1),COUNTIF($AC$8:AC24,AC24))),"")</f>
        <v/>
      </c>
      <c r="R24" s="108">
        <f t="array" ref="R24">IF(ISNUMBER(AC24),INDEX('All Player Data Store'!$N$7:$N$594,SMALL(IF('All Player Data Store'!$Y$7:$Y$594=AC24,ROW('All Player Data Store'!$Y$7:$Y$594)-ROW('All Player Data Store'!$Y$7)+1),COUNTIF($AC$8:AC24,AC24))),"")</f>
        <v>25.78</v>
      </c>
      <c r="S24" s="108">
        <f t="array" ref="S24">IF(ISNUMBER(AC24),INDEX('All Player Data Store'!$O$7:$O$594,SMALL(IF('All Player Data Store'!$Y$7:$Y$594=AC24,ROW('All Player Data Store'!$Y$7:$Y$594)-ROW('All Player Data Store'!$Y$7)+1),COUNTIF($AC$8:AC24,AC24))),"")</f>
        <v>20.55</v>
      </c>
      <c r="T24" s="108">
        <f t="array" ref="T24">IF(ISNUMBER(AC24),INDEX('All Player Data Store'!$P$7:$P$594,SMALL(IF('All Player Data Store'!$Y$7:$Y$594=AC24,ROW('All Player Data Store'!$Y$7:$Y$594)-ROW('All Player Data Store'!$Y$7)+1),COUNTIF($AC$8:AC24,AC24))),"")</f>
        <v>21.78</v>
      </c>
      <c r="U24" s="108">
        <f t="array" ref="U24">IF(ISNUMBER(AC24),INDEX('All Player Data Store'!$Q$7:$Q$594,SMALL(IF('All Player Data Store'!$Y$7:$Y$594=AC24,ROW('All Player Data Store'!$Y$7:$Y$594)-ROW('All Player Data Store'!$Y$7)+1),COUNTIF($AC$8:AC24,AC24))),"")</f>
        <v>27.67</v>
      </c>
      <c r="V24" s="108">
        <f t="array" ref="V24">IF(ISNUMBER(AC24),INDEX('All Player Data Store'!$R$7:$R$594,SMALL(IF('All Player Data Store'!$Y$7:$Y$594=AC24,ROW('All Player Data Store'!$Y$7:$Y$594)-ROW('All Player Data Store'!$Y$7)+1),COUNTIF($AC$8:AC24,AC24))),"")</f>
        <v>26.72</v>
      </c>
      <c r="W24" s="108">
        <f t="array" ref="W24">IF(ISNUMBER(AC24),INDEX('All Player Data Store'!$S$7:$S$594,SMALL(IF('All Player Data Store'!$Y$7:$Y$594=AC24,ROW('All Player Data Store'!$Y$7:$Y$594)-ROW('All Player Data Store'!$Y$7)+1),COUNTIF($AC$8:AC24,AC24))),"")</f>
        <v>21.2</v>
      </c>
      <c r="X24" s="108">
        <f t="array" ref="X24">IF(ISNUMBER(AC24),INDEX('All Player Data Store'!$T$7:$T$594,SMALL(IF('All Player Data Store'!$Y$7:$Y$594=AC24,ROW('All Player Data Store'!$Y$7:$Y$594)-ROW('All Player Data Store'!$Y$7)+1),COUNTIF($AC$8:AC24,AC24))),"")</f>
        <v>24.66</v>
      </c>
      <c r="Y24" s="108">
        <f t="array" ref="Y24">IF(ISNUMBER(AC24),INDEX('All Player Data Store'!$U$7:$U$594,SMALL(IF('All Player Data Store'!$Y$7:$Y$594=AC24,ROW('All Player Data Store'!$Y$7:$Y$594)-ROW('All Player Data Store'!$Y$7)+1),COUNTIF($AC$8:AC24,AC24))),"")</f>
        <v>23.58</v>
      </c>
      <c r="Z24" s="108">
        <f t="array" ref="Z24">IF(ISNUMBER(AC24),INDEX('All Player Data Store'!$V$7:$V$594,SMALL(IF('All Player Data Store'!$Y$7:$Y$594=AC24,ROW('All Player Data Store'!$Y$7:$Y$594)-ROW('All Player Data Store'!$Y$7)+1),COUNTIF($AC$8:AC24,AC24))),"")</f>
        <v>25.53</v>
      </c>
      <c r="AA24" s="112">
        <f t="array" ref="AA24">IF(ISNUMBER(AC24),INDEX('All Player Data Store'!$W$7:$W$594,SMALL(IF('All Player Data Store'!$Y$7:$Y$594=AC24,ROW('All Player Data Store'!$Y$7:$Y$594)-ROW('All Player Data Store'!$Y$7)+1),COUNTIF($AC$8:AC24,AC24))),"")</f>
        <v>6</v>
      </c>
      <c r="AB24" s="108">
        <f t="array" ref="AB24">IF(ISNUMBER(AC24),INDEX('All Player Data Store'!$X$7:$X$594,SMALL(IF('All Player Data Store'!$Y$7:$Y$594=AC24,ROW('All Player Data Store'!$Y$7:$Y$594)-ROW('All Player Data Store'!$Y$7)+1),COUNTIF($AC$8:AC24,AC24))),"")</f>
        <v>23.50333333333333</v>
      </c>
      <c r="AC24" s="115">
        <f>IF(ISERROR(IF(ISERROR(LARGE('All Player Data Store'!$Y$7:$Y$594,17)),"",(LARGE('All Player Data Store'!$Y$7:$Y$594,17)))),"",(IF(ISERROR(LARGE('All Player Data Store'!$Y$7:$Y$594,17)),"",(LARGE('All Player Data Store'!$Y$7:$Y$594,17)))))</f>
        <v>33.50333333333333</v>
      </c>
      <c r="AD24" s="106">
        <f t="shared" si="2"/>
        <v>3</v>
      </c>
      <c r="AE24" s="107" t="str">
        <f t="array" ref="AE24">IF(ISNUMBER(AC24),INDEX('All Player Data Store'!$J$8:$J$594,SMALL(IF('All Player Data Store'!$Y$7:$Y$594=AC24,ROW('All Player Data Store'!$Y$7:$Y$594)-ROW('All Player Data Store'!$Y$7)+1),COUNTIF($AC$8:AC24,AC24))),"")</f>
        <v>4*0</v>
      </c>
      <c r="AF24" s="108">
        <f t="shared" si="3"/>
        <v>23.77</v>
      </c>
      <c r="AG24" s="108" t="str">
        <f t="array" ref="AG24">IF(ISNUMBER(AC24),INDEX('All Player Data Store'!$K$8:$K$594,SMALL(IF('All Player Data Store'!$Y$7:$Y$594=AC24,ROW('All Player Data Store'!$Y$7:$Y$594)-ROW('All Player Data Store'!$Y$7)+1),COUNTIF($AC$8:AC24,AC24))),"")</f>
        <v>4*1</v>
      </c>
      <c r="AH24" s="108">
        <f t="shared" si="4"/>
        <v>20.079999999999998</v>
      </c>
      <c r="AI24" s="108" t="str">
        <f t="array" ref="AI24">IF(ISNUMBER(AC24),INDEX('All Player Data Store'!$L$8:$L$594,SMALL(IF('All Player Data Store'!$Y$7:$Y$594=AC24,ROW('All Player Data Store'!$Y$7:$Y$594)-ROW('All Player Data Store'!$Y$7)+1),COUNTIF($AC$8:AC24,AC24))),"")</f>
        <v>4*1</v>
      </c>
      <c r="AJ24" s="108">
        <f t="shared" si="5"/>
        <v>23.72</v>
      </c>
      <c r="AK24" s="108" t="str">
        <f t="array" ref="AK24">IF(ISNUMBER(AC24),INDEX('All Player Data Store'!$M$8:$M$594,SMALL(IF('All Player Data Store'!$Y$7:$Y$594=AC24,ROW('All Player Data Store'!$Y$7:$Y$594)-ROW('All Player Data Store'!$Y$7)+1),COUNTIF($AC$8:AC24,AC24))),"")</f>
        <v/>
      </c>
      <c r="AL24" s="108" t="str">
        <f t="shared" si="6"/>
        <v/>
      </c>
      <c r="AM24" s="108" t="str">
        <f t="array" ref="AM24">IF(ISNUMBER(AC24),INDEX('All Player Data Store'!$N$8:$N$594,SMALL(IF('All Player Data Store'!$Y$7:$Y$594=AC24,ROW('All Player Data Store'!$Y$7:$Y$594)-ROW('All Player Data Store'!$Y$7)+1),COUNTIF($AC$8:AC24,AC24))),"")</f>
        <v>4*1</v>
      </c>
      <c r="AN24" s="108">
        <f t="shared" si="7"/>
        <v>26.78</v>
      </c>
      <c r="AO24" s="108" t="str">
        <f t="array" ref="AO24">IF(ISNUMBER(AC24),INDEX('All Player Data Store'!$O$8:$O$594,SMALL(IF('All Player Data Store'!$Y$7:$Y$594=AC24,ROW('All Player Data Store'!$Y$7:$Y$594)-ROW('All Player Data Store'!$Y$7)+1),COUNTIF($AC$8:AC24,AC24))),"")</f>
        <v>4*1(1)</v>
      </c>
      <c r="AP24" s="108">
        <f t="shared" si="8"/>
        <v>21.55</v>
      </c>
      <c r="AQ24" s="108" t="str">
        <f t="array" ref="AQ24">IF(ISNUMBER(AC24),INDEX('All Player Data Store'!$P$8:$P$594,SMALL(IF('All Player Data Store'!$Y$7:$Y$594=AC24,ROW('All Player Data Store'!$Y$7:$Y$594)-ROW('All Player Data Store'!$Y$7)+1),COUNTIF($AC$8:AC24,AC24))),"")</f>
        <v>4*0</v>
      </c>
      <c r="AR24" s="108">
        <f t="shared" si="9"/>
        <v>22.78</v>
      </c>
      <c r="AS24" s="108" t="str">
        <f t="array" ref="AS24">IF(ISNUMBER(AC24),INDEX('All Player Data Store'!$Q$8:$Q$594,SMALL(IF('All Player Data Store'!$Y$7:$Y$594=AC24,ROW('All Player Data Store'!$Y$7:$Y$594)-ROW('All Player Data Store'!$Y$7)+1),COUNTIF($AC$8:AC24,AC24))),"")</f>
        <v>4*2(4)</v>
      </c>
      <c r="AT24" s="108">
        <f t="shared" si="10"/>
        <v>28.67</v>
      </c>
      <c r="AU24" s="108" t="str">
        <f t="array" ref="AU24">IF(ISNUMBER(AC24),INDEX('All Player Data Store'!$R$8:$R$594,SMALL(IF('All Player Data Store'!$Y$7:$Y$594=AC24,ROW('All Player Data Store'!$Y$7:$Y$594)-ROW('All Player Data Store'!$Y$7)+1),COUNTIF($AC$8:AC24,AC24))),"")</f>
        <v>4*0</v>
      </c>
      <c r="AV24" s="108">
        <f t="shared" si="11"/>
        <v>27.72</v>
      </c>
      <c r="AW24" s="108" t="str">
        <f t="array" ref="AW24">IF(ISNUMBER(AC24),INDEX('All Player Data Store'!$S$8:$S$594,SMALL(IF('All Player Data Store'!$Y$7:$Y$594=AC24,ROW('All Player Data Store'!$Y$7:$Y$594)-ROW('All Player Data Store'!$Y$7)+1),COUNTIF($AC$8:AC24,AC24))),"")</f>
        <v>4*0</v>
      </c>
      <c r="AX24" s="108">
        <f t="shared" si="12"/>
        <v>22.2</v>
      </c>
      <c r="AY24" s="108" t="str">
        <f t="array" ref="AY24">IF(ISNUMBER(AC24),INDEX('All Player Data Store'!$T$8:$T$594,SMALL(IF('All Player Data Store'!$Y$7:$Y$594=AC24,ROW('All Player Data Store'!$Y$7:$Y$594)-ROW('All Player Data Store'!$Y$7)+1),COUNTIF($AC$8:AC24,AC24))),"")</f>
        <v>0*4</v>
      </c>
      <c r="AZ24" s="108">
        <f t="shared" si="13"/>
        <v>24.66</v>
      </c>
      <c r="BA24" s="108" t="str">
        <f t="array" ref="BA24">IF(ISNUMBER(AC24),INDEX('All Player Data Store'!$U$8:$U$594,SMALL(IF('All Player Data Store'!$Y$7:$Y$594=AC24,ROW('All Player Data Store'!$Y$7:$Y$594)-ROW('All Player Data Store'!$Y$7)+1),COUNTIF($AC$8:AC24,AC24))),"")</f>
        <v>4*0</v>
      </c>
      <c r="BB24" s="108">
        <f t="shared" si="14"/>
        <v>24.58</v>
      </c>
      <c r="BC24" s="108" t="str">
        <f t="array" ref="BC24">IF(ISNUMBER(AC24),INDEX('All Player Data Store'!$V$8:$V$594,SMALL(IF('All Player Data Store'!$Y$7:$Y$594=AC24,ROW('All Player Data Store'!$Y$7:$Y$594)-ROW('All Player Data Store'!$Y$7)+1),COUNTIF($AC$8:AC24,AC24))),"")</f>
        <v>2*4(1)</v>
      </c>
      <c r="BD24" s="108">
        <f t="shared" si="15"/>
        <v>25.53</v>
      </c>
      <c r="BE24" s="1"/>
    </row>
    <row r="25" spans="2:57" ht="12" customHeight="1" x14ac:dyDescent="0.2">
      <c r="B25" s="98" t="str">
        <f t="shared" si="0"/>
        <v>Y</v>
      </c>
      <c r="C25" s="1"/>
      <c r="D25" s="68">
        <f t="shared" si="1"/>
        <v>18</v>
      </c>
      <c r="E25" s="2"/>
      <c r="F25" s="78">
        <v>18</v>
      </c>
      <c r="G25" s="110" t="str">
        <f t="array" ref="G25">IF(ISNUMBER(AC25),INDEX('All Player Data Store'!$C$7:$C$594,SMALL(IF('All Player Data Store'!$Y$7:$Y$594=AC25,ROW('All Player Data Store'!$Y$7:$Y$594)-ROW('All Player Data Store'!$Y$7)+1),COUNTIF($AC$8:AC25,AC25))),"")</f>
        <v>Ian Spann</v>
      </c>
      <c r="H25" s="111" t="str">
        <f t="array" ref="H25">IF(ISNUMBER(AC25),INDEX('All Player Data Store'!$D$7:$D$594,SMALL(IF('All Player Data Store'!$Y$7:$Y$594=AC25,ROW('All Player Data Store'!$Y$7:$Y$594)-ROW('All Player Data Store'!$Y$7)+1),COUNTIF($AC$8:AC25,AC25))),"")</f>
        <v>Wey</v>
      </c>
      <c r="I25" s="69">
        <f t="array" ref="I25">IF(ISNUMBER(AC25),INDEX('All Player Data Store'!$E$7:$E$594,SMALL(IF('All Player Data Store'!$Y$7:$Y$594=AC25,ROW('All Player Data Store'!$Y$7:$Y$594)-ROW('All Player Data Store'!$Y$7)+1),COUNTIF($AC$8:AC25,AC25))),"")</f>
        <v>11</v>
      </c>
      <c r="J25" s="70">
        <f t="array" ref="J25">IF(ISNUMBER(AC25),INDEX('All Player Data Store'!$F$7:$F$594,SMALL(IF('All Player Data Store'!$Y$7:$Y$594=AC25,ROW('All Player Data Store'!$Y$7:$Y$594)-ROW('All Player Data Store'!$Y$7)+1),COUNTIF($AC$8:AC25,AC25))),"")</f>
        <v>9</v>
      </c>
      <c r="K25" s="112">
        <f t="array" ref="K25">IF(ISNUMBER(AC25),INDEX('All Player Data Store'!$G$7:$G$594,SMALL(IF('All Player Data Store'!$Y$7:$Y$594=AC25,ROW('All Player Data Store'!$Y$7:$Y$594)-ROW('All Player Data Store'!$Y$7)+1),COUNTIF($AC$8:AC25,AC25))),"")</f>
        <v>2</v>
      </c>
      <c r="L25" s="112">
        <f t="array" ref="L25">IF(ISNUMBER(AC25),INDEX('All Player Data Store'!$H$7:$H$594,SMALL(IF('All Player Data Store'!$Y$7:$Y$594=AC25,ROW('All Player Data Store'!$Y$7:$Y$594)-ROW('All Player Data Store'!$Y$7)+1),COUNTIF($AC$8:AC25,AC25))),"")</f>
        <v>39</v>
      </c>
      <c r="M25" s="113">
        <f t="array" ref="M25">IF(ISNUMBER(AC25),INDEX('All Player Data Store'!$I$7:$I$594,SMALL(IF('All Player Data Store'!$Y$7:$Y$594=AC25,ROW('All Player Data Store'!$Y$7:$Y$594)-ROW('All Player Data Store'!$Y$7)+1),COUNTIF($AC$8:AC25,AC25))),"")</f>
        <v>26</v>
      </c>
      <c r="N25" s="114">
        <f t="array" ref="N25">IF(ISNUMBER(AC25),INDEX('All Player Data Store'!$J$7:$J$594,SMALL(IF('All Player Data Store'!$Y$7:$Y$594=AC25,ROW('All Player Data Store'!$Y$7:$Y$594)-ROW('All Player Data Store'!$Y$7)+1),COUNTIF($AC$8:AC25,AC25))),"")</f>
        <v>19.989999999999998</v>
      </c>
      <c r="O25" s="108" t="str">
        <f t="array" ref="O25">IF(ISNUMBER(AC25),INDEX('All Player Data Store'!$K$7:$K$594,SMALL(IF('All Player Data Store'!$Y$7:$Y$594=AC25,ROW('All Player Data Store'!$Y$7:$Y$594)-ROW('All Player Data Store'!$Y$7)+1),COUNTIF($AC$8:AC25,AC25))),"")</f>
        <v/>
      </c>
      <c r="P25" s="108">
        <f t="array" ref="P25">IF(ISNUMBER(AC25),INDEX('All Player Data Store'!$L$7:$L$594,SMALL(IF('All Player Data Store'!$Y$7:$Y$594=AC25,ROW('All Player Data Store'!$Y$7:$Y$594)-ROW('All Player Data Store'!$Y$7)+1),COUNTIF($AC$8:AC25,AC25))),"")</f>
        <v>20.96</v>
      </c>
      <c r="Q25" s="108">
        <f t="array" ref="Q25">IF(ISNUMBER(AC25),INDEX('All Player Data Store'!$M$7:$M$594,SMALL(IF('All Player Data Store'!$Y$7:$Y$594=AC25,ROW('All Player Data Store'!$Y$7:$Y$594)-ROW('All Player Data Store'!$Y$7)+1),COUNTIF($AC$8:AC25,AC25))),"")</f>
        <v>26.72</v>
      </c>
      <c r="R25" s="108" t="str">
        <f t="array" ref="R25">IF(ISNUMBER(AC25),INDEX('All Player Data Store'!$N$7:$N$594,SMALL(IF('All Player Data Store'!$Y$7:$Y$594=AC25,ROW('All Player Data Store'!$Y$7:$Y$594)-ROW('All Player Data Store'!$Y$7)+1),COUNTIF($AC$8:AC25,AC25))),"")</f>
        <v/>
      </c>
      <c r="S25" s="108">
        <f t="array" ref="S25">IF(ISNUMBER(AC25),INDEX('All Player Data Store'!$O$7:$O$594,SMALL(IF('All Player Data Store'!$Y$7:$Y$594=AC25,ROW('All Player Data Store'!$Y$7:$Y$594)-ROW('All Player Data Store'!$Y$7)+1),COUNTIF($AC$8:AC25,AC25))),"")</f>
        <v>24.73</v>
      </c>
      <c r="T25" s="108">
        <f t="array" ref="T25">IF(ISNUMBER(AC25),INDEX('All Player Data Store'!$P$7:$P$594,SMALL(IF('All Player Data Store'!$Y$7:$Y$594=AC25,ROW('All Player Data Store'!$Y$7:$Y$594)-ROW('All Player Data Store'!$Y$7)+1),COUNTIF($AC$8:AC25,AC25))),"")</f>
        <v>21.97</v>
      </c>
      <c r="U25" s="108">
        <f t="array" ref="U25">IF(ISNUMBER(AC25),INDEX('All Player Data Store'!$Q$7:$Q$594,SMALL(IF('All Player Data Store'!$Y$7:$Y$594=AC25,ROW('All Player Data Store'!$Y$7:$Y$594)-ROW('All Player Data Store'!$Y$7)+1),COUNTIF($AC$8:AC25,AC25))),"")</f>
        <v>21.27</v>
      </c>
      <c r="V25" s="108">
        <f t="array" ref="V25">IF(ISNUMBER(AC25),INDEX('All Player Data Store'!$R$7:$R$594,SMALL(IF('All Player Data Store'!$Y$7:$Y$594=AC25,ROW('All Player Data Store'!$Y$7:$Y$594)-ROW('All Player Data Store'!$Y$7)+1),COUNTIF($AC$8:AC25,AC25))),"")</f>
        <v>26.11</v>
      </c>
      <c r="W25" s="108">
        <f t="array" ref="W25">IF(ISNUMBER(AC25),INDEX('All Player Data Store'!$S$7:$S$594,SMALL(IF('All Player Data Store'!$Y$7:$Y$594=AC25,ROW('All Player Data Store'!$Y$7:$Y$594)-ROW('All Player Data Store'!$Y$7)+1),COUNTIF($AC$8:AC25,AC25))),"")</f>
        <v>26.16</v>
      </c>
      <c r="X25" s="108">
        <f t="array" ref="X25">IF(ISNUMBER(AC25),INDEX('All Player Data Store'!$T$7:$T$594,SMALL(IF('All Player Data Store'!$Y$7:$Y$594=AC25,ROW('All Player Data Store'!$Y$7:$Y$594)-ROW('All Player Data Store'!$Y$7)+1),COUNTIF($AC$8:AC25,AC25))),"")</f>
        <v>25.26</v>
      </c>
      <c r="Y25" s="108">
        <f t="array" ref="Y25">IF(ISNUMBER(AC25),INDEX('All Player Data Store'!$U$7:$U$594,SMALL(IF('All Player Data Store'!$Y$7:$Y$594=AC25,ROW('All Player Data Store'!$Y$7:$Y$594)-ROW('All Player Data Store'!$Y$7)+1),COUNTIF($AC$8:AC25,AC25))),"")</f>
        <v>26.19</v>
      </c>
      <c r="Z25" s="108">
        <f t="array" ref="Z25">IF(ISNUMBER(AC25),INDEX('All Player Data Store'!$V$7:$V$594,SMALL(IF('All Player Data Store'!$Y$7:$Y$594=AC25,ROW('All Player Data Store'!$Y$7:$Y$594)-ROW('All Player Data Store'!$Y$7)+1),COUNTIF($AC$8:AC25,AC25))),"")</f>
        <v>25.52</v>
      </c>
      <c r="AA25" s="112">
        <f t="array" ref="AA25">IF(ISNUMBER(AC25),INDEX('All Player Data Store'!$W$7:$W$594,SMALL(IF('All Player Data Store'!$Y$7:$Y$594=AC25,ROW('All Player Data Store'!$Y$7:$Y$594)-ROW('All Player Data Store'!$Y$7)+1),COUNTIF($AC$8:AC25,AC25))),"")</f>
        <v>8</v>
      </c>
      <c r="AB25" s="108">
        <f t="array" ref="AB25">IF(ISNUMBER(AC25),INDEX('All Player Data Store'!$X$7:$X$594,SMALL(IF('All Player Data Store'!$Y$7:$Y$594=AC25,ROW('All Player Data Store'!$Y$7:$Y$594)-ROW('All Player Data Store'!$Y$7)+1),COUNTIF($AC$8:AC25,AC25))),"")</f>
        <v>24.08</v>
      </c>
      <c r="AC25" s="115">
        <f>IF(ISERROR(IF(ISERROR(LARGE('All Player Data Store'!$Y$7:$Y$594,18)),"",(LARGE('All Player Data Store'!$Y$7:$Y$594,18)))),"",(IF(ISERROR(LARGE('All Player Data Store'!$Y$7:$Y$594,18)),"",(LARGE('All Player Data Store'!$Y$7:$Y$594,18)))))</f>
        <v>33.08</v>
      </c>
      <c r="AD25" s="106">
        <f t="shared" si="2"/>
        <v>3</v>
      </c>
      <c r="AE25" s="107" t="str">
        <f t="array" ref="AE25">IF(ISNUMBER(AC25),INDEX('All Player Data Store'!$J$8:$J$594,SMALL(IF('All Player Data Store'!$Y$7:$Y$594=AC25,ROW('All Player Data Store'!$Y$7:$Y$594)-ROW('All Player Data Store'!$Y$7)+1),COUNTIF($AC$8:AC25,AC25))),"")</f>
        <v>2*4</v>
      </c>
      <c r="AF25" s="108">
        <f t="shared" si="3"/>
        <v>19.989999999999998</v>
      </c>
      <c r="AG25" s="108" t="str">
        <f t="array" ref="AG25">IF(ISNUMBER(AC25),INDEX('All Player Data Store'!$K$8:$K$594,SMALL(IF('All Player Data Store'!$Y$7:$Y$594=AC25,ROW('All Player Data Store'!$Y$7:$Y$594)-ROW('All Player Data Store'!$Y$7)+1),COUNTIF($AC$8:AC25,AC25))),"")</f>
        <v/>
      </c>
      <c r="AH25" s="108" t="str">
        <f t="shared" si="4"/>
        <v/>
      </c>
      <c r="AI25" s="108" t="str">
        <f t="array" ref="AI25">IF(ISNUMBER(AC25),INDEX('All Player Data Store'!$L$8:$L$594,SMALL(IF('All Player Data Store'!$Y$7:$Y$594=AC25,ROW('All Player Data Store'!$Y$7:$Y$594)-ROW('All Player Data Store'!$Y$7)+1),COUNTIF($AC$8:AC25,AC25))),"")</f>
        <v>4*3</v>
      </c>
      <c r="AJ25" s="108">
        <f t="shared" si="5"/>
        <v>21.96</v>
      </c>
      <c r="AK25" s="108" t="str">
        <f t="array" ref="AK25">IF(ISNUMBER(AC25),INDEX('All Player Data Store'!$M$8:$M$594,SMALL(IF('All Player Data Store'!$Y$7:$Y$594=AC25,ROW('All Player Data Store'!$Y$7:$Y$594)-ROW('All Player Data Store'!$Y$7)+1),COUNTIF($AC$8:AC25,AC25))),"")</f>
        <v>4*1</v>
      </c>
      <c r="AL25" s="108">
        <f t="shared" si="6"/>
        <v>27.72</v>
      </c>
      <c r="AM25" s="108" t="str">
        <f t="array" ref="AM25">IF(ISNUMBER(AC25),INDEX('All Player Data Store'!$N$8:$N$594,SMALL(IF('All Player Data Store'!$Y$7:$Y$594=AC25,ROW('All Player Data Store'!$Y$7:$Y$594)-ROW('All Player Data Store'!$Y$7)+1),COUNTIF($AC$8:AC25,AC25))),"")</f>
        <v/>
      </c>
      <c r="AN25" s="108" t="str">
        <f t="shared" si="7"/>
        <v/>
      </c>
      <c r="AO25" s="108" t="str">
        <f t="array" ref="AO25">IF(ISNUMBER(AC25),INDEX('All Player Data Store'!$O$8:$O$594,SMALL(IF('All Player Data Store'!$Y$7:$Y$594=AC25,ROW('All Player Data Store'!$Y$7:$Y$594)-ROW('All Player Data Store'!$Y$7)+1),COUNTIF($AC$8:AC25,AC25))),"")</f>
        <v>4*1(1)</v>
      </c>
      <c r="AP25" s="108">
        <f t="shared" si="8"/>
        <v>25.73</v>
      </c>
      <c r="AQ25" s="108" t="str">
        <f t="array" ref="AQ25">IF(ISNUMBER(AC25),INDEX('All Player Data Store'!$P$8:$P$594,SMALL(IF('All Player Data Store'!$Y$7:$Y$594=AC25,ROW('All Player Data Store'!$Y$7:$Y$594)-ROW('All Player Data Store'!$Y$7)+1),COUNTIF($AC$8:AC25,AC25))),"")</f>
        <v>4*3(3)</v>
      </c>
      <c r="AR25" s="108">
        <f t="shared" si="9"/>
        <v>22.97</v>
      </c>
      <c r="AS25" s="108" t="str">
        <f t="array" ref="AS25">IF(ISNUMBER(AC25),INDEX('All Player Data Store'!$Q$8:$Q$594,SMALL(IF('All Player Data Store'!$Y$7:$Y$594=AC25,ROW('All Player Data Store'!$Y$7:$Y$594)-ROW('All Player Data Store'!$Y$7)+1),COUNTIF($AC$8:AC25,AC25))),"")</f>
        <v>4*3(2)</v>
      </c>
      <c r="AT25" s="108">
        <f t="shared" si="10"/>
        <v>22.27</v>
      </c>
      <c r="AU25" s="108" t="str">
        <f t="array" ref="AU25">IF(ISNUMBER(AC25),INDEX('All Player Data Store'!$R$8:$R$594,SMALL(IF('All Player Data Store'!$Y$7:$Y$594=AC25,ROW('All Player Data Store'!$Y$7:$Y$594)-ROW('All Player Data Store'!$Y$7)+1),COUNTIF($AC$8:AC25,AC25))),"")</f>
        <v>4*2</v>
      </c>
      <c r="AV25" s="108">
        <f t="shared" si="11"/>
        <v>27.11</v>
      </c>
      <c r="AW25" s="108" t="str">
        <f t="array" ref="AW25">IF(ISNUMBER(AC25),INDEX('All Player Data Store'!$S$8:$S$594,SMALL(IF('All Player Data Store'!$Y$7:$Y$594=AC25,ROW('All Player Data Store'!$Y$7:$Y$594)-ROW('All Player Data Store'!$Y$7)+1),COUNTIF($AC$8:AC25,AC25))),"")</f>
        <v>1*4</v>
      </c>
      <c r="AX25" s="108">
        <f t="shared" si="12"/>
        <v>26.16</v>
      </c>
      <c r="AY25" s="108" t="str">
        <f t="array" ref="AY25">IF(ISNUMBER(AC25),INDEX('All Player Data Store'!$T$8:$T$594,SMALL(IF('All Player Data Store'!$Y$7:$Y$594=AC25,ROW('All Player Data Store'!$Y$7:$Y$594)-ROW('All Player Data Store'!$Y$7)+1),COUNTIF($AC$8:AC25,AC25))),"")</f>
        <v>4*3</v>
      </c>
      <c r="AZ25" s="108">
        <f t="shared" si="13"/>
        <v>26.26</v>
      </c>
      <c r="BA25" s="108" t="str">
        <f t="array" ref="BA25">IF(ISNUMBER(AC25),INDEX('All Player Data Store'!$U$8:$U$594,SMALL(IF('All Player Data Store'!$Y$7:$Y$594=AC25,ROW('All Player Data Store'!$Y$7:$Y$594)-ROW('All Player Data Store'!$Y$7)+1),COUNTIF($AC$8:AC25,AC25))),"")</f>
        <v>4*1</v>
      </c>
      <c r="BB25" s="108">
        <f t="shared" si="14"/>
        <v>27.19</v>
      </c>
      <c r="BC25" s="108" t="str">
        <f t="array" ref="BC25">IF(ISNUMBER(AC25),INDEX('All Player Data Store'!$V$8:$V$594,SMALL(IF('All Player Data Store'!$Y$7:$Y$594=AC25,ROW('All Player Data Store'!$Y$7:$Y$594)-ROW('All Player Data Store'!$Y$7)+1),COUNTIF($AC$8:AC25,AC25))),"")</f>
        <v>4*1(2)</v>
      </c>
      <c r="BD25" s="108">
        <f t="shared" si="15"/>
        <v>26.52</v>
      </c>
      <c r="BE25" s="1"/>
    </row>
    <row r="26" spans="2:57" ht="12" customHeight="1" x14ac:dyDescent="0.2">
      <c r="B26" s="98" t="str">
        <f t="shared" si="0"/>
        <v>Y</v>
      </c>
      <c r="C26" s="1"/>
      <c r="D26" s="68">
        <f t="shared" si="1"/>
        <v>19</v>
      </c>
      <c r="E26" s="2"/>
      <c r="F26" s="78">
        <v>19</v>
      </c>
      <c r="G26" s="110" t="str">
        <f t="array" ref="G26">IF(ISNUMBER(AC26),INDEX('All Player Data Store'!$C$7:$C$594,SMALL(IF('All Player Data Store'!$Y$7:$Y$594=AC26,ROW('All Player Data Store'!$Y$7:$Y$594)-ROW('All Player Data Store'!$Y$7)+1),COUNTIF($AC$8:AC26,AC26))),"")</f>
        <v>Nigel Lamb</v>
      </c>
      <c r="H26" s="111" t="str">
        <f t="array" ref="H26">IF(ISNUMBER(AC26),INDEX('All Player Data Store'!$D$7:$D$594,SMALL(IF('All Player Data Store'!$Y$7:$Y$594=AC26,ROW('All Player Data Store'!$Y$7:$Y$594)-ROW('All Player Data Store'!$Y$7)+1),COUNTIF($AC$8:AC26,AC26))),"")</f>
        <v>Sha</v>
      </c>
      <c r="I26" s="69">
        <f t="array" ref="I26">IF(ISNUMBER(AC26),INDEX('All Player Data Store'!$E$7:$E$594,SMALL(IF('All Player Data Store'!$Y$7:$Y$594=AC26,ROW('All Player Data Store'!$Y$7:$Y$594)-ROW('All Player Data Store'!$Y$7)+1),COUNTIF($AC$8:AC26,AC26))),"")</f>
        <v>13</v>
      </c>
      <c r="J26" s="70">
        <f t="array" ref="J26">IF(ISNUMBER(AC26),INDEX('All Player Data Store'!$F$7:$F$594,SMALL(IF('All Player Data Store'!$Y$7:$Y$594=AC26,ROW('All Player Data Store'!$Y$7:$Y$594)-ROW('All Player Data Store'!$Y$7)+1),COUNTIF($AC$8:AC26,AC26))),"")</f>
        <v>9</v>
      </c>
      <c r="K26" s="112">
        <f t="array" ref="K26">IF(ISNUMBER(AC26),INDEX('All Player Data Store'!$G$7:$G$594,SMALL(IF('All Player Data Store'!$Y$7:$Y$594=AC26,ROW('All Player Data Store'!$Y$7:$Y$594)-ROW('All Player Data Store'!$Y$7)+1),COUNTIF($AC$8:AC26,AC26))),"")</f>
        <v>4</v>
      </c>
      <c r="L26" s="112">
        <f t="array" ref="L26">IF(ISNUMBER(AC26),INDEX('All Player Data Store'!$H$7:$H$594,SMALL(IF('All Player Data Store'!$Y$7:$Y$594=AC26,ROW('All Player Data Store'!$Y$7:$Y$594)-ROW('All Player Data Store'!$Y$7)+1),COUNTIF($AC$8:AC26,AC26))),"")</f>
        <v>46</v>
      </c>
      <c r="M26" s="113">
        <f t="array" ref="M26">IF(ISNUMBER(AC26),INDEX('All Player Data Store'!$I$7:$I$594,SMALL(IF('All Player Data Store'!$Y$7:$Y$594=AC26,ROW('All Player Data Store'!$Y$7:$Y$594)-ROW('All Player Data Store'!$Y$7)+1),COUNTIF($AC$8:AC26,AC26))),"")</f>
        <v>31</v>
      </c>
      <c r="N26" s="114">
        <f t="array" ref="N26">IF(ISNUMBER(AC26),INDEX('All Player Data Store'!$J$7:$J$594,SMALL(IF('All Player Data Store'!$Y$7:$Y$594=AC26,ROW('All Player Data Store'!$Y$7:$Y$594)-ROW('All Player Data Store'!$Y$7)+1),COUNTIF($AC$8:AC26,AC26))),"")</f>
        <v>23.1</v>
      </c>
      <c r="O26" s="108">
        <f t="array" ref="O26">IF(ISNUMBER(AC26),INDEX('All Player Data Store'!$K$7:$K$594,SMALL(IF('All Player Data Store'!$Y$7:$Y$594=AC26,ROW('All Player Data Store'!$Y$7:$Y$594)-ROW('All Player Data Store'!$Y$7)+1),COUNTIF($AC$8:AC26,AC26))),"")</f>
        <v>19.47</v>
      </c>
      <c r="P26" s="108">
        <f t="array" ref="P26">IF(ISNUMBER(AC26),INDEX('All Player Data Store'!$L$7:$L$594,SMALL(IF('All Player Data Store'!$Y$7:$Y$594=AC26,ROW('All Player Data Store'!$Y$7:$Y$594)-ROW('All Player Data Store'!$Y$7)+1),COUNTIF($AC$8:AC26,AC26))),"")</f>
        <v>25.17</v>
      </c>
      <c r="Q26" s="108">
        <f t="array" ref="Q26">IF(ISNUMBER(AC26),INDEX('All Player Data Store'!$M$7:$M$594,SMALL(IF('All Player Data Store'!$Y$7:$Y$594=AC26,ROW('All Player Data Store'!$Y$7:$Y$594)-ROW('All Player Data Store'!$Y$7)+1),COUNTIF($AC$8:AC26,AC26))),"")</f>
        <v>22.17</v>
      </c>
      <c r="R26" s="108">
        <f t="array" ref="R26">IF(ISNUMBER(AC26),INDEX('All Player Data Store'!$N$7:$N$594,SMALL(IF('All Player Data Store'!$Y$7:$Y$594=AC26,ROW('All Player Data Store'!$Y$7:$Y$594)-ROW('All Player Data Store'!$Y$7)+1),COUNTIF($AC$8:AC26,AC26))),"")</f>
        <v>24.84</v>
      </c>
      <c r="S26" s="108">
        <f t="array" ref="S26">IF(ISNUMBER(AC26),INDEX('All Player Data Store'!$O$7:$O$594,SMALL(IF('All Player Data Store'!$Y$7:$Y$594=AC26,ROW('All Player Data Store'!$Y$7:$Y$594)-ROW('All Player Data Store'!$Y$7)+1),COUNTIF($AC$8:AC26,AC26))),"")</f>
        <v>21.09</v>
      </c>
      <c r="T26" s="108">
        <f t="array" ref="T26">IF(ISNUMBER(AC26),INDEX('All Player Data Store'!$P$7:$P$594,SMALL(IF('All Player Data Store'!$Y$7:$Y$594=AC26,ROW('All Player Data Store'!$Y$7:$Y$594)-ROW('All Player Data Store'!$Y$7)+1),COUNTIF($AC$8:AC26,AC26))),"")</f>
        <v>25.81</v>
      </c>
      <c r="U26" s="108">
        <f t="array" ref="U26">IF(ISNUMBER(AC26),INDEX('All Player Data Store'!$Q$7:$Q$594,SMALL(IF('All Player Data Store'!$Y$7:$Y$594=AC26,ROW('All Player Data Store'!$Y$7:$Y$594)-ROW('All Player Data Store'!$Y$7)+1),COUNTIF($AC$8:AC26,AC26))),"")</f>
        <v>21.86</v>
      </c>
      <c r="V26" s="108">
        <f t="array" ref="V26">IF(ISNUMBER(AC26),INDEX('All Player Data Store'!$R$7:$R$594,SMALL(IF('All Player Data Store'!$Y$7:$Y$594=AC26,ROW('All Player Data Store'!$Y$7:$Y$594)-ROW('All Player Data Store'!$Y$7)+1),COUNTIF($AC$8:AC26,AC26))),"")</f>
        <v>22.75</v>
      </c>
      <c r="W26" s="108">
        <f t="array" ref="W26">IF(ISNUMBER(AC26),INDEX('All Player Data Store'!$S$7:$S$594,SMALL(IF('All Player Data Store'!$Y$7:$Y$594=AC26,ROW('All Player Data Store'!$Y$7:$Y$594)-ROW('All Player Data Store'!$Y$7)+1),COUNTIF($AC$8:AC26,AC26))),"")</f>
        <v>24.53</v>
      </c>
      <c r="X26" s="108">
        <f t="array" ref="X26">IF(ISNUMBER(AC26),INDEX('All Player Data Store'!$T$7:$T$594,SMALL(IF('All Player Data Store'!$Y$7:$Y$594=AC26,ROW('All Player Data Store'!$Y$7:$Y$594)-ROW('All Player Data Store'!$Y$7)+1),COUNTIF($AC$8:AC26,AC26))),"")</f>
        <v>24.44</v>
      </c>
      <c r="Y26" s="108">
        <f t="array" ref="Y26">IF(ISNUMBER(AC26),INDEX('All Player Data Store'!$U$7:$U$594,SMALL(IF('All Player Data Store'!$Y$7:$Y$594=AC26,ROW('All Player Data Store'!$Y$7:$Y$594)-ROW('All Player Data Store'!$Y$7)+1),COUNTIF($AC$8:AC26,AC26))),"")</f>
        <v>23.8</v>
      </c>
      <c r="Z26" s="108">
        <f t="array" ref="Z26">IF(ISNUMBER(AC26),INDEX('All Player Data Store'!$V$7:$V$594,SMALL(IF('All Player Data Store'!$Y$7:$Y$594=AC26,ROW('All Player Data Store'!$Y$7:$Y$594)-ROW('All Player Data Store'!$Y$7)+1),COUNTIF($AC$8:AC26,AC26))),"")</f>
        <v>26.73</v>
      </c>
      <c r="AA26" s="112">
        <f t="array" ref="AA26">IF(ISNUMBER(AC26),INDEX('All Player Data Store'!$W$7:$W$594,SMALL(IF('All Player Data Store'!$Y$7:$Y$594=AC26,ROW('All Player Data Store'!$Y$7:$Y$594)-ROW('All Player Data Store'!$Y$7)+1),COUNTIF($AC$8:AC26,AC26))),"")</f>
        <v>4</v>
      </c>
      <c r="AB26" s="108">
        <f t="array" ref="AB26">IF(ISNUMBER(AC26),INDEX('All Player Data Store'!$X$7:$X$594,SMALL(IF('All Player Data Store'!$Y$7:$Y$594=AC26,ROW('All Player Data Store'!$Y$7:$Y$594)-ROW('All Player Data Store'!$Y$7)+1),COUNTIF($AC$8:AC26,AC26))),"")</f>
        <v>23.52</v>
      </c>
      <c r="AC26" s="115">
        <f>IF(ISERROR(IF(ISERROR(LARGE('All Player Data Store'!$Y$7:$Y$594,19)),"",(LARGE('All Player Data Store'!$Y$7:$Y$594,19)))),"",(IF(ISERROR(LARGE('All Player Data Store'!$Y$7:$Y$594,19)),"",(LARGE('All Player Data Store'!$Y$7:$Y$594,19)))))</f>
        <v>32.519999999999996</v>
      </c>
      <c r="AD26" s="106">
        <f t="shared" si="2"/>
        <v>3</v>
      </c>
      <c r="AE26" s="107" t="str">
        <f t="array" ref="AE26">IF(ISNUMBER(AC26),INDEX('All Player Data Store'!$J$8:$J$594,SMALL(IF('All Player Data Store'!$Y$7:$Y$594=AC26,ROW('All Player Data Store'!$Y$7:$Y$594)-ROW('All Player Data Store'!$Y$7)+1),COUNTIF($AC$8:AC26,AC26))),"")</f>
        <v>4*2</v>
      </c>
      <c r="AF26" s="108">
        <f t="shared" si="3"/>
        <v>24.1</v>
      </c>
      <c r="AG26" s="108" t="str">
        <f t="array" ref="AG26">IF(ISNUMBER(AC26),INDEX('All Player Data Store'!$K$8:$K$594,SMALL(IF('All Player Data Store'!$Y$7:$Y$594=AC26,ROW('All Player Data Store'!$Y$7:$Y$594)-ROW('All Player Data Store'!$Y$7)+1),COUNTIF($AC$8:AC26,AC26))),"")</f>
        <v>4*3</v>
      </c>
      <c r="AH26" s="108">
        <f t="shared" si="4"/>
        <v>20.47</v>
      </c>
      <c r="AI26" s="108" t="str">
        <f t="array" ref="AI26">IF(ISNUMBER(AC26),INDEX('All Player Data Store'!$L$8:$L$594,SMALL(IF('All Player Data Store'!$Y$7:$Y$594=AC26,ROW('All Player Data Store'!$Y$7:$Y$594)-ROW('All Player Data Store'!$Y$7)+1),COUNTIF($AC$8:AC26,AC26))),"")</f>
        <v>3*4</v>
      </c>
      <c r="AJ26" s="108">
        <f t="shared" si="5"/>
        <v>25.17</v>
      </c>
      <c r="AK26" s="108" t="str">
        <f t="array" ref="AK26">IF(ISNUMBER(AC26),INDEX('All Player Data Store'!$M$8:$M$594,SMALL(IF('All Player Data Store'!$Y$7:$Y$594=AC26,ROW('All Player Data Store'!$Y$7:$Y$594)-ROW('All Player Data Store'!$Y$7)+1),COUNTIF($AC$8:AC26,AC26))),"")</f>
        <v>4*3(2)</v>
      </c>
      <c r="AL26" s="108">
        <f t="shared" si="6"/>
        <v>23.17</v>
      </c>
      <c r="AM26" s="108" t="str">
        <f t="array" ref="AM26">IF(ISNUMBER(AC26),INDEX('All Player Data Store'!$N$8:$N$594,SMALL(IF('All Player Data Store'!$Y$7:$Y$594=AC26,ROW('All Player Data Store'!$Y$7:$Y$594)-ROW('All Player Data Store'!$Y$7)+1),COUNTIF($AC$8:AC26,AC26))),"")</f>
        <v>1*4</v>
      </c>
      <c r="AN26" s="108">
        <f t="shared" si="7"/>
        <v>24.84</v>
      </c>
      <c r="AO26" s="108" t="str">
        <f t="array" ref="AO26">IF(ISNUMBER(AC26),INDEX('All Player Data Store'!$O$8:$O$594,SMALL(IF('All Player Data Store'!$Y$7:$Y$594=AC26,ROW('All Player Data Store'!$Y$7:$Y$594)-ROW('All Player Data Store'!$Y$7)+1),COUNTIF($AC$8:AC26,AC26))),"")</f>
        <v>4*0</v>
      </c>
      <c r="AP26" s="108">
        <f t="shared" si="8"/>
        <v>22.09</v>
      </c>
      <c r="AQ26" s="108" t="str">
        <f t="array" ref="AQ26">IF(ISNUMBER(AC26),INDEX('All Player Data Store'!$P$8:$P$594,SMALL(IF('All Player Data Store'!$Y$7:$Y$594=AC26,ROW('All Player Data Store'!$Y$7:$Y$594)-ROW('All Player Data Store'!$Y$7)+1),COUNTIF($AC$8:AC26,AC26))),"")</f>
        <v>4*2</v>
      </c>
      <c r="AR26" s="108">
        <f t="shared" si="9"/>
        <v>26.81</v>
      </c>
      <c r="AS26" s="108" t="str">
        <f t="array" ref="AS26">IF(ISNUMBER(AC26),INDEX('All Player Data Store'!$Q$8:$Q$594,SMALL(IF('All Player Data Store'!$Y$7:$Y$594=AC26,ROW('All Player Data Store'!$Y$7:$Y$594)-ROW('All Player Data Store'!$Y$7)+1),COUNTIF($AC$8:AC26,AC26))),"")</f>
        <v>4*2</v>
      </c>
      <c r="AT26" s="108">
        <f t="shared" si="10"/>
        <v>22.86</v>
      </c>
      <c r="AU26" s="108" t="str">
        <f t="array" ref="AU26">IF(ISNUMBER(AC26),INDEX('All Player Data Store'!$R$8:$R$594,SMALL(IF('All Player Data Store'!$Y$7:$Y$594=AC26,ROW('All Player Data Store'!$Y$7:$Y$594)-ROW('All Player Data Store'!$Y$7)+1),COUNTIF($AC$8:AC26,AC26))),"")</f>
        <v>4*1</v>
      </c>
      <c r="AV26" s="108">
        <f t="shared" si="11"/>
        <v>23.75</v>
      </c>
      <c r="AW26" s="108" t="str">
        <f t="array" ref="AW26">IF(ISNUMBER(AC26),INDEX('All Player Data Store'!$S$8:$S$594,SMALL(IF('All Player Data Store'!$Y$7:$Y$594=AC26,ROW('All Player Data Store'!$Y$7:$Y$594)-ROW('All Player Data Store'!$Y$7)+1),COUNTIF($AC$8:AC26,AC26))),"")</f>
        <v>3*4</v>
      </c>
      <c r="AX26" s="108">
        <f t="shared" si="12"/>
        <v>24.53</v>
      </c>
      <c r="AY26" s="108" t="str">
        <f t="array" ref="AY26">IF(ISNUMBER(AC26),INDEX('All Player Data Store'!$T$8:$T$594,SMALL(IF('All Player Data Store'!$Y$7:$Y$594=AC26,ROW('All Player Data Store'!$Y$7:$Y$594)-ROW('All Player Data Store'!$Y$7)+1),COUNTIF($AC$8:AC26,AC26))),"")</f>
        <v>4*0</v>
      </c>
      <c r="AZ26" s="108">
        <f t="shared" si="13"/>
        <v>25.44</v>
      </c>
      <c r="BA26" s="108" t="str">
        <f t="array" ref="BA26">IF(ISNUMBER(AC26),INDEX('All Player Data Store'!$U$8:$U$594,SMALL(IF('All Player Data Store'!$Y$7:$Y$594=AC26,ROW('All Player Data Store'!$Y$7:$Y$594)-ROW('All Player Data Store'!$Y$7)+1),COUNTIF($AC$8:AC26,AC26))),"")</f>
        <v>4*2(1)</v>
      </c>
      <c r="BB26" s="108">
        <f t="shared" si="14"/>
        <v>24.8</v>
      </c>
      <c r="BC26" s="108" t="str">
        <f t="array" ref="BC26">IF(ISNUMBER(AC26),INDEX('All Player Data Store'!$V$8:$V$594,SMALL(IF('All Player Data Store'!$Y$7:$Y$594=AC26,ROW('All Player Data Store'!$Y$7:$Y$594)-ROW('All Player Data Store'!$Y$7)+1),COUNTIF($AC$8:AC26,AC26))),"")</f>
        <v>3*4(1)</v>
      </c>
      <c r="BD26" s="108">
        <f t="shared" si="15"/>
        <v>26.73</v>
      </c>
      <c r="BE26" s="1"/>
    </row>
    <row r="27" spans="2:57" ht="12" customHeight="1" x14ac:dyDescent="0.2">
      <c r="B27" s="98" t="str">
        <f t="shared" si="0"/>
        <v>N</v>
      </c>
      <c r="C27" s="1"/>
      <c r="D27" s="68">
        <f t="shared" si="1"/>
        <v>20</v>
      </c>
      <c r="E27" s="2"/>
      <c r="F27" s="78">
        <v>20</v>
      </c>
      <c r="G27" s="110" t="str">
        <f t="array" ref="G27">IF(ISNUMBER(AC27),INDEX('All Player Data Store'!$C$7:$C$594,SMALL(IF('All Player Data Store'!$Y$7:$Y$594=AC27,ROW('All Player Data Store'!$Y$7:$Y$594)-ROW('All Player Data Store'!$Y$7)+1),COUNTIF($AC$8:AC27,AC27))),"")</f>
        <v>Lee Matthews</v>
      </c>
      <c r="H27" s="111" t="str">
        <f t="array" ref="H27">IF(ISNUMBER(AC27),INDEX('All Player Data Store'!$D$7:$D$594,SMALL(IF('All Player Data Store'!$Y$7:$Y$594=AC27,ROW('All Player Data Store'!$Y$7:$Y$594)-ROW('All Player Data Store'!$Y$7)+1),COUNTIF($AC$8:AC27,AC27))),"")</f>
        <v>Lyt</v>
      </c>
      <c r="I27" s="69">
        <f t="array" ref="I27">IF(ISNUMBER(AC27),INDEX('All Player Data Store'!$E$7:$E$594,SMALL(IF('All Player Data Store'!$Y$7:$Y$594=AC27,ROW('All Player Data Store'!$Y$7:$Y$594)-ROW('All Player Data Store'!$Y$7)+1),COUNTIF($AC$8:AC27,AC27))),"")</f>
        <v>7</v>
      </c>
      <c r="J27" s="70">
        <f t="array" ref="J27">IF(ISNUMBER(AC27),INDEX('All Player Data Store'!$F$7:$F$594,SMALL(IF('All Player Data Store'!$Y$7:$Y$594=AC27,ROW('All Player Data Store'!$Y$7:$Y$594)-ROW('All Player Data Store'!$Y$7)+1),COUNTIF($AC$8:AC27,AC27))),"")</f>
        <v>7</v>
      </c>
      <c r="K27" s="112" t="str">
        <f t="array" ref="K27">IF(ISNUMBER(AC27),INDEX('All Player Data Store'!$G$7:$G$594,SMALL(IF('All Player Data Store'!$Y$7:$Y$594=AC27,ROW('All Player Data Store'!$Y$7:$Y$594)-ROW('All Player Data Store'!$Y$7)+1),COUNTIF($AC$8:AC27,AC27))),"")</f>
        <v/>
      </c>
      <c r="L27" s="112">
        <f t="array" ref="L27">IF(ISNUMBER(AC27),INDEX('All Player Data Store'!$H$7:$H$594,SMALL(IF('All Player Data Store'!$Y$7:$Y$594=AC27,ROW('All Player Data Store'!$Y$7:$Y$594)-ROW('All Player Data Store'!$Y$7)+1),COUNTIF($AC$8:AC27,AC27))),"")</f>
        <v>28</v>
      </c>
      <c r="M27" s="113">
        <f t="array" ref="M27">IF(ISNUMBER(AC27),INDEX('All Player Data Store'!$I$7:$I$594,SMALL(IF('All Player Data Store'!$Y$7:$Y$594=AC27,ROW('All Player Data Store'!$Y$7:$Y$594)-ROW('All Player Data Store'!$Y$7)+1),COUNTIF($AC$8:AC27,AC27))),"")</f>
        <v>9</v>
      </c>
      <c r="N27" s="114" t="str">
        <f t="array" ref="N27">IF(ISNUMBER(AC27),INDEX('All Player Data Store'!$J$7:$J$594,SMALL(IF('All Player Data Store'!$Y$7:$Y$594=AC27,ROW('All Player Data Store'!$Y$7:$Y$594)-ROW('All Player Data Store'!$Y$7)+1),COUNTIF($AC$8:AC27,AC27))),"")</f>
        <v/>
      </c>
      <c r="O27" s="108">
        <f t="array" ref="O27">IF(ISNUMBER(AC27),INDEX('All Player Data Store'!$K$7:$K$594,SMALL(IF('All Player Data Store'!$Y$7:$Y$594=AC27,ROW('All Player Data Store'!$Y$7:$Y$594)-ROW('All Player Data Store'!$Y$7)+1),COUNTIF($AC$8:AC27,AC27))),"")</f>
        <v>25.05</v>
      </c>
      <c r="P27" s="108" t="str">
        <f t="array" ref="P27">IF(ISNUMBER(AC27),INDEX('All Player Data Store'!$L$7:$L$594,SMALL(IF('All Player Data Store'!$Y$7:$Y$594=AC27,ROW('All Player Data Store'!$Y$7:$Y$594)-ROW('All Player Data Store'!$Y$7)+1),COUNTIF($AC$8:AC27,AC27))),"")</f>
        <v/>
      </c>
      <c r="Q27" s="108">
        <f t="array" ref="Q27">IF(ISNUMBER(AC27),INDEX('All Player Data Store'!$M$7:$M$594,SMALL(IF('All Player Data Store'!$Y$7:$Y$594=AC27,ROW('All Player Data Store'!$Y$7:$Y$594)-ROW('All Player Data Store'!$Y$7)+1),COUNTIF($AC$8:AC27,AC27))),"")</f>
        <v>24.84</v>
      </c>
      <c r="R27" s="108">
        <f t="array" ref="R27">IF(ISNUMBER(AC27),INDEX('All Player Data Store'!$N$7:$N$594,SMALL(IF('All Player Data Store'!$Y$7:$Y$594=AC27,ROW('All Player Data Store'!$Y$7:$Y$594)-ROW('All Player Data Store'!$Y$7)+1),COUNTIF($AC$8:AC27,AC27))),"")</f>
        <v>26.59</v>
      </c>
      <c r="S27" s="108">
        <f t="array" ref="S27">IF(ISNUMBER(AC27),INDEX('All Player Data Store'!$O$7:$O$594,SMALL(IF('All Player Data Store'!$Y$7:$Y$594=AC27,ROW('All Player Data Store'!$Y$7:$Y$594)-ROW('All Player Data Store'!$Y$7)+1),COUNTIF($AC$8:AC27,AC27))),"")</f>
        <v>26.03</v>
      </c>
      <c r="T27" s="108">
        <f t="array" ref="T27">IF(ISNUMBER(AC27),INDEX('All Player Data Store'!$P$7:$P$594,SMALL(IF('All Player Data Store'!$Y$7:$Y$594=AC27,ROW('All Player Data Store'!$Y$7:$Y$594)-ROW('All Player Data Store'!$Y$7)+1),COUNTIF($AC$8:AC27,AC27))),"")</f>
        <v>26.37</v>
      </c>
      <c r="U27" s="108">
        <f t="array" ref="U27">IF(ISNUMBER(AC27),INDEX('All Player Data Store'!$Q$7:$Q$594,SMALL(IF('All Player Data Store'!$Y$7:$Y$594=AC27,ROW('All Player Data Store'!$Y$7:$Y$594)-ROW('All Player Data Store'!$Y$7)+1),COUNTIF($AC$8:AC27,AC27))),"")</f>
        <v>24.85</v>
      </c>
      <c r="V27" s="108" t="str">
        <f t="array" ref="V27">IF(ISNUMBER(AC27),INDEX('All Player Data Store'!$R$7:$R$594,SMALL(IF('All Player Data Store'!$Y$7:$Y$594=AC27,ROW('All Player Data Store'!$Y$7:$Y$594)-ROW('All Player Data Store'!$Y$7)+1),COUNTIF($AC$8:AC27,AC27))),"")</f>
        <v/>
      </c>
      <c r="W27" s="108" t="str">
        <f t="array" ref="W27">IF(ISNUMBER(AC27),INDEX('All Player Data Store'!$S$7:$S$594,SMALL(IF('All Player Data Store'!$Y$7:$Y$594=AC27,ROW('All Player Data Store'!$Y$7:$Y$594)-ROW('All Player Data Store'!$Y$7)+1),COUNTIF($AC$8:AC27,AC27))),"")</f>
        <v/>
      </c>
      <c r="X27" s="108" t="str">
        <f t="array" ref="X27">IF(ISNUMBER(AC27),INDEX('All Player Data Store'!$T$7:$T$594,SMALL(IF('All Player Data Store'!$Y$7:$Y$594=AC27,ROW('All Player Data Store'!$Y$7:$Y$594)-ROW('All Player Data Store'!$Y$7)+1),COUNTIF($AC$8:AC27,AC27))),"")</f>
        <v/>
      </c>
      <c r="Y27" s="108">
        <f t="array" ref="Y27">IF(ISNUMBER(AC27),INDEX('All Player Data Store'!$U$7:$U$594,SMALL(IF('All Player Data Store'!$Y$7:$Y$594=AC27,ROW('All Player Data Store'!$Y$7:$Y$594)-ROW('All Player Data Store'!$Y$7)+1),COUNTIF($AC$8:AC27,AC27))),"")</f>
        <v>24.32</v>
      </c>
      <c r="Z27" s="108" t="str">
        <f t="array" ref="Z27">IF(ISNUMBER(AC27),INDEX('All Player Data Store'!$V$7:$V$594,SMALL(IF('All Player Data Store'!$Y$7:$Y$594=AC27,ROW('All Player Data Store'!$Y$7:$Y$594)-ROW('All Player Data Store'!$Y$7)+1),COUNTIF($AC$8:AC27,AC27))),"")</f>
        <v/>
      </c>
      <c r="AA27" s="112">
        <f t="array" ref="AA27">IF(ISNUMBER(AC27),INDEX('All Player Data Store'!$W$7:$W$594,SMALL(IF('All Player Data Store'!$Y$7:$Y$594=AC27,ROW('All Player Data Store'!$Y$7:$Y$594)-ROW('All Player Data Store'!$Y$7)+1),COUNTIF($AC$8:AC27,AC27))),"")</f>
        <v>2</v>
      </c>
      <c r="AB27" s="108">
        <f t="array" ref="AB27">IF(ISNUMBER(AC27),INDEX('All Player Data Store'!$X$7:$X$594,SMALL(IF('All Player Data Store'!$Y$7:$Y$594=AC27,ROW('All Player Data Store'!$Y$7:$Y$594)-ROW('All Player Data Store'!$Y$7)+1),COUNTIF($AC$8:AC27,AC27))),"")</f>
        <v>25.435714285714283</v>
      </c>
      <c r="AC27" s="115">
        <f>IF(ISERROR(IF(ISERROR(LARGE('All Player Data Store'!$Y$7:$Y$594,20)),"",(LARGE('All Player Data Store'!$Y$7:$Y$594,20)))),"",(IF(ISERROR(LARGE('All Player Data Store'!$Y$7:$Y$594,20)),"",(LARGE('All Player Data Store'!$Y$7:$Y$594,20)))))</f>
        <v>32.435714285714283</v>
      </c>
      <c r="AD27" s="106">
        <f t="shared" si="2"/>
        <v>3</v>
      </c>
      <c r="AE27" s="107" t="str">
        <f t="array" ref="AE27">IF(ISNUMBER(AC27),INDEX('All Player Data Store'!$J$8:$J$594,SMALL(IF('All Player Data Store'!$Y$7:$Y$594=AC27,ROW('All Player Data Store'!$Y$7:$Y$594)-ROW('All Player Data Store'!$Y$7)+1),COUNTIF($AC$8:AC27,AC27))),"")</f>
        <v/>
      </c>
      <c r="AF27" s="108" t="str">
        <f t="shared" si="3"/>
        <v/>
      </c>
      <c r="AG27" s="108" t="str">
        <f t="array" ref="AG27">IF(ISNUMBER(AC27),INDEX('All Player Data Store'!$K$8:$K$594,SMALL(IF('All Player Data Store'!$Y$7:$Y$594=AC27,ROW('All Player Data Store'!$Y$7:$Y$594)-ROW('All Player Data Store'!$Y$7)+1),COUNTIF($AC$8:AC27,AC27))),"")</f>
        <v>4*0</v>
      </c>
      <c r="AH27" s="108">
        <f t="shared" si="4"/>
        <v>26.05</v>
      </c>
      <c r="AI27" s="108" t="str">
        <f t="array" ref="AI27">IF(ISNUMBER(AC27),INDEX('All Player Data Store'!$L$8:$L$594,SMALL(IF('All Player Data Store'!$Y$7:$Y$594=AC27,ROW('All Player Data Store'!$Y$7:$Y$594)-ROW('All Player Data Store'!$Y$7)+1),COUNTIF($AC$8:AC27,AC27))),"")</f>
        <v/>
      </c>
      <c r="AJ27" s="108" t="str">
        <f t="shared" si="5"/>
        <v/>
      </c>
      <c r="AK27" s="108" t="str">
        <f t="array" ref="AK27">IF(ISNUMBER(AC27),INDEX('All Player Data Store'!$M$8:$M$594,SMALL(IF('All Player Data Store'!$Y$7:$Y$594=AC27,ROW('All Player Data Store'!$Y$7:$Y$594)-ROW('All Player Data Store'!$Y$7)+1),COUNTIF($AC$8:AC27,AC27))),"")</f>
        <v>4*1</v>
      </c>
      <c r="AL27" s="108">
        <f t="shared" si="6"/>
        <v>25.84</v>
      </c>
      <c r="AM27" s="108" t="str">
        <f t="array" ref="AM27">IF(ISNUMBER(AC27),INDEX('All Player Data Store'!$N$8:$N$594,SMALL(IF('All Player Data Store'!$Y$7:$Y$594=AC27,ROW('All Player Data Store'!$Y$7:$Y$594)-ROW('All Player Data Store'!$Y$7)+1),COUNTIF($AC$8:AC27,AC27))),"")</f>
        <v>4*3</v>
      </c>
      <c r="AN27" s="108">
        <f t="shared" si="7"/>
        <v>27.59</v>
      </c>
      <c r="AO27" s="108" t="str">
        <f t="array" ref="AO27">IF(ISNUMBER(AC27),INDEX('All Player Data Store'!$O$8:$O$594,SMALL(IF('All Player Data Store'!$Y$7:$Y$594=AC27,ROW('All Player Data Store'!$Y$7:$Y$594)-ROW('All Player Data Store'!$Y$7)+1),COUNTIF($AC$8:AC27,AC27))),"")</f>
        <v>4*0</v>
      </c>
      <c r="AP27" s="108">
        <f t="shared" si="8"/>
        <v>27.03</v>
      </c>
      <c r="AQ27" s="108" t="str">
        <f t="array" ref="AQ27">IF(ISNUMBER(AC27),INDEX('All Player Data Store'!$P$8:$P$594,SMALL(IF('All Player Data Store'!$Y$7:$Y$594=AC27,ROW('All Player Data Store'!$Y$7:$Y$594)-ROW('All Player Data Store'!$Y$7)+1),COUNTIF($AC$8:AC27,AC27))),"")</f>
        <v>4*0</v>
      </c>
      <c r="AR27" s="108">
        <f t="shared" si="9"/>
        <v>27.37</v>
      </c>
      <c r="AS27" s="108" t="str">
        <f t="array" ref="AS27">IF(ISNUMBER(AC27),INDEX('All Player Data Store'!$Q$8:$Q$594,SMALL(IF('All Player Data Store'!$Y$7:$Y$594=AC27,ROW('All Player Data Store'!$Y$7:$Y$594)-ROW('All Player Data Store'!$Y$7)+1),COUNTIF($AC$8:AC27,AC27))),"")</f>
        <v>4*3(1)</v>
      </c>
      <c r="AT27" s="108">
        <f t="shared" si="10"/>
        <v>25.85</v>
      </c>
      <c r="AU27" s="108" t="str">
        <f t="array" ref="AU27">IF(ISNUMBER(AC27),INDEX('All Player Data Store'!$R$8:$R$594,SMALL(IF('All Player Data Store'!$Y$7:$Y$594=AC27,ROW('All Player Data Store'!$Y$7:$Y$594)-ROW('All Player Data Store'!$Y$7)+1),COUNTIF($AC$8:AC27,AC27))),"")</f>
        <v/>
      </c>
      <c r="AV27" s="108" t="str">
        <f t="shared" si="11"/>
        <v/>
      </c>
      <c r="AW27" s="108" t="str">
        <f t="array" ref="AW27">IF(ISNUMBER(AC27),INDEX('All Player Data Store'!$S$8:$S$594,SMALL(IF('All Player Data Store'!$Y$7:$Y$594=AC27,ROW('All Player Data Store'!$Y$7:$Y$594)-ROW('All Player Data Store'!$Y$7)+1),COUNTIF($AC$8:AC27,AC27))),"")</f>
        <v/>
      </c>
      <c r="AX27" s="108" t="str">
        <f t="shared" si="12"/>
        <v/>
      </c>
      <c r="AY27" s="108" t="str">
        <f t="array" ref="AY27">IF(ISNUMBER(AC27),INDEX('All Player Data Store'!$T$8:$T$594,SMALL(IF('All Player Data Store'!$Y$7:$Y$594=AC27,ROW('All Player Data Store'!$Y$7:$Y$594)-ROW('All Player Data Store'!$Y$7)+1),COUNTIF($AC$8:AC27,AC27))),"")</f>
        <v/>
      </c>
      <c r="AZ27" s="108" t="str">
        <f t="shared" si="13"/>
        <v/>
      </c>
      <c r="BA27" s="108" t="str">
        <f t="array" ref="BA27">IF(ISNUMBER(AC27),INDEX('All Player Data Store'!$U$8:$U$594,SMALL(IF('All Player Data Store'!$Y$7:$Y$594=AC27,ROW('All Player Data Store'!$Y$7:$Y$594)-ROW('All Player Data Store'!$Y$7)+1),COUNTIF($AC$8:AC27,AC27))),"")</f>
        <v>4*2(1)</v>
      </c>
      <c r="BB27" s="108">
        <f t="shared" si="14"/>
        <v>25.32</v>
      </c>
      <c r="BC27" s="108" t="str">
        <f t="array" ref="BC27">IF(ISNUMBER(AC27),INDEX('All Player Data Store'!$V$8:$V$594,SMALL(IF('All Player Data Store'!$Y$7:$Y$594=AC27,ROW('All Player Data Store'!$Y$7:$Y$594)-ROW('All Player Data Store'!$Y$7)+1),COUNTIF($AC$8:AC27,AC27))),"")</f>
        <v/>
      </c>
      <c r="BD27" s="108" t="str">
        <f t="shared" si="15"/>
        <v/>
      </c>
      <c r="BE27" s="1"/>
    </row>
    <row r="28" spans="2:57" ht="12" customHeight="1" x14ac:dyDescent="0.2">
      <c r="B28" s="98" t="str">
        <f t="shared" si="0"/>
        <v>Y</v>
      </c>
      <c r="C28" s="1"/>
      <c r="D28" s="68">
        <f t="shared" si="1"/>
        <v>21</v>
      </c>
      <c r="E28" s="2"/>
      <c r="F28" s="78">
        <v>21</v>
      </c>
      <c r="G28" s="110" t="str">
        <f t="array" ref="G28">IF(ISNUMBER(AC28),INDEX('All Player Data Store'!$C$7:$C$594,SMALL(IF('All Player Data Store'!$Y$7:$Y$594=AC28,ROW('All Player Data Store'!$Y$7:$Y$594)-ROW('All Player Data Store'!$Y$7)+1),COUNTIF($AC$8:AC28,AC28))),"")</f>
        <v>Steven Earley</v>
      </c>
      <c r="H28" s="111" t="str">
        <f t="array" ref="H28">IF(ISNUMBER(AC28),INDEX('All Player Data Store'!$D$7:$D$594,SMALL(IF('All Player Data Store'!$Y$7:$Y$594=AC28,ROW('All Player Data Store'!$Y$7:$Y$594)-ROW('All Player Data Store'!$Y$7)+1),COUNTIF($AC$8:AC28,AC28))),"")</f>
        <v>Poo</v>
      </c>
      <c r="I28" s="69">
        <f t="array" ref="I28">IF(ISNUMBER(AC28),INDEX('All Player Data Store'!$E$7:$E$594,SMALL(IF('All Player Data Store'!$Y$7:$Y$594=AC28,ROW('All Player Data Store'!$Y$7:$Y$594)-ROW('All Player Data Store'!$Y$7)+1),COUNTIF($AC$8:AC28,AC28))),"")</f>
        <v>13</v>
      </c>
      <c r="J28" s="70">
        <f t="array" ref="J28">IF(ISNUMBER(AC28),INDEX('All Player Data Store'!$F$7:$F$594,SMALL(IF('All Player Data Store'!$Y$7:$Y$594=AC28,ROW('All Player Data Store'!$Y$7:$Y$594)-ROW('All Player Data Store'!$Y$7)+1),COUNTIF($AC$8:AC28,AC28))),"")</f>
        <v>10</v>
      </c>
      <c r="K28" s="112">
        <f t="array" ref="K28">IF(ISNUMBER(AC28),INDEX('All Player Data Store'!$G$7:$G$594,SMALL(IF('All Player Data Store'!$Y$7:$Y$594=AC28,ROW('All Player Data Store'!$Y$7:$Y$594)-ROW('All Player Data Store'!$Y$7)+1),COUNTIF($AC$8:AC28,AC28))),"")</f>
        <v>3</v>
      </c>
      <c r="L28" s="112">
        <f t="array" ref="L28">IF(ISNUMBER(AC28),INDEX('All Player Data Store'!$H$7:$H$594,SMALL(IF('All Player Data Store'!$Y$7:$Y$594=AC28,ROW('All Player Data Store'!$Y$7:$Y$594)-ROW('All Player Data Store'!$Y$7)+1),COUNTIF($AC$8:AC28,AC28))),"")</f>
        <v>46</v>
      </c>
      <c r="M28" s="113">
        <f t="array" ref="M28">IF(ISNUMBER(AC28),INDEX('All Player Data Store'!$I$7:$I$594,SMALL(IF('All Player Data Store'!$Y$7:$Y$594=AC28,ROW('All Player Data Store'!$Y$7:$Y$594)-ROW('All Player Data Store'!$Y$7)+1),COUNTIF($AC$8:AC28,AC28))),"")</f>
        <v>24</v>
      </c>
      <c r="N28" s="114">
        <f t="array" ref="N28">IF(ISNUMBER(AC28),INDEX('All Player Data Store'!$J$7:$J$594,SMALL(IF('All Player Data Store'!$Y$7:$Y$594=AC28,ROW('All Player Data Store'!$Y$7:$Y$594)-ROW('All Player Data Store'!$Y$7)+1),COUNTIF($AC$8:AC28,AC28))),"")</f>
        <v>21.53</v>
      </c>
      <c r="O28" s="108">
        <f t="array" ref="O28">IF(ISNUMBER(AC28),INDEX('All Player Data Store'!$K$7:$K$594,SMALL(IF('All Player Data Store'!$Y$7:$Y$594=AC28,ROW('All Player Data Store'!$Y$7:$Y$594)-ROW('All Player Data Store'!$Y$7)+1),COUNTIF($AC$8:AC28,AC28))),"")</f>
        <v>23.58</v>
      </c>
      <c r="P28" s="108">
        <f t="array" ref="P28">IF(ISNUMBER(AC28),INDEX('All Player Data Store'!$L$7:$L$594,SMALL(IF('All Player Data Store'!$Y$7:$Y$594=AC28,ROW('All Player Data Store'!$Y$7:$Y$594)-ROW('All Player Data Store'!$Y$7)+1),COUNTIF($AC$8:AC28,AC28))),"")</f>
        <v>24.09</v>
      </c>
      <c r="Q28" s="108">
        <f t="array" ref="Q28">IF(ISNUMBER(AC28),INDEX('All Player Data Store'!$M$7:$M$594,SMALL(IF('All Player Data Store'!$Y$7:$Y$594=AC28,ROW('All Player Data Store'!$Y$7:$Y$594)-ROW('All Player Data Store'!$Y$7)+1),COUNTIF($AC$8:AC28,AC28))),"")</f>
        <v>23.44</v>
      </c>
      <c r="R28" s="108">
        <f t="array" ref="R28">IF(ISNUMBER(AC28),INDEX('All Player Data Store'!$N$7:$N$594,SMALL(IF('All Player Data Store'!$Y$7:$Y$594=AC28,ROW('All Player Data Store'!$Y$7:$Y$594)-ROW('All Player Data Store'!$Y$7)+1),COUNTIF($AC$8:AC28,AC28))),"")</f>
        <v>22.36</v>
      </c>
      <c r="S28" s="108">
        <f t="array" ref="S28">IF(ISNUMBER(AC28),INDEX('All Player Data Store'!$O$7:$O$594,SMALL(IF('All Player Data Store'!$Y$7:$Y$594=AC28,ROW('All Player Data Store'!$Y$7:$Y$594)-ROW('All Player Data Store'!$Y$7)+1),COUNTIF($AC$8:AC28,AC28))),"")</f>
        <v>21.3</v>
      </c>
      <c r="T28" s="108">
        <f t="array" ref="T28">IF(ISNUMBER(AC28),INDEX('All Player Data Store'!$P$7:$P$594,SMALL(IF('All Player Data Store'!$Y$7:$Y$594=AC28,ROW('All Player Data Store'!$Y$7:$Y$594)-ROW('All Player Data Store'!$Y$7)+1),COUNTIF($AC$8:AC28,AC28))),"")</f>
        <v>22.93</v>
      </c>
      <c r="U28" s="108">
        <f t="array" ref="U28">IF(ISNUMBER(AC28),INDEX('All Player Data Store'!$Q$7:$Q$594,SMALL(IF('All Player Data Store'!$Y$7:$Y$594=AC28,ROW('All Player Data Store'!$Y$7:$Y$594)-ROW('All Player Data Store'!$Y$7)+1),COUNTIF($AC$8:AC28,AC28))),"")</f>
        <v>23.86</v>
      </c>
      <c r="V28" s="108">
        <f t="array" ref="V28">IF(ISNUMBER(AC28),INDEX('All Player Data Store'!$R$7:$R$594,SMALL(IF('All Player Data Store'!$Y$7:$Y$594=AC28,ROW('All Player Data Store'!$Y$7:$Y$594)-ROW('All Player Data Store'!$Y$7)+1),COUNTIF($AC$8:AC28,AC28))),"")</f>
        <v>21.01</v>
      </c>
      <c r="W28" s="108">
        <f t="array" ref="W28">IF(ISNUMBER(AC28),INDEX('All Player Data Store'!$S$7:$S$594,SMALL(IF('All Player Data Store'!$Y$7:$Y$594=AC28,ROW('All Player Data Store'!$Y$7:$Y$594)-ROW('All Player Data Store'!$Y$7)+1),COUNTIF($AC$8:AC28,AC28))),"")</f>
        <v>18.559999999999999</v>
      </c>
      <c r="X28" s="108">
        <f t="array" ref="X28">IF(ISNUMBER(AC28),INDEX('All Player Data Store'!$T$7:$T$594,SMALL(IF('All Player Data Store'!$Y$7:$Y$594=AC28,ROW('All Player Data Store'!$Y$7:$Y$594)-ROW('All Player Data Store'!$Y$7)+1),COUNTIF($AC$8:AC28,AC28))),"")</f>
        <v>23.33</v>
      </c>
      <c r="Y28" s="108">
        <f t="array" ref="Y28">IF(ISNUMBER(AC28),INDEX('All Player Data Store'!$U$7:$U$594,SMALL(IF('All Player Data Store'!$Y$7:$Y$594=AC28,ROW('All Player Data Store'!$Y$7:$Y$594)-ROW('All Player Data Store'!$Y$7)+1),COUNTIF($AC$8:AC28,AC28))),"")</f>
        <v>22.16</v>
      </c>
      <c r="Z28" s="108">
        <f t="array" ref="Z28">IF(ISNUMBER(AC28),INDEX('All Player Data Store'!$V$7:$V$594,SMALL(IF('All Player Data Store'!$Y$7:$Y$594=AC28,ROW('All Player Data Store'!$Y$7:$Y$594)-ROW('All Player Data Store'!$Y$7)+1),COUNTIF($AC$8:AC28,AC28))),"")</f>
        <v>23.06</v>
      </c>
      <c r="AA28" s="112">
        <f t="array" ref="AA28">IF(ISNUMBER(AC28),INDEX('All Player Data Store'!$W$7:$W$594,SMALL(IF('All Player Data Store'!$Y$7:$Y$594=AC28,ROW('All Player Data Store'!$Y$7:$Y$594)-ROW('All Player Data Store'!$Y$7)+1),COUNTIF($AC$8:AC28,AC28))),"")</f>
        <v>5</v>
      </c>
      <c r="AB28" s="108">
        <f t="array" ref="AB28">IF(ISNUMBER(AC28),INDEX('All Player Data Store'!$X$7:$X$594,SMALL(IF('All Player Data Store'!$Y$7:$Y$594=AC28,ROW('All Player Data Store'!$Y$7:$Y$594)-ROW('All Player Data Store'!$Y$7)+1),COUNTIF($AC$8:AC28,AC28))),"")</f>
        <v>22.400769230769235</v>
      </c>
      <c r="AC28" s="115">
        <f>IF(ISERROR(IF(ISERROR(LARGE('All Player Data Store'!$Y$7:$Y$594,21)),"",(LARGE('All Player Data Store'!$Y$7:$Y$594,21)))),"",(IF(ISERROR(LARGE('All Player Data Store'!$Y$7:$Y$594,21)),"",(LARGE('All Player Data Store'!$Y$7:$Y$594,21)))))</f>
        <v>32.400769230769235</v>
      </c>
      <c r="AD28" s="106">
        <f t="shared" si="2"/>
        <v>3</v>
      </c>
      <c r="AE28" s="107" t="str">
        <f t="array" ref="AE28">IF(ISNUMBER(AC28),INDEX('All Player Data Store'!$J$8:$J$594,SMALL(IF('All Player Data Store'!$Y$7:$Y$594=AC28,ROW('All Player Data Store'!$Y$7:$Y$594)-ROW('All Player Data Store'!$Y$7)+1),COUNTIF($AC$8:AC28,AC28))),"")</f>
        <v>3*4</v>
      </c>
      <c r="AF28" s="108">
        <f t="shared" si="3"/>
        <v>21.53</v>
      </c>
      <c r="AG28" s="108" t="str">
        <f t="array" ref="AG28">IF(ISNUMBER(AC28),INDEX('All Player Data Store'!$K$8:$K$594,SMALL(IF('All Player Data Store'!$Y$7:$Y$594=AC28,ROW('All Player Data Store'!$Y$7:$Y$594)-ROW('All Player Data Store'!$Y$7)+1),COUNTIF($AC$8:AC28,AC28))),"")</f>
        <v>4*0(1)</v>
      </c>
      <c r="AH28" s="108">
        <f t="shared" si="4"/>
        <v>24.58</v>
      </c>
      <c r="AI28" s="108" t="str">
        <f t="array" ref="AI28">IF(ISNUMBER(AC28),INDEX('All Player Data Store'!$L$8:$L$594,SMALL(IF('All Player Data Store'!$Y$7:$Y$594=AC28,ROW('All Player Data Store'!$Y$7:$Y$594)-ROW('All Player Data Store'!$Y$7)+1),COUNTIF($AC$8:AC28,AC28))),"")</f>
        <v>4*1</v>
      </c>
      <c r="AJ28" s="108">
        <f t="shared" si="5"/>
        <v>25.09</v>
      </c>
      <c r="AK28" s="108" t="str">
        <f t="array" ref="AK28">IF(ISNUMBER(AC28),INDEX('All Player Data Store'!$M$8:$M$594,SMALL(IF('All Player Data Store'!$Y$7:$Y$594=AC28,ROW('All Player Data Store'!$Y$7:$Y$594)-ROW('All Player Data Store'!$Y$7)+1),COUNTIF($AC$8:AC28,AC28))),"")</f>
        <v>0*4</v>
      </c>
      <c r="AL28" s="108">
        <f t="shared" si="6"/>
        <v>23.44</v>
      </c>
      <c r="AM28" s="108" t="str">
        <f t="array" ref="AM28">IF(ISNUMBER(AC28),INDEX('All Player Data Store'!$N$8:$N$594,SMALL(IF('All Player Data Store'!$Y$7:$Y$594=AC28,ROW('All Player Data Store'!$Y$7:$Y$594)-ROW('All Player Data Store'!$Y$7)+1),COUNTIF($AC$8:AC28,AC28))),"")</f>
        <v>4*2(1)</v>
      </c>
      <c r="AN28" s="108">
        <f t="shared" si="7"/>
        <v>23.36</v>
      </c>
      <c r="AO28" s="108" t="str">
        <f t="array" ref="AO28">IF(ISNUMBER(AC28),INDEX('All Player Data Store'!$O$8:$O$594,SMALL(IF('All Player Data Store'!$Y$7:$Y$594=AC28,ROW('All Player Data Store'!$Y$7:$Y$594)-ROW('All Player Data Store'!$Y$7)+1),COUNTIF($AC$8:AC28,AC28))),"")</f>
        <v>4*3(1)</v>
      </c>
      <c r="AP28" s="108">
        <f t="shared" si="8"/>
        <v>22.3</v>
      </c>
      <c r="AQ28" s="108" t="str">
        <f t="array" ref="AQ28">IF(ISNUMBER(AC28),INDEX('All Player Data Store'!$P$8:$P$594,SMALL(IF('All Player Data Store'!$Y$7:$Y$594=AC28,ROW('All Player Data Store'!$Y$7:$Y$594)-ROW('All Player Data Store'!$Y$7)+1),COUNTIF($AC$8:AC28,AC28))),"")</f>
        <v>4*1</v>
      </c>
      <c r="AR28" s="108">
        <f t="shared" si="9"/>
        <v>23.93</v>
      </c>
      <c r="AS28" s="108" t="str">
        <f t="array" ref="AS28">IF(ISNUMBER(AC28),INDEX('All Player Data Store'!$Q$8:$Q$594,SMALL(IF('All Player Data Store'!$Y$7:$Y$594=AC28,ROW('All Player Data Store'!$Y$7:$Y$594)-ROW('All Player Data Store'!$Y$7)+1),COUNTIF($AC$8:AC28,AC28))),"")</f>
        <v>4*0</v>
      </c>
      <c r="AT28" s="108">
        <f t="shared" si="10"/>
        <v>24.86</v>
      </c>
      <c r="AU28" s="108" t="str">
        <f t="array" ref="AU28">IF(ISNUMBER(AC28),INDEX('All Player Data Store'!$R$8:$R$594,SMALL(IF('All Player Data Store'!$Y$7:$Y$594=AC28,ROW('All Player Data Store'!$Y$7:$Y$594)-ROW('All Player Data Store'!$Y$7)+1),COUNTIF($AC$8:AC28,AC28))),"")</f>
        <v>4*1</v>
      </c>
      <c r="AV28" s="108">
        <f t="shared" si="11"/>
        <v>22.01</v>
      </c>
      <c r="AW28" s="108" t="str">
        <f t="array" ref="AW28">IF(ISNUMBER(AC28),INDEX('All Player Data Store'!$S$8:$S$594,SMALL(IF('All Player Data Store'!$Y$7:$Y$594=AC28,ROW('All Player Data Store'!$Y$7:$Y$594)-ROW('All Player Data Store'!$Y$7)+1),COUNTIF($AC$8:AC28,AC28))),"")</f>
        <v>4*0</v>
      </c>
      <c r="AX28" s="108">
        <f t="shared" si="12"/>
        <v>19.559999999999999</v>
      </c>
      <c r="AY28" s="108" t="str">
        <f t="array" ref="AY28">IF(ISNUMBER(AC28),INDEX('All Player Data Store'!$T$8:$T$594,SMALL(IF('All Player Data Store'!$Y$7:$Y$594=AC28,ROW('All Player Data Store'!$Y$7:$Y$594)-ROW('All Player Data Store'!$Y$7)+1),COUNTIF($AC$8:AC28,AC28))),"")</f>
        <v>3*4(1)</v>
      </c>
      <c r="AZ28" s="108">
        <f t="shared" si="13"/>
        <v>23.33</v>
      </c>
      <c r="BA28" s="108" t="str">
        <f t="array" ref="BA28">IF(ISNUMBER(AC28),INDEX('All Player Data Store'!$U$8:$U$594,SMALL(IF('All Player Data Store'!$Y$7:$Y$594=AC28,ROW('All Player Data Store'!$Y$7:$Y$594)-ROW('All Player Data Store'!$Y$7)+1),COUNTIF($AC$8:AC28,AC28))),"")</f>
        <v>4*2</v>
      </c>
      <c r="BB28" s="108">
        <f t="shared" si="14"/>
        <v>23.16</v>
      </c>
      <c r="BC28" s="108" t="str">
        <f t="array" ref="BC28">IF(ISNUMBER(AC28),INDEX('All Player Data Store'!$V$8:$V$594,SMALL(IF('All Player Data Store'!$Y$7:$Y$594=AC28,ROW('All Player Data Store'!$Y$7:$Y$594)-ROW('All Player Data Store'!$Y$7)+1),COUNTIF($AC$8:AC28,AC28))),"")</f>
        <v>4*2(1)</v>
      </c>
      <c r="BD28" s="108">
        <f t="shared" si="15"/>
        <v>24.06</v>
      </c>
      <c r="BE28" s="1"/>
    </row>
    <row r="29" spans="2:57" ht="12" customHeight="1" x14ac:dyDescent="0.2">
      <c r="B29" s="98" t="str">
        <f t="shared" si="0"/>
        <v>Y</v>
      </c>
      <c r="C29" s="1"/>
      <c r="D29" s="68">
        <f t="shared" si="1"/>
        <v>22</v>
      </c>
      <c r="E29" s="2"/>
      <c r="F29" s="78">
        <v>22</v>
      </c>
      <c r="G29" s="110" t="str">
        <f t="array" ref="G29">IF(ISNUMBER(AC29),INDEX('All Player Data Store'!$C$7:$C$594,SMALL(IF('All Player Data Store'!$Y$7:$Y$594=AC29,ROW('All Player Data Store'!$Y$7:$Y$594)-ROW('All Player Data Store'!$Y$7)+1),COUNTIF($AC$8:AC29,AC29))),"")</f>
        <v>Graham Knight</v>
      </c>
      <c r="H29" s="111" t="str">
        <f t="array" ref="H29">IF(ISNUMBER(AC29),INDEX('All Player Data Store'!$D$7:$D$594,SMALL(IF('All Player Data Store'!$Y$7:$Y$594=AC29,ROW('All Player Data Store'!$Y$7:$Y$594)-ROW('All Player Data Store'!$Y$7)+1),COUNTIF($AC$8:AC29,AC29))),"")</f>
        <v>Dor</v>
      </c>
      <c r="I29" s="69">
        <f t="array" ref="I29">IF(ISNUMBER(AC29),INDEX('All Player Data Store'!$E$7:$E$594,SMALL(IF('All Player Data Store'!$Y$7:$Y$594=AC29,ROW('All Player Data Store'!$Y$7:$Y$594)-ROW('All Player Data Store'!$Y$7)+1),COUNTIF($AC$8:AC29,AC29))),"")</f>
        <v>13</v>
      </c>
      <c r="J29" s="70">
        <f t="array" ref="J29">IF(ISNUMBER(AC29),INDEX('All Player Data Store'!$F$7:$F$594,SMALL(IF('All Player Data Store'!$Y$7:$Y$594=AC29,ROW('All Player Data Store'!$Y$7:$Y$594)-ROW('All Player Data Store'!$Y$7)+1),COUNTIF($AC$8:AC29,AC29))),"")</f>
        <v>10</v>
      </c>
      <c r="K29" s="112">
        <f t="array" ref="K29">IF(ISNUMBER(AC29),INDEX('All Player Data Store'!$G$7:$G$594,SMALL(IF('All Player Data Store'!$Y$7:$Y$594=AC29,ROW('All Player Data Store'!$Y$7:$Y$594)-ROW('All Player Data Store'!$Y$7)+1),COUNTIF($AC$8:AC29,AC29))),"")</f>
        <v>3</v>
      </c>
      <c r="L29" s="112">
        <f t="array" ref="L29">IF(ISNUMBER(AC29),INDEX('All Player Data Store'!$H$7:$H$594,SMALL(IF('All Player Data Store'!$Y$7:$Y$594=AC29,ROW('All Player Data Store'!$Y$7:$Y$594)-ROW('All Player Data Store'!$Y$7)+1),COUNTIF($AC$8:AC29,AC29))),"")</f>
        <v>43</v>
      </c>
      <c r="M29" s="113">
        <f t="array" ref="M29">IF(ISNUMBER(AC29),INDEX('All Player Data Store'!$I$7:$I$594,SMALL(IF('All Player Data Store'!$Y$7:$Y$594=AC29,ROW('All Player Data Store'!$Y$7:$Y$594)-ROW('All Player Data Store'!$Y$7)+1),COUNTIF($AC$8:AC29,AC29))),"")</f>
        <v>24</v>
      </c>
      <c r="N29" s="114">
        <f t="array" ref="N29">IF(ISNUMBER(AC29),INDEX('All Player Data Store'!$J$7:$J$594,SMALL(IF('All Player Data Store'!$Y$7:$Y$594=AC29,ROW('All Player Data Store'!$Y$7:$Y$594)-ROW('All Player Data Store'!$Y$7)+1),COUNTIF($AC$8:AC29,AC29))),"")</f>
        <v>22.15</v>
      </c>
      <c r="O29" s="108">
        <f t="array" ref="O29">IF(ISNUMBER(AC29),INDEX('All Player Data Store'!$K$7:$K$594,SMALL(IF('All Player Data Store'!$Y$7:$Y$594=AC29,ROW('All Player Data Store'!$Y$7:$Y$594)-ROW('All Player Data Store'!$Y$7)+1),COUNTIF($AC$8:AC29,AC29))),"")</f>
        <v>22.02</v>
      </c>
      <c r="P29" s="108">
        <f t="array" ref="P29">IF(ISNUMBER(AC29),INDEX('All Player Data Store'!$L$7:$L$594,SMALL(IF('All Player Data Store'!$Y$7:$Y$594=AC29,ROW('All Player Data Store'!$Y$7:$Y$594)-ROW('All Player Data Store'!$Y$7)+1),COUNTIF($AC$8:AC29,AC29))),"")</f>
        <v>24.07</v>
      </c>
      <c r="Q29" s="108">
        <f t="array" ref="Q29">IF(ISNUMBER(AC29),INDEX('All Player Data Store'!$M$7:$M$594,SMALL(IF('All Player Data Store'!$Y$7:$Y$594=AC29,ROW('All Player Data Store'!$Y$7:$Y$594)-ROW('All Player Data Store'!$Y$7)+1),COUNTIF($AC$8:AC29,AC29))),"")</f>
        <v>23.57</v>
      </c>
      <c r="R29" s="108">
        <f t="array" ref="R29">IF(ISNUMBER(AC29),INDEX('All Player Data Store'!$N$7:$N$594,SMALL(IF('All Player Data Store'!$Y$7:$Y$594=AC29,ROW('All Player Data Store'!$Y$7:$Y$594)-ROW('All Player Data Store'!$Y$7)+1),COUNTIF($AC$8:AC29,AC29))),"")</f>
        <v>22.52</v>
      </c>
      <c r="S29" s="108">
        <f t="array" ref="S29">IF(ISNUMBER(AC29),INDEX('All Player Data Store'!$O$7:$O$594,SMALL(IF('All Player Data Store'!$Y$7:$Y$594=AC29,ROW('All Player Data Store'!$Y$7:$Y$594)-ROW('All Player Data Store'!$Y$7)+1),COUNTIF($AC$8:AC29,AC29))),"")</f>
        <v>20.76</v>
      </c>
      <c r="T29" s="108">
        <f t="array" ref="T29">IF(ISNUMBER(AC29),INDEX('All Player Data Store'!$P$7:$P$594,SMALL(IF('All Player Data Store'!$Y$7:$Y$594=AC29,ROW('All Player Data Store'!$Y$7:$Y$594)-ROW('All Player Data Store'!$Y$7)+1),COUNTIF($AC$8:AC29,AC29))),"")</f>
        <v>21.98</v>
      </c>
      <c r="U29" s="108">
        <f t="array" ref="U29">IF(ISNUMBER(AC29),INDEX('All Player Data Store'!$Q$7:$Q$594,SMALL(IF('All Player Data Store'!$Y$7:$Y$594=AC29,ROW('All Player Data Store'!$Y$7:$Y$594)-ROW('All Player Data Store'!$Y$7)+1),COUNTIF($AC$8:AC29,AC29))),"")</f>
        <v>21.6</v>
      </c>
      <c r="V29" s="108">
        <f t="array" ref="V29">IF(ISNUMBER(AC29),INDEX('All Player Data Store'!$R$7:$R$594,SMALL(IF('All Player Data Store'!$Y$7:$Y$594=AC29,ROW('All Player Data Store'!$Y$7:$Y$594)-ROW('All Player Data Store'!$Y$7)+1),COUNTIF($AC$8:AC29,AC29))),"")</f>
        <v>21.36</v>
      </c>
      <c r="W29" s="108">
        <f t="array" ref="W29">IF(ISNUMBER(AC29),INDEX('All Player Data Store'!$S$7:$S$594,SMALL(IF('All Player Data Store'!$Y$7:$Y$594=AC29,ROW('All Player Data Store'!$Y$7:$Y$594)-ROW('All Player Data Store'!$Y$7)+1),COUNTIF($AC$8:AC29,AC29))),"")</f>
        <v>20.97</v>
      </c>
      <c r="X29" s="108">
        <f t="array" ref="X29">IF(ISNUMBER(AC29),INDEX('All Player Data Store'!$T$7:$T$594,SMALL(IF('All Player Data Store'!$Y$7:$Y$594=AC29,ROW('All Player Data Store'!$Y$7:$Y$594)-ROW('All Player Data Store'!$Y$7)+1),COUNTIF($AC$8:AC29,AC29))),"")</f>
        <v>23.07</v>
      </c>
      <c r="Y29" s="108">
        <f t="array" ref="Y29">IF(ISNUMBER(AC29),INDEX('All Player Data Store'!$U$7:$U$594,SMALL(IF('All Player Data Store'!$Y$7:$Y$594=AC29,ROW('All Player Data Store'!$Y$7:$Y$594)-ROW('All Player Data Store'!$Y$7)+1),COUNTIF($AC$8:AC29,AC29))),"")</f>
        <v>24.74</v>
      </c>
      <c r="Z29" s="108">
        <f t="array" ref="Z29">IF(ISNUMBER(AC29),INDEX('All Player Data Store'!$V$7:$V$594,SMALL(IF('All Player Data Store'!$Y$7:$Y$594=AC29,ROW('All Player Data Store'!$Y$7:$Y$594)-ROW('All Player Data Store'!$Y$7)+1),COUNTIF($AC$8:AC29,AC29))),"")</f>
        <v>20.84</v>
      </c>
      <c r="AA29" s="112">
        <f t="array" ref="AA29">IF(ISNUMBER(AC29),INDEX('All Player Data Store'!$W$7:$W$594,SMALL(IF('All Player Data Store'!$Y$7:$Y$594=AC29,ROW('All Player Data Store'!$Y$7:$Y$594)-ROW('All Player Data Store'!$Y$7)+1),COUNTIF($AC$8:AC29,AC29))),"")</f>
        <v>4</v>
      </c>
      <c r="AB29" s="108">
        <f t="array" ref="AB29">IF(ISNUMBER(AC29),INDEX('All Player Data Store'!$X$7:$X$594,SMALL(IF('All Player Data Store'!$Y$7:$Y$594=AC29,ROW('All Player Data Store'!$Y$7:$Y$594)-ROW('All Player Data Store'!$Y$7)+1),COUNTIF($AC$8:AC29,AC29))),"")</f>
        <v>22.280769230769224</v>
      </c>
      <c r="AC29" s="115">
        <f>IF(ISERROR(IF(ISERROR(LARGE('All Player Data Store'!$Y$7:$Y$594,22)),"",(LARGE('All Player Data Store'!$Y$7:$Y$594,22)))),"",(IF(ISERROR(LARGE('All Player Data Store'!$Y$7:$Y$594,22)),"",(LARGE('All Player Data Store'!$Y$7:$Y$594,22)))))</f>
        <v>32.280769230769224</v>
      </c>
      <c r="AD29" s="106">
        <f t="shared" si="2"/>
        <v>3</v>
      </c>
      <c r="AE29" s="107" t="str">
        <f t="array" ref="AE29">IF(ISNUMBER(AC29),INDEX('All Player Data Store'!$J$8:$J$594,SMALL(IF('All Player Data Store'!$Y$7:$Y$594=AC29,ROW('All Player Data Store'!$Y$7:$Y$594)-ROW('All Player Data Store'!$Y$7)+1),COUNTIF($AC$8:AC29,AC29))),"")</f>
        <v>3*4(1)</v>
      </c>
      <c r="AF29" s="108">
        <f t="shared" si="3"/>
        <v>22.15</v>
      </c>
      <c r="AG29" s="108" t="str">
        <f t="array" ref="AG29">IF(ISNUMBER(AC29),INDEX('All Player Data Store'!$K$8:$K$594,SMALL(IF('All Player Data Store'!$Y$7:$Y$594=AC29,ROW('All Player Data Store'!$Y$7:$Y$594)-ROW('All Player Data Store'!$Y$7)+1),COUNTIF($AC$8:AC29,AC29))),"")</f>
        <v>4*0</v>
      </c>
      <c r="AH29" s="108">
        <f t="shared" si="4"/>
        <v>23.02</v>
      </c>
      <c r="AI29" s="108" t="str">
        <f t="array" ref="AI29">IF(ISNUMBER(AC29),INDEX('All Player Data Store'!$L$8:$L$594,SMALL(IF('All Player Data Store'!$Y$7:$Y$594=AC29,ROW('All Player Data Store'!$Y$7:$Y$594)-ROW('All Player Data Store'!$Y$7)+1),COUNTIF($AC$8:AC29,AC29))),"")</f>
        <v>4*1</v>
      </c>
      <c r="AJ29" s="108">
        <f t="shared" si="5"/>
        <v>25.07</v>
      </c>
      <c r="AK29" s="108" t="str">
        <f t="array" ref="AK29">IF(ISNUMBER(AC29),INDEX('All Player Data Store'!$M$8:$M$594,SMALL(IF('All Player Data Store'!$Y$7:$Y$594=AC29,ROW('All Player Data Store'!$Y$7:$Y$594)-ROW('All Player Data Store'!$Y$7)+1),COUNTIF($AC$8:AC29,AC29))),"")</f>
        <v>4*1(1)</v>
      </c>
      <c r="AL29" s="108">
        <f t="shared" si="6"/>
        <v>24.57</v>
      </c>
      <c r="AM29" s="108" t="str">
        <f t="array" ref="AM29">IF(ISNUMBER(AC29),INDEX('All Player Data Store'!$N$8:$N$594,SMALL(IF('All Player Data Store'!$Y$7:$Y$594=AC29,ROW('All Player Data Store'!$Y$7:$Y$594)-ROW('All Player Data Store'!$Y$7)+1),COUNTIF($AC$8:AC29,AC29))),"")</f>
        <v>4*0</v>
      </c>
      <c r="AN29" s="108">
        <f t="shared" si="7"/>
        <v>23.52</v>
      </c>
      <c r="AO29" s="108" t="str">
        <f t="array" ref="AO29">IF(ISNUMBER(AC29),INDEX('All Player Data Store'!$O$8:$O$594,SMALL(IF('All Player Data Store'!$Y$7:$Y$594=AC29,ROW('All Player Data Store'!$Y$7:$Y$594)-ROW('All Player Data Store'!$Y$7)+1),COUNTIF($AC$8:AC29,AC29))),"")</f>
        <v>0*4</v>
      </c>
      <c r="AP29" s="108">
        <f t="shared" si="8"/>
        <v>20.76</v>
      </c>
      <c r="AQ29" s="108" t="str">
        <f t="array" ref="AQ29">IF(ISNUMBER(AC29),INDEX('All Player Data Store'!$P$8:$P$594,SMALL(IF('All Player Data Store'!$Y$7:$Y$594=AC29,ROW('All Player Data Store'!$Y$7:$Y$594)-ROW('All Player Data Store'!$Y$7)+1),COUNTIF($AC$8:AC29,AC29))),"")</f>
        <v>4*3</v>
      </c>
      <c r="AR29" s="108">
        <f t="shared" si="9"/>
        <v>22.98</v>
      </c>
      <c r="AS29" s="108" t="str">
        <f t="array" ref="AS29">IF(ISNUMBER(AC29),INDEX('All Player Data Store'!$Q$8:$Q$594,SMALL(IF('All Player Data Store'!$Y$7:$Y$594=AC29,ROW('All Player Data Store'!$Y$7:$Y$594)-ROW('All Player Data Store'!$Y$7)+1),COUNTIF($AC$8:AC29,AC29))),"")</f>
        <v>4*1(1)</v>
      </c>
      <c r="AT29" s="108">
        <f t="shared" si="10"/>
        <v>22.6</v>
      </c>
      <c r="AU29" s="108" t="str">
        <f t="array" ref="AU29">IF(ISNUMBER(AC29),INDEX('All Player Data Store'!$R$8:$R$594,SMALL(IF('All Player Data Store'!$Y$7:$Y$594=AC29,ROW('All Player Data Store'!$Y$7:$Y$594)-ROW('All Player Data Store'!$Y$7)+1),COUNTIF($AC$8:AC29,AC29))),"")</f>
        <v>4*2</v>
      </c>
      <c r="AV29" s="108">
        <f t="shared" si="11"/>
        <v>22.36</v>
      </c>
      <c r="AW29" s="108" t="str">
        <f t="array" ref="AW29">IF(ISNUMBER(AC29),INDEX('All Player Data Store'!$S$8:$S$594,SMALL(IF('All Player Data Store'!$Y$7:$Y$594=AC29,ROW('All Player Data Store'!$Y$7:$Y$594)-ROW('All Player Data Store'!$Y$7)+1),COUNTIF($AC$8:AC29,AC29))),"")</f>
        <v>4*3</v>
      </c>
      <c r="AX29" s="108">
        <f t="shared" si="12"/>
        <v>21.97</v>
      </c>
      <c r="AY29" s="108" t="str">
        <f t="array" ref="AY29">IF(ISNUMBER(AC29),INDEX('All Player Data Store'!$T$8:$T$594,SMALL(IF('All Player Data Store'!$Y$7:$Y$594=AC29,ROW('All Player Data Store'!$Y$7:$Y$594)-ROW('All Player Data Store'!$Y$7)+1),COUNTIF($AC$8:AC29,AC29))),"")</f>
        <v>0*4</v>
      </c>
      <c r="AZ29" s="108">
        <f t="shared" si="13"/>
        <v>23.07</v>
      </c>
      <c r="BA29" s="108" t="str">
        <f t="array" ref="BA29">IF(ISNUMBER(AC29),INDEX('All Player Data Store'!$U$8:$U$594,SMALL(IF('All Player Data Store'!$Y$7:$Y$594=AC29,ROW('All Player Data Store'!$Y$7:$Y$594)-ROW('All Player Data Store'!$Y$7)+1),COUNTIF($AC$8:AC29,AC29))),"")</f>
        <v>4*0(1)</v>
      </c>
      <c r="BB29" s="108">
        <f t="shared" si="14"/>
        <v>25.74</v>
      </c>
      <c r="BC29" s="108" t="str">
        <f t="array" ref="BC29">IF(ISNUMBER(AC29),INDEX('All Player Data Store'!$V$8:$V$594,SMALL(IF('All Player Data Store'!$Y$7:$Y$594=AC29,ROW('All Player Data Store'!$Y$7:$Y$594)-ROW('All Player Data Store'!$Y$7)+1),COUNTIF($AC$8:AC29,AC29))),"")</f>
        <v>4*1</v>
      </c>
      <c r="BD29" s="108">
        <f t="shared" si="15"/>
        <v>21.84</v>
      </c>
      <c r="BE29" s="1"/>
    </row>
    <row r="30" spans="2:57" ht="12" customHeight="1" x14ac:dyDescent="0.2">
      <c r="B30" s="98" t="str">
        <f t="shared" si="0"/>
        <v>Y</v>
      </c>
      <c r="C30" s="1"/>
      <c r="D30" s="68">
        <f t="shared" si="1"/>
        <v>23</v>
      </c>
      <c r="E30" s="2"/>
      <c r="F30" s="78">
        <v>23</v>
      </c>
      <c r="G30" s="110" t="str">
        <f t="array" ref="G30">IF(ISNUMBER(AC30),INDEX('All Player Data Store'!$C$7:$C$594,SMALL(IF('All Player Data Store'!$Y$7:$Y$594=AC30,ROW('All Player Data Store'!$Y$7:$Y$594)-ROW('All Player Data Store'!$Y$7)+1),COUNTIF($AC$8:AC30,AC30))),"")</f>
        <v>Liam Blakeley</v>
      </c>
      <c r="H30" s="111" t="str">
        <f t="array" ref="H30">IF(ISNUMBER(AC30),INDEX('All Player Data Store'!$D$7:$D$594,SMALL(IF('All Player Data Store'!$Y$7:$Y$594=AC30,ROW('All Player Data Store'!$Y$7:$Y$594)-ROW('All Player Data Store'!$Y$7)+1),COUNTIF($AC$8:AC30,AC30))),"")</f>
        <v>Dor</v>
      </c>
      <c r="I30" s="69">
        <f t="array" ref="I30">IF(ISNUMBER(AC30),INDEX('All Player Data Store'!$E$7:$E$594,SMALL(IF('All Player Data Store'!$Y$7:$Y$594=AC30,ROW('All Player Data Store'!$Y$7:$Y$594)-ROW('All Player Data Store'!$Y$7)+1),COUNTIF($AC$8:AC30,AC30))),"")</f>
        <v>10</v>
      </c>
      <c r="J30" s="70">
        <f t="array" ref="J30">IF(ISNUMBER(AC30),INDEX('All Player Data Store'!$F$7:$F$594,SMALL(IF('All Player Data Store'!$Y$7:$Y$594=AC30,ROW('All Player Data Store'!$Y$7:$Y$594)-ROW('All Player Data Store'!$Y$7)+1),COUNTIF($AC$8:AC30,AC30))),"")</f>
        <v>9</v>
      </c>
      <c r="K30" s="112">
        <f t="array" ref="K30">IF(ISNUMBER(AC30),INDEX('All Player Data Store'!$G$7:$G$594,SMALL(IF('All Player Data Store'!$Y$7:$Y$594=AC30,ROW('All Player Data Store'!$Y$7:$Y$594)-ROW('All Player Data Store'!$Y$7)+1),COUNTIF($AC$8:AC30,AC30))),"")</f>
        <v>1</v>
      </c>
      <c r="L30" s="112">
        <f t="array" ref="L30">IF(ISNUMBER(AC30),INDEX('All Player Data Store'!$H$7:$H$594,SMALL(IF('All Player Data Store'!$Y$7:$Y$594=AC30,ROW('All Player Data Store'!$Y$7:$Y$594)-ROW('All Player Data Store'!$Y$7)+1),COUNTIF($AC$8:AC30,AC30))),"")</f>
        <v>38</v>
      </c>
      <c r="M30" s="113">
        <f t="array" ref="M30">IF(ISNUMBER(AC30),INDEX('All Player Data Store'!$I$7:$I$594,SMALL(IF('All Player Data Store'!$Y$7:$Y$594=AC30,ROW('All Player Data Store'!$Y$7:$Y$594)-ROW('All Player Data Store'!$Y$7)+1),COUNTIF($AC$8:AC30,AC30))),"")</f>
        <v>13</v>
      </c>
      <c r="N30" s="114">
        <f t="array" ref="N30">IF(ISNUMBER(AC30),INDEX('All Player Data Store'!$J$7:$J$594,SMALL(IF('All Player Data Store'!$Y$7:$Y$594=AC30,ROW('All Player Data Store'!$Y$7:$Y$594)-ROW('All Player Data Store'!$Y$7)+1),COUNTIF($AC$8:AC30,AC30))),"")</f>
        <v>20.329999999999998</v>
      </c>
      <c r="O30" s="108">
        <f t="array" ref="O30">IF(ISNUMBER(AC30),INDEX('All Player Data Store'!$K$7:$K$594,SMALL(IF('All Player Data Store'!$Y$7:$Y$594=AC30,ROW('All Player Data Store'!$Y$7:$Y$594)-ROW('All Player Data Store'!$Y$7)+1),COUNTIF($AC$8:AC30,AC30))),"")</f>
        <v>22.73</v>
      </c>
      <c r="P30" s="108">
        <f t="array" ref="P30">IF(ISNUMBER(AC30),INDEX('All Player Data Store'!$L$7:$L$594,SMALL(IF('All Player Data Store'!$Y$7:$Y$594=AC30,ROW('All Player Data Store'!$Y$7:$Y$594)-ROW('All Player Data Store'!$Y$7)+1),COUNTIF($AC$8:AC30,AC30))),"")</f>
        <v>22.52</v>
      </c>
      <c r="Q30" s="108">
        <f t="array" ref="Q30">IF(ISNUMBER(AC30),INDEX('All Player Data Store'!$M$7:$M$594,SMALL(IF('All Player Data Store'!$Y$7:$Y$594=AC30,ROW('All Player Data Store'!$Y$7:$Y$594)-ROW('All Player Data Store'!$Y$7)+1),COUNTIF($AC$8:AC30,AC30))),"")</f>
        <v>21.27</v>
      </c>
      <c r="R30" s="108">
        <f t="array" ref="R30">IF(ISNUMBER(AC30),INDEX('All Player Data Store'!$N$7:$N$594,SMALL(IF('All Player Data Store'!$Y$7:$Y$594=AC30,ROW('All Player Data Store'!$Y$7:$Y$594)-ROW('All Player Data Store'!$Y$7)+1),COUNTIF($AC$8:AC30,AC30))),"")</f>
        <v>21.9</v>
      </c>
      <c r="S30" s="108">
        <f t="array" ref="S30">IF(ISNUMBER(AC30),INDEX('All Player Data Store'!$O$7:$O$594,SMALL(IF('All Player Data Store'!$Y$7:$Y$594=AC30,ROW('All Player Data Store'!$Y$7:$Y$594)-ROW('All Player Data Store'!$Y$7)+1),COUNTIF($AC$8:AC30,AC30))),"")</f>
        <v>23.58</v>
      </c>
      <c r="T30" s="108">
        <f t="array" ref="T30">IF(ISNUMBER(AC30),INDEX('All Player Data Store'!$P$7:$P$594,SMALL(IF('All Player Data Store'!$Y$7:$Y$594=AC30,ROW('All Player Data Store'!$Y$7:$Y$594)-ROW('All Player Data Store'!$Y$7)+1),COUNTIF($AC$8:AC30,AC30))),"")</f>
        <v>21.77</v>
      </c>
      <c r="U30" s="108">
        <f t="array" ref="U30">IF(ISNUMBER(AC30),INDEX('All Player Data Store'!$Q$7:$Q$594,SMALL(IF('All Player Data Store'!$Y$7:$Y$594=AC30,ROW('All Player Data Store'!$Y$7:$Y$594)-ROW('All Player Data Store'!$Y$7)+1),COUNTIF($AC$8:AC30,AC30))),"")</f>
        <v>25.21</v>
      </c>
      <c r="V30" s="108" t="str">
        <f t="array" ref="V30">IF(ISNUMBER(AC30),INDEX('All Player Data Store'!$R$7:$R$594,SMALL(IF('All Player Data Store'!$Y$7:$Y$594=AC30,ROW('All Player Data Store'!$Y$7:$Y$594)-ROW('All Player Data Store'!$Y$7)+1),COUNTIF($AC$8:AC30,AC30))),"")</f>
        <v/>
      </c>
      <c r="W30" s="108">
        <f t="array" ref="W30">IF(ISNUMBER(AC30),INDEX('All Player Data Store'!$S$7:$S$594,SMALL(IF('All Player Data Store'!$Y$7:$Y$594=AC30,ROW('All Player Data Store'!$Y$7:$Y$594)-ROW('All Player Data Store'!$Y$7)+1),COUNTIF($AC$8:AC30,AC30))),"")</f>
        <v>25.37</v>
      </c>
      <c r="X30" s="108">
        <f t="array" ref="X30">IF(ISNUMBER(AC30),INDEX('All Player Data Store'!$T$7:$T$594,SMALL(IF('All Player Data Store'!$Y$7:$Y$594=AC30,ROW('All Player Data Store'!$Y$7:$Y$594)-ROW('All Player Data Store'!$Y$7)+1),COUNTIF($AC$8:AC30,AC30))),"")</f>
        <v>27.65</v>
      </c>
      <c r="Y30" s="108" t="str">
        <f t="array" ref="Y30">IF(ISNUMBER(AC30),INDEX('All Player Data Store'!$U$7:$U$594,SMALL(IF('All Player Data Store'!$Y$7:$Y$594=AC30,ROW('All Player Data Store'!$Y$7:$Y$594)-ROW('All Player Data Store'!$Y$7)+1),COUNTIF($AC$8:AC30,AC30))),"")</f>
        <v/>
      </c>
      <c r="Z30" s="108" t="str">
        <f t="array" ref="Z30">IF(ISNUMBER(AC30),INDEX('All Player Data Store'!$V$7:$V$594,SMALL(IF('All Player Data Store'!$Y$7:$Y$594=AC30,ROW('All Player Data Store'!$Y$7:$Y$594)-ROW('All Player Data Store'!$Y$7)+1),COUNTIF($AC$8:AC30,AC30))),"")</f>
        <v/>
      </c>
      <c r="AA30" s="112">
        <f t="array" ref="AA30">IF(ISNUMBER(AC30),INDEX('All Player Data Store'!$W$7:$W$594,SMALL(IF('All Player Data Store'!$Y$7:$Y$594=AC30,ROW('All Player Data Store'!$Y$7:$Y$594)-ROW('All Player Data Store'!$Y$7)+1),COUNTIF($AC$8:AC30,AC30))),"")</f>
        <v>4</v>
      </c>
      <c r="AB30" s="108">
        <f t="array" ref="AB30">IF(ISNUMBER(AC30),INDEX('All Player Data Store'!$X$7:$X$594,SMALL(IF('All Player Data Store'!$Y$7:$Y$594=AC30,ROW('All Player Data Store'!$Y$7:$Y$594)-ROW('All Player Data Store'!$Y$7)+1),COUNTIF($AC$8:AC30,AC30))),"")</f>
        <v>23.233000000000001</v>
      </c>
      <c r="AC30" s="115">
        <f>IF(ISERROR(IF(ISERROR(LARGE('All Player Data Store'!$Y$7:$Y$594,23)),"",(LARGE('All Player Data Store'!$Y$7:$Y$594,23)))),"",(IF(ISERROR(LARGE('All Player Data Store'!$Y$7:$Y$594,23)),"",(LARGE('All Player Data Store'!$Y$7:$Y$594,23)))))</f>
        <v>32.233000000000004</v>
      </c>
      <c r="AD30" s="106">
        <f t="shared" si="2"/>
        <v>3</v>
      </c>
      <c r="AE30" s="107" t="str">
        <f t="array" ref="AE30">IF(ISNUMBER(AC30),INDEX('All Player Data Store'!$J$8:$J$594,SMALL(IF('All Player Data Store'!$Y$7:$Y$594=AC30,ROW('All Player Data Store'!$Y$7:$Y$594)-ROW('All Player Data Store'!$Y$7)+1),COUNTIF($AC$8:AC30,AC30))),"")</f>
        <v>4*1</v>
      </c>
      <c r="AF30" s="108">
        <f t="shared" si="3"/>
        <v>21.33</v>
      </c>
      <c r="AG30" s="108" t="str">
        <f t="array" ref="AG30">IF(ISNUMBER(AC30),INDEX('All Player Data Store'!$K$8:$K$594,SMALL(IF('All Player Data Store'!$Y$7:$Y$594=AC30,ROW('All Player Data Store'!$Y$7:$Y$594)-ROW('All Player Data Store'!$Y$7)+1),COUNTIF($AC$8:AC30,AC30))),"")</f>
        <v>4*0(1)</v>
      </c>
      <c r="AH30" s="108">
        <f t="shared" si="4"/>
        <v>23.73</v>
      </c>
      <c r="AI30" s="108" t="str">
        <f t="array" ref="AI30">IF(ISNUMBER(AC30),INDEX('All Player Data Store'!$L$8:$L$594,SMALL(IF('All Player Data Store'!$Y$7:$Y$594=AC30,ROW('All Player Data Store'!$Y$7:$Y$594)-ROW('All Player Data Store'!$Y$7)+1),COUNTIF($AC$8:AC30,AC30))),"")</f>
        <v>4*0</v>
      </c>
      <c r="AJ30" s="108">
        <f t="shared" si="5"/>
        <v>23.52</v>
      </c>
      <c r="AK30" s="108" t="str">
        <f t="array" ref="AK30">IF(ISNUMBER(AC30),INDEX('All Player Data Store'!$M$8:$M$594,SMALL(IF('All Player Data Store'!$Y$7:$Y$594=AC30,ROW('All Player Data Store'!$Y$7:$Y$594)-ROW('All Player Data Store'!$Y$7)+1),COUNTIF($AC$8:AC30,AC30))),"")</f>
        <v>4*2(2)</v>
      </c>
      <c r="AL30" s="108">
        <f t="shared" si="6"/>
        <v>22.27</v>
      </c>
      <c r="AM30" s="108" t="str">
        <f t="array" ref="AM30">IF(ISNUMBER(AC30),INDEX('All Player Data Store'!$N$8:$N$594,SMALL(IF('All Player Data Store'!$Y$7:$Y$594=AC30,ROW('All Player Data Store'!$Y$7:$Y$594)-ROW('All Player Data Store'!$Y$7)+1),COUNTIF($AC$8:AC30,AC30))),"")</f>
        <v>4*1(1)</v>
      </c>
      <c r="AN30" s="108">
        <f t="shared" si="7"/>
        <v>22.9</v>
      </c>
      <c r="AO30" s="108" t="str">
        <f t="array" ref="AO30">IF(ISNUMBER(AC30),INDEX('All Player Data Store'!$O$8:$O$594,SMALL(IF('All Player Data Store'!$Y$7:$Y$594=AC30,ROW('All Player Data Store'!$Y$7:$Y$594)-ROW('All Player Data Store'!$Y$7)+1),COUNTIF($AC$8:AC30,AC30))),"")</f>
        <v>4*0</v>
      </c>
      <c r="AP30" s="108">
        <f t="shared" si="8"/>
        <v>24.58</v>
      </c>
      <c r="AQ30" s="108" t="str">
        <f t="array" ref="AQ30">IF(ISNUMBER(AC30),INDEX('All Player Data Store'!$P$8:$P$594,SMALL(IF('All Player Data Store'!$Y$7:$Y$594=AC30,ROW('All Player Data Store'!$Y$7:$Y$594)-ROW('All Player Data Store'!$Y$7)+1),COUNTIF($AC$8:AC30,AC30))),"")</f>
        <v>4*2</v>
      </c>
      <c r="AR30" s="108">
        <f t="shared" si="9"/>
        <v>22.77</v>
      </c>
      <c r="AS30" s="108" t="str">
        <f t="array" ref="AS30">IF(ISNUMBER(AC30),INDEX('All Player Data Store'!$Q$8:$Q$594,SMALL(IF('All Player Data Store'!$Y$7:$Y$594=AC30,ROW('All Player Data Store'!$Y$7:$Y$594)-ROW('All Player Data Store'!$Y$7)+1),COUNTIF($AC$8:AC30,AC30))),"")</f>
        <v>2*4</v>
      </c>
      <c r="AT30" s="108">
        <f t="shared" si="10"/>
        <v>25.21</v>
      </c>
      <c r="AU30" s="108" t="str">
        <f t="array" ref="AU30">IF(ISNUMBER(AC30),INDEX('All Player Data Store'!$R$8:$R$594,SMALL(IF('All Player Data Store'!$Y$7:$Y$594=AC30,ROW('All Player Data Store'!$Y$7:$Y$594)-ROW('All Player Data Store'!$Y$7)+1),COUNTIF($AC$8:AC30,AC30))),"")</f>
        <v/>
      </c>
      <c r="AV30" s="108" t="str">
        <f t="shared" si="11"/>
        <v/>
      </c>
      <c r="AW30" s="108" t="str">
        <f t="array" ref="AW30">IF(ISNUMBER(AC30),INDEX('All Player Data Store'!$S$8:$S$594,SMALL(IF('All Player Data Store'!$Y$7:$Y$594=AC30,ROW('All Player Data Store'!$Y$7:$Y$594)-ROW('All Player Data Store'!$Y$7)+1),COUNTIF($AC$8:AC30,AC30))),"")</f>
        <v>4*0</v>
      </c>
      <c r="AX30" s="108">
        <f t="shared" si="12"/>
        <v>26.37</v>
      </c>
      <c r="AY30" s="108" t="str">
        <f t="array" ref="AY30">IF(ISNUMBER(AC30),INDEX('All Player Data Store'!$T$8:$T$594,SMALL(IF('All Player Data Store'!$Y$7:$Y$594=AC30,ROW('All Player Data Store'!$Y$7:$Y$594)-ROW('All Player Data Store'!$Y$7)+1),COUNTIF($AC$8:AC30,AC30))),"")</f>
        <v>4*3</v>
      </c>
      <c r="AZ30" s="108">
        <f t="shared" si="13"/>
        <v>28.65</v>
      </c>
      <c r="BA30" s="108" t="str">
        <f t="array" ref="BA30">IF(ISNUMBER(AC30),INDEX('All Player Data Store'!$U$8:$U$594,SMALL(IF('All Player Data Store'!$Y$7:$Y$594=AC30,ROW('All Player Data Store'!$Y$7:$Y$594)-ROW('All Player Data Store'!$Y$7)+1),COUNTIF($AC$8:AC30,AC30))),"")</f>
        <v/>
      </c>
      <c r="BB30" s="108" t="str">
        <f t="shared" si="14"/>
        <v/>
      </c>
      <c r="BC30" s="108" t="str">
        <f t="array" ref="BC30">IF(ISNUMBER(AC30),INDEX('All Player Data Store'!$V$8:$V$594,SMALL(IF('All Player Data Store'!$Y$7:$Y$594=AC30,ROW('All Player Data Store'!$Y$7:$Y$594)-ROW('All Player Data Store'!$Y$7)+1),COUNTIF($AC$8:AC30,AC30))),"")</f>
        <v/>
      </c>
      <c r="BD30" s="108" t="str">
        <f t="shared" si="15"/>
        <v/>
      </c>
      <c r="BE30" s="1"/>
    </row>
    <row r="31" spans="2:57" ht="12" customHeight="1" x14ac:dyDescent="0.2">
      <c r="B31" s="98" t="str">
        <f t="shared" si="0"/>
        <v>Y</v>
      </c>
      <c r="C31" s="1"/>
      <c r="D31" s="68">
        <f t="shared" si="1"/>
        <v>24</v>
      </c>
      <c r="E31" s="2"/>
      <c r="F31" s="78">
        <v>24</v>
      </c>
      <c r="G31" s="110" t="str">
        <f t="array" ref="G31">IF(ISNUMBER(AC31),INDEX('All Player Data Store'!$C$7:$C$594,SMALL(IF('All Player Data Store'!$Y$7:$Y$594=AC31,ROW('All Player Data Store'!$Y$7:$Y$594)-ROW('All Player Data Store'!$Y$7)+1),COUNTIF($AC$8:AC31,AC31))),"")</f>
        <v>Gary Howlett</v>
      </c>
      <c r="H31" s="111" t="str">
        <f t="array" ref="H31">IF(ISNUMBER(AC31),INDEX('All Player Data Store'!$D$7:$D$594,SMALL(IF('All Player Data Store'!$Y$7:$Y$594=AC31,ROW('All Player Data Store'!$Y$7:$Y$594)-ROW('All Player Data Store'!$Y$7)+1),COUNTIF($AC$8:AC31,AC31))),"")</f>
        <v>Chr</v>
      </c>
      <c r="I31" s="69">
        <f t="array" ref="I31">IF(ISNUMBER(AC31),INDEX('All Player Data Store'!$E$7:$E$594,SMALL(IF('All Player Data Store'!$Y$7:$Y$594=AC31,ROW('All Player Data Store'!$Y$7:$Y$594)-ROW('All Player Data Store'!$Y$7)+1),COUNTIF($AC$8:AC31,AC31))),"")</f>
        <v>11</v>
      </c>
      <c r="J31" s="70">
        <f t="array" ref="J31">IF(ISNUMBER(AC31),INDEX('All Player Data Store'!$F$7:$F$594,SMALL(IF('All Player Data Store'!$Y$7:$Y$594=AC31,ROW('All Player Data Store'!$Y$7:$Y$594)-ROW('All Player Data Store'!$Y$7)+1),COUNTIF($AC$8:AC31,AC31))),"")</f>
        <v>10</v>
      </c>
      <c r="K31" s="112">
        <f t="array" ref="K31">IF(ISNUMBER(AC31),INDEX('All Player Data Store'!$G$7:$G$594,SMALL(IF('All Player Data Store'!$Y$7:$Y$594=AC31,ROW('All Player Data Store'!$Y$7:$Y$594)-ROW('All Player Data Store'!$Y$7)+1),COUNTIF($AC$8:AC31,AC31))),"")</f>
        <v>1</v>
      </c>
      <c r="L31" s="112">
        <f t="array" ref="L31">IF(ISNUMBER(AC31),INDEX('All Player Data Store'!$H$7:$H$594,SMALL(IF('All Player Data Store'!$Y$7:$Y$594=AC31,ROW('All Player Data Store'!$Y$7:$Y$594)-ROW('All Player Data Store'!$Y$7)+1),COUNTIF($AC$8:AC31,AC31))),"")</f>
        <v>40</v>
      </c>
      <c r="M31" s="113">
        <f t="array" ref="M31">IF(ISNUMBER(AC31),INDEX('All Player Data Store'!$I$7:$I$594,SMALL(IF('All Player Data Store'!$Y$7:$Y$594=AC31,ROW('All Player Data Store'!$Y$7:$Y$594)-ROW('All Player Data Store'!$Y$7)+1),COUNTIF($AC$8:AC31,AC31))),"")</f>
        <v>18</v>
      </c>
      <c r="N31" s="114">
        <f t="array" ref="N31">IF(ISNUMBER(AC31),INDEX('All Player Data Store'!$J$7:$J$594,SMALL(IF('All Player Data Store'!$Y$7:$Y$594=AC31,ROW('All Player Data Store'!$Y$7:$Y$594)-ROW('All Player Data Store'!$Y$7)+1),COUNTIF($AC$8:AC31,AC31))),"")</f>
        <v>25.05</v>
      </c>
      <c r="O31" s="108">
        <f t="array" ref="O31">IF(ISNUMBER(AC31),INDEX('All Player Data Store'!$K$7:$K$594,SMALL(IF('All Player Data Store'!$Y$7:$Y$594=AC31,ROW('All Player Data Store'!$Y$7:$Y$594)-ROW('All Player Data Store'!$Y$7)+1),COUNTIF($AC$8:AC31,AC31))),"")</f>
        <v>19.11</v>
      </c>
      <c r="P31" s="108">
        <f t="array" ref="P31">IF(ISNUMBER(AC31),INDEX('All Player Data Store'!$L$7:$L$594,SMALL(IF('All Player Data Store'!$Y$7:$Y$594=AC31,ROW('All Player Data Store'!$Y$7:$Y$594)-ROW('All Player Data Store'!$Y$7)+1),COUNTIF($AC$8:AC31,AC31))),"")</f>
        <v>22.96</v>
      </c>
      <c r="Q31" s="108">
        <f t="array" ref="Q31">IF(ISNUMBER(AC31),INDEX('All Player Data Store'!$M$7:$M$594,SMALL(IF('All Player Data Store'!$Y$7:$Y$594=AC31,ROW('All Player Data Store'!$Y$7:$Y$594)-ROW('All Player Data Store'!$Y$7)+1),COUNTIF($AC$8:AC31,AC31))),"")</f>
        <v>20.010000000000002</v>
      </c>
      <c r="R31" s="108">
        <f t="array" ref="R31">IF(ISNUMBER(AC31),INDEX('All Player Data Store'!$N$7:$N$594,SMALL(IF('All Player Data Store'!$Y$7:$Y$594=AC31,ROW('All Player Data Store'!$Y$7:$Y$594)-ROW('All Player Data Store'!$Y$7)+1),COUNTIF($AC$8:AC31,AC31))),"")</f>
        <v>22.66</v>
      </c>
      <c r="S31" s="108">
        <f t="array" ref="S31">IF(ISNUMBER(AC31),INDEX('All Player Data Store'!$O$7:$O$594,SMALL(IF('All Player Data Store'!$Y$7:$Y$594=AC31,ROW('All Player Data Store'!$Y$7:$Y$594)-ROW('All Player Data Store'!$Y$7)+1),COUNTIF($AC$8:AC31,AC31))),"")</f>
        <v>22.29</v>
      </c>
      <c r="T31" s="108">
        <f t="array" ref="T31">IF(ISNUMBER(AC31),INDEX('All Player Data Store'!$P$7:$P$594,SMALL(IF('All Player Data Store'!$Y$7:$Y$594=AC31,ROW('All Player Data Store'!$Y$7:$Y$594)-ROW('All Player Data Store'!$Y$7)+1),COUNTIF($AC$8:AC31,AC31))),"")</f>
        <v>20.95</v>
      </c>
      <c r="U31" s="108">
        <f t="array" ref="U31">IF(ISNUMBER(AC31),INDEX('All Player Data Store'!$Q$7:$Q$594,SMALL(IF('All Player Data Store'!$Y$7:$Y$594=AC31,ROW('All Player Data Store'!$Y$7:$Y$594)-ROW('All Player Data Store'!$Y$7)+1),COUNTIF($AC$8:AC31,AC31))),"")</f>
        <v>20.04</v>
      </c>
      <c r="V31" s="108">
        <f t="array" ref="V31">IF(ISNUMBER(AC31),INDEX('All Player Data Store'!$R$7:$R$594,SMALL(IF('All Player Data Store'!$Y$7:$Y$594=AC31,ROW('All Player Data Store'!$Y$7:$Y$594)-ROW('All Player Data Store'!$Y$7)+1),COUNTIF($AC$8:AC31,AC31))),"")</f>
        <v>21.32</v>
      </c>
      <c r="W31" s="108" t="str">
        <f t="array" ref="W31">IF(ISNUMBER(AC31),INDEX('All Player Data Store'!$S$7:$S$594,SMALL(IF('All Player Data Store'!$Y$7:$Y$594=AC31,ROW('All Player Data Store'!$Y$7:$Y$594)-ROW('All Player Data Store'!$Y$7)+1),COUNTIF($AC$8:AC31,AC31))),"")</f>
        <v/>
      </c>
      <c r="X31" s="108">
        <f t="array" ref="X31">IF(ISNUMBER(AC31),INDEX('All Player Data Store'!$T$7:$T$594,SMALL(IF('All Player Data Store'!$Y$7:$Y$594=AC31,ROW('All Player Data Store'!$Y$7:$Y$594)-ROW('All Player Data Store'!$Y$7)+1),COUNTIF($AC$8:AC31,AC31))),"")</f>
        <v>22.16</v>
      </c>
      <c r="Y31" s="108" t="str">
        <f t="array" ref="Y31">IF(ISNUMBER(AC31),INDEX('All Player Data Store'!$U$7:$U$594,SMALL(IF('All Player Data Store'!$Y$7:$Y$594=AC31,ROW('All Player Data Store'!$Y$7:$Y$594)-ROW('All Player Data Store'!$Y$7)+1),COUNTIF($AC$8:AC31,AC31))),"")</f>
        <v/>
      </c>
      <c r="Z31" s="108">
        <f t="array" ref="Z31">IF(ISNUMBER(AC31),INDEX('All Player Data Store'!$V$7:$V$594,SMALL(IF('All Player Data Store'!$Y$7:$Y$594=AC31,ROW('All Player Data Store'!$Y$7:$Y$594)-ROW('All Player Data Store'!$Y$7)+1),COUNTIF($AC$8:AC31,AC31))),"")</f>
        <v>24.18</v>
      </c>
      <c r="AA31" s="112">
        <f t="array" ref="AA31">IF(ISNUMBER(AC31),INDEX('All Player Data Store'!$W$7:$W$594,SMALL(IF('All Player Data Store'!$Y$7:$Y$594=AC31,ROW('All Player Data Store'!$Y$7:$Y$594)-ROW('All Player Data Store'!$Y$7)+1),COUNTIF($AC$8:AC31,AC31))),"")</f>
        <v>4</v>
      </c>
      <c r="AB31" s="108">
        <f t="array" ref="AB31">IF(ISNUMBER(AC31),INDEX('All Player Data Store'!$X$7:$X$594,SMALL(IF('All Player Data Store'!$Y$7:$Y$594=AC31,ROW('All Player Data Store'!$Y$7:$Y$594)-ROW('All Player Data Store'!$Y$7)+1),COUNTIF($AC$8:AC31,AC31))),"")</f>
        <v>21.884545454545453</v>
      </c>
      <c r="AC31" s="115">
        <f>IF(ISERROR(IF(ISERROR(LARGE('All Player Data Store'!$Y$7:$Y$594,24)),"",(LARGE('All Player Data Store'!$Y$7:$Y$594,24)))),"",(IF(ISERROR(LARGE('All Player Data Store'!$Y$7:$Y$594,24)),"",(LARGE('All Player Data Store'!$Y$7:$Y$594,24)))))</f>
        <v>31.884545454545453</v>
      </c>
      <c r="AD31" s="106">
        <f t="shared" si="2"/>
        <v>3</v>
      </c>
      <c r="AE31" s="107" t="str">
        <f t="array" ref="AE31">IF(ISNUMBER(AC31),INDEX('All Player Data Store'!$J$8:$J$594,SMALL(IF('All Player Data Store'!$Y$7:$Y$594=AC31,ROW('All Player Data Store'!$Y$7:$Y$594)-ROW('All Player Data Store'!$Y$7)+1),COUNTIF($AC$8:AC31,AC31))),"")</f>
        <v>4*0</v>
      </c>
      <c r="AF31" s="108">
        <f t="shared" si="3"/>
        <v>26.05</v>
      </c>
      <c r="AG31" s="108" t="str">
        <f t="array" ref="AG31">IF(ISNUMBER(AC31),INDEX('All Player Data Store'!$K$8:$K$594,SMALL(IF('All Player Data Store'!$Y$7:$Y$594=AC31,ROW('All Player Data Store'!$Y$7:$Y$594)-ROW('All Player Data Store'!$Y$7)+1),COUNTIF($AC$8:AC31,AC31))),"")</f>
        <v>4*1(1)</v>
      </c>
      <c r="AH31" s="108">
        <f t="shared" si="4"/>
        <v>20.11</v>
      </c>
      <c r="AI31" s="108" t="str">
        <f t="array" ref="AI31">IF(ISNUMBER(AC31),INDEX('All Player Data Store'!$L$8:$L$594,SMALL(IF('All Player Data Store'!$Y$7:$Y$594=AC31,ROW('All Player Data Store'!$Y$7:$Y$594)-ROW('All Player Data Store'!$Y$7)+1),COUNTIF($AC$8:AC31,AC31))),"")</f>
        <v>4*1</v>
      </c>
      <c r="AJ31" s="108">
        <f t="shared" si="5"/>
        <v>23.96</v>
      </c>
      <c r="AK31" s="108" t="str">
        <f t="array" ref="AK31">IF(ISNUMBER(AC31),INDEX('All Player Data Store'!$M$8:$M$594,SMALL(IF('All Player Data Store'!$Y$7:$Y$594=AC31,ROW('All Player Data Store'!$Y$7:$Y$594)-ROW('All Player Data Store'!$Y$7)+1),COUNTIF($AC$8:AC31,AC31))),"")</f>
        <v>4*3</v>
      </c>
      <c r="AL31" s="108">
        <f t="shared" si="6"/>
        <v>21.01</v>
      </c>
      <c r="AM31" s="108" t="str">
        <f t="array" ref="AM31">IF(ISNUMBER(AC31),INDEX('All Player Data Store'!$N$8:$N$594,SMALL(IF('All Player Data Store'!$Y$7:$Y$594=AC31,ROW('All Player Data Store'!$Y$7:$Y$594)-ROW('All Player Data Store'!$Y$7)+1),COUNTIF($AC$8:AC31,AC31))),"")</f>
        <v>4*1</v>
      </c>
      <c r="AN31" s="108">
        <f t="shared" si="7"/>
        <v>23.66</v>
      </c>
      <c r="AO31" s="108" t="str">
        <f t="array" ref="AO31">IF(ISNUMBER(AC31),INDEX('All Player Data Store'!$O$8:$O$594,SMALL(IF('All Player Data Store'!$Y$7:$Y$594=AC31,ROW('All Player Data Store'!$Y$7:$Y$594)-ROW('All Player Data Store'!$Y$7)+1),COUNTIF($AC$8:AC31,AC31))),"")</f>
        <v>4*2(1)</v>
      </c>
      <c r="AP31" s="108">
        <f t="shared" si="8"/>
        <v>23.29</v>
      </c>
      <c r="AQ31" s="108" t="str">
        <f t="array" ref="AQ31">IF(ISNUMBER(AC31),INDEX('All Player Data Store'!$P$8:$P$594,SMALL(IF('All Player Data Store'!$Y$7:$Y$594=AC31,ROW('All Player Data Store'!$Y$7:$Y$594)-ROW('All Player Data Store'!$Y$7)+1),COUNTIF($AC$8:AC31,AC31))),"")</f>
        <v>4*3(1)</v>
      </c>
      <c r="AR31" s="108">
        <f t="shared" si="9"/>
        <v>21.95</v>
      </c>
      <c r="AS31" s="108" t="str">
        <f t="array" ref="AS31">IF(ISNUMBER(AC31),INDEX('All Player Data Store'!$Q$8:$Q$594,SMALL(IF('All Player Data Store'!$Y$7:$Y$594=AC31,ROW('All Player Data Store'!$Y$7:$Y$594)-ROW('All Player Data Store'!$Y$7)+1),COUNTIF($AC$8:AC31,AC31))),"")</f>
        <v>4*0</v>
      </c>
      <c r="AT31" s="108">
        <f t="shared" si="10"/>
        <v>21.04</v>
      </c>
      <c r="AU31" s="108" t="str">
        <f t="array" ref="AU31">IF(ISNUMBER(AC31),INDEX('All Player Data Store'!$R$8:$R$594,SMALL(IF('All Player Data Store'!$Y$7:$Y$594=AC31,ROW('All Player Data Store'!$Y$7:$Y$594)-ROW('All Player Data Store'!$Y$7)+1),COUNTIF($AC$8:AC31,AC31))),"")</f>
        <v>4*0</v>
      </c>
      <c r="AV31" s="108">
        <f t="shared" si="11"/>
        <v>22.32</v>
      </c>
      <c r="AW31" s="108" t="str">
        <f t="array" ref="AW31">IF(ISNUMBER(AC31),INDEX('All Player Data Store'!$S$8:$S$594,SMALL(IF('All Player Data Store'!$Y$7:$Y$594=AC31,ROW('All Player Data Store'!$Y$7:$Y$594)-ROW('All Player Data Store'!$Y$7)+1),COUNTIF($AC$8:AC31,AC31))),"")</f>
        <v/>
      </c>
      <c r="AX31" s="108" t="str">
        <f t="shared" si="12"/>
        <v/>
      </c>
      <c r="AY31" s="108" t="str">
        <f t="array" ref="AY31">IF(ISNUMBER(AC31),INDEX('All Player Data Store'!$T$8:$T$594,SMALL(IF('All Player Data Store'!$Y$7:$Y$594=AC31,ROW('All Player Data Store'!$Y$7:$Y$594)-ROW('All Player Data Store'!$Y$7)+1),COUNTIF($AC$8:AC31,AC31))),"")</f>
        <v>0*4</v>
      </c>
      <c r="AZ31" s="108">
        <f t="shared" si="13"/>
        <v>22.16</v>
      </c>
      <c r="BA31" s="108" t="str">
        <f t="array" ref="BA31">IF(ISNUMBER(AC31),INDEX('All Player Data Store'!$U$8:$U$594,SMALL(IF('All Player Data Store'!$Y$7:$Y$594=AC31,ROW('All Player Data Store'!$Y$7:$Y$594)-ROW('All Player Data Store'!$Y$7)+1),COUNTIF($AC$8:AC31,AC31))),"")</f>
        <v/>
      </c>
      <c r="BB31" s="108" t="str">
        <f t="shared" si="14"/>
        <v/>
      </c>
      <c r="BC31" s="108" t="str">
        <f t="array" ref="BC31">IF(ISNUMBER(AC31),INDEX('All Player Data Store'!$V$8:$V$594,SMALL(IF('All Player Data Store'!$Y$7:$Y$594=AC31,ROW('All Player Data Store'!$Y$7:$Y$594)-ROW('All Player Data Store'!$Y$7)+1),COUNTIF($AC$8:AC31,AC31))),"")</f>
        <v>4*3(1)</v>
      </c>
      <c r="BD31" s="108">
        <f t="shared" si="15"/>
        <v>25.18</v>
      </c>
      <c r="BE31" s="1"/>
    </row>
    <row r="32" spans="2:57" ht="12" customHeight="1" x14ac:dyDescent="0.2">
      <c r="B32" s="98" t="str">
        <f t="shared" si="0"/>
        <v>N</v>
      </c>
      <c r="C32" s="1"/>
      <c r="D32" s="68">
        <f t="shared" si="1"/>
        <v>25</v>
      </c>
      <c r="E32" s="2"/>
      <c r="F32" s="78">
        <v>25</v>
      </c>
      <c r="G32" s="110" t="str">
        <f t="array" ref="G32">IF(ISNUMBER(AC32),INDEX('All Player Data Store'!$C$7:$C$594,SMALL(IF('All Player Data Store'!$Y$7:$Y$594=AC32,ROW('All Player Data Store'!$Y$7:$Y$594)-ROW('All Player Data Store'!$Y$7)+1),COUNTIF($AC$8:AC32,AC32))),"")</f>
        <v>David Elm</v>
      </c>
      <c r="H32" s="111" t="str">
        <f t="array" ref="H32">IF(ISNUMBER(AC32),INDEX('All Player Data Store'!$D$7:$D$594,SMALL(IF('All Player Data Store'!$Y$7:$Y$594=AC32,ROW('All Player Data Store'!$Y$7:$Y$594)-ROW('All Player Data Store'!$Y$7)+1),COUNTIF($AC$8:AC32,AC32))),"")</f>
        <v>Swa</v>
      </c>
      <c r="I32" s="69">
        <f t="array" ref="I32">IF(ISNUMBER(AC32),INDEX('All Player Data Store'!$E$7:$E$594,SMALL(IF('All Player Data Store'!$Y$7:$Y$594=AC32,ROW('All Player Data Store'!$Y$7:$Y$594)-ROW('All Player Data Store'!$Y$7)+1),COUNTIF($AC$8:AC32,AC32))),"")</f>
        <v>8</v>
      </c>
      <c r="J32" s="70">
        <f t="array" ref="J32">IF(ISNUMBER(AC32),INDEX('All Player Data Store'!$F$7:$F$594,SMALL(IF('All Player Data Store'!$Y$7:$Y$594=AC32,ROW('All Player Data Store'!$Y$7:$Y$594)-ROW('All Player Data Store'!$Y$7)+1),COUNTIF($AC$8:AC32,AC32))),"")</f>
        <v>7</v>
      </c>
      <c r="K32" s="112">
        <f t="array" ref="K32">IF(ISNUMBER(AC32),INDEX('All Player Data Store'!$G$7:$G$594,SMALL(IF('All Player Data Store'!$Y$7:$Y$594=AC32,ROW('All Player Data Store'!$Y$7:$Y$594)-ROW('All Player Data Store'!$Y$7)+1),COUNTIF($AC$8:AC32,AC32))),"")</f>
        <v>1</v>
      </c>
      <c r="L32" s="112">
        <f t="array" ref="L32">IF(ISNUMBER(AC32),INDEX('All Player Data Store'!$H$7:$H$594,SMALL(IF('All Player Data Store'!$Y$7:$Y$594=AC32,ROW('All Player Data Store'!$Y$7:$Y$594)-ROW('All Player Data Store'!$Y$7)+1),COUNTIF($AC$8:AC32,AC32))),"")</f>
        <v>30</v>
      </c>
      <c r="M32" s="113">
        <f t="array" ref="M32">IF(ISNUMBER(AC32),INDEX('All Player Data Store'!$I$7:$I$594,SMALL(IF('All Player Data Store'!$Y$7:$Y$594=AC32,ROW('All Player Data Store'!$Y$7:$Y$594)-ROW('All Player Data Store'!$Y$7)+1),COUNTIF($AC$8:AC32,AC32))),"")</f>
        <v>11</v>
      </c>
      <c r="N32" s="114" t="str">
        <f t="array" ref="N32">IF(ISNUMBER(AC32),INDEX('All Player Data Store'!$J$7:$J$594,SMALL(IF('All Player Data Store'!$Y$7:$Y$594=AC32,ROW('All Player Data Store'!$Y$7:$Y$594)-ROW('All Player Data Store'!$Y$7)+1),COUNTIF($AC$8:AC32,AC32))),"")</f>
        <v/>
      </c>
      <c r="O32" s="108" t="str">
        <f t="array" ref="O32">IF(ISNUMBER(AC32),INDEX('All Player Data Store'!$K$7:$K$594,SMALL(IF('All Player Data Store'!$Y$7:$Y$594=AC32,ROW('All Player Data Store'!$Y$7:$Y$594)-ROW('All Player Data Store'!$Y$7)+1),COUNTIF($AC$8:AC32,AC32))),"")</f>
        <v/>
      </c>
      <c r="P32" s="108">
        <f t="array" ref="P32">IF(ISNUMBER(AC32),INDEX('All Player Data Store'!$L$7:$L$594,SMALL(IF('All Player Data Store'!$Y$7:$Y$594=AC32,ROW('All Player Data Store'!$Y$7:$Y$594)-ROW('All Player Data Store'!$Y$7)+1),COUNTIF($AC$8:AC32,AC32))),"")</f>
        <v>27.94</v>
      </c>
      <c r="Q32" s="108">
        <f t="array" ref="Q32">IF(ISNUMBER(AC32),INDEX('All Player Data Store'!$M$7:$M$594,SMALL(IF('All Player Data Store'!$Y$7:$Y$594=AC32,ROW('All Player Data Store'!$Y$7:$Y$594)-ROW('All Player Data Store'!$Y$7)+1),COUNTIF($AC$8:AC32,AC32))),"")</f>
        <v>21.97</v>
      </c>
      <c r="R32" s="108">
        <f t="array" ref="R32">IF(ISNUMBER(AC32),INDEX('All Player Data Store'!$N$7:$N$594,SMALL(IF('All Player Data Store'!$Y$7:$Y$594=AC32,ROW('All Player Data Store'!$Y$7:$Y$594)-ROW('All Player Data Store'!$Y$7)+1),COUNTIF($AC$8:AC32,AC32))),"")</f>
        <v>26.03</v>
      </c>
      <c r="S32" s="108" t="str">
        <f t="array" ref="S32">IF(ISNUMBER(AC32),INDEX('All Player Data Store'!$O$7:$O$594,SMALL(IF('All Player Data Store'!$Y$7:$Y$594=AC32,ROW('All Player Data Store'!$Y$7:$Y$594)-ROW('All Player Data Store'!$Y$7)+1),COUNTIF($AC$8:AC32,AC32))),"")</f>
        <v/>
      </c>
      <c r="T32" s="108">
        <f t="array" ref="T32">IF(ISNUMBER(AC32),INDEX('All Player Data Store'!$P$7:$P$594,SMALL(IF('All Player Data Store'!$Y$7:$Y$594=AC32,ROW('All Player Data Store'!$Y$7:$Y$594)-ROW('All Player Data Store'!$Y$7)+1),COUNTIF($AC$8:AC32,AC32))),"")</f>
        <v>22.02</v>
      </c>
      <c r="U32" s="108">
        <f t="array" ref="U32">IF(ISNUMBER(AC32),INDEX('All Player Data Store'!$Q$7:$Q$594,SMALL(IF('All Player Data Store'!$Y$7:$Y$594=AC32,ROW('All Player Data Store'!$Y$7:$Y$594)-ROW('All Player Data Store'!$Y$7)+1),COUNTIF($AC$8:AC32,AC32))),"")</f>
        <v>22.97</v>
      </c>
      <c r="V32" s="108">
        <f t="array" ref="V32">IF(ISNUMBER(AC32),INDEX('All Player Data Store'!$R$7:$R$594,SMALL(IF('All Player Data Store'!$Y$7:$Y$594=AC32,ROW('All Player Data Store'!$Y$7:$Y$594)-ROW('All Player Data Store'!$Y$7)+1),COUNTIF($AC$8:AC32,AC32))),"")</f>
        <v>23.15</v>
      </c>
      <c r="W32" s="108" t="str">
        <f t="array" ref="W32">IF(ISNUMBER(AC32),INDEX('All Player Data Store'!$S$7:$S$594,SMALL(IF('All Player Data Store'!$Y$7:$Y$594=AC32,ROW('All Player Data Store'!$Y$7:$Y$594)-ROW('All Player Data Store'!$Y$7)+1),COUNTIF($AC$8:AC32,AC32))),"")</f>
        <v/>
      </c>
      <c r="X32" s="108">
        <f t="array" ref="X32">IF(ISNUMBER(AC32),INDEX('All Player Data Store'!$T$7:$T$594,SMALL(IF('All Player Data Store'!$Y$7:$Y$594=AC32,ROW('All Player Data Store'!$Y$7:$Y$594)-ROW('All Player Data Store'!$Y$7)+1),COUNTIF($AC$8:AC32,AC32))),"")</f>
        <v>25.69</v>
      </c>
      <c r="Y32" s="108" t="str">
        <f t="array" ref="Y32">IF(ISNUMBER(AC32),INDEX('All Player Data Store'!$U$7:$U$594,SMALL(IF('All Player Data Store'!$Y$7:$Y$594=AC32,ROW('All Player Data Store'!$Y$7:$Y$594)-ROW('All Player Data Store'!$Y$7)+1),COUNTIF($AC$8:AC32,AC32))),"")</f>
        <v/>
      </c>
      <c r="Z32" s="108">
        <f t="array" ref="Z32">IF(ISNUMBER(AC32),INDEX('All Player Data Store'!$V$7:$V$594,SMALL(IF('All Player Data Store'!$Y$7:$Y$594=AC32,ROW('All Player Data Store'!$Y$7:$Y$594)-ROW('All Player Data Store'!$Y$7)+1),COUNTIF($AC$8:AC32,AC32))),"")</f>
        <v>26.72</v>
      </c>
      <c r="AA32" s="112">
        <f t="array" ref="AA32">IF(ISNUMBER(AC32),INDEX('All Player Data Store'!$W$7:$W$594,SMALL(IF('All Player Data Store'!$Y$7:$Y$594=AC32,ROW('All Player Data Store'!$Y$7:$Y$594)-ROW('All Player Data Store'!$Y$7)+1),COUNTIF($AC$8:AC32,AC32))),"")</f>
        <v>5</v>
      </c>
      <c r="AB32" s="108">
        <f t="array" ref="AB32">IF(ISNUMBER(AC32),INDEX('All Player Data Store'!$X$7:$X$594,SMALL(IF('All Player Data Store'!$Y$7:$Y$594=AC32,ROW('All Player Data Store'!$Y$7:$Y$594)-ROW('All Player Data Store'!$Y$7)+1),COUNTIF($AC$8:AC32,AC32))),"")</f>
        <v>24.561249999999998</v>
      </c>
      <c r="AC32" s="115">
        <f>IF(ISERROR(IF(ISERROR(LARGE('All Player Data Store'!$Y$7:$Y$594,25)),"",(LARGE('All Player Data Store'!$Y$7:$Y$594,25)))),"",(IF(ISERROR(LARGE('All Player Data Store'!$Y$7:$Y$594,25)),"",(LARGE('All Player Data Store'!$Y$7:$Y$594,25)))))</f>
        <v>31.561249999999998</v>
      </c>
      <c r="AD32" s="106">
        <f t="shared" si="2"/>
        <v>3</v>
      </c>
      <c r="AE32" s="107" t="str">
        <f t="array" ref="AE32">IF(ISNUMBER(AC32),INDEX('All Player Data Store'!$J$8:$J$594,SMALL(IF('All Player Data Store'!$Y$7:$Y$594=AC32,ROW('All Player Data Store'!$Y$7:$Y$594)-ROW('All Player Data Store'!$Y$7)+1),COUNTIF($AC$8:AC32,AC32))),"")</f>
        <v/>
      </c>
      <c r="AF32" s="108" t="str">
        <f t="shared" si="3"/>
        <v/>
      </c>
      <c r="AG32" s="108" t="str">
        <f t="array" ref="AG32">IF(ISNUMBER(AC32),INDEX('All Player Data Store'!$K$8:$K$594,SMALL(IF('All Player Data Store'!$Y$7:$Y$594=AC32,ROW('All Player Data Store'!$Y$7:$Y$594)-ROW('All Player Data Store'!$Y$7)+1),COUNTIF($AC$8:AC32,AC32))),"")</f>
        <v/>
      </c>
      <c r="AH32" s="108" t="str">
        <f t="shared" si="4"/>
        <v/>
      </c>
      <c r="AI32" s="108" t="str">
        <f t="array" ref="AI32">IF(ISNUMBER(AC32),INDEX('All Player Data Store'!$L$8:$L$594,SMALL(IF('All Player Data Store'!$Y$7:$Y$594=AC32,ROW('All Player Data Store'!$Y$7:$Y$594)-ROW('All Player Data Store'!$Y$7)+1),COUNTIF($AC$8:AC32,AC32))),"")</f>
        <v>4*2</v>
      </c>
      <c r="AJ32" s="108">
        <f t="shared" si="5"/>
        <v>28.94</v>
      </c>
      <c r="AK32" s="108" t="str">
        <f t="array" ref="AK32">IF(ISNUMBER(AC32),INDEX('All Player Data Store'!$M$8:$M$594,SMALL(IF('All Player Data Store'!$Y$7:$Y$594=AC32,ROW('All Player Data Store'!$Y$7:$Y$594)-ROW('All Player Data Store'!$Y$7)+1),COUNTIF($AC$8:AC32,AC32))),"")</f>
        <v>4*2</v>
      </c>
      <c r="AL32" s="108">
        <f t="shared" si="6"/>
        <v>22.97</v>
      </c>
      <c r="AM32" s="108" t="str">
        <f t="array" ref="AM32">IF(ISNUMBER(AC32),INDEX('All Player Data Store'!$N$8:$N$594,SMALL(IF('All Player Data Store'!$Y$7:$Y$594=AC32,ROW('All Player Data Store'!$Y$7:$Y$594)-ROW('All Player Data Store'!$Y$7)+1),COUNTIF($AC$8:AC32,AC32))),"")</f>
        <v>4*0(1)</v>
      </c>
      <c r="AN32" s="108">
        <f t="shared" si="7"/>
        <v>27.03</v>
      </c>
      <c r="AO32" s="108" t="str">
        <f t="array" ref="AO32">IF(ISNUMBER(AC32),INDEX('All Player Data Store'!$O$8:$O$594,SMALL(IF('All Player Data Store'!$Y$7:$Y$594=AC32,ROW('All Player Data Store'!$Y$7:$Y$594)-ROW('All Player Data Store'!$Y$7)+1),COUNTIF($AC$8:AC32,AC32))),"")</f>
        <v/>
      </c>
      <c r="AP32" s="108" t="str">
        <f t="shared" si="8"/>
        <v/>
      </c>
      <c r="AQ32" s="108" t="str">
        <f t="array" ref="AQ32">IF(ISNUMBER(AC32),INDEX('All Player Data Store'!$P$8:$P$594,SMALL(IF('All Player Data Store'!$Y$7:$Y$594=AC32,ROW('All Player Data Store'!$Y$7:$Y$594)-ROW('All Player Data Store'!$Y$7)+1),COUNTIF($AC$8:AC32,AC32))),"")</f>
        <v>4*0</v>
      </c>
      <c r="AR32" s="108">
        <f t="shared" si="9"/>
        <v>23.02</v>
      </c>
      <c r="AS32" s="108" t="str">
        <f t="array" ref="AS32">IF(ISNUMBER(AC32),INDEX('All Player Data Store'!$Q$8:$Q$594,SMALL(IF('All Player Data Store'!$Y$7:$Y$594=AC32,ROW('All Player Data Store'!$Y$7:$Y$594)-ROW('All Player Data Store'!$Y$7)+1),COUNTIF($AC$8:AC32,AC32))),"")</f>
        <v>2*4(2)</v>
      </c>
      <c r="AT32" s="108">
        <f t="shared" si="10"/>
        <v>22.97</v>
      </c>
      <c r="AU32" s="108" t="str">
        <f t="array" ref="AU32">IF(ISNUMBER(AC32),INDEX('All Player Data Store'!$R$8:$R$594,SMALL(IF('All Player Data Store'!$Y$7:$Y$594=AC32,ROW('All Player Data Store'!$Y$7:$Y$594)-ROW('All Player Data Store'!$Y$7)+1),COUNTIF($AC$8:AC32,AC32))),"")</f>
        <v>4*2</v>
      </c>
      <c r="AV32" s="108">
        <f t="shared" si="11"/>
        <v>24.15</v>
      </c>
      <c r="AW32" s="108" t="str">
        <f t="array" ref="AW32">IF(ISNUMBER(AC32),INDEX('All Player Data Store'!$S$8:$S$594,SMALL(IF('All Player Data Store'!$Y$7:$Y$594=AC32,ROW('All Player Data Store'!$Y$7:$Y$594)-ROW('All Player Data Store'!$Y$7)+1),COUNTIF($AC$8:AC32,AC32))),"")</f>
        <v/>
      </c>
      <c r="AX32" s="108" t="str">
        <f t="shared" si="12"/>
        <v/>
      </c>
      <c r="AY32" s="108" t="str">
        <f t="array" ref="AY32">IF(ISNUMBER(AC32),INDEX('All Player Data Store'!$T$8:$T$594,SMALL(IF('All Player Data Store'!$Y$7:$Y$594=AC32,ROW('All Player Data Store'!$Y$7:$Y$594)-ROW('All Player Data Store'!$Y$7)+1),COUNTIF($AC$8:AC32,AC32))),"")</f>
        <v>4*0(1)</v>
      </c>
      <c r="AZ32" s="108">
        <f t="shared" si="13"/>
        <v>26.69</v>
      </c>
      <c r="BA32" s="108" t="str">
        <f t="array" ref="BA32">IF(ISNUMBER(AC32),INDEX('All Player Data Store'!$U$8:$U$594,SMALL(IF('All Player Data Store'!$Y$7:$Y$594=AC32,ROW('All Player Data Store'!$Y$7:$Y$594)-ROW('All Player Data Store'!$Y$7)+1),COUNTIF($AC$8:AC32,AC32))),"")</f>
        <v/>
      </c>
      <c r="BB32" s="108" t="str">
        <f t="shared" si="14"/>
        <v/>
      </c>
      <c r="BC32" s="108" t="str">
        <f t="array" ref="BC32">IF(ISNUMBER(AC32),INDEX('All Player Data Store'!$V$8:$V$594,SMALL(IF('All Player Data Store'!$Y$7:$Y$594=AC32,ROW('All Player Data Store'!$Y$7:$Y$594)-ROW('All Player Data Store'!$Y$7)+1),COUNTIF($AC$8:AC32,AC32))),"")</f>
        <v>4*1(1)</v>
      </c>
      <c r="BD32" s="108">
        <f t="shared" si="15"/>
        <v>27.72</v>
      </c>
      <c r="BE32" s="1"/>
    </row>
    <row r="33" spans="2:57" ht="12" customHeight="1" x14ac:dyDescent="0.2">
      <c r="B33" s="98" t="str">
        <f t="shared" si="0"/>
        <v>Y</v>
      </c>
      <c r="C33" s="1"/>
      <c r="D33" s="68">
        <f t="shared" si="1"/>
        <v>26</v>
      </c>
      <c r="E33" s="2"/>
      <c r="F33" s="78">
        <v>26</v>
      </c>
      <c r="G33" s="110" t="str">
        <f t="array" ref="G33">IF(ISNUMBER(AC33),INDEX('All Player Data Store'!$C$7:$C$594,SMALL(IF('All Player Data Store'!$Y$7:$Y$594=AC33,ROW('All Player Data Store'!$Y$7:$Y$594)-ROW('All Player Data Store'!$Y$7)+1),COUNTIF($AC$8:AC33,AC33))),"")</f>
        <v>Tony Dunning</v>
      </c>
      <c r="H33" s="111" t="str">
        <f t="array" ref="H33">IF(ISNUMBER(AC33),INDEX('All Player Data Store'!$D$7:$D$594,SMALL(IF('All Player Data Store'!$Y$7:$Y$594=AC33,ROW('All Player Data Store'!$Y$7:$Y$594)-ROW('All Player Data Store'!$Y$7)+1),COUNTIF($AC$8:AC33,AC33))),"")</f>
        <v>Chr</v>
      </c>
      <c r="I33" s="69">
        <f t="array" ref="I33">IF(ISNUMBER(AC33),INDEX('All Player Data Store'!$E$7:$E$594,SMALL(IF('All Player Data Store'!$Y$7:$Y$594=AC33,ROW('All Player Data Store'!$Y$7:$Y$594)-ROW('All Player Data Store'!$Y$7)+1),COUNTIF($AC$8:AC33,AC33))),"")</f>
        <v>13</v>
      </c>
      <c r="J33" s="70">
        <f t="array" ref="J33">IF(ISNUMBER(AC33),INDEX('All Player Data Store'!$F$7:$F$594,SMALL(IF('All Player Data Store'!$Y$7:$Y$594=AC33,ROW('All Player Data Store'!$Y$7:$Y$594)-ROW('All Player Data Store'!$Y$7)+1),COUNTIF($AC$8:AC33,AC33))),"")</f>
        <v>8</v>
      </c>
      <c r="K33" s="112">
        <f t="array" ref="K33">IF(ISNUMBER(AC33),INDEX('All Player Data Store'!$G$7:$G$594,SMALL(IF('All Player Data Store'!$Y$7:$Y$594=AC33,ROW('All Player Data Store'!$Y$7:$Y$594)-ROW('All Player Data Store'!$Y$7)+1),COUNTIF($AC$8:AC33,AC33))),"")</f>
        <v>5</v>
      </c>
      <c r="L33" s="112">
        <f t="array" ref="L33">IF(ISNUMBER(AC33),INDEX('All Player Data Store'!$H$7:$H$594,SMALL(IF('All Player Data Store'!$Y$7:$Y$594=AC33,ROW('All Player Data Store'!$Y$7:$Y$594)-ROW('All Player Data Store'!$Y$7)+1),COUNTIF($AC$8:AC33,AC33))),"")</f>
        <v>41</v>
      </c>
      <c r="M33" s="113">
        <f t="array" ref="M33">IF(ISNUMBER(AC33),INDEX('All Player Data Store'!$I$7:$I$594,SMALL(IF('All Player Data Store'!$Y$7:$Y$594=AC33,ROW('All Player Data Store'!$Y$7:$Y$594)-ROW('All Player Data Store'!$Y$7)+1),COUNTIF($AC$8:AC33,AC33))),"")</f>
        <v>28</v>
      </c>
      <c r="N33" s="114">
        <f t="array" ref="N33">IF(ISNUMBER(AC33),INDEX('All Player Data Store'!$J$7:$J$594,SMALL(IF('All Player Data Store'!$Y$7:$Y$594=AC33,ROW('All Player Data Store'!$Y$7:$Y$594)-ROW('All Player Data Store'!$Y$7)+1),COUNTIF($AC$8:AC33,AC33))),"")</f>
        <v>20.059999999999999</v>
      </c>
      <c r="O33" s="108">
        <f t="array" ref="O33">IF(ISNUMBER(AC33),INDEX('All Player Data Store'!$K$7:$K$594,SMALL(IF('All Player Data Store'!$Y$7:$Y$594=AC33,ROW('All Player Data Store'!$Y$7:$Y$594)-ROW('All Player Data Store'!$Y$7)+1),COUNTIF($AC$8:AC33,AC33))),"")</f>
        <v>20.64</v>
      </c>
      <c r="P33" s="108">
        <f t="array" ref="P33">IF(ISNUMBER(AC33),INDEX('All Player Data Store'!$L$7:$L$594,SMALL(IF('All Player Data Store'!$Y$7:$Y$594=AC33,ROW('All Player Data Store'!$Y$7:$Y$594)-ROW('All Player Data Store'!$Y$7)+1),COUNTIF($AC$8:AC33,AC33))),"")</f>
        <v>30.36</v>
      </c>
      <c r="Q33" s="108">
        <f t="array" ref="Q33">IF(ISNUMBER(AC33),INDEX('All Player Data Store'!$M$7:$M$594,SMALL(IF('All Player Data Store'!$Y$7:$Y$594=AC33,ROW('All Player Data Store'!$Y$7:$Y$594)-ROW('All Player Data Store'!$Y$7)+1),COUNTIF($AC$8:AC33,AC33))),"")</f>
        <v>20.16</v>
      </c>
      <c r="R33" s="108">
        <f t="array" ref="R33">IF(ISNUMBER(AC33),INDEX('All Player Data Store'!$N$7:$N$594,SMALL(IF('All Player Data Store'!$Y$7:$Y$594=AC33,ROW('All Player Data Store'!$Y$7:$Y$594)-ROW('All Player Data Store'!$Y$7)+1),COUNTIF($AC$8:AC33,AC33))),"")</f>
        <v>27.45</v>
      </c>
      <c r="S33" s="108">
        <f t="array" ref="S33">IF(ISNUMBER(AC33),INDEX('All Player Data Store'!$O$7:$O$594,SMALL(IF('All Player Data Store'!$Y$7:$Y$594=AC33,ROW('All Player Data Store'!$Y$7:$Y$594)-ROW('All Player Data Store'!$Y$7)+1),COUNTIF($AC$8:AC33,AC33))),"")</f>
        <v>23.59</v>
      </c>
      <c r="T33" s="108">
        <f t="array" ref="T33">IF(ISNUMBER(AC33),INDEX('All Player Data Store'!$P$7:$P$594,SMALL(IF('All Player Data Store'!$Y$7:$Y$594=AC33,ROW('All Player Data Store'!$Y$7:$Y$594)-ROW('All Player Data Store'!$Y$7)+1),COUNTIF($AC$8:AC33,AC33))),"")</f>
        <v>25.14</v>
      </c>
      <c r="U33" s="108">
        <f t="array" ref="U33">IF(ISNUMBER(AC33),INDEX('All Player Data Store'!$Q$7:$Q$594,SMALL(IF('All Player Data Store'!$Y$7:$Y$594=AC33,ROW('All Player Data Store'!$Y$7:$Y$594)-ROW('All Player Data Store'!$Y$7)+1),COUNTIF($AC$8:AC33,AC33))),"")</f>
        <v>23.39</v>
      </c>
      <c r="V33" s="108">
        <f t="array" ref="V33">IF(ISNUMBER(AC33),INDEX('All Player Data Store'!$R$7:$R$594,SMALL(IF('All Player Data Store'!$Y$7:$Y$594=AC33,ROW('All Player Data Store'!$Y$7:$Y$594)-ROW('All Player Data Store'!$Y$7)+1),COUNTIF($AC$8:AC33,AC33))),"")</f>
        <v>17.899999999999999</v>
      </c>
      <c r="W33" s="108">
        <f t="array" ref="W33">IF(ISNUMBER(AC33),INDEX('All Player Data Store'!$S$7:$S$594,SMALL(IF('All Player Data Store'!$Y$7:$Y$594=AC33,ROW('All Player Data Store'!$Y$7:$Y$594)-ROW('All Player Data Store'!$Y$7)+1),COUNTIF($AC$8:AC33,AC33))),"")</f>
        <v>21.32</v>
      </c>
      <c r="X33" s="108">
        <f t="array" ref="X33">IF(ISNUMBER(AC33),INDEX('All Player Data Store'!$T$7:$T$594,SMALL(IF('All Player Data Store'!$Y$7:$Y$594=AC33,ROW('All Player Data Store'!$Y$7:$Y$594)-ROW('All Player Data Store'!$Y$7)+1),COUNTIF($AC$8:AC33,AC33))),"")</f>
        <v>25.05</v>
      </c>
      <c r="Y33" s="108">
        <f t="array" ref="Y33">IF(ISNUMBER(AC33),INDEX('All Player Data Store'!$U$7:$U$594,SMALL(IF('All Player Data Store'!$Y$7:$Y$594=AC33,ROW('All Player Data Store'!$Y$7:$Y$594)-ROW('All Player Data Store'!$Y$7)+1),COUNTIF($AC$8:AC33,AC33))),"")</f>
        <v>20.28</v>
      </c>
      <c r="Z33" s="108">
        <f t="array" ref="Z33">IF(ISNUMBER(AC33),INDEX('All Player Data Store'!$V$7:$V$594,SMALL(IF('All Player Data Store'!$Y$7:$Y$594=AC33,ROW('All Player Data Store'!$Y$7:$Y$594)-ROW('All Player Data Store'!$Y$7)+1),COUNTIF($AC$8:AC33,AC33))),"")</f>
        <v>26.01</v>
      </c>
      <c r="AA33" s="112">
        <f t="array" ref="AA33">IF(ISNUMBER(AC33),INDEX('All Player Data Store'!$W$7:$W$594,SMALL(IF('All Player Data Store'!$Y$7:$Y$594=AC33,ROW('All Player Data Store'!$Y$7:$Y$594)-ROW('All Player Data Store'!$Y$7)+1),COUNTIF($AC$8:AC33,AC33))),"")</f>
        <v>4</v>
      </c>
      <c r="AB33" s="108">
        <f t="array" ref="AB33">IF(ISNUMBER(AC33),INDEX('All Player Data Store'!$X$7:$X$594,SMALL(IF('All Player Data Store'!$Y$7:$Y$594=AC33,ROW('All Player Data Store'!$Y$7:$Y$594)-ROW('All Player Data Store'!$Y$7)+1),COUNTIF($AC$8:AC33,AC33))),"")</f>
        <v>23.180769230769229</v>
      </c>
      <c r="AC33" s="115">
        <f>IF(ISERROR(IF(ISERROR(LARGE('All Player Data Store'!$Y$7:$Y$594,26)),"",(LARGE('All Player Data Store'!$Y$7:$Y$594,26)))),"",(IF(ISERROR(LARGE('All Player Data Store'!$Y$7:$Y$594,26)),"",(LARGE('All Player Data Store'!$Y$7:$Y$594,26)))))</f>
        <v>31.180769230769229</v>
      </c>
      <c r="AD33" s="106">
        <f t="shared" si="2"/>
        <v>3</v>
      </c>
      <c r="AE33" s="107" t="str">
        <f t="array" ref="AE33">IF(ISNUMBER(AC33),INDEX('All Player Data Store'!$J$8:$J$594,SMALL(IF('All Player Data Store'!$Y$7:$Y$594=AC33,ROW('All Player Data Store'!$Y$7:$Y$594)-ROW('All Player Data Store'!$Y$7)+1),COUNTIF($AC$8:AC33,AC33))),"")</f>
        <v>3*4(1)</v>
      </c>
      <c r="AF33" s="108">
        <f t="shared" si="3"/>
        <v>20.059999999999999</v>
      </c>
      <c r="AG33" s="108" t="str">
        <f t="array" ref="AG33">IF(ISNUMBER(AC33),INDEX('All Player Data Store'!$K$8:$K$594,SMALL(IF('All Player Data Store'!$Y$7:$Y$594=AC33,ROW('All Player Data Store'!$Y$7:$Y$594)-ROW('All Player Data Store'!$Y$7)+1),COUNTIF($AC$8:AC33,AC33))),"")</f>
        <v>4*3</v>
      </c>
      <c r="AH33" s="108">
        <f t="shared" si="4"/>
        <v>21.64</v>
      </c>
      <c r="AI33" s="108" t="str">
        <f t="array" ref="AI33">IF(ISNUMBER(AC33),INDEX('All Player Data Store'!$L$8:$L$594,SMALL(IF('All Player Data Store'!$Y$7:$Y$594=AC33,ROW('All Player Data Store'!$Y$7:$Y$594)-ROW('All Player Data Store'!$Y$7)+1),COUNTIF($AC$8:AC33,AC33))),"")</f>
        <v>4*0(1)</v>
      </c>
      <c r="AJ33" s="108">
        <f t="shared" si="5"/>
        <v>31.36</v>
      </c>
      <c r="AK33" s="108" t="str">
        <f t="array" ref="AK33">IF(ISNUMBER(AC33),INDEX('All Player Data Store'!$M$8:$M$594,SMALL(IF('All Player Data Store'!$Y$7:$Y$594=AC33,ROW('All Player Data Store'!$Y$7:$Y$594)-ROW('All Player Data Store'!$Y$7)+1),COUNTIF($AC$8:AC33,AC33))),"")</f>
        <v>1*4</v>
      </c>
      <c r="AL33" s="108">
        <f t="shared" si="6"/>
        <v>20.16</v>
      </c>
      <c r="AM33" s="108" t="str">
        <f t="array" ref="AM33">IF(ISNUMBER(AC33),INDEX('All Player Data Store'!$N$8:$N$594,SMALL(IF('All Player Data Store'!$Y$7:$Y$594=AC33,ROW('All Player Data Store'!$Y$7:$Y$594)-ROW('All Player Data Store'!$Y$7)+1),COUNTIF($AC$8:AC33,AC33))),"")</f>
        <v>4*0</v>
      </c>
      <c r="AN33" s="108">
        <f t="shared" si="7"/>
        <v>28.45</v>
      </c>
      <c r="AO33" s="108" t="str">
        <f t="array" ref="AO33">IF(ISNUMBER(AC33),INDEX('All Player Data Store'!$O$8:$O$594,SMALL(IF('All Player Data Store'!$Y$7:$Y$594=AC33,ROW('All Player Data Store'!$Y$7:$Y$594)-ROW('All Player Data Store'!$Y$7)+1),COUNTIF($AC$8:AC33,AC33))),"")</f>
        <v>4*3</v>
      </c>
      <c r="AP33" s="108">
        <f t="shared" si="8"/>
        <v>24.59</v>
      </c>
      <c r="AQ33" s="108" t="str">
        <f t="array" ref="AQ33">IF(ISNUMBER(AC33),INDEX('All Player Data Store'!$P$8:$P$594,SMALL(IF('All Player Data Store'!$Y$7:$Y$594=AC33,ROW('All Player Data Store'!$Y$7:$Y$594)-ROW('All Player Data Store'!$Y$7)+1),COUNTIF($AC$8:AC33,AC33))),"")</f>
        <v>0*4(1)</v>
      </c>
      <c r="AR33" s="108">
        <f t="shared" si="9"/>
        <v>25.14</v>
      </c>
      <c r="AS33" s="108" t="str">
        <f t="array" ref="AS33">IF(ISNUMBER(AC33),INDEX('All Player Data Store'!$Q$8:$Q$594,SMALL(IF('All Player Data Store'!$Y$7:$Y$594=AC33,ROW('All Player Data Store'!$Y$7:$Y$594)-ROW('All Player Data Store'!$Y$7)+1),COUNTIF($AC$8:AC33,AC33))),"")</f>
        <v>4*1</v>
      </c>
      <c r="AT33" s="108">
        <f t="shared" si="10"/>
        <v>24.39</v>
      </c>
      <c r="AU33" s="108" t="str">
        <f t="array" ref="AU33">IF(ISNUMBER(AC33),INDEX('All Player Data Store'!$R$8:$R$594,SMALL(IF('All Player Data Store'!$Y$7:$Y$594=AC33,ROW('All Player Data Store'!$Y$7:$Y$594)-ROW('All Player Data Store'!$Y$7)+1),COUNTIF($AC$8:AC33,AC33))),"")</f>
        <v>2*4</v>
      </c>
      <c r="AV33" s="108">
        <f t="shared" si="11"/>
        <v>17.899999999999999</v>
      </c>
      <c r="AW33" s="108" t="str">
        <f t="array" ref="AW33">IF(ISNUMBER(AC33),INDEX('All Player Data Store'!$S$8:$S$594,SMALL(IF('All Player Data Store'!$Y$7:$Y$594=AC33,ROW('All Player Data Store'!$Y$7:$Y$594)-ROW('All Player Data Store'!$Y$7)+1),COUNTIF($AC$8:AC33,AC33))),"")</f>
        <v>4*0(1)</v>
      </c>
      <c r="AX33" s="108">
        <f t="shared" si="12"/>
        <v>22.32</v>
      </c>
      <c r="AY33" s="108" t="str">
        <f t="array" ref="AY33">IF(ISNUMBER(AC33),INDEX('All Player Data Store'!$T$8:$T$594,SMALL(IF('All Player Data Store'!$Y$7:$Y$594=AC33,ROW('All Player Data Store'!$Y$7:$Y$594)-ROW('All Player Data Store'!$Y$7)+1),COUNTIF($AC$8:AC33,AC33))),"")</f>
        <v>4*0</v>
      </c>
      <c r="AZ33" s="108">
        <f t="shared" si="13"/>
        <v>26.05</v>
      </c>
      <c r="BA33" s="108" t="str">
        <f t="array" ref="BA33">IF(ISNUMBER(AC33),INDEX('All Player Data Store'!$U$8:$U$594,SMALL(IF('All Player Data Store'!$Y$7:$Y$594=AC33,ROW('All Player Data Store'!$Y$7:$Y$594)-ROW('All Player Data Store'!$Y$7)+1),COUNTIF($AC$8:AC33,AC33))),"")</f>
        <v>3*4</v>
      </c>
      <c r="BB33" s="108">
        <f t="shared" si="14"/>
        <v>20.28</v>
      </c>
      <c r="BC33" s="108" t="str">
        <f t="array" ref="BC33">IF(ISNUMBER(AC33),INDEX('All Player Data Store'!$V$8:$V$594,SMALL(IF('All Player Data Store'!$Y$7:$Y$594=AC33,ROW('All Player Data Store'!$Y$7:$Y$594)-ROW('All Player Data Store'!$Y$7)+1),COUNTIF($AC$8:AC33,AC33))),"")</f>
        <v>4*1</v>
      </c>
      <c r="BD33" s="108">
        <f t="shared" si="15"/>
        <v>27.01</v>
      </c>
      <c r="BE33" s="1"/>
    </row>
    <row r="34" spans="2:57" ht="12" customHeight="1" x14ac:dyDescent="0.2">
      <c r="B34" s="98" t="str">
        <f t="shared" si="0"/>
        <v>Y</v>
      </c>
      <c r="C34" s="1"/>
      <c r="D34" s="68">
        <f t="shared" si="1"/>
        <v>27</v>
      </c>
      <c r="E34" s="2"/>
      <c r="F34" s="78">
        <v>27</v>
      </c>
      <c r="G34" s="110" t="str">
        <f t="array" ref="G34">IF(ISNUMBER(AC34),INDEX('All Player Data Store'!$C$7:$C$594,SMALL(IF('All Player Data Store'!$Y$7:$Y$594=AC34,ROW('All Player Data Store'!$Y$7:$Y$594)-ROW('All Player Data Store'!$Y$7)+1),COUNTIF($AC$8:AC34,AC34))),"")</f>
        <v>Ryan Gowans</v>
      </c>
      <c r="H34" s="111" t="str">
        <f t="array" ref="H34">IF(ISNUMBER(AC34),INDEX('All Player Data Store'!$D$7:$D$594,SMALL(IF('All Player Data Store'!$Y$7:$Y$594=AC34,ROW('All Player Data Store'!$Y$7:$Y$594)-ROW('All Player Data Store'!$Y$7)+1),COUNTIF($AC$8:AC34,AC34))),"")</f>
        <v>Wey</v>
      </c>
      <c r="I34" s="69">
        <f t="array" ref="I34">IF(ISNUMBER(AC34),INDEX('All Player Data Store'!$E$7:$E$594,SMALL(IF('All Player Data Store'!$Y$7:$Y$594=AC34,ROW('All Player Data Store'!$Y$7:$Y$594)-ROW('All Player Data Store'!$Y$7)+1),COUNTIF($AC$8:AC34,AC34))),"")</f>
        <v>10</v>
      </c>
      <c r="J34" s="70">
        <f t="array" ref="J34">IF(ISNUMBER(AC34),INDEX('All Player Data Store'!$F$7:$F$594,SMALL(IF('All Player Data Store'!$Y$7:$Y$594=AC34,ROW('All Player Data Store'!$Y$7:$Y$594)-ROW('All Player Data Store'!$Y$7)+1),COUNTIF($AC$8:AC34,AC34))),"")</f>
        <v>8</v>
      </c>
      <c r="K34" s="112">
        <f t="array" ref="K34">IF(ISNUMBER(AC34),INDEX('All Player Data Store'!$G$7:$G$594,SMALL(IF('All Player Data Store'!$Y$7:$Y$594=AC34,ROW('All Player Data Store'!$Y$7:$Y$594)-ROW('All Player Data Store'!$Y$7)+1),COUNTIF($AC$8:AC34,AC34))),"")</f>
        <v>2</v>
      </c>
      <c r="L34" s="112">
        <f t="array" ref="L34">IF(ISNUMBER(AC34),INDEX('All Player Data Store'!$H$7:$H$594,SMALL(IF('All Player Data Store'!$Y$7:$Y$594=AC34,ROW('All Player Data Store'!$Y$7:$Y$594)-ROW('All Player Data Store'!$Y$7)+1),COUNTIF($AC$8:AC34,AC34))),"")</f>
        <v>35</v>
      </c>
      <c r="M34" s="113">
        <f t="array" ref="M34">IF(ISNUMBER(AC34),INDEX('All Player Data Store'!$I$7:$I$594,SMALL(IF('All Player Data Store'!$Y$7:$Y$594=AC34,ROW('All Player Data Store'!$Y$7:$Y$594)-ROW('All Player Data Store'!$Y$7)+1),COUNTIF($AC$8:AC34,AC34))),"")</f>
        <v>16</v>
      </c>
      <c r="N34" s="114">
        <f t="array" ref="N34">IF(ISNUMBER(AC34),INDEX('All Player Data Store'!$J$7:$J$594,SMALL(IF('All Player Data Store'!$Y$7:$Y$594=AC34,ROW('All Player Data Store'!$Y$7:$Y$594)-ROW('All Player Data Store'!$Y$7)+1),COUNTIF($AC$8:AC34,AC34))),"")</f>
        <v>23.01</v>
      </c>
      <c r="O34" s="108">
        <f t="array" ref="O34">IF(ISNUMBER(AC34),INDEX('All Player Data Store'!$K$7:$K$594,SMALL(IF('All Player Data Store'!$Y$7:$Y$594=AC34,ROW('All Player Data Store'!$Y$7:$Y$594)-ROW('All Player Data Store'!$Y$7)+1),COUNTIF($AC$8:AC34,AC34))),"")</f>
        <v>23.7</v>
      </c>
      <c r="P34" s="108">
        <f t="array" ref="P34">IF(ISNUMBER(AC34),INDEX('All Player Data Store'!$L$7:$L$594,SMALL(IF('All Player Data Store'!$Y$7:$Y$594=AC34,ROW('All Player Data Store'!$Y$7:$Y$594)-ROW('All Player Data Store'!$Y$7)+1),COUNTIF($AC$8:AC34,AC34))),"")</f>
        <v>20.53</v>
      </c>
      <c r="Q34" s="108">
        <f t="array" ref="Q34">IF(ISNUMBER(AC34),INDEX('All Player Data Store'!$M$7:$M$594,SMALL(IF('All Player Data Store'!$Y$7:$Y$594=AC34,ROW('All Player Data Store'!$Y$7:$Y$594)-ROW('All Player Data Store'!$Y$7)+1),COUNTIF($AC$8:AC34,AC34))),"")</f>
        <v>20.04</v>
      </c>
      <c r="R34" s="108">
        <f t="array" ref="R34">IF(ISNUMBER(AC34),INDEX('All Player Data Store'!$N$7:$N$594,SMALL(IF('All Player Data Store'!$Y$7:$Y$594=AC34,ROW('All Player Data Store'!$Y$7:$Y$594)-ROW('All Player Data Store'!$Y$7)+1),COUNTIF($AC$8:AC34,AC34))),"")</f>
        <v>25.99</v>
      </c>
      <c r="S34" s="108" t="str">
        <f t="array" ref="S34">IF(ISNUMBER(AC34),INDEX('All Player Data Store'!$O$7:$O$594,SMALL(IF('All Player Data Store'!$Y$7:$Y$594=AC34,ROW('All Player Data Store'!$Y$7:$Y$594)-ROW('All Player Data Store'!$Y$7)+1),COUNTIF($AC$8:AC34,AC34))),"")</f>
        <v/>
      </c>
      <c r="T34" s="108">
        <f t="array" ref="T34">IF(ISNUMBER(AC34),INDEX('All Player Data Store'!$P$7:$P$594,SMALL(IF('All Player Data Store'!$Y$7:$Y$594=AC34,ROW('All Player Data Store'!$Y$7:$Y$594)-ROW('All Player Data Store'!$Y$7)+1),COUNTIF($AC$8:AC34,AC34))),"")</f>
        <v>25.2</v>
      </c>
      <c r="U34" s="108">
        <f t="array" ref="U34">IF(ISNUMBER(AC34),INDEX('All Player Data Store'!$Q$7:$Q$594,SMALL(IF('All Player Data Store'!$Y$7:$Y$594=AC34,ROW('All Player Data Store'!$Y$7:$Y$594)-ROW('All Player Data Store'!$Y$7)+1),COUNTIF($AC$8:AC34,AC34))),"")</f>
        <v>19.68</v>
      </c>
      <c r="V34" s="108" t="str">
        <f t="array" ref="V34">IF(ISNUMBER(AC34),INDEX('All Player Data Store'!$R$7:$R$594,SMALL(IF('All Player Data Store'!$Y$7:$Y$594=AC34,ROW('All Player Data Store'!$Y$7:$Y$594)-ROW('All Player Data Store'!$Y$7)+1),COUNTIF($AC$8:AC34,AC34))),"")</f>
        <v/>
      </c>
      <c r="W34" s="108" t="str">
        <f t="array" ref="W34">IF(ISNUMBER(AC34),INDEX('All Player Data Store'!$S$7:$S$594,SMALL(IF('All Player Data Store'!$Y$7:$Y$594=AC34,ROW('All Player Data Store'!$Y$7:$Y$594)-ROW('All Player Data Store'!$Y$7)+1),COUNTIF($AC$8:AC34,AC34))),"")</f>
        <v/>
      </c>
      <c r="X34" s="108">
        <f t="array" ref="X34">IF(ISNUMBER(AC34),INDEX('All Player Data Store'!$T$7:$T$594,SMALL(IF('All Player Data Store'!$Y$7:$Y$594=AC34,ROW('All Player Data Store'!$Y$7:$Y$594)-ROW('All Player Data Store'!$Y$7)+1),COUNTIF($AC$8:AC34,AC34))),"")</f>
        <v>25.37</v>
      </c>
      <c r="Y34" s="108">
        <f t="array" ref="Y34">IF(ISNUMBER(AC34),INDEX('All Player Data Store'!$U$7:$U$594,SMALL(IF('All Player Data Store'!$Y$7:$Y$594=AC34,ROW('All Player Data Store'!$Y$7:$Y$594)-ROW('All Player Data Store'!$Y$7)+1),COUNTIF($AC$8:AC34,AC34))),"")</f>
        <v>24.74</v>
      </c>
      <c r="Z34" s="108">
        <f t="array" ref="Z34">IF(ISNUMBER(AC34),INDEX('All Player Data Store'!$V$7:$V$594,SMALL(IF('All Player Data Store'!$Y$7:$Y$594=AC34,ROW('All Player Data Store'!$Y$7:$Y$594)-ROW('All Player Data Store'!$Y$7)+1),COUNTIF($AC$8:AC34,AC34))),"")</f>
        <v>21.55</v>
      </c>
      <c r="AA34" s="112">
        <f t="array" ref="AA34">IF(ISNUMBER(AC34),INDEX('All Player Data Store'!$W$7:$W$594,SMALL(IF('All Player Data Store'!$Y$7:$Y$594=AC34,ROW('All Player Data Store'!$Y$7:$Y$594)-ROW('All Player Data Store'!$Y$7)+1),COUNTIF($AC$8:AC34,AC34))),"")</f>
        <v>6</v>
      </c>
      <c r="AB34" s="108">
        <f t="array" ref="AB34">IF(ISNUMBER(AC34),INDEX('All Player Data Store'!$X$7:$X$594,SMALL(IF('All Player Data Store'!$Y$7:$Y$594=AC34,ROW('All Player Data Store'!$Y$7:$Y$594)-ROW('All Player Data Store'!$Y$7)+1),COUNTIF($AC$8:AC34,AC34))),"")</f>
        <v>22.981000000000002</v>
      </c>
      <c r="AC34" s="115">
        <f>IF(ISERROR(IF(ISERROR(LARGE('All Player Data Store'!$Y$7:$Y$594,27)),"",(LARGE('All Player Data Store'!$Y$7:$Y$594,27)))),"",(IF(ISERROR(LARGE('All Player Data Store'!$Y$7:$Y$594,27)),"",(LARGE('All Player Data Store'!$Y$7:$Y$594,27)))))</f>
        <v>30.981000000000002</v>
      </c>
      <c r="AD34" s="106">
        <f t="shared" si="2"/>
        <v>3</v>
      </c>
      <c r="AE34" s="107" t="str">
        <f t="array" ref="AE34">IF(ISNUMBER(AC34),INDEX('All Player Data Store'!$J$8:$J$594,SMALL(IF('All Player Data Store'!$Y$7:$Y$594=AC34,ROW('All Player Data Store'!$Y$7:$Y$594)-ROW('All Player Data Store'!$Y$7)+1),COUNTIF($AC$8:AC34,AC34))),"")</f>
        <v>4*3(1)</v>
      </c>
      <c r="AF34" s="108">
        <f t="shared" si="3"/>
        <v>24.01</v>
      </c>
      <c r="AG34" s="108" t="str">
        <f t="array" ref="AG34">IF(ISNUMBER(AC34),INDEX('All Player Data Store'!$K$8:$K$594,SMALL(IF('All Player Data Store'!$Y$7:$Y$594=AC34,ROW('All Player Data Store'!$Y$7:$Y$594)-ROW('All Player Data Store'!$Y$7)+1),COUNTIF($AC$8:AC34,AC34))),"")</f>
        <v>1*4</v>
      </c>
      <c r="AH34" s="108">
        <f t="shared" si="4"/>
        <v>23.7</v>
      </c>
      <c r="AI34" s="108" t="str">
        <f t="array" ref="AI34">IF(ISNUMBER(AC34),INDEX('All Player Data Store'!$L$8:$L$594,SMALL(IF('All Player Data Store'!$Y$7:$Y$594=AC34,ROW('All Player Data Store'!$Y$7:$Y$594)-ROW('All Player Data Store'!$Y$7)+1),COUNTIF($AC$8:AC34,AC34))),"")</f>
        <v>4*3</v>
      </c>
      <c r="AJ34" s="108">
        <f t="shared" si="5"/>
        <v>21.53</v>
      </c>
      <c r="AK34" s="108" t="str">
        <f t="array" ref="AK34">IF(ISNUMBER(AC34),INDEX('All Player Data Store'!$M$8:$M$594,SMALL(IF('All Player Data Store'!$Y$7:$Y$594=AC34,ROW('All Player Data Store'!$Y$7:$Y$594)-ROW('All Player Data Store'!$Y$7)+1),COUNTIF($AC$8:AC34,AC34))),"")</f>
        <v>4*0</v>
      </c>
      <c r="AL34" s="108">
        <f t="shared" si="6"/>
        <v>21.04</v>
      </c>
      <c r="AM34" s="108" t="str">
        <f t="array" ref="AM34">IF(ISNUMBER(AC34),INDEX('All Player Data Store'!$N$8:$N$594,SMALL(IF('All Player Data Store'!$Y$7:$Y$594=AC34,ROW('All Player Data Store'!$Y$7:$Y$594)-ROW('All Player Data Store'!$Y$7)+1),COUNTIF($AC$8:AC34,AC34))),"")</f>
        <v>4*1</v>
      </c>
      <c r="AN34" s="108">
        <f t="shared" si="7"/>
        <v>26.99</v>
      </c>
      <c r="AO34" s="108" t="str">
        <f t="array" ref="AO34">IF(ISNUMBER(AC34),INDEX('All Player Data Store'!$O$8:$O$594,SMALL(IF('All Player Data Store'!$Y$7:$Y$594=AC34,ROW('All Player Data Store'!$Y$7:$Y$594)-ROW('All Player Data Store'!$Y$7)+1),COUNTIF($AC$8:AC34,AC34))),"")</f>
        <v/>
      </c>
      <c r="AP34" s="108" t="str">
        <f t="shared" si="8"/>
        <v/>
      </c>
      <c r="AQ34" s="108" t="str">
        <f t="array" ref="AQ34">IF(ISNUMBER(AC34),INDEX('All Player Data Store'!$P$8:$P$594,SMALL(IF('All Player Data Store'!$Y$7:$Y$594=AC34,ROW('All Player Data Store'!$Y$7:$Y$594)-ROW('All Player Data Store'!$Y$7)+1),COUNTIF($AC$8:AC34,AC34))),"")</f>
        <v>2*4(1)</v>
      </c>
      <c r="AR34" s="108">
        <f t="shared" si="9"/>
        <v>25.2</v>
      </c>
      <c r="AS34" s="108" t="str">
        <f t="array" ref="AS34">IF(ISNUMBER(AC34),INDEX('All Player Data Store'!$Q$8:$Q$594,SMALL(IF('All Player Data Store'!$Y$7:$Y$594=AC34,ROW('All Player Data Store'!$Y$7:$Y$594)-ROW('All Player Data Store'!$Y$7)+1),COUNTIF($AC$8:AC34,AC34))),"")</f>
        <v>4*1</v>
      </c>
      <c r="AT34" s="108">
        <f t="shared" si="10"/>
        <v>20.68</v>
      </c>
      <c r="AU34" s="108" t="str">
        <f t="array" ref="AU34">IF(ISNUMBER(AC34),INDEX('All Player Data Store'!$R$8:$R$594,SMALL(IF('All Player Data Store'!$Y$7:$Y$594=AC34,ROW('All Player Data Store'!$Y$7:$Y$594)-ROW('All Player Data Store'!$Y$7)+1),COUNTIF($AC$8:AC34,AC34))),"")</f>
        <v/>
      </c>
      <c r="AV34" s="108" t="str">
        <f t="shared" si="11"/>
        <v/>
      </c>
      <c r="AW34" s="108" t="str">
        <f t="array" ref="AW34">IF(ISNUMBER(AC34),INDEX('All Player Data Store'!$S$8:$S$594,SMALL(IF('All Player Data Store'!$Y$7:$Y$594=AC34,ROW('All Player Data Store'!$Y$7:$Y$594)-ROW('All Player Data Store'!$Y$7)+1),COUNTIF($AC$8:AC34,AC34))),"")</f>
        <v/>
      </c>
      <c r="AX34" s="108" t="str">
        <f t="shared" si="12"/>
        <v/>
      </c>
      <c r="AY34" s="108" t="str">
        <f t="array" ref="AY34">IF(ISNUMBER(AC34),INDEX('All Player Data Store'!$T$8:$T$594,SMALL(IF('All Player Data Store'!$Y$7:$Y$594=AC34,ROW('All Player Data Store'!$Y$7:$Y$594)-ROW('All Player Data Store'!$Y$7)+1),COUNTIF($AC$8:AC34,AC34))),"")</f>
        <v>4*0(1)</v>
      </c>
      <c r="AZ34" s="108">
        <f t="shared" si="13"/>
        <v>26.37</v>
      </c>
      <c r="BA34" s="108" t="str">
        <f t="array" ref="BA34">IF(ISNUMBER(AC34),INDEX('All Player Data Store'!$U$8:$U$594,SMALL(IF('All Player Data Store'!$Y$7:$Y$594=AC34,ROW('All Player Data Store'!$Y$7:$Y$594)-ROW('All Player Data Store'!$Y$7)+1),COUNTIF($AC$8:AC34,AC34))),"")</f>
        <v>4*0(3)</v>
      </c>
      <c r="BB34" s="108">
        <f t="shared" si="14"/>
        <v>25.74</v>
      </c>
      <c r="BC34" s="108" t="str">
        <f t="array" ref="BC34">IF(ISNUMBER(AC34),INDEX('All Player Data Store'!$V$8:$V$594,SMALL(IF('All Player Data Store'!$Y$7:$Y$594=AC34,ROW('All Player Data Store'!$Y$7:$Y$594)-ROW('All Player Data Store'!$Y$7)+1),COUNTIF($AC$8:AC34,AC34))),"")</f>
        <v>4*0</v>
      </c>
      <c r="BD34" s="108">
        <f t="shared" si="15"/>
        <v>22.55</v>
      </c>
      <c r="BE34" s="1"/>
    </row>
    <row r="35" spans="2:57" ht="12" customHeight="1" x14ac:dyDescent="0.2">
      <c r="B35" s="98" t="str">
        <f t="shared" si="0"/>
        <v>Y</v>
      </c>
      <c r="C35" s="1"/>
      <c r="D35" s="68">
        <f t="shared" si="1"/>
        <v>28</v>
      </c>
      <c r="E35" s="2"/>
      <c r="F35" s="78">
        <v>28</v>
      </c>
      <c r="G35" s="110" t="str">
        <f t="array" ref="G35">IF(ISNUMBER(AC35),INDEX('All Player Data Store'!$C$7:$C$594,SMALL(IF('All Player Data Store'!$Y$7:$Y$594=AC35,ROW('All Player Data Store'!$Y$7:$Y$594)-ROW('All Player Data Store'!$Y$7)+1),COUNTIF($AC$8:AC35,AC35))),"")</f>
        <v>Colin Freeman</v>
      </c>
      <c r="H35" s="111" t="str">
        <f t="array" ref="H35">IF(ISNUMBER(AC35),INDEX('All Player Data Store'!$D$7:$D$594,SMALL(IF('All Player Data Store'!$Y$7:$Y$594=AC35,ROW('All Player Data Store'!$Y$7:$Y$594)-ROW('All Player Data Store'!$Y$7)+1),COUNTIF($AC$8:AC35,AC35))),"")</f>
        <v>Bos</v>
      </c>
      <c r="I35" s="69">
        <f t="array" ref="I35">IF(ISNUMBER(AC35),INDEX('All Player Data Store'!$E$7:$E$594,SMALL(IF('All Player Data Store'!$Y$7:$Y$594=AC35,ROW('All Player Data Store'!$Y$7:$Y$594)-ROW('All Player Data Store'!$Y$7)+1),COUNTIF($AC$8:AC35,AC35))),"")</f>
        <v>10</v>
      </c>
      <c r="J35" s="70">
        <f t="array" ref="J35">IF(ISNUMBER(AC35),INDEX('All Player Data Store'!$F$7:$F$594,SMALL(IF('All Player Data Store'!$Y$7:$Y$594=AC35,ROW('All Player Data Store'!$Y$7:$Y$594)-ROW('All Player Data Store'!$Y$7)+1),COUNTIF($AC$8:AC35,AC35))),"")</f>
        <v>7</v>
      </c>
      <c r="K35" s="112">
        <f t="array" ref="K35">IF(ISNUMBER(AC35),INDEX('All Player Data Store'!$G$7:$G$594,SMALL(IF('All Player Data Store'!$Y$7:$Y$594=AC35,ROW('All Player Data Store'!$Y$7:$Y$594)-ROW('All Player Data Store'!$Y$7)+1),COUNTIF($AC$8:AC35,AC35))),"")</f>
        <v>3</v>
      </c>
      <c r="L35" s="112">
        <f t="array" ref="L35">IF(ISNUMBER(AC35),INDEX('All Player Data Store'!$H$7:$H$594,SMALL(IF('All Player Data Store'!$Y$7:$Y$594=AC35,ROW('All Player Data Store'!$Y$7:$Y$594)-ROW('All Player Data Store'!$Y$7)+1),COUNTIF($AC$8:AC35,AC35))),"")</f>
        <v>31</v>
      </c>
      <c r="M35" s="113">
        <f t="array" ref="M35">IF(ISNUMBER(AC35),INDEX('All Player Data Store'!$I$7:$I$594,SMALL(IF('All Player Data Store'!$Y$7:$Y$594=AC35,ROW('All Player Data Store'!$Y$7:$Y$594)-ROW('All Player Data Store'!$Y$7)+1),COUNTIF($AC$8:AC35,AC35))),"")</f>
        <v>20</v>
      </c>
      <c r="N35" s="114" t="str">
        <f t="array" ref="N35">IF(ISNUMBER(AC35),INDEX('All Player Data Store'!$J$7:$J$594,SMALL(IF('All Player Data Store'!$Y$7:$Y$594=AC35,ROW('All Player Data Store'!$Y$7:$Y$594)-ROW('All Player Data Store'!$Y$7)+1),COUNTIF($AC$8:AC35,AC35))),"")</f>
        <v/>
      </c>
      <c r="O35" s="108" t="str">
        <f t="array" ref="O35">IF(ISNUMBER(AC35),INDEX('All Player Data Store'!$K$7:$K$594,SMALL(IF('All Player Data Store'!$Y$7:$Y$594=AC35,ROW('All Player Data Store'!$Y$7:$Y$594)-ROW('All Player Data Store'!$Y$7)+1),COUNTIF($AC$8:AC35,AC35))),"")</f>
        <v/>
      </c>
      <c r="P35" s="108" t="str">
        <f t="array" ref="P35">IF(ISNUMBER(AC35),INDEX('All Player Data Store'!$L$7:$L$594,SMALL(IF('All Player Data Store'!$Y$7:$Y$594=AC35,ROW('All Player Data Store'!$Y$7:$Y$594)-ROW('All Player Data Store'!$Y$7)+1),COUNTIF($AC$8:AC35,AC35))),"")</f>
        <v/>
      </c>
      <c r="Q35" s="108">
        <f t="array" ref="Q35">IF(ISNUMBER(AC35),INDEX('All Player Data Store'!$M$7:$M$594,SMALL(IF('All Player Data Store'!$Y$7:$Y$594=AC35,ROW('All Player Data Store'!$Y$7:$Y$594)-ROW('All Player Data Store'!$Y$7)+1),COUNTIF($AC$8:AC35,AC35))),"")</f>
        <v>21.5</v>
      </c>
      <c r="R35" s="108">
        <f t="array" ref="R35">IF(ISNUMBER(AC35),INDEX('All Player Data Store'!$N$7:$N$594,SMALL(IF('All Player Data Store'!$Y$7:$Y$594=AC35,ROW('All Player Data Store'!$Y$7:$Y$594)-ROW('All Player Data Store'!$Y$7)+1),COUNTIF($AC$8:AC35,AC35))),"")</f>
        <v>23.11</v>
      </c>
      <c r="S35" s="108">
        <f t="array" ref="S35">IF(ISNUMBER(AC35),INDEX('All Player Data Store'!$O$7:$O$594,SMALL(IF('All Player Data Store'!$Y$7:$Y$594=AC35,ROW('All Player Data Store'!$Y$7:$Y$594)-ROW('All Player Data Store'!$Y$7)+1),COUNTIF($AC$8:AC35,AC35))),"")</f>
        <v>23.3</v>
      </c>
      <c r="T35" s="108">
        <f t="array" ref="T35">IF(ISNUMBER(AC35),INDEX('All Player Data Store'!$P$7:$P$594,SMALL(IF('All Player Data Store'!$Y$7:$Y$594=AC35,ROW('All Player Data Store'!$Y$7:$Y$594)-ROW('All Player Data Store'!$Y$7)+1),COUNTIF($AC$8:AC35,AC35))),"")</f>
        <v>27.27</v>
      </c>
      <c r="U35" s="108">
        <f t="array" ref="U35">IF(ISNUMBER(AC35),INDEX('All Player Data Store'!$Q$7:$Q$594,SMALL(IF('All Player Data Store'!$Y$7:$Y$594=AC35,ROW('All Player Data Store'!$Y$7:$Y$594)-ROW('All Player Data Store'!$Y$7)+1),COUNTIF($AC$8:AC35,AC35))),"")</f>
        <v>22.61</v>
      </c>
      <c r="V35" s="108">
        <f t="array" ref="V35">IF(ISNUMBER(AC35),INDEX('All Player Data Store'!$R$7:$R$594,SMALL(IF('All Player Data Store'!$Y$7:$Y$594=AC35,ROW('All Player Data Store'!$Y$7:$Y$594)-ROW('All Player Data Store'!$Y$7)+1),COUNTIF($AC$8:AC35,AC35))),"")</f>
        <v>22.17</v>
      </c>
      <c r="W35" s="108">
        <f t="array" ref="W35">IF(ISNUMBER(AC35),INDEX('All Player Data Store'!$S$7:$S$594,SMALL(IF('All Player Data Store'!$Y$7:$Y$594=AC35,ROW('All Player Data Store'!$Y$7:$Y$594)-ROW('All Player Data Store'!$Y$7)+1),COUNTIF($AC$8:AC35,AC35))),"")</f>
        <v>26.72</v>
      </c>
      <c r="X35" s="108">
        <f t="array" ref="X35">IF(ISNUMBER(AC35),INDEX('All Player Data Store'!$T$7:$T$594,SMALL(IF('All Player Data Store'!$Y$7:$Y$594=AC35,ROW('All Player Data Store'!$Y$7:$Y$594)-ROW('All Player Data Store'!$Y$7)+1),COUNTIF($AC$8:AC35,AC35))),"")</f>
        <v>26.24</v>
      </c>
      <c r="Y35" s="108">
        <f t="array" ref="Y35">IF(ISNUMBER(AC35),INDEX('All Player Data Store'!$U$7:$U$594,SMALL(IF('All Player Data Store'!$Y$7:$Y$594=AC35,ROW('All Player Data Store'!$Y$7:$Y$594)-ROW('All Player Data Store'!$Y$7)+1),COUNTIF($AC$8:AC35,AC35))),"")</f>
        <v>22.11</v>
      </c>
      <c r="Z35" s="108">
        <f t="array" ref="Z35">IF(ISNUMBER(AC35),INDEX('All Player Data Store'!$V$7:$V$594,SMALL(IF('All Player Data Store'!$Y$7:$Y$594=AC35,ROW('All Player Data Store'!$Y$7:$Y$594)-ROW('All Player Data Store'!$Y$7)+1),COUNTIF($AC$8:AC35,AC35))),"")</f>
        <v>21.55</v>
      </c>
      <c r="AA35" s="112">
        <f t="array" ref="AA35">IF(ISNUMBER(AC35),INDEX('All Player Data Store'!$W$7:$W$594,SMALL(IF('All Player Data Store'!$Y$7:$Y$594=AC35,ROW('All Player Data Store'!$Y$7:$Y$594)-ROW('All Player Data Store'!$Y$7)+1),COUNTIF($AC$8:AC35,AC35))),"")</f>
        <v>4</v>
      </c>
      <c r="AB35" s="108">
        <f t="array" ref="AB35">IF(ISNUMBER(AC35),INDEX('All Player Data Store'!$X$7:$X$594,SMALL(IF('All Player Data Store'!$Y$7:$Y$594=AC35,ROW('All Player Data Store'!$Y$7:$Y$594)-ROW('All Player Data Store'!$Y$7)+1),COUNTIF($AC$8:AC35,AC35))),"")</f>
        <v>23.657999999999998</v>
      </c>
      <c r="AC35" s="115">
        <f>IF(ISERROR(IF(ISERROR(LARGE('All Player Data Store'!$Y$7:$Y$594,28)),"",(LARGE('All Player Data Store'!$Y$7:$Y$594,28)))),"",(IF(ISERROR(LARGE('All Player Data Store'!$Y$7:$Y$594,28)),"",(LARGE('All Player Data Store'!$Y$7:$Y$594,28)))))</f>
        <v>30.657999999999998</v>
      </c>
      <c r="AD35" s="106">
        <f t="shared" si="2"/>
        <v>3</v>
      </c>
      <c r="AE35" s="107" t="str">
        <f t="array" ref="AE35">IF(ISNUMBER(AC35),INDEX('All Player Data Store'!$J$8:$J$594,SMALL(IF('All Player Data Store'!$Y$7:$Y$594=AC35,ROW('All Player Data Store'!$Y$7:$Y$594)-ROW('All Player Data Store'!$Y$7)+1),COUNTIF($AC$8:AC35,AC35))),"")</f>
        <v/>
      </c>
      <c r="AF35" s="108" t="str">
        <f t="shared" si="3"/>
        <v/>
      </c>
      <c r="AG35" s="108" t="str">
        <f t="array" ref="AG35">IF(ISNUMBER(AC35),INDEX('All Player Data Store'!$K$8:$K$594,SMALL(IF('All Player Data Store'!$Y$7:$Y$594=AC35,ROW('All Player Data Store'!$Y$7:$Y$594)-ROW('All Player Data Store'!$Y$7)+1),COUNTIF($AC$8:AC35,AC35))),"")</f>
        <v/>
      </c>
      <c r="AH35" s="108" t="str">
        <f t="shared" si="4"/>
        <v/>
      </c>
      <c r="AI35" s="108" t="str">
        <f t="array" ref="AI35">IF(ISNUMBER(AC35),INDEX('All Player Data Store'!$L$8:$L$594,SMALL(IF('All Player Data Store'!$Y$7:$Y$594=AC35,ROW('All Player Data Store'!$Y$7:$Y$594)-ROW('All Player Data Store'!$Y$7)+1),COUNTIF($AC$8:AC35,AC35))),"")</f>
        <v/>
      </c>
      <c r="AJ35" s="108" t="str">
        <f t="shared" si="5"/>
        <v/>
      </c>
      <c r="AK35" s="108" t="str">
        <f t="array" ref="AK35">IF(ISNUMBER(AC35),INDEX('All Player Data Store'!$M$8:$M$594,SMALL(IF('All Player Data Store'!$Y$7:$Y$594=AC35,ROW('All Player Data Store'!$Y$7:$Y$594)-ROW('All Player Data Store'!$Y$7)+1),COUNTIF($AC$8:AC35,AC35))),"")</f>
        <v>3*4</v>
      </c>
      <c r="AL35" s="108">
        <f t="shared" si="6"/>
        <v>21.5</v>
      </c>
      <c r="AM35" s="108" t="str">
        <f t="array" ref="AM35">IF(ISNUMBER(AC35),INDEX('All Player Data Store'!$N$8:$N$594,SMALL(IF('All Player Data Store'!$Y$7:$Y$594=AC35,ROW('All Player Data Store'!$Y$7:$Y$594)-ROW('All Player Data Store'!$Y$7)+1),COUNTIF($AC$8:AC35,AC35))),"")</f>
        <v>4*1</v>
      </c>
      <c r="AN35" s="108">
        <f t="shared" si="7"/>
        <v>24.11</v>
      </c>
      <c r="AO35" s="108" t="str">
        <f t="array" ref="AO35">IF(ISNUMBER(AC35),INDEX('All Player Data Store'!$O$8:$O$594,SMALL(IF('All Player Data Store'!$Y$7:$Y$594=AC35,ROW('All Player Data Store'!$Y$7:$Y$594)-ROW('All Player Data Store'!$Y$7)+1),COUNTIF($AC$8:AC35,AC35))),"")</f>
        <v>4*0(1)</v>
      </c>
      <c r="AP35" s="108">
        <f t="shared" si="8"/>
        <v>24.3</v>
      </c>
      <c r="AQ35" s="108" t="str">
        <f t="array" ref="AQ35">IF(ISNUMBER(AC35),INDEX('All Player Data Store'!$P$8:$P$594,SMALL(IF('All Player Data Store'!$Y$7:$Y$594=AC35,ROW('All Player Data Store'!$Y$7:$Y$594)-ROW('All Player Data Store'!$Y$7)+1),COUNTIF($AC$8:AC35,AC35))),"")</f>
        <v>4*2(1)</v>
      </c>
      <c r="AR35" s="108">
        <f t="shared" si="9"/>
        <v>28.27</v>
      </c>
      <c r="AS35" s="108" t="str">
        <f t="array" ref="AS35">IF(ISNUMBER(AC35),INDEX('All Player Data Store'!$Q$8:$Q$594,SMALL(IF('All Player Data Store'!$Y$7:$Y$594=AC35,ROW('All Player Data Store'!$Y$7:$Y$594)-ROW('All Player Data Store'!$Y$7)+1),COUNTIF($AC$8:AC35,AC35))),"")</f>
        <v>0*4</v>
      </c>
      <c r="AT35" s="108">
        <f t="shared" si="10"/>
        <v>22.61</v>
      </c>
      <c r="AU35" s="108" t="str">
        <f t="array" ref="AU35">IF(ISNUMBER(AC35),INDEX('All Player Data Store'!$R$8:$R$594,SMALL(IF('All Player Data Store'!$Y$7:$Y$594=AC35,ROW('All Player Data Store'!$Y$7:$Y$594)-ROW('All Player Data Store'!$Y$7)+1),COUNTIF($AC$8:AC35,AC35))),"")</f>
        <v>0*4</v>
      </c>
      <c r="AV35" s="108">
        <f t="shared" si="11"/>
        <v>22.17</v>
      </c>
      <c r="AW35" s="108" t="str">
        <f t="array" ref="AW35">IF(ISNUMBER(AC35),INDEX('All Player Data Store'!$S$8:$S$594,SMALL(IF('All Player Data Store'!$Y$7:$Y$594=AC35,ROW('All Player Data Store'!$Y$7:$Y$594)-ROW('All Player Data Store'!$Y$7)+1),COUNTIF($AC$8:AC35,AC35))),"")</f>
        <v>4*0(1)</v>
      </c>
      <c r="AX35" s="108">
        <f t="shared" si="12"/>
        <v>27.72</v>
      </c>
      <c r="AY35" s="108" t="str">
        <f t="array" ref="AY35">IF(ISNUMBER(AC35),INDEX('All Player Data Store'!$T$8:$T$594,SMALL(IF('All Player Data Store'!$Y$7:$Y$594=AC35,ROW('All Player Data Store'!$Y$7:$Y$594)-ROW('All Player Data Store'!$Y$7)+1),COUNTIF($AC$8:AC35,AC35))),"")</f>
        <v>4*3</v>
      </c>
      <c r="AZ35" s="108">
        <f t="shared" si="13"/>
        <v>27.24</v>
      </c>
      <c r="BA35" s="108" t="str">
        <f t="array" ref="BA35">IF(ISNUMBER(AC35),INDEX('All Player Data Store'!$U$8:$U$594,SMALL(IF('All Player Data Store'!$Y$7:$Y$594=AC35,ROW('All Player Data Store'!$Y$7:$Y$594)-ROW('All Player Data Store'!$Y$7)+1),COUNTIF($AC$8:AC35,AC35))),"")</f>
        <v>4*2(1)</v>
      </c>
      <c r="BB35" s="108">
        <f t="shared" si="14"/>
        <v>23.11</v>
      </c>
      <c r="BC35" s="108" t="str">
        <f t="array" ref="BC35">IF(ISNUMBER(AC35),INDEX('All Player Data Store'!$V$8:$V$594,SMALL(IF('All Player Data Store'!$Y$7:$Y$594=AC35,ROW('All Player Data Store'!$Y$7:$Y$594)-ROW('All Player Data Store'!$Y$7)+1),COUNTIF($AC$8:AC35,AC35))),"")</f>
        <v>4*0</v>
      </c>
      <c r="BD35" s="108">
        <f t="shared" si="15"/>
        <v>22.55</v>
      </c>
      <c r="BE35" s="1"/>
    </row>
    <row r="36" spans="2:57" ht="12" customHeight="1" x14ac:dyDescent="0.2">
      <c r="B36" s="98" t="str">
        <f t="shared" si="0"/>
        <v>N</v>
      </c>
      <c r="C36" s="1"/>
      <c r="D36" s="68">
        <f t="shared" si="1"/>
        <v>29</v>
      </c>
      <c r="E36" s="2"/>
      <c r="F36" s="78">
        <v>29</v>
      </c>
      <c r="G36" s="110" t="str">
        <f t="array" ref="G36">IF(ISNUMBER(AC36),INDEX('All Player Data Store'!$C$7:$C$594,SMALL(IF('All Player Data Store'!$Y$7:$Y$594=AC36,ROW('All Player Data Store'!$Y$7:$Y$594)-ROW('All Player Data Store'!$Y$7)+1),COUNTIF($AC$8:AC36,AC36))),"")</f>
        <v>Alan Ayres</v>
      </c>
      <c r="H36" s="111" t="str">
        <f t="array" ref="H36">IF(ISNUMBER(AC36),INDEX('All Player Data Store'!$D$7:$D$594,SMALL(IF('All Player Data Store'!$Y$7:$Y$594=AC36,ROW('All Player Data Store'!$Y$7:$Y$594)-ROW('All Player Data Store'!$Y$7)+1),COUNTIF($AC$8:AC36,AC36))),"")</f>
        <v>Dor</v>
      </c>
      <c r="I36" s="69">
        <f t="array" ref="I36">IF(ISNUMBER(AC36),INDEX('All Player Data Store'!$E$7:$E$594,SMALL(IF('All Player Data Store'!$Y$7:$Y$594=AC36,ROW('All Player Data Store'!$Y$7:$Y$594)-ROW('All Player Data Store'!$Y$7)+1),COUNTIF($AC$8:AC36,AC36))),"")</f>
        <v>9</v>
      </c>
      <c r="J36" s="70">
        <f t="array" ref="J36">IF(ISNUMBER(AC36),INDEX('All Player Data Store'!$F$7:$F$594,SMALL(IF('All Player Data Store'!$Y$7:$Y$594=AC36,ROW('All Player Data Store'!$Y$7:$Y$594)-ROW('All Player Data Store'!$Y$7)+1),COUNTIF($AC$8:AC36,AC36))),"")</f>
        <v>7</v>
      </c>
      <c r="K36" s="112">
        <f t="array" ref="K36">IF(ISNUMBER(AC36),INDEX('All Player Data Store'!$G$7:$G$594,SMALL(IF('All Player Data Store'!$Y$7:$Y$594=AC36,ROW('All Player Data Store'!$Y$7:$Y$594)-ROW('All Player Data Store'!$Y$7)+1),COUNTIF($AC$8:AC36,AC36))),"")</f>
        <v>2</v>
      </c>
      <c r="L36" s="112">
        <f t="array" ref="L36">IF(ISNUMBER(AC36),INDEX('All Player Data Store'!$H$7:$H$594,SMALL(IF('All Player Data Store'!$Y$7:$Y$594=AC36,ROW('All Player Data Store'!$Y$7:$Y$594)-ROW('All Player Data Store'!$Y$7)+1),COUNTIF($AC$8:AC36,AC36))),"")</f>
        <v>31</v>
      </c>
      <c r="M36" s="113">
        <f t="array" ref="M36">IF(ISNUMBER(AC36),INDEX('All Player Data Store'!$I$7:$I$594,SMALL(IF('All Player Data Store'!$Y$7:$Y$594=AC36,ROW('All Player Data Store'!$Y$7:$Y$594)-ROW('All Player Data Store'!$Y$7)+1),COUNTIF($AC$8:AC36,AC36))),"")</f>
        <v>13</v>
      </c>
      <c r="N36" s="114" t="str">
        <f t="array" ref="N36">IF(ISNUMBER(AC36),INDEX('All Player Data Store'!$J$7:$J$594,SMALL(IF('All Player Data Store'!$Y$7:$Y$594=AC36,ROW('All Player Data Store'!$Y$7:$Y$594)-ROW('All Player Data Store'!$Y$7)+1),COUNTIF($AC$8:AC36,AC36))),"")</f>
        <v/>
      </c>
      <c r="O36" s="108" t="str">
        <f t="array" ref="O36">IF(ISNUMBER(AC36),INDEX('All Player Data Store'!$K$7:$K$594,SMALL(IF('All Player Data Store'!$Y$7:$Y$594=AC36,ROW('All Player Data Store'!$Y$7:$Y$594)-ROW('All Player Data Store'!$Y$7)+1),COUNTIF($AC$8:AC36,AC36))),"")</f>
        <v/>
      </c>
      <c r="P36" s="108" t="str">
        <f t="array" ref="P36">IF(ISNUMBER(AC36),INDEX('All Player Data Store'!$L$7:$L$594,SMALL(IF('All Player Data Store'!$Y$7:$Y$594=AC36,ROW('All Player Data Store'!$Y$7:$Y$594)-ROW('All Player Data Store'!$Y$7)+1),COUNTIF($AC$8:AC36,AC36))),"")</f>
        <v/>
      </c>
      <c r="Q36" s="108" t="str">
        <f t="array" ref="Q36">IF(ISNUMBER(AC36),INDEX('All Player Data Store'!$M$7:$M$594,SMALL(IF('All Player Data Store'!$Y$7:$Y$594=AC36,ROW('All Player Data Store'!$Y$7:$Y$594)-ROW('All Player Data Store'!$Y$7)+1),COUNTIF($AC$8:AC36,AC36))),"")</f>
        <v/>
      </c>
      <c r="R36" s="108">
        <f t="array" ref="R36">IF(ISNUMBER(AC36),INDEX('All Player Data Store'!$N$7:$N$594,SMALL(IF('All Player Data Store'!$Y$7:$Y$594=AC36,ROW('All Player Data Store'!$Y$7:$Y$594)-ROW('All Player Data Store'!$Y$7)+1),COUNTIF($AC$8:AC36,AC36))),"")</f>
        <v>24.44</v>
      </c>
      <c r="S36" s="108">
        <f t="array" ref="S36">IF(ISNUMBER(AC36),INDEX('All Player Data Store'!$O$7:$O$594,SMALL(IF('All Player Data Store'!$Y$7:$Y$594=AC36,ROW('All Player Data Store'!$Y$7:$Y$594)-ROW('All Player Data Store'!$Y$7)+1),COUNTIF($AC$8:AC36,AC36))),"")</f>
        <v>30.36</v>
      </c>
      <c r="T36" s="108">
        <f t="array" ref="T36">IF(ISNUMBER(AC36),INDEX('All Player Data Store'!$P$7:$P$594,SMALL(IF('All Player Data Store'!$Y$7:$Y$594=AC36,ROW('All Player Data Store'!$Y$7:$Y$594)-ROW('All Player Data Store'!$Y$7)+1),COUNTIF($AC$8:AC36,AC36))),"")</f>
        <v>23.95</v>
      </c>
      <c r="U36" s="108">
        <f t="array" ref="U36">IF(ISNUMBER(AC36),INDEX('All Player Data Store'!$Q$7:$Q$594,SMALL(IF('All Player Data Store'!$Y$7:$Y$594=AC36,ROW('All Player Data Store'!$Y$7:$Y$594)-ROW('All Player Data Store'!$Y$7)+1),COUNTIF($AC$8:AC36,AC36))),"")</f>
        <v>24.44</v>
      </c>
      <c r="V36" s="108">
        <f t="array" ref="V36">IF(ISNUMBER(AC36),INDEX('All Player Data Store'!$R$7:$R$594,SMALL(IF('All Player Data Store'!$Y$7:$Y$594=AC36,ROW('All Player Data Store'!$Y$7:$Y$594)-ROW('All Player Data Store'!$Y$7)+1),COUNTIF($AC$8:AC36,AC36))),"")</f>
        <v>22.52</v>
      </c>
      <c r="W36" s="108">
        <f t="array" ref="W36">IF(ISNUMBER(AC36),INDEX('All Player Data Store'!$S$7:$S$594,SMALL(IF('All Player Data Store'!$Y$7:$Y$594=AC36,ROW('All Player Data Store'!$Y$7:$Y$594)-ROW('All Player Data Store'!$Y$7)+1),COUNTIF($AC$8:AC36,AC36))),"")</f>
        <v>22.3</v>
      </c>
      <c r="X36" s="108">
        <f t="array" ref="X36">IF(ISNUMBER(AC36),INDEX('All Player Data Store'!$T$7:$T$594,SMALL(IF('All Player Data Store'!$Y$7:$Y$594=AC36,ROW('All Player Data Store'!$Y$7:$Y$594)-ROW('All Player Data Store'!$Y$7)+1),COUNTIF($AC$8:AC36,AC36))),"")</f>
        <v>21.81</v>
      </c>
      <c r="Y36" s="108">
        <f t="array" ref="Y36">IF(ISNUMBER(AC36),INDEX('All Player Data Store'!$U$7:$U$594,SMALL(IF('All Player Data Store'!$Y$7:$Y$594=AC36,ROW('All Player Data Store'!$Y$7:$Y$594)-ROW('All Player Data Store'!$Y$7)+1),COUNTIF($AC$8:AC36,AC36))),"")</f>
        <v>19.89</v>
      </c>
      <c r="Z36" s="108">
        <f t="array" ref="Z36">IF(ISNUMBER(AC36),INDEX('All Player Data Store'!$V$7:$V$594,SMALL(IF('All Player Data Store'!$Y$7:$Y$594=AC36,ROW('All Player Data Store'!$Y$7:$Y$594)-ROW('All Player Data Store'!$Y$7)+1),COUNTIF($AC$8:AC36,AC36))),"")</f>
        <v>21.39</v>
      </c>
      <c r="AA36" s="112">
        <f t="array" ref="AA36">IF(ISNUMBER(AC36),INDEX('All Player Data Store'!$W$7:$W$594,SMALL(IF('All Player Data Store'!$Y$7:$Y$594=AC36,ROW('All Player Data Store'!$Y$7:$Y$594)-ROW('All Player Data Store'!$Y$7)+1),COUNTIF($AC$8:AC36,AC36))),"")</f>
        <v>2</v>
      </c>
      <c r="AB36" s="108">
        <f t="array" ref="AB36">IF(ISNUMBER(AC36),INDEX('All Player Data Store'!$X$7:$X$594,SMALL(IF('All Player Data Store'!$Y$7:$Y$594=AC36,ROW('All Player Data Store'!$Y$7:$Y$594)-ROW('All Player Data Store'!$Y$7)+1),COUNTIF($AC$8:AC36,AC36))),"")</f>
        <v>23.455555555555552</v>
      </c>
      <c r="AC36" s="115">
        <f>IF(ISERROR(IF(ISERROR(LARGE('All Player Data Store'!$Y$7:$Y$594,29)),"",(LARGE('All Player Data Store'!$Y$7:$Y$594,29)))),"",(IF(ISERROR(LARGE('All Player Data Store'!$Y$7:$Y$594,29)),"",(LARGE('All Player Data Store'!$Y$7:$Y$594,29)))))</f>
        <v>30.455555555555552</v>
      </c>
      <c r="AD36" s="106">
        <f t="shared" si="2"/>
        <v>3</v>
      </c>
      <c r="AE36" s="107" t="str">
        <f t="array" ref="AE36">IF(ISNUMBER(AC36),INDEX('All Player Data Store'!$J$8:$J$594,SMALL(IF('All Player Data Store'!$Y$7:$Y$594=AC36,ROW('All Player Data Store'!$Y$7:$Y$594)-ROW('All Player Data Store'!$Y$7)+1),COUNTIF($AC$8:AC36,AC36))),"")</f>
        <v/>
      </c>
      <c r="AF36" s="108" t="str">
        <f t="shared" si="3"/>
        <v/>
      </c>
      <c r="AG36" s="108" t="str">
        <f t="array" ref="AG36">IF(ISNUMBER(AC36),INDEX('All Player Data Store'!$K$8:$K$594,SMALL(IF('All Player Data Store'!$Y$7:$Y$594=AC36,ROW('All Player Data Store'!$Y$7:$Y$594)-ROW('All Player Data Store'!$Y$7)+1),COUNTIF($AC$8:AC36,AC36))),"")</f>
        <v/>
      </c>
      <c r="AH36" s="108" t="str">
        <f t="shared" si="4"/>
        <v/>
      </c>
      <c r="AI36" s="108" t="str">
        <f t="array" ref="AI36">IF(ISNUMBER(AC36),INDEX('All Player Data Store'!$L$8:$L$594,SMALL(IF('All Player Data Store'!$Y$7:$Y$594=AC36,ROW('All Player Data Store'!$Y$7:$Y$594)-ROW('All Player Data Store'!$Y$7)+1),COUNTIF($AC$8:AC36,AC36))),"")</f>
        <v/>
      </c>
      <c r="AJ36" s="108" t="str">
        <f t="shared" si="5"/>
        <v/>
      </c>
      <c r="AK36" s="108" t="str">
        <f t="array" ref="AK36">IF(ISNUMBER(AC36),INDEX('All Player Data Store'!$M$8:$M$594,SMALL(IF('All Player Data Store'!$Y$7:$Y$594=AC36,ROW('All Player Data Store'!$Y$7:$Y$594)-ROW('All Player Data Store'!$Y$7)+1),COUNTIF($AC$8:AC36,AC36))),"")</f>
        <v/>
      </c>
      <c r="AL36" s="108" t="str">
        <f t="shared" si="6"/>
        <v/>
      </c>
      <c r="AM36" s="108" t="str">
        <f t="array" ref="AM36">IF(ISNUMBER(AC36),INDEX('All Player Data Store'!$N$8:$N$594,SMALL(IF('All Player Data Store'!$Y$7:$Y$594=AC36,ROW('All Player Data Store'!$Y$7:$Y$594)-ROW('All Player Data Store'!$Y$7)+1),COUNTIF($AC$8:AC36,AC36))),"")</f>
        <v>4*0</v>
      </c>
      <c r="AN36" s="108">
        <f t="shared" si="7"/>
        <v>25.44</v>
      </c>
      <c r="AO36" s="108" t="str">
        <f t="array" ref="AO36">IF(ISNUMBER(AC36),INDEX('All Player Data Store'!$O$8:$O$594,SMALL(IF('All Player Data Store'!$Y$7:$Y$594=AC36,ROW('All Player Data Store'!$Y$7:$Y$594)-ROW('All Player Data Store'!$Y$7)+1),COUNTIF($AC$8:AC36,AC36))),"")</f>
        <v>4*0(1)</v>
      </c>
      <c r="AP36" s="108">
        <f t="shared" si="8"/>
        <v>31.36</v>
      </c>
      <c r="AQ36" s="108" t="str">
        <f t="array" ref="AQ36">IF(ISNUMBER(AC36),INDEX('All Player Data Store'!$P$8:$P$594,SMALL(IF('All Player Data Store'!$Y$7:$Y$594=AC36,ROW('All Player Data Store'!$Y$7:$Y$594)-ROW('All Player Data Store'!$Y$7)+1),COUNTIF($AC$8:AC36,AC36))),"")</f>
        <v>1*4</v>
      </c>
      <c r="AR36" s="108">
        <f t="shared" si="9"/>
        <v>23.95</v>
      </c>
      <c r="AS36" s="108" t="str">
        <f t="array" ref="AS36">IF(ISNUMBER(AC36),INDEX('All Player Data Store'!$Q$8:$Q$594,SMALL(IF('All Player Data Store'!$Y$7:$Y$594=AC36,ROW('All Player Data Store'!$Y$7:$Y$594)-ROW('All Player Data Store'!$Y$7)+1),COUNTIF($AC$8:AC36,AC36))),"")</f>
        <v>4*0(1)</v>
      </c>
      <c r="AT36" s="108">
        <f t="shared" si="10"/>
        <v>25.44</v>
      </c>
      <c r="AU36" s="108" t="str">
        <f t="array" ref="AU36">IF(ISNUMBER(AC36),INDEX('All Player Data Store'!$R$8:$R$594,SMALL(IF('All Player Data Store'!$Y$7:$Y$594=AC36,ROW('All Player Data Store'!$Y$7:$Y$594)-ROW('All Player Data Store'!$Y$7)+1),COUNTIF($AC$8:AC36,AC36))),"")</f>
        <v>4*0</v>
      </c>
      <c r="AV36" s="108">
        <f t="shared" si="11"/>
        <v>23.52</v>
      </c>
      <c r="AW36" s="108" t="str">
        <f t="array" ref="AW36">IF(ISNUMBER(AC36),INDEX('All Player Data Store'!$S$8:$S$594,SMALL(IF('All Player Data Store'!$Y$7:$Y$594=AC36,ROW('All Player Data Store'!$Y$7:$Y$594)-ROW('All Player Data Store'!$Y$7)+1),COUNTIF($AC$8:AC36,AC36))),"")</f>
        <v>4*3</v>
      </c>
      <c r="AX36" s="108">
        <f t="shared" si="12"/>
        <v>23.3</v>
      </c>
      <c r="AY36" s="108" t="str">
        <f t="array" ref="AY36">IF(ISNUMBER(AC36),INDEX('All Player Data Store'!$T$8:$T$594,SMALL(IF('All Player Data Store'!$Y$7:$Y$594=AC36,ROW('All Player Data Store'!$Y$7:$Y$594)-ROW('All Player Data Store'!$Y$7)+1),COUNTIF($AC$8:AC36,AC36))),"")</f>
        <v>4*1</v>
      </c>
      <c r="AZ36" s="108">
        <f t="shared" si="13"/>
        <v>22.81</v>
      </c>
      <c r="BA36" s="108" t="str">
        <f t="array" ref="BA36">IF(ISNUMBER(AC36),INDEX('All Player Data Store'!$U$8:$U$594,SMALL(IF('All Player Data Store'!$Y$7:$Y$594=AC36,ROW('All Player Data Store'!$Y$7:$Y$594)-ROW('All Player Data Store'!$Y$7)+1),COUNTIF($AC$8:AC36,AC36))),"")</f>
        <v>2*4</v>
      </c>
      <c r="BB36" s="108">
        <f t="shared" si="14"/>
        <v>19.89</v>
      </c>
      <c r="BC36" s="108" t="str">
        <f t="array" ref="BC36">IF(ISNUMBER(AC36),INDEX('All Player Data Store'!$V$8:$V$594,SMALL(IF('All Player Data Store'!$Y$7:$Y$594=AC36,ROW('All Player Data Store'!$Y$7:$Y$594)-ROW('All Player Data Store'!$Y$7)+1),COUNTIF($AC$8:AC36,AC36))),"")</f>
        <v>4*1</v>
      </c>
      <c r="BD36" s="108">
        <f t="shared" si="15"/>
        <v>22.39</v>
      </c>
      <c r="BE36" s="1"/>
    </row>
    <row r="37" spans="2:57" ht="12" customHeight="1" x14ac:dyDescent="0.2">
      <c r="B37" s="98" t="str">
        <f t="shared" si="0"/>
        <v>Y</v>
      </c>
      <c r="C37" s="1"/>
      <c r="D37" s="68">
        <f t="shared" si="1"/>
        <v>30</v>
      </c>
      <c r="E37" s="2"/>
      <c r="F37" s="78">
        <v>30</v>
      </c>
      <c r="G37" s="110" t="str">
        <f t="array" ref="G37">IF(ISNUMBER(AC37),INDEX('All Player Data Store'!$C$7:$C$594,SMALL(IF('All Player Data Store'!$Y$7:$Y$594=AC37,ROW('All Player Data Store'!$Y$7:$Y$594)-ROW('All Player Data Store'!$Y$7)+1),COUNTIF($AC$8:AC37,AC37))),"")</f>
        <v>James Green</v>
      </c>
      <c r="H37" s="111" t="str">
        <f t="array" ref="H37">IF(ISNUMBER(AC37),INDEX('All Player Data Store'!$D$7:$D$594,SMALL(IF('All Player Data Store'!$Y$7:$Y$594=AC37,ROW('All Player Data Store'!$Y$7:$Y$594)-ROW('All Player Data Store'!$Y$7)+1),COUNTIF($AC$8:AC37,AC37))),"")</f>
        <v>Swa</v>
      </c>
      <c r="I37" s="69">
        <f t="array" ref="I37">IF(ISNUMBER(AC37),INDEX('All Player Data Store'!$E$7:$E$594,SMALL(IF('All Player Data Store'!$Y$7:$Y$594=AC37,ROW('All Player Data Store'!$Y$7:$Y$594)-ROW('All Player Data Store'!$Y$7)+1),COUNTIF($AC$8:AC37,AC37))),"")</f>
        <v>12</v>
      </c>
      <c r="J37" s="70">
        <f t="array" ref="J37">IF(ISNUMBER(AC37),INDEX('All Player Data Store'!$F$7:$F$594,SMALL(IF('All Player Data Store'!$Y$7:$Y$594=AC37,ROW('All Player Data Store'!$Y$7:$Y$594)-ROW('All Player Data Store'!$Y$7)+1),COUNTIF($AC$8:AC37,AC37))),"")</f>
        <v>7</v>
      </c>
      <c r="K37" s="112">
        <f t="array" ref="K37">IF(ISNUMBER(AC37),INDEX('All Player Data Store'!$G$7:$G$594,SMALL(IF('All Player Data Store'!$Y$7:$Y$594=AC37,ROW('All Player Data Store'!$Y$7:$Y$594)-ROW('All Player Data Store'!$Y$7)+1),COUNTIF($AC$8:AC37,AC37))),"")</f>
        <v>5</v>
      </c>
      <c r="L37" s="112">
        <f t="array" ref="L37">IF(ISNUMBER(AC37),INDEX('All Player Data Store'!$H$7:$H$594,SMALL(IF('All Player Data Store'!$Y$7:$Y$594=AC37,ROW('All Player Data Store'!$Y$7:$Y$594)-ROW('All Player Data Store'!$Y$7)+1),COUNTIF($AC$8:AC37,AC37))),"")</f>
        <v>37</v>
      </c>
      <c r="M37" s="113">
        <f t="array" ref="M37">IF(ISNUMBER(AC37),INDEX('All Player Data Store'!$I$7:$I$594,SMALL(IF('All Player Data Store'!$Y$7:$Y$594=AC37,ROW('All Player Data Store'!$Y$7:$Y$594)-ROW('All Player Data Store'!$Y$7)+1),COUNTIF($AC$8:AC37,AC37))),"")</f>
        <v>28</v>
      </c>
      <c r="N37" s="114">
        <f t="array" ref="N37">IF(ISNUMBER(AC37),INDEX('All Player Data Store'!$J$7:$J$594,SMALL(IF('All Player Data Store'!$Y$7:$Y$594=AC37,ROW('All Player Data Store'!$Y$7:$Y$594)-ROW('All Player Data Store'!$Y$7)+1),COUNTIF($AC$8:AC37,AC37))),"")</f>
        <v>19.940000000000001</v>
      </c>
      <c r="O37" s="108">
        <f t="array" ref="O37">IF(ISNUMBER(AC37),INDEX('All Player Data Store'!$K$7:$K$594,SMALL(IF('All Player Data Store'!$Y$7:$Y$594=AC37,ROW('All Player Data Store'!$Y$7:$Y$594)-ROW('All Player Data Store'!$Y$7)+1),COUNTIF($AC$8:AC37,AC37))),"")</f>
        <v>23.97</v>
      </c>
      <c r="P37" s="108">
        <f t="array" ref="P37">IF(ISNUMBER(AC37),INDEX('All Player Data Store'!$L$7:$L$594,SMALL(IF('All Player Data Store'!$Y$7:$Y$594=AC37,ROW('All Player Data Store'!$Y$7:$Y$594)-ROW('All Player Data Store'!$Y$7)+1),COUNTIF($AC$8:AC37,AC37))),"")</f>
        <v>21.55</v>
      </c>
      <c r="Q37" s="108">
        <f t="array" ref="Q37">IF(ISNUMBER(AC37),INDEX('All Player Data Store'!$M$7:$M$594,SMALL(IF('All Player Data Store'!$Y$7:$Y$594=AC37,ROW('All Player Data Store'!$Y$7:$Y$594)-ROW('All Player Data Store'!$Y$7)+1),COUNTIF($AC$8:AC37,AC37))),"")</f>
        <v>20.21</v>
      </c>
      <c r="R37" s="108">
        <f t="array" ref="R37">IF(ISNUMBER(AC37),INDEX('All Player Data Store'!$N$7:$N$594,SMALL(IF('All Player Data Store'!$Y$7:$Y$594=AC37,ROW('All Player Data Store'!$Y$7:$Y$594)-ROW('All Player Data Store'!$Y$7)+1),COUNTIF($AC$8:AC37,AC37))),"")</f>
        <v>22.72</v>
      </c>
      <c r="S37" s="108">
        <f t="array" ref="S37">IF(ISNUMBER(AC37),INDEX('All Player Data Store'!$O$7:$O$594,SMALL(IF('All Player Data Store'!$Y$7:$Y$594=AC37,ROW('All Player Data Store'!$Y$7:$Y$594)-ROW('All Player Data Store'!$Y$7)+1),COUNTIF($AC$8:AC37,AC37))),"")</f>
        <v>23.5</v>
      </c>
      <c r="T37" s="108">
        <f t="array" ref="T37">IF(ISNUMBER(AC37),INDEX('All Player Data Store'!$P$7:$P$594,SMALL(IF('All Player Data Store'!$Y$7:$Y$594=AC37,ROW('All Player Data Store'!$Y$7:$Y$594)-ROW('All Player Data Store'!$Y$7)+1),COUNTIF($AC$8:AC37,AC37))),"")</f>
        <v>25.61</v>
      </c>
      <c r="U37" s="108">
        <f t="array" ref="U37">IF(ISNUMBER(AC37),INDEX('All Player Data Store'!$Q$7:$Q$594,SMALL(IF('All Player Data Store'!$Y$7:$Y$594=AC37,ROW('All Player Data Store'!$Y$7:$Y$594)-ROW('All Player Data Store'!$Y$7)+1),COUNTIF($AC$8:AC37,AC37))),"")</f>
        <v>23.48</v>
      </c>
      <c r="V37" s="108">
        <f t="array" ref="V37">IF(ISNUMBER(AC37),INDEX('All Player Data Store'!$R$7:$R$594,SMALL(IF('All Player Data Store'!$Y$7:$Y$594=AC37,ROW('All Player Data Store'!$Y$7:$Y$594)-ROW('All Player Data Store'!$Y$7)+1),COUNTIF($AC$8:AC37,AC37))),"")</f>
        <v>24.74</v>
      </c>
      <c r="W37" s="108">
        <f t="array" ref="W37">IF(ISNUMBER(AC37),INDEX('All Player Data Store'!$S$7:$S$594,SMALL(IF('All Player Data Store'!$Y$7:$Y$594=AC37,ROW('All Player Data Store'!$Y$7:$Y$594)-ROW('All Player Data Store'!$Y$7)+1),COUNTIF($AC$8:AC37,AC37))),"")</f>
        <v>25.01</v>
      </c>
      <c r="X37" s="108">
        <f t="array" ref="X37">IF(ISNUMBER(AC37),INDEX('All Player Data Store'!$T$7:$T$594,SMALL(IF('All Player Data Store'!$Y$7:$Y$594=AC37,ROW('All Player Data Store'!$Y$7:$Y$594)-ROW('All Player Data Store'!$Y$7)+1),COUNTIF($AC$8:AC37,AC37))),"")</f>
        <v>22.06</v>
      </c>
      <c r="Y37" s="108">
        <f t="array" ref="Y37">IF(ISNUMBER(AC37),INDEX('All Player Data Store'!$U$7:$U$594,SMALL(IF('All Player Data Store'!$Y$7:$Y$594=AC37,ROW('All Player Data Store'!$Y$7:$Y$594)-ROW('All Player Data Store'!$Y$7)+1),COUNTIF($AC$8:AC37,AC37))),"")</f>
        <v>25.29</v>
      </c>
      <c r="Z37" s="108" t="str">
        <f t="array" ref="Z37">IF(ISNUMBER(AC37),INDEX('All Player Data Store'!$V$7:$V$594,SMALL(IF('All Player Data Store'!$Y$7:$Y$594=AC37,ROW('All Player Data Store'!$Y$7:$Y$594)-ROW('All Player Data Store'!$Y$7)+1),COUNTIF($AC$8:AC37,AC37))),"")</f>
        <v/>
      </c>
      <c r="AA37" s="112">
        <f t="array" ref="AA37">IF(ISNUMBER(AC37),INDEX('All Player Data Store'!$W$7:$W$594,SMALL(IF('All Player Data Store'!$Y$7:$Y$594=AC37,ROW('All Player Data Store'!$Y$7:$Y$594)-ROW('All Player Data Store'!$Y$7)+1),COUNTIF($AC$8:AC37,AC37))),"")</f>
        <v>2</v>
      </c>
      <c r="AB37" s="108">
        <f t="array" ref="AB37">IF(ISNUMBER(AC37),INDEX('All Player Data Store'!$X$7:$X$594,SMALL(IF('All Player Data Store'!$Y$7:$Y$594=AC37,ROW('All Player Data Store'!$Y$7:$Y$594)-ROW('All Player Data Store'!$Y$7)+1),COUNTIF($AC$8:AC37,AC37))),"")</f>
        <v>23.173333333333332</v>
      </c>
      <c r="AC37" s="115">
        <f>IF(ISERROR(IF(ISERROR(LARGE('All Player Data Store'!$Y$7:$Y$594,30)),"",(LARGE('All Player Data Store'!$Y$7:$Y$594,30)))),"",(IF(ISERROR(LARGE('All Player Data Store'!$Y$7:$Y$594,30)),"",(LARGE('All Player Data Store'!$Y$7:$Y$594,30)))))</f>
        <v>30.173333333333332</v>
      </c>
      <c r="AD37" s="106">
        <f t="shared" si="2"/>
        <v>3</v>
      </c>
      <c r="AE37" s="107" t="str">
        <f t="array" ref="AE37">IF(ISNUMBER(AC37),INDEX('All Player Data Store'!$J$8:$J$594,SMALL(IF('All Player Data Store'!$Y$7:$Y$594=AC37,ROW('All Player Data Store'!$Y$7:$Y$594)-ROW('All Player Data Store'!$Y$7)+1),COUNTIF($AC$8:AC37,AC37))),"")</f>
        <v>4*2(1)</v>
      </c>
      <c r="AF37" s="108">
        <f t="shared" si="3"/>
        <v>20.94</v>
      </c>
      <c r="AG37" s="108" t="str">
        <f t="array" ref="AG37">IF(ISNUMBER(AC37),INDEX('All Player Data Store'!$K$8:$K$594,SMALL(IF('All Player Data Store'!$Y$7:$Y$594=AC37,ROW('All Player Data Store'!$Y$7:$Y$594)-ROW('All Player Data Store'!$Y$7)+1),COUNTIF($AC$8:AC37,AC37))),"")</f>
        <v>3*4</v>
      </c>
      <c r="AH37" s="108">
        <f t="shared" si="4"/>
        <v>23.97</v>
      </c>
      <c r="AI37" s="108" t="str">
        <f t="array" ref="AI37">IF(ISNUMBER(AC37),INDEX('All Player Data Store'!$L$8:$L$594,SMALL(IF('All Player Data Store'!$Y$7:$Y$594=AC37,ROW('All Player Data Store'!$Y$7:$Y$594)-ROW('All Player Data Store'!$Y$7)+1),COUNTIF($AC$8:AC37,AC37))),"")</f>
        <v>4*0</v>
      </c>
      <c r="AJ37" s="108">
        <f t="shared" si="5"/>
        <v>22.55</v>
      </c>
      <c r="AK37" s="108" t="str">
        <f t="array" ref="AK37">IF(ISNUMBER(AC37),INDEX('All Player Data Store'!$M$8:$M$594,SMALL(IF('All Player Data Store'!$Y$7:$Y$594=AC37,ROW('All Player Data Store'!$Y$7:$Y$594)-ROW('All Player Data Store'!$Y$7)+1),COUNTIF($AC$8:AC37,AC37))),"")</f>
        <v>1*4</v>
      </c>
      <c r="AL37" s="108">
        <f t="shared" si="6"/>
        <v>20.21</v>
      </c>
      <c r="AM37" s="108" t="str">
        <f t="array" ref="AM37">IF(ISNUMBER(AC37),INDEX('All Player Data Store'!$N$8:$N$594,SMALL(IF('All Player Data Store'!$Y$7:$Y$594=AC37,ROW('All Player Data Store'!$Y$7:$Y$594)-ROW('All Player Data Store'!$Y$7)+1),COUNTIF($AC$8:AC37,AC37))),"")</f>
        <v>4*1</v>
      </c>
      <c r="AN37" s="108">
        <f t="shared" si="7"/>
        <v>23.72</v>
      </c>
      <c r="AO37" s="108" t="str">
        <f t="array" ref="AO37">IF(ISNUMBER(AC37),INDEX('All Player Data Store'!$O$8:$O$594,SMALL(IF('All Player Data Store'!$Y$7:$Y$594=AC37,ROW('All Player Data Store'!$Y$7:$Y$594)-ROW('All Player Data Store'!$Y$7)+1),COUNTIF($AC$8:AC37,AC37))),"")</f>
        <v>4*3(1)</v>
      </c>
      <c r="AP37" s="108">
        <f t="shared" si="8"/>
        <v>24.5</v>
      </c>
      <c r="AQ37" s="108" t="str">
        <f t="array" ref="AQ37">IF(ISNUMBER(AC37),INDEX('All Player Data Store'!$P$8:$P$594,SMALL(IF('All Player Data Store'!$Y$7:$Y$594=AC37,ROW('All Player Data Store'!$Y$7:$Y$594)-ROW('All Player Data Store'!$Y$7)+1),COUNTIF($AC$8:AC37,AC37))),"")</f>
        <v>3*4</v>
      </c>
      <c r="AR37" s="108">
        <f t="shared" si="9"/>
        <v>25.61</v>
      </c>
      <c r="AS37" s="108" t="str">
        <f t="array" ref="AS37">IF(ISNUMBER(AC37),INDEX('All Player Data Store'!$Q$8:$Q$594,SMALL(IF('All Player Data Store'!$Y$7:$Y$594=AC37,ROW('All Player Data Store'!$Y$7:$Y$594)-ROW('All Player Data Store'!$Y$7)+1),COUNTIF($AC$8:AC37,AC37))),"")</f>
        <v>4*1</v>
      </c>
      <c r="AT37" s="108">
        <f t="shared" si="10"/>
        <v>24.48</v>
      </c>
      <c r="AU37" s="108" t="str">
        <f t="array" ref="AU37">IF(ISNUMBER(AC37),INDEX('All Player Data Store'!$R$8:$R$594,SMALL(IF('All Player Data Store'!$Y$7:$Y$594=AC37,ROW('All Player Data Store'!$Y$7:$Y$594)-ROW('All Player Data Store'!$Y$7)+1),COUNTIF($AC$8:AC37,AC37))),"")</f>
        <v>4*0</v>
      </c>
      <c r="AV37" s="108">
        <f t="shared" si="11"/>
        <v>25.74</v>
      </c>
      <c r="AW37" s="108" t="str">
        <f t="array" ref="AW37">IF(ISNUMBER(AC37),INDEX('All Player Data Store'!$S$8:$S$594,SMALL(IF('All Player Data Store'!$Y$7:$Y$594=AC37,ROW('All Player Data Store'!$Y$7:$Y$594)-ROW('All Player Data Store'!$Y$7)+1),COUNTIF($AC$8:AC37,AC37))),"")</f>
        <v>0*4</v>
      </c>
      <c r="AX37" s="108">
        <f t="shared" si="12"/>
        <v>25.01</v>
      </c>
      <c r="AY37" s="108" t="str">
        <f t="array" ref="AY37">IF(ISNUMBER(AC37),INDEX('All Player Data Store'!$T$8:$T$594,SMALL(IF('All Player Data Store'!$Y$7:$Y$594=AC37,ROW('All Player Data Store'!$Y$7:$Y$594)-ROW('All Player Data Store'!$Y$7)+1),COUNTIF($AC$8:AC37,AC37))),"")</f>
        <v>2*4</v>
      </c>
      <c r="AZ37" s="108">
        <f t="shared" si="13"/>
        <v>22.06</v>
      </c>
      <c r="BA37" s="108" t="str">
        <f t="array" ref="BA37">IF(ISNUMBER(AC37),INDEX('All Player Data Store'!$U$8:$U$594,SMALL(IF('All Player Data Store'!$Y$7:$Y$594=AC37,ROW('All Player Data Store'!$Y$7:$Y$594)-ROW('All Player Data Store'!$Y$7)+1),COUNTIF($AC$8:AC37,AC37))),"")</f>
        <v>4*1</v>
      </c>
      <c r="BB37" s="108">
        <f t="shared" si="14"/>
        <v>26.29</v>
      </c>
      <c r="BC37" s="108" t="str">
        <f t="array" ref="BC37">IF(ISNUMBER(AC37),INDEX('All Player Data Store'!$V$8:$V$594,SMALL(IF('All Player Data Store'!$Y$7:$Y$594=AC37,ROW('All Player Data Store'!$Y$7:$Y$594)-ROW('All Player Data Store'!$Y$7)+1),COUNTIF($AC$8:AC37,AC37))),"")</f>
        <v/>
      </c>
      <c r="BD37" s="108" t="str">
        <f t="shared" si="15"/>
        <v/>
      </c>
      <c r="BE37" s="1"/>
    </row>
    <row r="38" spans="2:57" ht="12" customHeight="1" x14ac:dyDescent="0.2">
      <c r="B38" s="98" t="str">
        <f t="shared" si="0"/>
        <v>Y</v>
      </c>
      <c r="C38" s="1"/>
      <c r="D38" s="68">
        <f t="shared" si="1"/>
        <v>31</v>
      </c>
      <c r="E38" s="2"/>
      <c r="F38" s="78">
        <v>31</v>
      </c>
      <c r="G38" s="110" t="str">
        <f t="array" ref="G38">IF(ISNUMBER(AC38),INDEX('All Player Data Store'!$C$7:$C$594,SMALL(IF('All Player Data Store'!$Y$7:$Y$594=AC38,ROW('All Player Data Store'!$Y$7:$Y$594)-ROW('All Player Data Store'!$Y$7)+1),COUNTIF($AC$8:AC38,AC38))),"")</f>
        <v>Tim Gill</v>
      </c>
      <c r="H38" s="111" t="str">
        <f t="array" ref="H38">IF(ISNUMBER(AC38),INDEX('All Player Data Store'!$D$7:$D$594,SMALL(IF('All Player Data Store'!$Y$7:$Y$594=AC38,ROW('All Player Data Store'!$Y$7:$Y$594)-ROW('All Player Data Store'!$Y$7)+1),COUNTIF($AC$8:AC38,AC38))),"")</f>
        <v>Sha</v>
      </c>
      <c r="I38" s="69">
        <f t="array" ref="I38">IF(ISNUMBER(AC38),INDEX('All Player Data Store'!$E$7:$E$594,SMALL(IF('All Player Data Store'!$Y$7:$Y$594=AC38,ROW('All Player Data Store'!$Y$7:$Y$594)-ROW('All Player Data Store'!$Y$7)+1),COUNTIF($AC$8:AC38,AC38))),"")</f>
        <v>13</v>
      </c>
      <c r="J38" s="70">
        <f t="array" ref="J38">IF(ISNUMBER(AC38),INDEX('All Player Data Store'!$F$7:$F$594,SMALL(IF('All Player Data Store'!$Y$7:$Y$594=AC38,ROW('All Player Data Store'!$Y$7:$Y$594)-ROW('All Player Data Store'!$Y$7)+1),COUNTIF($AC$8:AC38,AC38))),"")</f>
        <v>9</v>
      </c>
      <c r="K38" s="112">
        <f t="array" ref="K38">IF(ISNUMBER(AC38),INDEX('All Player Data Store'!$G$7:$G$594,SMALL(IF('All Player Data Store'!$Y$7:$Y$594=AC38,ROW('All Player Data Store'!$Y$7:$Y$594)-ROW('All Player Data Store'!$Y$7)+1),COUNTIF($AC$8:AC38,AC38))),"")</f>
        <v>4</v>
      </c>
      <c r="L38" s="112">
        <f t="array" ref="L38">IF(ISNUMBER(AC38),INDEX('All Player Data Store'!$H$7:$H$594,SMALL(IF('All Player Data Store'!$Y$7:$Y$594=AC38,ROW('All Player Data Store'!$Y$7:$Y$594)-ROW('All Player Data Store'!$Y$7)+1),COUNTIF($AC$8:AC38,AC38))),"")</f>
        <v>42</v>
      </c>
      <c r="M38" s="113">
        <f t="array" ref="M38">IF(ISNUMBER(AC38),INDEX('All Player Data Store'!$I$7:$I$594,SMALL(IF('All Player Data Store'!$Y$7:$Y$594=AC38,ROW('All Player Data Store'!$Y$7:$Y$594)-ROW('All Player Data Store'!$Y$7)+1),COUNTIF($AC$8:AC38,AC38))),"")</f>
        <v>24</v>
      </c>
      <c r="N38" s="114">
        <f t="array" ref="N38">IF(ISNUMBER(AC38),INDEX('All Player Data Store'!$J$7:$J$594,SMALL(IF('All Player Data Store'!$Y$7:$Y$594=AC38,ROW('All Player Data Store'!$Y$7:$Y$594)-ROW('All Player Data Store'!$Y$7)+1),COUNTIF($AC$8:AC38,AC38))),"")</f>
        <v>22.77</v>
      </c>
      <c r="O38" s="108">
        <f t="array" ref="O38">IF(ISNUMBER(AC38),INDEX('All Player Data Store'!$K$7:$K$594,SMALL(IF('All Player Data Store'!$Y$7:$Y$594=AC38,ROW('All Player Data Store'!$Y$7:$Y$594)-ROW('All Player Data Store'!$Y$7)+1),COUNTIF($AC$8:AC38,AC38))),"")</f>
        <v>16.14</v>
      </c>
      <c r="P38" s="108">
        <f t="array" ref="P38">IF(ISNUMBER(AC38),INDEX('All Player Data Store'!$L$7:$L$594,SMALL(IF('All Player Data Store'!$Y$7:$Y$594=AC38,ROW('All Player Data Store'!$Y$7:$Y$594)-ROW('All Player Data Store'!$Y$7)+1),COUNTIF($AC$8:AC38,AC38))),"")</f>
        <v>23.77</v>
      </c>
      <c r="Q38" s="108">
        <f t="array" ref="Q38">IF(ISNUMBER(AC38),INDEX('All Player Data Store'!$M$7:$M$594,SMALL(IF('All Player Data Store'!$Y$7:$Y$594=AC38,ROW('All Player Data Store'!$Y$7:$Y$594)-ROW('All Player Data Store'!$Y$7)+1),COUNTIF($AC$8:AC38,AC38))),"")</f>
        <v>22.53</v>
      </c>
      <c r="R38" s="108">
        <f t="array" ref="R38">IF(ISNUMBER(AC38),INDEX('All Player Data Store'!$N$7:$N$594,SMALL(IF('All Player Data Store'!$Y$7:$Y$594=AC38,ROW('All Player Data Store'!$Y$7:$Y$594)-ROW('All Player Data Store'!$Y$7)+1),COUNTIF($AC$8:AC38,AC38))),"")</f>
        <v>20.94</v>
      </c>
      <c r="S38" s="108">
        <f t="array" ref="S38">IF(ISNUMBER(AC38),INDEX('All Player Data Store'!$O$7:$O$594,SMALL(IF('All Player Data Store'!$Y$7:$Y$594=AC38,ROW('All Player Data Store'!$Y$7:$Y$594)-ROW('All Player Data Store'!$Y$7)+1),COUNTIF($AC$8:AC38,AC38))),"")</f>
        <v>18.559999999999999</v>
      </c>
      <c r="T38" s="108">
        <f t="array" ref="T38">IF(ISNUMBER(AC38),INDEX('All Player Data Store'!$P$7:$P$594,SMALL(IF('All Player Data Store'!$Y$7:$Y$594=AC38,ROW('All Player Data Store'!$Y$7:$Y$594)-ROW('All Player Data Store'!$Y$7)+1),COUNTIF($AC$8:AC38,AC38))),"")</f>
        <v>17.899999999999999</v>
      </c>
      <c r="U38" s="108">
        <f t="array" ref="U38">IF(ISNUMBER(AC38),INDEX('All Player Data Store'!$Q$7:$Q$594,SMALL(IF('All Player Data Store'!$Y$7:$Y$594=AC38,ROW('All Player Data Store'!$Y$7:$Y$594)-ROW('All Player Data Store'!$Y$7)+1),COUNTIF($AC$8:AC38,AC38))),"")</f>
        <v>22.77</v>
      </c>
      <c r="V38" s="108">
        <f t="array" ref="V38">IF(ISNUMBER(AC38),INDEX('All Player Data Store'!$R$7:$R$594,SMALL(IF('All Player Data Store'!$Y$7:$Y$594=AC38,ROW('All Player Data Store'!$Y$7:$Y$594)-ROW('All Player Data Store'!$Y$7)+1),COUNTIF($AC$8:AC38,AC38))),"")</f>
        <v>22.77</v>
      </c>
      <c r="W38" s="108">
        <f t="array" ref="W38">IF(ISNUMBER(AC38),INDEX('All Player Data Store'!$S$7:$S$594,SMALL(IF('All Player Data Store'!$Y$7:$Y$594=AC38,ROW('All Player Data Store'!$Y$7:$Y$594)-ROW('All Player Data Store'!$Y$7)+1),COUNTIF($AC$8:AC38,AC38))),"")</f>
        <v>18.48</v>
      </c>
      <c r="X38" s="108">
        <f t="array" ref="X38">IF(ISNUMBER(AC38),INDEX('All Player Data Store'!$T$7:$T$594,SMALL(IF('All Player Data Store'!$Y$7:$Y$594=AC38,ROW('All Player Data Store'!$Y$7:$Y$594)-ROW('All Player Data Store'!$Y$7)+1),COUNTIF($AC$8:AC38,AC38))),"")</f>
        <v>21.52</v>
      </c>
      <c r="Y38" s="108">
        <f t="array" ref="Y38">IF(ISNUMBER(AC38),INDEX('All Player Data Store'!$U$7:$U$594,SMALL(IF('All Player Data Store'!$Y$7:$Y$594=AC38,ROW('All Player Data Store'!$Y$7:$Y$594)-ROW('All Player Data Store'!$Y$7)+1),COUNTIF($AC$8:AC38,AC38))),"")</f>
        <v>21.26</v>
      </c>
      <c r="Z38" s="108">
        <f t="array" ref="Z38">IF(ISNUMBER(AC38),INDEX('All Player Data Store'!$V$7:$V$594,SMALL(IF('All Player Data Store'!$Y$7:$Y$594=AC38,ROW('All Player Data Store'!$Y$7:$Y$594)-ROW('All Player Data Store'!$Y$7)+1),COUNTIF($AC$8:AC38,AC38))),"")</f>
        <v>22.77</v>
      </c>
      <c r="AA38" s="112">
        <f t="array" ref="AA38">IF(ISNUMBER(AC38),INDEX('All Player Data Store'!$W$7:$W$594,SMALL(IF('All Player Data Store'!$Y$7:$Y$594=AC38,ROW('All Player Data Store'!$Y$7:$Y$594)-ROW('All Player Data Store'!$Y$7)+1),COUNTIF($AC$8:AC38,AC38))),"")</f>
        <v>1</v>
      </c>
      <c r="AB38" s="108">
        <f t="array" ref="AB38">IF(ISNUMBER(AC38),INDEX('All Player Data Store'!$X$7:$X$594,SMALL(IF('All Player Data Store'!$Y$7:$Y$594=AC38,ROW('All Player Data Store'!$Y$7:$Y$594)-ROW('All Player Data Store'!$Y$7)+1),COUNTIF($AC$8:AC38,AC38))),"")</f>
        <v>20.936923076923076</v>
      </c>
      <c r="AC38" s="115">
        <f>IF(ISERROR(IF(ISERROR(LARGE('All Player Data Store'!$Y$7:$Y$594,31)),"",(LARGE('All Player Data Store'!$Y$7:$Y$594,31)))),"",(IF(ISERROR(LARGE('All Player Data Store'!$Y$7:$Y$594,31)),"",(LARGE('All Player Data Store'!$Y$7:$Y$594,31)))))</f>
        <v>29.936923076923076</v>
      </c>
      <c r="AD38" s="106">
        <f t="shared" si="2"/>
        <v>3</v>
      </c>
      <c r="AE38" s="107" t="str">
        <f t="array" ref="AE38">IF(ISNUMBER(AC38),INDEX('All Player Data Store'!$J$8:$J$594,SMALL(IF('All Player Data Store'!$Y$7:$Y$594=AC38,ROW('All Player Data Store'!$Y$7:$Y$594)-ROW('All Player Data Store'!$Y$7)+1),COUNTIF($AC$8:AC38,AC38))),"")</f>
        <v>4*0</v>
      </c>
      <c r="AF38" s="108">
        <f t="shared" si="3"/>
        <v>23.77</v>
      </c>
      <c r="AG38" s="108" t="str">
        <f t="array" ref="AG38">IF(ISNUMBER(AC38),INDEX('All Player Data Store'!$K$8:$K$594,SMALL(IF('All Player Data Store'!$Y$7:$Y$594=AC38,ROW('All Player Data Store'!$Y$7:$Y$594)-ROW('All Player Data Store'!$Y$7)+1),COUNTIF($AC$8:AC38,AC38))),"")</f>
        <v>4*2</v>
      </c>
      <c r="AH38" s="108">
        <f t="shared" si="4"/>
        <v>17.14</v>
      </c>
      <c r="AI38" s="108" t="str">
        <f t="array" ref="AI38">IF(ISNUMBER(AC38),INDEX('All Player Data Store'!$L$8:$L$594,SMALL(IF('All Player Data Store'!$Y$7:$Y$594=AC38,ROW('All Player Data Store'!$Y$7:$Y$594)-ROW('All Player Data Store'!$Y$7)+1),COUNTIF($AC$8:AC38,AC38))),"")</f>
        <v>1*4</v>
      </c>
      <c r="AJ38" s="108">
        <f t="shared" si="5"/>
        <v>23.77</v>
      </c>
      <c r="AK38" s="108" t="str">
        <f t="array" ref="AK38">IF(ISNUMBER(AC38),INDEX('All Player Data Store'!$M$8:$M$594,SMALL(IF('All Player Data Store'!$Y$7:$Y$594=AC38,ROW('All Player Data Store'!$Y$7:$Y$594)-ROW('All Player Data Store'!$Y$7)+1),COUNTIF($AC$8:AC38,AC38))),"")</f>
        <v>4*1(1)</v>
      </c>
      <c r="AL38" s="108">
        <f t="shared" si="6"/>
        <v>23.53</v>
      </c>
      <c r="AM38" s="108" t="str">
        <f t="array" ref="AM38">IF(ISNUMBER(AC38),INDEX('All Player Data Store'!$N$8:$N$594,SMALL(IF('All Player Data Store'!$Y$7:$Y$594=AC38,ROW('All Player Data Store'!$Y$7:$Y$594)-ROW('All Player Data Store'!$Y$7)+1),COUNTIF($AC$8:AC38,AC38))),"")</f>
        <v>3*4</v>
      </c>
      <c r="AN38" s="108">
        <f t="shared" si="7"/>
        <v>20.94</v>
      </c>
      <c r="AO38" s="108" t="str">
        <f t="array" ref="AO38">IF(ISNUMBER(AC38),INDEX('All Player Data Store'!$O$8:$O$594,SMALL(IF('All Player Data Store'!$Y$7:$Y$594=AC38,ROW('All Player Data Store'!$Y$7:$Y$594)-ROW('All Player Data Store'!$Y$7)+1),COUNTIF($AC$8:AC38,AC38))),"")</f>
        <v>4*0</v>
      </c>
      <c r="AP38" s="108">
        <f t="shared" si="8"/>
        <v>19.559999999999999</v>
      </c>
      <c r="AQ38" s="108" t="str">
        <f t="array" ref="AQ38">IF(ISNUMBER(AC38),INDEX('All Player Data Store'!$P$8:$P$594,SMALL(IF('All Player Data Store'!$Y$7:$Y$594=AC38,ROW('All Player Data Store'!$Y$7:$Y$594)-ROW('All Player Data Store'!$Y$7)+1),COUNTIF($AC$8:AC38,AC38))),"")</f>
        <v>4*3</v>
      </c>
      <c r="AR38" s="108">
        <f t="shared" si="9"/>
        <v>18.899999999999999</v>
      </c>
      <c r="AS38" s="108" t="str">
        <f t="array" ref="AS38">IF(ISNUMBER(AC38),INDEX('All Player Data Store'!$Q$8:$Q$594,SMALL(IF('All Player Data Store'!$Y$7:$Y$594=AC38,ROW('All Player Data Store'!$Y$7:$Y$594)-ROW('All Player Data Store'!$Y$7)+1),COUNTIF($AC$8:AC38,AC38))),"")</f>
        <v>4*0</v>
      </c>
      <c r="AT38" s="108">
        <f t="shared" si="10"/>
        <v>23.77</v>
      </c>
      <c r="AU38" s="108" t="str">
        <f t="array" ref="AU38">IF(ISNUMBER(AC38),INDEX('All Player Data Store'!$R$8:$R$594,SMALL(IF('All Player Data Store'!$Y$7:$Y$594=AC38,ROW('All Player Data Store'!$Y$7:$Y$594)-ROW('All Player Data Store'!$Y$7)+1),COUNTIF($AC$8:AC38,AC38))),"")</f>
        <v>4*0</v>
      </c>
      <c r="AV38" s="108">
        <f t="shared" si="11"/>
        <v>23.77</v>
      </c>
      <c r="AW38" s="108" t="str">
        <f t="array" ref="AW38">IF(ISNUMBER(AC38),INDEX('All Player Data Store'!$S$8:$S$594,SMALL(IF('All Player Data Store'!$Y$7:$Y$594=AC38,ROW('All Player Data Store'!$Y$7:$Y$594)-ROW('All Player Data Store'!$Y$7)+1),COUNTIF($AC$8:AC38,AC38))),"")</f>
        <v>1*4</v>
      </c>
      <c r="AX38" s="108">
        <f t="shared" si="12"/>
        <v>18.48</v>
      </c>
      <c r="AY38" s="108" t="str">
        <f t="array" ref="AY38">IF(ISNUMBER(AC38),INDEX('All Player Data Store'!$T$8:$T$594,SMALL(IF('All Player Data Store'!$Y$7:$Y$594=AC38,ROW('All Player Data Store'!$Y$7:$Y$594)-ROW('All Player Data Store'!$Y$7)+1),COUNTIF($AC$8:AC38,AC38))),"")</f>
        <v>4*2</v>
      </c>
      <c r="AZ38" s="108">
        <f t="shared" si="13"/>
        <v>22.52</v>
      </c>
      <c r="BA38" s="108" t="str">
        <f t="array" ref="BA38">IF(ISNUMBER(AC38),INDEX('All Player Data Store'!$U$8:$U$594,SMALL(IF('All Player Data Store'!$Y$7:$Y$594=AC38,ROW('All Player Data Store'!$Y$7:$Y$594)-ROW('All Player Data Store'!$Y$7)+1),COUNTIF($AC$8:AC38,AC38))),"")</f>
        <v>1*4</v>
      </c>
      <c r="BB38" s="108">
        <f t="shared" si="14"/>
        <v>21.26</v>
      </c>
      <c r="BC38" s="108" t="str">
        <f t="array" ref="BC38">IF(ISNUMBER(AC38),INDEX('All Player Data Store'!$V$8:$V$594,SMALL(IF('All Player Data Store'!$Y$7:$Y$594=AC38,ROW('All Player Data Store'!$Y$7:$Y$594)-ROW('All Player Data Store'!$Y$7)+1),COUNTIF($AC$8:AC38,AC38))),"")</f>
        <v>4*0</v>
      </c>
      <c r="BD38" s="108">
        <f t="shared" si="15"/>
        <v>23.77</v>
      </c>
      <c r="BE38" s="1"/>
    </row>
    <row r="39" spans="2:57" ht="12" customHeight="1" x14ac:dyDescent="0.2">
      <c r="B39" s="98" t="str">
        <f t="shared" si="0"/>
        <v>N</v>
      </c>
      <c r="C39" s="1"/>
      <c r="D39" s="68">
        <f t="shared" si="1"/>
        <v>32</v>
      </c>
      <c r="E39" s="2"/>
      <c r="F39" s="78">
        <v>32</v>
      </c>
      <c r="G39" s="110" t="str">
        <f t="array" ref="G39">IF(ISNUMBER(AC39),INDEX('All Player Data Store'!$C$7:$C$594,SMALL(IF('All Player Data Store'!$Y$7:$Y$594=AC39,ROW('All Player Data Store'!$Y$7:$Y$594)-ROW('All Player Data Store'!$Y$7)+1),COUNTIF($AC$8:AC39,AC39))),"")</f>
        <v>Owen Bowden</v>
      </c>
      <c r="H39" s="111" t="str">
        <f t="array" ref="H39">IF(ISNUMBER(AC39),INDEX('All Player Data Store'!$D$7:$D$594,SMALL(IF('All Player Data Store'!$Y$7:$Y$594=AC39,ROW('All Player Data Store'!$Y$7:$Y$594)-ROW('All Player Data Store'!$Y$7)+1),COUNTIF($AC$8:AC39,AC39))),"")</f>
        <v>Sha</v>
      </c>
      <c r="I39" s="69">
        <f t="array" ref="I39">IF(ISNUMBER(AC39),INDEX('All Player Data Store'!$E$7:$E$594,SMALL(IF('All Player Data Store'!$Y$7:$Y$594=AC39,ROW('All Player Data Store'!$Y$7:$Y$594)-ROW('All Player Data Store'!$Y$7)+1),COUNTIF($AC$8:AC39,AC39))),"")</f>
        <v>5</v>
      </c>
      <c r="J39" s="70">
        <f t="array" ref="J39">IF(ISNUMBER(AC39),INDEX('All Player Data Store'!$F$7:$F$594,SMALL(IF('All Player Data Store'!$Y$7:$Y$594=AC39,ROW('All Player Data Store'!$Y$7:$Y$594)-ROW('All Player Data Store'!$Y$7)+1),COUNTIF($AC$8:AC39,AC39))),"")</f>
        <v>4</v>
      </c>
      <c r="K39" s="112">
        <f t="array" ref="K39">IF(ISNUMBER(AC39),INDEX('All Player Data Store'!$G$7:$G$594,SMALL(IF('All Player Data Store'!$Y$7:$Y$594=AC39,ROW('All Player Data Store'!$Y$7:$Y$594)-ROW('All Player Data Store'!$Y$7)+1),COUNTIF($AC$8:AC39,AC39))),"")</f>
        <v>1</v>
      </c>
      <c r="L39" s="112">
        <f t="array" ref="L39">IF(ISNUMBER(AC39),INDEX('All Player Data Store'!$H$7:$H$594,SMALL(IF('All Player Data Store'!$Y$7:$Y$594=AC39,ROW('All Player Data Store'!$Y$7:$Y$594)-ROW('All Player Data Store'!$Y$7)+1),COUNTIF($AC$8:AC39,AC39))),"")</f>
        <v>19</v>
      </c>
      <c r="M39" s="113">
        <f t="array" ref="M39">IF(ISNUMBER(AC39),INDEX('All Player Data Store'!$I$7:$I$594,SMALL(IF('All Player Data Store'!$Y$7:$Y$594=AC39,ROW('All Player Data Store'!$Y$7:$Y$594)-ROW('All Player Data Store'!$Y$7)+1),COUNTIF($AC$8:AC39,AC39))),"")</f>
        <v>10</v>
      </c>
      <c r="N39" s="114" t="str">
        <f t="array" ref="N39">IF(ISNUMBER(AC39),INDEX('All Player Data Store'!$J$7:$J$594,SMALL(IF('All Player Data Store'!$Y$7:$Y$594=AC39,ROW('All Player Data Store'!$Y$7:$Y$594)-ROW('All Player Data Store'!$Y$7)+1),COUNTIF($AC$8:AC39,AC39))),"")</f>
        <v/>
      </c>
      <c r="O39" s="108" t="str">
        <f t="array" ref="O39">IF(ISNUMBER(AC39),INDEX('All Player Data Store'!$K$7:$K$594,SMALL(IF('All Player Data Store'!$Y$7:$Y$594=AC39,ROW('All Player Data Store'!$Y$7:$Y$594)-ROW('All Player Data Store'!$Y$7)+1),COUNTIF($AC$8:AC39,AC39))),"")</f>
        <v/>
      </c>
      <c r="P39" s="108" t="str">
        <f t="array" ref="P39">IF(ISNUMBER(AC39),INDEX('All Player Data Store'!$L$7:$L$594,SMALL(IF('All Player Data Store'!$Y$7:$Y$594=AC39,ROW('All Player Data Store'!$Y$7:$Y$594)-ROW('All Player Data Store'!$Y$7)+1),COUNTIF($AC$8:AC39,AC39))),"")</f>
        <v/>
      </c>
      <c r="Q39" s="108" t="str">
        <f t="array" ref="Q39">IF(ISNUMBER(AC39),INDEX('All Player Data Store'!$M$7:$M$594,SMALL(IF('All Player Data Store'!$Y$7:$Y$594=AC39,ROW('All Player Data Store'!$Y$7:$Y$594)-ROW('All Player Data Store'!$Y$7)+1),COUNTIF($AC$8:AC39,AC39))),"")</f>
        <v/>
      </c>
      <c r="R39" s="108" t="str">
        <f t="array" ref="R39">IF(ISNUMBER(AC39),INDEX('All Player Data Store'!$N$7:$N$594,SMALL(IF('All Player Data Store'!$Y$7:$Y$594=AC39,ROW('All Player Data Store'!$Y$7:$Y$594)-ROW('All Player Data Store'!$Y$7)+1),COUNTIF($AC$8:AC39,AC39))),"")</f>
        <v/>
      </c>
      <c r="S39" s="108" t="str">
        <f t="array" ref="S39">IF(ISNUMBER(AC39),INDEX('All Player Data Store'!$O$7:$O$594,SMALL(IF('All Player Data Store'!$Y$7:$Y$594=AC39,ROW('All Player Data Store'!$Y$7:$Y$594)-ROW('All Player Data Store'!$Y$7)+1),COUNTIF($AC$8:AC39,AC39))),"")</f>
        <v/>
      </c>
      <c r="T39" s="108">
        <f t="array" ref="T39">IF(ISNUMBER(AC39),INDEX('All Player Data Store'!$P$7:$P$594,SMALL(IF('All Player Data Store'!$Y$7:$Y$594=AC39,ROW('All Player Data Store'!$Y$7:$Y$594)-ROW('All Player Data Store'!$Y$7)+1),COUNTIF($AC$8:AC39,AC39))),"")</f>
        <v>26.54</v>
      </c>
      <c r="U39" s="108" t="str">
        <f t="array" ref="U39">IF(ISNUMBER(AC39),INDEX('All Player Data Store'!$Q$7:$Q$594,SMALL(IF('All Player Data Store'!$Y$7:$Y$594=AC39,ROW('All Player Data Store'!$Y$7:$Y$594)-ROW('All Player Data Store'!$Y$7)+1),COUNTIF($AC$8:AC39,AC39))),"")</f>
        <v/>
      </c>
      <c r="V39" s="108" t="str">
        <f t="array" ref="V39">IF(ISNUMBER(AC39),INDEX('All Player Data Store'!$R$7:$R$594,SMALL(IF('All Player Data Store'!$Y$7:$Y$594=AC39,ROW('All Player Data Store'!$Y$7:$Y$594)-ROW('All Player Data Store'!$Y$7)+1),COUNTIF($AC$8:AC39,AC39))),"")</f>
        <v/>
      </c>
      <c r="W39" s="108">
        <f t="array" ref="W39">IF(ISNUMBER(AC39),INDEX('All Player Data Store'!$S$7:$S$594,SMALL(IF('All Player Data Store'!$Y$7:$Y$594=AC39,ROW('All Player Data Store'!$Y$7:$Y$594)-ROW('All Player Data Store'!$Y$7)+1),COUNTIF($AC$8:AC39,AC39))),"")</f>
        <v>28.1</v>
      </c>
      <c r="X39" s="108">
        <f t="array" ref="X39">IF(ISNUMBER(AC39),INDEX('All Player Data Store'!$T$7:$T$594,SMALL(IF('All Player Data Store'!$Y$7:$Y$594=AC39,ROW('All Player Data Store'!$Y$7:$Y$594)-ROW('All Player Data Store'!$Y$7)+1),COUNTIF($AC$8:AC39,AC39))),"")</f>
        <v>26.05</v>
      </c>
      <c r="Y39" s="108">
        <f t="array" ref="Y39">IF(ISNUMBER(AC39),INDEX('All Player Data Store'!$U$7:$U$594,SMALL(IF('All Player Data Store'!$Y$7:$Y$594=AC39,ROW('All Player Data Store'!$Y$7:$Y$594)-ROW('All Player Data Store'!$Y$7)+1),COUNTIF($AC$8:AC39,AC39))),"")</f>
        <v>23.32</v>
      </c>
      <c r="Z39" s="108">
        <f t="array" ref="Z39">IF(ISNUMBER(AC39),INDEX('All Player Data Store'!$V$7:$V$594,SMALL(IF('All Player Data Store'!$Y$7:$Y$594=AC39,ROW('All Player Data Store'!$Y$7:$Y$594)-ROW('All Player Data Store'!$Y$7)+1),COUNTIF($AC$8:AC39,AC39))),"")</f>
        <v>24.51</v>
      </c>
      <c r="AA39" s="112">
        <f t="array" ref="AA39">IF(ISNUMBER(AC39),INDEX('All Player Data Store'!$W$7:$W$594,SMALL(IF('All Player Data Store'!$Y$7:$Y$594=AC39,ROW('All Player Data Store'!$Y$7:$Y$594)-ROW('All Player Data Store'!$Y$7)+1),COUNTIF($AC$8:AC39,AC39))),"")</f>
        <v>6</v>
      </c>
      <c r="AB39" s="108">
        <f t="array" ref="AB39">IF(ISNUMBER(AC39),INDEX('All Player Data Store'!$X$7:$X$594,SMALL(IF('All Player Data Store'!$Y$7:$Y$594=AC39,ROW('All Player Data Store'!$Y$7:$Y$594)-ROW('All Player Data Store'!$Y$7)+1),COUNTIF($AC$8:AC39,AC39))),"")</f>
        <v>25.703999999999997</v>
      </c>
      <c r="AC39" s="115">
        <f>IF(ISERROR(IF(ISERROR(LARGE('All Player Data Store'!$Y$7:$Y$594,32)),"",(LARGE('All Player Data Store'!$Y$7:$Y$594,32)))),"",(IF(ISERROR(LARGE('All Player Data Store'!$Y$7:$Y$594,32)),"",(LARGE('All Player Data Store'!$Y$7:$Y$594,32)))))</f>
        <v>29.703999999999997</v>
      </c>
      <c r="AD39" s="106">
        <f t="shared" si="2"/>
        <v>3</v>
      </c>
      <c r="AE39" s="107" t="str">
        <f t="array" ref="AE39">IF(ISNUMBER(AC39),INDEX('All Player Data Store'!$J$8:$J$594,SMALL(IF('All Player Data Store'!$Y$7:$Y$594=AC39,ROW('All Player Data Store'!$Y$7:$Y$594)-ROW('All Player Data Store'!$Y$7)+1),COUNTIF($AC$8:AC39,AC39))),"")</f>
        <v/>
      </c>
      <c r="AF39" s="108" t="str">
        <f t="shared" si="3"/>
        <v/>
      </c>
      <c r="AG39" s="108" t="str">
        <f t="array" ref="AG39">IF(ISNUMBER(AC39),INDEX('All Player Data Store'!$K$8:$K$594,SMALL(IF('All Player Data Store'!$Y$7:$Y$594=AC39,ROW('All Player Data Store'!$Y$7:$Y$594)-ROW('All Player Data Store'!$Y$7)+1),COUNTIF($AC$8:AC39,AC39))),"")</f>
        <v/>
      </c>
      <c r="AH39" s="108" t="str">
        <f t="shared" si="4"/>
        <v/>
      </c>
      <c r="AI39" s="108" t="str">
        <f t="array" ref="AI39">IF(ISNUMBER(AC39),INDEX('All Player Data Store'!$L$8:$L$594,SMALL(IF('All Player Data Store'!$Y$7:$Y$594=AC39,ROW('All Player Data Store'!$Y$7:$Y$594)-ROW('All Player Data Store'!$Y$7)+1),COUNTIF($AC$8:AC39,AC39))),"")</f>
        <v/>
      </c>
      <c r="AJ39" s="108" t="str">
        <f t="shared" si="5"/>
        <v/>
      </c>
      <c r="AK39" s="108" t="str">
        <f t="array" ref="AK39">IF(ISNUMBER(AC39),INDEX('All Player Data Store'!$M$8:$M$594,SMALL(IF('All Player Data Store'!$Y$7:$Y$594=AC39,ROW('All Player Data Store'!$Y$7:$Y$594)-ROW('All Player Data Store'!$Y$7)+1),COUNTIF($AC$8:AC39,AC39))),"")</f>
        <v/>
      </c>
      <c r="AL39" s="108" t="str">
        <f t="shared" si="6"/>
        <v/>
      </c>
      <c r="AM39" s="108" t="str">
        <f t="array" ref="AM39">IF(ISNUMBER(AC39),INDEX('All Player Data Store'!$N$8:$N$594,SMALL(IF('All Player Data Store'!$Y$7:$Y$594=AC39,ROW('All Player Data Store'!$Y$7:$Y$594)-ROW('All Player Data Store'!$Y$7)+1),COUNTIF($AC$8:AC39,AC39))),"")</f>
        <v/>
      </c>
      <c r="AN39" s="108" t="str">
        <f t="shared" si="7"/>
        <v/>
      </c>
      <c r="AO39" s="108" t="str">
        <f t="array" ref="AO39">IF(ISNUMBER(AC39),INDEX('All Player Data Store'!$O$8:$O$594,SMALL(IF('All Player Data Store'!$Y$7:$Y$594=AC39,ROW('All Player Data Store'!$Y$7:$Y$594)-ROW('All Player Data Store'!$Y$7)+1),COUNTIF($AC$8:AC39,AC39))),"")</f>
        <v/>
      </c>
      <c r="AP39" s="108" t="str">
        <f t="shared" si="8"/>
        <v/>
      </c>
      <c r="AQ39" s="108" t="str">
        <f t="array" ref="AQ39">IF(ISNUMBER(AC39),INDEX('All Player Data Store'!$P$8:$P$594,SMALL(IF('All Player Data Store'!$Y$7:$Y$594=AC39,ROW('All Player Data Store'!$Y$7:$Y$594)-ROW('All Player Data Store'!$Y$7)+1),COUNTIF($AC$8:AC39,AC39))),"")</f>
        <v>4*2</v>
      </c>
      <c r="AR39" s="108">
        <f t="shared" si="9"/>
        <v>27.54</v>
      </c>
      <c r="AS39" s="108" t="str">
        <f t="array" ref="AS39">IF(ISNUMBER(AC39),INDEX('All Player Data Store'!$Q$8:$Q$594,SMALL(IF('All Player Data Store'!$Y$7:$Y$594=AC39,ROW('All Player Data Store'!$Y$7:$Y$594)-ROW('All Player Data Store'!$Y$7)+1),COUNTIF($AC$8:AC39,AC39))),"")</f>
        <v/>
      </c>
      <c r="AT39" s="108" t="str">
        <f t="shared" si="10"/>
        <v/>
      </c>
      <c r="AU39" s="108" t="str">
        <f t="array" ref="AU39">IF(ISNUMBER(AC39),INDEX('All Player Data Store'!$R$8:$R$594,SMALL(IF('All Player Data Store'!$Y$7:$Y$594=AC39,ROW('All Player Data Store'!$Y$7:$Y$594)-ROW('All Player Data Store'!$Y$7)+1),COUNTIF($AC$8:AC39,AC39))),"")</f>
        <v/>
      </c>
      <c r="AV39" s="108" t="str">
        <f t="shared" si="11"/>
        <v/>
      </c>
      <c r="AW39" s="108" t="str">
        <f t="array" ref="AW39">IF(ISNUMBER(AC39),INDEX('All Player Data Store'!$S$8:$S$594,SMALL(IF('All Player Data Store'!$Y$7:$Y$594=AC39,ROW('All Player Data Store'!$Y$7:$Y$594)-ROW('All Player Data Store'!$Y$7)+1),COUNTIF($AC$8:AC39,AC39))),"")</f>
        <v>4*1</v>
      </c>
      <c r="AX39" s="108">
        <f t="shared" si="12"/>
        <v>29.1</v>
      </c>
      <c r="AY39" s="108" t="str">
        <f t="array" ref="AY39">IF(ISNUMBER(AC39),INDEX('All Player Data Store'!$T$8:$T$594,SMALL(IF('All Player Data Store'!$Y$7:$Y$594=AC39,ROW('All Player Data Store'!$Y$7:$Y$594)-ROW('All Player Data Store'!$Y$7)+1),COUNTIF($AC$8:AC39,AC39))),"")</f>
        <v>4*2(1)</v>
      </c>
      <c r="AZ39" s="108">
        <f t="shared" si="13"/>
        <v>27.05</v>
      </c>
      <c r="BA39" s="108" t="str">
        <f t="array" ref="BA39">IF(ISNUMBER(AC39),INDEX('All Player Data Store'!$U$8:$U$594,SMALL(IF('All Player Data Store'!$Y$7:$Y$594=AC39,ROW('All Player Data Store'!$Y$7:$Y$594)-ROW('All Player Data Store'!$Y$7)+1),COUNTIF($AC$8:AC39,AC39))),"")</f>
        <v>4*1(2)</v>
      </c>
      <c r="BB39" s="108">
        <f t="shared" si="14"/>
        <v>24.32</v>
      </c>
      <c r="BC39" s="108" t="str">
        <f t="array" ref="BC39">IF(ISNUMBER(AC39),INDEX('All Player Data Store'!$V$8:$V$594,SMALL(IF('All Player Data Store'!$Y$7:$Y$594=AC39,ROW('All Player Data Store'!$Y$7:$Y$594)-ROW('All Player Data Store'!$Y$7)+1),COUNTIF($AC$8:AC39,AC39))),"")</f>
        <v>3*4(3)</v>
      </c>
      <c r="BD39" s="108">
        <f t="shared" si="15"/>
        <v>24.51</v>
      </c>
      <c r="BE39" s="1"/>
    </row>
    <row r="40" spans="2:57" ht="12" customHeight="1" x14ac:dyDescent="0.2">
      <c r="B40" s="98" t="str">
        <f t="shared" si="0"/>
        <v>Y</v>
      </c>
      <c r="C40" s="1"/>
      <c r="D40" s="68">
        <f t="shared" si="1"/>
        <v>33</v>
      </c>
      <c r="E40" s="2"/>
      <c r="F40" s="78">
        <v>33</v>
      </c>
      <c r="G40" s="110" t="str">
        <f t="array" ref="G40">IF(ISNUMBER(AC40),INDEX('All Player Data Store'!$C$7:$C$594,SMALL(IF('All Player Data Store'!$Y$7:$Y$594=AC40,ROW('All Player Data Store'!$Y$7:$Y$594)-ROW('All Player Data Store'!$Y$7)+1),COUNTIF($AC$8:AC40,AC40))),"")</f>
        <v>Robby Morris</v>
      </c>
      <c r="H40" s="111" t="str">
        <f t="array" ref="H40">IF(ISNUMBER(AC40),INDEX('All Player Data Store'!$D$7:$D$594,SMALL(IF('All Player Data Store'!$Y$7:$Y$594=AC40,ROW('All Player Data Store'!$Y$7:$Y$594)-ROW('All Player Data Store'!$Y$7)+1),COUNTIF($AC$8:AC40,AC40))),"")</f>
        <v>Dor</v>
      </c>
      <c r="I40" s="69">
        <f t="array" ref="I40">IF(ISNUMBER(AC40),INDEX('All Player Data Store'!$E$7:$E$594,SMALL(IF('All Player Data Store'!$Y$7:$Y$594=AC40,ROW('All Player Data Store'!$Y$7:$Y$594)-ROW('All Player Data Store'!$Y$7)+1),COUNTIF($AC$8:AC40,AC40))),"")</f>
        <v>12</v>
      </c>
      <c r="J40" s="70">
        <f t="array" ref="J40">IF(ISNUMBER(AC40),INDEX('All Player Data Store'!$F$7:$F$594,SMALL(IF('All Player Data Store'!$Y$7:$Y$594=AC40,ROW('All Player Data Store'!$Y$7:$Y$594)-ROW('All Player Data Store'!$Y$7)+1),COUNTIF($AC$8:AC40,AC40))),"")</f>
        <v>8</v>
      </c>
      <c r="K40" s="112">
        <f t="array" ref="K40">IF(ISNUMBER(AC40),INDEX('All Player Data Store'!$G$7:$G$594,SMALL(IF('All Player Data Store'!$Y$7:$Y$594=AC40,ROW('All Player Data Store'!$Y$7:$Y$594)-ROW('All Player Data Store'!$Y$7)+1),COUNTIF($AC$8:AC40,AC40))),"")</f>
        <v>4</v>
      </c>
      <c r="L40" s="112">
        <f t="array" ref="L40">IF(ISNUMBER(AC40),INDEX('All Player Data Store'!$H$7:$H$594,SMALL(IF('All Player Data Store'!$Y$7:$Y$594=AC40,ROW('All Player Data Store'!$Y$7:$Y$594)-ROW('All Player Data Store'!$Y$7)+1),COUNTIF($AC$8:AC40,AC40))),"")</f>
        <v>36</v>
      </c>
      <c r="M40" s="113">
        <f t="array" ref="M40">IF(ISNUMBER(AC40),INDEX('All Player Data Store'!$I$7:$I$594,SMALL(IF('All Player Data Store'!$Y$7:$Y$594=AC40,ROW('All Player Data Store'!$Y$7:$Y$594)-ROW('All Player Data Store'!$Y$7)+1),COUNTIF($AC$8:AC40,AC40))),"")</f>
        <v>33</v>
      </c>
      <c r="N40" s="114">
        <f t="array" ref="N40">IF(ISNUMBER(AC40),INDEX('All Player Data Store'!$J$7:$J$594,SMALL(IF('All Player Data Store'!$Y$7:$Y$594=AC40,ROW('All Player Data Store'!$Y$7:$Y$594)-ROW('All Player Data Store'!$Y$7)+1),COUNTIF($AC$8:AC40,AC40))),"")</f>
        <v>20.04</v>
      </c>
      <c r="O40" s="108">
        <f t="array" ref="O40">IF(ISNUMBER(AC40),INDEX('All Player Data Store'!$K$7:$K$594,SMALL(IF('All Player Data Store'!$Y$7:$Y$594=AC40,ROW('All Player Data Store'!$Y$7:$Y$594)-ROW('All Player Data Store'!$Y$7)+1),COUNTIF($AC$8:AC40,AC40))),"")</f>
        <v>20.51</v>
      </c>
      <c r="P40" s="108">
        <f t="array" ref="P40">IF(ISNUMBER(AC40),INDEX('All Player Data Store'!$L$7:$L$594,SMALL(IF('All Player Data Store'!$Y$7:$Y$594=AC40,ROW('All Player Data Store'!$Y$7:$Y$594)-ROW('All Player Data Store'!$Y$7)+1),COUNTIF($AC$8:AC40,AC40))),"")</f>
        <v>22.61</v>
      </c>
      <c r="Q40" s="108">
        <f t="array" ref="Q40">IF(ISNUMBER(AC40),INDEX('All Player Data Store'!$M$7:$M$594,SMALL(IF('All Player Data Store'!$Y$7:$Y$594=AC40,ROW('All Player Data Store'!$Y$7:$Y$594)-ROW('All Player Data Store'!$Y$7)+1),COUNTIF($AC$8:AC40,AC40))),"")</f>
        <v>21.06</v>
      </c>
      <c r="R40" s="108">
        <f t="array" ref="R40">IF(ISNUMBER(AC40),INDEX('All Player Data Store'!$N$7:$N$594,SMALL(IF('All Player Data Store'!$Y$7:$Y$594=AC40,ROW('All Player Data Store'!$Y$7:$Y$594)-ROW('All Player Data Store'!$Y$7)+1),COUNTIF($AC$8:AC40,AC40))),"")</f>
        <v>21.4</v>
      </c>
      <c r="S40" s="108">
        <f t="array" ref="S40">IF(ISNUMBER(AC40),INDEX('All Player Data Store'!$O$7:$O$594,SMALL(IF('All Player Data Store'!$Y$7:$Y$594=AC40,ROW('All Player Data Store'!$Y$7:$Y$594)-ROW('All Player Data Store'!$Y$7)+1),COUNTIF($AC$8:AC40,AC40))),"")</f>
        <v>21.42</v>
      </c>
      <c r="T40" s="108">
        <f t="array" ref="T40">IF(ISNUMBER(AC40),INDEX('All Player Data Store'!$P$7:$P$594,SMALL(IF('All Player Data Store'!$Y$7:$Y$594=AC40,ROW('All Player Data Store'!$Y$7:$Y$594)-ROW('All Player Data Store'!$Y$7)+1),COUNTIF($AC$8:AC40,AC40))),"")</f>
        <v>24.13</v>
      </c>
      <c r="U40" s="108">
        <f t="array" ref="U40">IF(ISNUMBER(AC40),INDEX('All Player Data Store'!$Q$7:$Q$594,SMALL(IF('All Player Data Store'!$Y$7:$Y$594=AC40,ROW('All Player Data Store'!$Y$7:$Y$594)-ROW('All Player Data Store'!$Y$7)+1),COUNTIF($AC$8:AC40,AC40))),"")</f>
        <v>18.82</v>
      </c>
      <c r="V40" s="108">
        <f t="array" ref="V40">IF(ISNUMBER(AC40),INDEX('All Player Data Store'!$R$7:$R$594,SMALL(IF('All Player Data Store'!$Y$7:$Y$594=AC40,ROW('All Player Data Store'!$Y$7:$Y$594)-ROW('All Player Data Store'!$Y$7)+1),COUNTIF($AC$8:AC40,AC40))),"")</f>
        <v>20.59</v>
      </c>
      <c r="W40" s="108" t="str">
        <f t="array" ref="W40">IF(ISNUMBER(AC40),INDEX('All Player Data Store'!$S$7:$S$594,SMALL(IF('All Player Data Store'!$Y$7:$Y$594=AC40,ROW('All Player Data Store'!$Y$7:$Y$594)-ROW('All Player Data Store'!$Y$7)+1),COUNTIF($AC$8:AC40,AC40))),"")</f>
        <v/>
      </c>
      <c r="X40" s="108">
        <f t="array" ref="X40">IF(ISNUMBER(AC40),INDEX('All Player Data Store'!$T$7:$T$594,SMALL(IF('All Player Data Store'!$Y$7:$Y$594=AC40,ROW('All Player Data Store'!$Y$7:$Y$594)-ROW('All Player Data Store'!$Y$7)+1),COUNTIF($AC$8:AC40,AC40))),"")</f>
        <v>24.87</v>
      </c>
      <c r="Y40" s="108">
        <f t="array" ref="Y40">IF(ISNUMBER(AC40),INDEX('All Player Data Store'!$U$7:$U$594,SMALL(IF('All Player Data Store'!$Y$7:$Y$594=AC40,ROW('All Player Data Store'!$Y$7:$Y$594)-ROW('All Player Data Store'!$Y$7)+1),COUNTIF($AC$8:AC40,AC40))),"")</f>
        <v>22.38</v>
      </c>
      <c r="Z40" s="108">
        <f t="array" ref="Z40">IF(ISNUMBER(AC40),INDEX('All Player Data Store'!$V$7:$V$594,SMALL(IF('All Player Data Store'!$Y$7:$Y$594=AC40,ROW('All Player Data Store'!$Y$7:$Y$594)-ROW('All Player Data Store'!$Y$7)+1),COUNTIF($AC$8:AC40,AC40))),"")</f>
        <v>22.52</v>
      </c>
      <c r="AA40" s="112">
        <f t="array" ref="AA40">IF(ISNUMBER(AC40),INDEX('All Player Data Store'!$W$7:$W$594,SMALL(IF('All Player Data Store'!$Y$7:$Y$594=AC40,ROW('All Player Data Store'!$Y$7:$Y$594)-ROW('All Player Data Store'!$Y$7)+1),COUNTIF($AC$8:AC40,AC40))),"")</f>
        <v>3</v>
      </c>
      <c r="AB40" s="108">
        <f t="array" ref="AB40">IF(ISNUMBER(AC40),INDEX('All Player Data Store'!$X$7:$X$594,SMALL(IF('All Player Data Store'!$Y$7:$Y$594=AC40,ROW('All Player Data Store'!$Y$7:$Y$594)-ROW('All Player Data Store'!$Y$7)+1),COUNTIF($AC$8:AC40,AC40))),"")</f>
        <v>21.695833333333336</v>
      </c>
      <c r="AC40" s="115">
        <f>IF(ISERROR(IF(ISERROR(LARGE('All Player Data Store'!$Y$7:$Y$594,33)),"",(LARGE('All Player Data Store'!$Y$7:$Y$594,33)))),"",(IF(ISERROR(LARGE('All Player Data Store'!$Y$7:$Y$594,33)),"",(LARGE('All Player Data Store'!$Y$7:$Y$594,33)))))</f>
        <v>29.695833333333336</v>
      </c>
      <c r="AD40" s="106">
        <f t="shared" si="2"/>
        <v>3</v>
      </c>
      <c r="AE40" s="107" t="str">
        <f t="array" ref="AE40">IF(ISNUMBER(AC40),INDEX('All Player Data Store'!$J$8:$J$594,SMALL(IF('All Player Data Store'!$Y$7:$Y$594=AC40,ROW('All Player Data Store'!$Y$7:$Y$594)-ROW('All Player Data Store'!$Y$7)+1),COUNTIF($AC$8:AC40,AC40))),"")</f>
        <v>4*1(1)</v>
      </c>
      <c r="AF40" s="108">
        <f t="shared" si="3"/>
        <v>21.04</v>
      </c>
      <c r="AG40" s="108" t="str">
        <f t="array" ref="AG40">IF(ISNUMBER(AC40),INDEX('All Player Data Store'!$K$8:$K$594,SMALL(IF('All Player Data Store'!$Y$7:$Y$594=AC40,ROW('All Player Data Store'!$Y$7:$Y$594)-ROW('All Player Data Store'!$Y$7)+1),COUNTIF($AC$8:AC40,AC40))),"")</f>
        <v>2*4</v>
      </c>
      <c r="AH40" s="108">
        <f t="shared" si="4"/>
        <v>20.51</v>
      </c>
      <c r="AI40" s="108" t="str">
        <f t="array" ref="AI40">IF(ISNUMBER(AC40),INDEX('All Player Data Store'!$L$8:$L$594,SMALL(IF('All Player Data Store'!$Y$7:$Y$594=AC40,ROW('All Player Data Store'!$Y$7:$Y$594)-ROW('All Player Data Store'!$Y$7)+1),COUNTIF($AC$8:AC40,AC40))),"")</f>
        <v>4*3</v>
      </c>
      <c r="AJ40" s="108">
        <f t="shared" si="5"/>
        <v>23.61</v>
      </c>
      <c r="AK40" s="108" t="str">
        <f t="array" ref="AK40">IF(ISNUMBER(AC40),INDEX('All Player Data Store'!$M$8:$M$594,SMALL(IF('All Player Data Store'!$Y$7:$Y$594=AC40,ROW('All Player Data Store'!$Y$7:$Y$594)-ROW('All Player Data Store'!$Y$7)+1),COUNTIF($AC$8:AC40,AC40))),"")</f>
        <v>1*4</v>
      </c>
      <c r="AL40" s="108">
        <f t="shared" si="6"/>
        <v>21.06</v>
      </c>
      <c r="AM40" s="108" t="str">
        <f t="array" ref="AM40">IF(ISNUMBER(AC40),INDEX('All Player Data Store'!$N$8:$N$594,SMALL(IF('All Player Data Store'!$Y$7:$Y$594=AC40,ROW('All Player Data Store'!$Y$7:$Y$594)-ROW('All Player Data Store'!$Y$7)+1),COUNTIF($AC$8:AC40,AC40))),"")</f>
        <v>4*1</v>
      </c>
      <c r="AN40" s="108">
        <f t="shared" si="7"/>
        <v>22.4</v>
      </c>
      <c r="AO40" s="108" t="str">
        <f t="array" ref="AO40">IF(ISNUMBER(AC40),INDEX('All Player Data Store'!$O$8:$O$594,SMALL(IF('All Player Data Store'!$Y$7:$Y$594=AC40,ROW('All Player Data Store'!$Y$7:$Y$594)-ROW('All Player Data Store'!$Y$7)+1),COUNTIF($AC$8:AC40,AC40))),"")</f>
        <v>4*2(1)</v>
      </c>
      <c r="AP40" s="108">
        <f t="shared" si="8"/>
        <v>22.42</v>
      </c>
      <c r="AQ40" s="108" t="str">
        <f t="array" ref="AQ40">IF(ISNUMBER(AC40),INDEX('All Player Data Store'!$P$8:$P$594,SMALL(IF('All Player Data Store'!$Y$7:$Y$594=AC40,ROW('All Player Data Store'!$Y$7:$Y$594)-ROW('All Player Data Store'!$Y$7)+1),COUNTIF($AC$8:AC40,AC40))),"")</f>
        <v>0*4</v>
      </c>
      <c r="AR40" s="108">
        <f t="shared" si="9"/>
        <v>24.13</v>
      </c>
      <c r="AS40" s="108" t="str">
        <f t="array" ref="AS40">IF(ISNUMBER(AC40),INDEX('All Player Data Store'!$Q$8:$Q$594,SMALL(IF('All Player Data Store'!$Y$7:$Y$594=AC40,ROW('All Player Data Store'!$Y$7:$Y$594)-ROW('All Player Data Store'!$Y$7)+1),COUNTIF($AC$8:AC40,AC40))),"")</f>
        <v>4*2</v>
      </c>
      <c r="AT40" s="108">
        <f t="shared" si="10"/>
        <v>19.82</v>
      </c>
      <c r="AU40" s="108" t="str">
        <f t="array" ref="AU40">IF(ISNUMBER(AC40),INDEX('All Player Data Store'!$R$8:$R$594,SMALL(IF('All Player Data Store'!$Y$7:$Y$594=AC40,ROW('All Player Data Store'!$Y$7:$Y$594)-ROW('All Player Data Store'!$Y$7)+1),COUNTIF($AC$8:AC40,AC40))),"")</f>
        <v>4*2</v>
      </c>
      <c r="AV40" s="108">
        <f t="shared" si="11"/>
        <v>21.59</v>
      </c>
      <c r="AW40" s="108" t="str">
        <f t="array" ref="AW40">IF(ISNUMBER(AC40),INDEX('All Player Data Store'!$S$8:$S$594,SMALL(IF('All Player Data Store'!$Y$7:$Y$594=AC40,ROW('All Player Data Store'!$Y$7:$Y$594)-ROW('All Player Data Store'!$Y$7)+1),COUNTIF($AC$8:AC40,AC40))),"")</f>
        <v/>
      </c>
      <c r="AX40" s="108" t="str">
        <f t="shared" si="12"/>
        <v/>
      </c>
      <c r="AY40" s="108" t="str">
        <f t="array" ref="AY40">IF(ISNUMBER(AC40),INDEX('All Player Data Store'!$T$8:$T$594,SMALL(IF('All Player Data Store'!$Y$7:$Y$594=AC40,ROW('All Player Data Store'!$Y$7:$Y$594)-ROW('All Player Data Store'!$Y$7)+1),COUNTIF($AC$8:AC40,AC40))),"")</f>
        <v>4*3</v>
      </c>
      <c r="AZ40" s="108">
        <f t="shared" si="13"/>
        <v>25.87</v>
      </c>
      <c r="BA40" s="108" t="str">
        <f t="array" ref="BA40">IF(ISNUMBER(AC40),INDEX('All Player Data Store'!$U$8:$U$594,SMALL(IF('All Player Data Store'!$Y$7:$Y$594=AC40,ROW('All Player Data Store'!$Y$7:$Y$594)-ROW('All Player Data Store'!$Y$7)+1),COUNTIF($AC$8:AC40,AC40))),"")</f>
        <v>1*4</v>
      </c>
      <c r="BB40" s="108">
        <f t="shared" si="14"/>
        <v>22.38</v>
      </c>
      <c r="BC40" s="108" t="str">
        <f t="array" ref="BC40">IF(ISNUMBER(AC40),INDEX('All Player Data Store'!$V$8:$V$594,SMALL(IF('All Player Data Store'!$Y$7:$Y$594=AC40,ROW('All Player Data Store'!$Y$7:$Y$594)-ROW('All Player Data Store'!$Y$7)+1),COUNTIF($AC$8:AC40,AC40))),"")</f>
        <v>4*3(1)</v>
      </c>
      <c r="BD40" s="108">
        <f t="shared" si="15"/>
        <v>23.52</v>
      </c>
      <c r="BE40" s="1"/>
    </row>
    <row r="41" spans="2:57" ht="12" customHeight="1" x14ac:dyDescent="0.2">
      <c r="B41" s="98" t="str">
        <f t="shared" si="0"/>
        <v>N</v>
      </c>
      <c r="C41" s="1"/>
      <c r="D41" s="68">
        <f t="shared" si="1"/>
        <v>34</v>
      </c>
      <c r="E41" s="2"/>
      <c r="F41" s="78">
        <v>34</v>
      </c>
      <c r="G41" s="110" t="str">
        <f t="array" ref="G41">IF(ISNUMBER(AC41),INDEX('All Player Data Store'!$C$7:$C$594,SMALL(IF('All Player Data Store'!$Y$7:$Y$594=AC41,ROW('All Player Data Store'!$Y$7:$Y$594)-ROW('All Player Data Store'!$Y$7)+1),COUNTIF($AC$8:AC41,AC41))),"")</f>
        <v>Nick Turner</v>
      </c>
      <c r="H41" s="111" t="str">
        <f t="array" ref="H41">IF(ISNUMBER(AC41),INDEX('All Player Data Store'!$D$7:$D$594,SMALL(IF('All Player Data Store'!$Y$7:$Y$594=AC41,ROW('All Player Data Store'!$Y$7:$Y$594)-ROW('All Player Data Store'!$Y$7)+1),COUNTIF($AC$8:AC41,AC41))),"")</f>
        <v>Par</v>
      </c>
      <c r="I41" s="69">
        <f t="array" ref="I41">IF(ISNUMBER(AC41),INDEX('All Player Data Store'!$E$7:$E$594,SMALL(IF('All Player Data Store'!$Y$7:$Y$594=AC41,ROW('All Player Data Store'!$Y$7:$Y$594)-ROW('All Player Data Store'!$Y$7)+1),COUNTIF($AC$8:AC41,AC41))),"")</f>
        <v>9</v>
      </c>
      <c r="J41" s="70">
        <f t="array" ref="J41">IF(ISNUMBER(AC41),INDEX('All Player Data Store'!$F$7:$F$594,SMALL(IF('All Player Data Store'!$Y$7:$Y$594=AC41,ROW('All Player Data Store'!$Y$7:$Y$594)-ROW('All Player Data Store'!$Y$7)+1),COUNTIF($AC$8:AC41,AC41))),"")</f>
        <v>7</v>
      </c>
      <c r="K41" s="112">
        <f t="array" ref="K41">IF(ISNUMBER(AC41),INDEX('All Player Data Store'!$G$7:$G$594,SMALL(IF('All Player Data Store'!$Y$7:$Y$594=AC41,ROW('All Player Data Store'!$Y$7:$Y$594)-ROW('All Player Data Store'!$Y$7)+1),COUNTIF($AC$8:AC41,AC41))),"")</f>
        <v>2</v>
      </c>
      <c r="L41" s="112">
        <f t="array" ref="L41">IF(ISNUMBER(AC41),INDEX('All Player Data Store'!$H$7:$H$594,SMALL(IF('All Player Data Store'!$Y$7:$Y$594=AC41,ROW('All Player Data Store'!$Y$7:$Y$594)-ROW('All Player Data Store'!$Y$7)+1),COUNTIF($AC$8:AC41,AC41))),"")</f>
        <v>34</v>
      </c>
      <c r="M41" s="113">
        <f t="array" ref="M41">IF(ISNUMBER(AC41),INDEX('All Player Data Store'!$I$7:$I$594,SMALL(IF('All Player Data Store'!$Y$7:$Y$594=AC41,ROW('All Player Data Store'!$Y$7:$Y$594)-ROW('All Player Data Store'!$Y$7)+1),COUNTIF($AC$8:AC41,AC41))),"")</f>
        <v>21</v>
      </c>
      <c r="N41" s="114">
        <f t="array" ref="N41">IF(ISNUMBER(AC41),INDEX('All Player Data Store'!$J$7:$J$594,SMALL(IF('All Player Data Store'!$Y$7:$Y$594=AC41,ROW('All Player Data Store'!$Y$7:$Y$594)-ROW('All Player Data Store'!$Y$7)+1),COUNTIF($AC$8:AC41,AC41))),"")</f>
        <v>24.84</v>
      </c>
      <c r="O41" s="108">
        <f t="array" ref="O41">IF(ISNUMBER(AC41),INDEX('All Player Data Store'!$K$7:$K$594,SMALL(IF('All Player Data Store'!$Y$7:$Y$594=AC41,ROW('All Player Data Store'!$Y$7:$Y$594)-ROW('All Player Data Store'!$Y$7)+1),COUNTIF($AC$8:AC41,AC41))),"")</f>
        <v>26.03</v>
      </c>
      <c r="P41" s="108">
        <f t="array" ref="P41">IF(ISNUMBER(AC41),INDEX('All Player Data Store'!$L$7:$L$594,SMALL(IF('All Player Data Store'!$Y$7:$Y$594=AC41,ROW('All Player Data Store'!$Y$7:$Y$594)-ROW('All Player Data Store'!$Y$7)+1),COUNTIF($AC$8:AC41,AC41))),"")</f>
        <v>21.77</v>
      </c>
      <c r="Q41" s="108" t="str">
        <f t="array" ref="Q41">IF(ISNUMBER(AC41),INDEX('All Player Data Store'!$M$7:$M$594,SMALL(IF('All Player Data Store'!$Y$7:$Y$594=AC41,ROW('All Player Data Store'!$Y$7:$Y$594)-ROW('All Player Data Store'!$Y$7)+1),COUNTIF($AC$8:AC41,AC41))),"")</f>
        <v/>
      </c>
      <c r="R41" s="108">
        <f t="array" ref="R41">IF(ISNUMBER(AC41),INDEX('All Player Data Store'!$N$7:$N$594,SMALL(IF('All Player Data Store'!$Y$7:$Y$594=AC41,ROW('All Player Data Store'!$Y$7:$Y$594)-ROW('All Player Data Store'!$Y$7)+1),COUNTIF($AC$8:AC41,AC41))),"")</f>
        <v>23.56</v>
      </c>
      <c r="S41" s="108">
        <f t="array" ref="S41">IF(ISNUMBER(AC41),INDEX('All Player Data Store'!$O$7:$O$594,SMALL(IF('All Player Data Store'!$Y$7:$Y$594=AC41,ROW('All Player Data Store'!$Y$7:$Y$594)-ROW('All Player Data Store'!$Y$7)+1),COUNTIF($AC$8:AC41,AC41))),"")</f>
        <v>20.77</v>
      </c>
      <c r="T41" s="108">
        <f t="array" ref="T41">IF(ISNUMBER(AC41),INDEX('All Player Data Store'!$P$7:$P$594,SMALL(IF('All Player Data Store'!$Y$7:$Y$594=AC41,ROW('All Player Data Store'!$Y$7:$Y$594)-ROW('All Player Data Store'!$Y$7)+1),COUNTIF($AC$8:AC41,AC41))),"")</f>
        <v>21.26</v>
      </c>
      <c r="U41" s="108">
        <f t="array" ref="U41">IF(ISNUMBER(AC41),INDEX('All Player Data Store'!$Q$7:$Q$594,SMALL(IF('All Player Data Store'!$Y$7:$Y$594=AC41,ROW('All Player Data Store'!$Y$7:$Y$594)-ROW('All Player Data Store'!$Y$7)+1),COUNTIF($AC$8:AC41,AC41))),"")</f>
        <v>20.74</v>
      </c>
      <c r="V41" s="108">
        <f t="array" ref="V41">IF(ISNUMBER(AC41),INDEX('All Player Data Store'!$R$7:$R$594,SMALL(IF('All Player Data Store'!$Y$7:$Y$594=AC41,ROW('All Player Data Store'!$Y$7:$Y$594)-ROW('All Player Data Store'!$Y$7)+1),COUNTIF($AC$8:AC41,AC41))),"")</f>
        <v>23.55</v>
      </c>
      <c r="W41" s="108">
        <f t="array" ref="W41">IF(ISNUMBER(AC41),INDEX('All Player Data Store'!$S$7:$S$594,SMALL(IF('All Player Data Store'!$Y$7:$Y$594=AC41,ROW('All Player Data Store'!$Y$7:$Y$594)-ROW('All Player Data Store'!$Y$7)+1),COUNTIF($AC$8:AC41,AC41))),"")</f>
        <v>20.73</v>
      </c>
      <c r="X41" s="108" t="str">
        <f t="array" ref="X41">IF(ISNUMBER(AC41),INDEX('All Player Data Store'!$T$7:$T$594,SMALL(IF('All Player Data Store'!$Y$7:$Y$594=AC41,ROW('All Player Data Store'!$Y$7:$Y$594)-ROW('All Player Data Store'!$Y$7)+1),COUNTIF($AC$8:AC41,AC41))),"")</f>
        <v/>
      </c>
      <c r="Y41" s="108" t="str">
        <f t="array" ref="Y41">IF(ISNUMBER(AC41),INDEX('All Player Data Store'!$U$7:$U$594,SMALL(IF('All Player Data Store'!$Y$7:$Y$594=AC41,ROW('All Player Data Store'!$Y$7:$Y$594)-ROW('All Player Data Store'!$Y$7)+1),COUNTIF($AC$8:AC41,AC41))),"")</f>
        <v/>
      </c>
      <c r="Z41" s="108" t="str">
        <f t="array" ref="Z41">IF(ISNUMBER(AC41),INDEX('All Player Data Store'!$V$7:$V$594,SMALL(IF('All Player Data Store'!$Y$7:$Y$594=AC41,ROW('All Player Data Store'!$Y$7:$Y$594)-ROW('All Player Data Store'!$Y$7)+1),COUNTIF($AC$8:AC41,AC41))),"")</f>
        <v/>
      </c>
      <c r="AA41" s="112">
        <f t="array" ref="AA41">IF(ISNUMBER(AC41),INDEX('All Player Data Store'!$W$7:$W$594,SMALL(IF('All Player Data Store'!$Y$7:$Y$594=AC41,ROW('All Player Data Store'!$Y$7:$Y$594)-ROW('All Player Data Store'!$Y$7)+1),COUNTIF($AC$8:AC41,AC41))),"")</f>
        <v>3</v>
      </c>
      <c r="AB41" s="108">
        <f t="array" ref="AB41">IF(ISNUMBER(AC41),INDEX('All Player Data Store'!$X$7:$X$594,SMALL(IF('All Player Data Store'!$Y$7:$Y$594=AC41,ROW('All Player Data Store'!$Y$7:$Y$594)-ROW('All Player Data Store'!$Y$7)+1),COUNTIF($AC$8:AC41,AC41))),"")</f>
        <v>22.583333333333332</v>
      </c>
      <c r="AC41" s="115">
        <f>IF(ISERROR(IF(ISERROR(LARGE('All Player Data Store'!$Y$7:$Y$594,34)),"",(LARGE('All Player Data Store'!$Y$7:$Y$594,34)))),"",(IF(ISERROR(LARGE('All Player Data Store'!$Y$7:$Y$594,34)),"",(LARGE('All Player Data Store'!$Y$7:$Y$594,34)))))</f>
        <v>29.583333333333332</v>
      </c>
      <c r="AD41" s="106">
        <f t="shared" si="2"/>
        <v>3</v>
      </c>
      <c r="AE41" s="107" t="str">
        <f t="array" ref="AE41">IF(ISNUMBER(AC41),INDEX('All Player Data Store'!$J$8:$J$594,SMALL(IF('All Player Data Store'!$Y$7:$Y$594=AC41,ROW('All Player Data Store'!$Y$7:$Y$594)-ROW('All Player Data Store'!$Y$7)+1),COUNTIF($AC$8:AC41,AC41))),"")</f>
        <v>4*2</v>
      </c>
      <c r="AF41" s="108">
        <f t="shared" si="3"/>
        <v>25.84</v>
      </c>
      <c r="AG41" s="108" t="str">
        <f t="array" ref="AG41">IF(ISNUMBER(AC41),INDEX('All Player Data Store'!$K$8:$K$594,SMALL(IF('All Player Data Store'!$Y$7:$Y$594=AC41,ROW('All Player Data Store'!$Y$7:$Y$594)-ROW('All Player Data Store'!$Y$7)+1),COUNTIF($AC$8:AC41,AC41))),"")</f>
        <v>4*0</v>
      </c>
      <c r="AH41" s="108">
        <f t="shared" si="4"/>
        <v>27.03</v>
      </c>
      <c r="AI41" s="108" t="str">
        <f t="array" ref="AI41">IF(ISNUMBER(AC41),INDEX('All Player Data Store'!$L$8:$L$594,SMALL(IF('All Player Data Store'!$Y$7:$Y$594=AC41,ROW('All Player Data Store'!$Y$7:$Y$594)-ROW('All Player Data Store'!$Y$7)+1),COUNTIF($AC$8:AC41,AC41))),"")</f>
        <v>4*1</v>
      </c>
      <c r="AJ41" s="108">
        <f t="shared" si="5"/>
        <v>22.77</v>
      </c>
      <c r="AK41" s="108" t="str">
        <f t="array" ref="AK41">IF(ISNUMBER(AC41),INDEX('All Player Data Store'!$M$8:$M$594,SMALL(IF('All Player Data Store'!$Y$7:$Y$594=AC41,ROW('All Player Data Store'!$Y$7:$Y$594)-ROW('All Player Data Store'!$Y$7)+1),COUNTIF($AC$8:AC41,AC41))),"")</f>
        <v/>
      </c>
      <c r="AL41" s="108" t="str">
        <f t="shared" si="6"/>
        <v/>
      </c>
      <c r="AM41" s="108" t="str">
        <f t="array" ref="AM41">IF(ISNUMBER(AC41),INDEX('All Player Data Store'!$N$8:$N$594,SMALL(IF('All Player Data Store'!$Y$7:$Y$594=AC41,ROW('All Player Data Store'!$Y$7:$Y$594)-ROW('All Player Data Store'!$Y$7)+1),COUNTIF($AC$8:AC41,AC41))),"")</f>
        <v>3*4(1)</v>
      </c>
      <c r="AN41" s="108">
        <f t="shared" si="7"/>
        <v>23.56</v>
      </c>
      <c r="AO41" s="108" t="str">
        <f t="array" ref="AO41">IF(ISNUMBER(AC41),INDEX('All Player Data Store'!$O$8:$O$594,SMALL(IF('All Player Data Store'!$Y$7:$Y$594=AC41,ROW('All Player Data Store'!$Y$7:$Y$594)-ROW('All Player Data Store'!$Y$7)+1),COUNTIF($AC$8:AC41,AC41))),"")</f>
        <v>4*3</v>
      </c>
      <c r="AP41" s="108">
        <f t="shared" si="8"/>
        <v>21.77</v>
      </c>
      <c r="AQ41" s="108" t="str">
        <f t="array" ref="AQ41">IF(ISNUMBER(AC41),INDEX('All Player Data Store'!$P$8:$P$594,SMALL(IF('All Player Data Store'!$Y$7:$Y$594=AC41,ROW('All Player Data Store'!$Y$7:$Y$594)-ROW('All Player Data Store'!$Y$7)+1),COUNTIF($AC$8:AC41,AC41))),"")</f>
        <v>4*2</v>
      </c>
      <c r="AR41" s="108">
        <f t="shared" si="9"/>
        <v>22.26</v>
      </c>
      <c r="AS41" s="108" t="str">
        <f t="array" ref="AS41">IF(ISNUMBER(AC41),INDEX('All Player Data Store'!$Q$8:$Q$594,SMALL(IF('All Player Data Store'!$Y$7:$Y$594=AC41,ROW('All Player Data Store'!$Y$7:$Y$594)-ROW('All Player Data Store'!$Y$7)+1),COUNTIF($AC$8:AC41,AC41))),"")</f>
        <v>4*3(1)</v>
      </c>
      <c r="AT41" s="108">
        <f t="shared" si="10"/>
        <v>21.74</v>
      </c>
      <c r="AU41" s="108" t="str">
        <f t="array" ref="AU41">IF(ISNUMBER(AC41),INDEX('All Player Data Store'!$R$8:$R$594,SMALL(IF('All Player Data Store'!$Y$7:$Y$594=AC41,ROW('All Player Data Store'!$Y$7:$Y$594)-ROW('All Player Data Store'!$Y$7)+1),COUNTIF($AC$8:AC41,AC41))),"")</f>
        <v>4*2</v>
      </c>
      <c r="AV41" s="108">
        <f t="shared" si="11"/>
        <v>24.55</v>
      </c>
      <c r="AW41" s="108" t="str">
        <f t="array" ref="AW41">IF(ISNUMBER(AC41),INDEX('All Player Data Store'!$S$8:$S$594,SMALL(IF('All Player Data Store'!$Y$7:$Y$594=AC41,ROW('All Player Data Store'!$Y$7:$Y$594)-ROW('All Player Data Store'!$Y$7)+1),COUNTIF($AC$8:AC41,AC41))),"")</f>
        <v>3*4(1)</v>
      </c>
      <c r="AX41" s="108">
        <f t="shared" si="12"/>
        <v>20.73</v>
      </c>
      <c r="AY41" s="108" t="str">
        <f t="array" ref="AY41">IF(ISNUMBER(AC41),INDEX('All Player Data Store'!$T$8:$T$594,SMALL(IF('All Player Data Store'!$Y$7:$Y$594=AC41,ROW('All Player Data Store'!$Y$7:$Y$594)-ROW('All Player Data Store'!$Y$7)+1),COUNTIF($AC$8:AC41,AC41))),"")</f>
        <v/>
      </c>
      <c r="AZ41" s="108" t="str">
        <f t="shared" si="13"/>
        <v/>
      </c>
      <c r="BA41" s="108" t="str">
        <f t="array" ref="BA41">IF(ISNUMBER(AC41),INDEX('All Player Data Store'!$U$8:$U$594,SMALL(IF('All Player Data Store'!$Y$7:$Y$594=AC41,ROW('All Player Data Store'!$Y$7:$Y$594)-ROW('All Player Data Store'!$Y$7)+1),COUNTIF($AC$8:AC41,AC41))),"")</f>
        <v/>
      </c>
      <c r="BB41" s="108" t="str">
        <f t="shared" si="14"/>
        <v/>
      </c>
      <c r="BC41" s="108" t="str">
        <f t="array" ref="BC41">IF(ISNUMBER(AC41),INDEX('All Player Data Store'!$V$8:$V$594,SMALL(IF('All Player Data Store'!$Y$7:$Y$594=AC41,ROW('All Player Data Store'!$Y$7:$Y$594)-ROW('All Player Data Store'!$Y$7)+1),COUNTIF($AC$8:AC41,AC41))),"")</f>
        <v/>
      </c>
      <c r="BD41" s="108" t="str">
        <f t="shared" si="15"/>
        <v/>
      </c>
      <c r="BE41" s="1"/>
    </row>
    <row r="42" spans="2:57" ht="12" customHeight="1" x14ac:dyDescent="0.2">
      <c r="B42" s="98" t="str">
        <f t="shared" si="0"/>
        <v>Y</v>
      </c>
      <c r="C42" s="1"/>
      <c r="D42" s="68">
        <f t="shared" si="1"/>
        <v>35</v>
      </c>
      <c r="E42" s="2"/>
      <c r="F42" s="78">
        <v>35</v>
      </c>
      <c r="G42" s="110" t="str">
        <f t="array" ref="G42">IF(ISNUMBER(AC42),INDEX('All Player Data Store'!$C$7:$C$594,SMALL(IF('All Player Data Store'!$Y$7:$Y$594=AC42,ROW('All Player Data Store'!$Y$7:$Y$594)-ROW('All Player Data Store'!$Y$7)+1),COUNTIF($AC$8:AC42,AC42))),"")</f>
        <v>Matt Read</v>
      </c>
      <c r="H42" s="111" t="str">
        <f t="array" ref="H42">IF(ISNUMBER(AC42),INDEX('All Player Data Store'!$D$7:$D$594,SMALL(IF('All Player Data Store'!$Y$7:$Y$594=AC42,ROW('All Player Data Store'!$Y$7:$Y$594)-ROW('All Player Data Store'!$Y$7)+1),COUNTIF($AC$8:AC42,AC42))),"")</f>
        <v>Dor</v>
      </c>
      <c r="I42" s="69">
        <f t="array" ref="I42">IF(ISNUMBER(AC42),INDEX('All Player Data Store'!$E$7:$E$594,SMALL(IF('All Player Data Store'!$Y$7:$Y$594=AC42,ROW('All Player Data Store'!$Y$7:$Y$594)-ROW('All Player Data Store'!$Y$7)+1),COUNTIF($AC$8:AC42,AC42))),"")</f>
        <v>11</v>
      </c>
      <c r="J42" s="70">
        <f t="array" ref="J42">IF(ISNUMBER(AC42),INDEX('All Player Data Store'!$F$7:$F$594,SMALL(IF('All Player Data Store'!$Y$7:$Y$594=AC42,ROW('All Player Data Store'!$Y$7:$Y$594)-ROW('All Player Data Store'!$Y$7)+1),COUNTIF($AC$8:AC42,AC42))),"")</f>
        <v>7</v>
      </c>
      <c r="K42" s="112">
        <f t="array" ref="K42">IF(ISNUMBER(AC42),INDEX('All Player Data Store'!$G$7:$G$594,SMALL(IF('All Player Data Store'!$Y$7:$Y$594=AC42,ROW('All Player Data Store'!$Y$7:$Y$594)-ROW('All Player Data Store'!$Y$7)+1),COUNTIF($AC$8:AC42,AC42))),"")</f>
        <v>4</v>
      </c>
      <c r="L42" s="112">
        <f t="array" ref="L42">IF(ISNUMBER(AC42),INDEX('All Player Data Store'!$H$7:$H$594,SMALL(IF('All Player Data Store'!$Y$7:$Y$594=AC42,ROW('All Player Data Store'!$Y$7:$Y$594)-ROW('All Player Data Store'!$Y$7)+1),COUNTIF($AC$8:AC42,AC42))),"")</f>
        <v>31</v>
      </c>
      <c r="M42" s="113">
        <f t="array" ref="M42">IF(ISNUMBER(AC42),INDEX('All Player Data Store'!$I$7:$I$594,SMALL(IF('All Player Data Store'!$Y$7:$Y$594=AC42,ROW('All Player Data Store'!$Y$7:$Y$594)-ROW('All Player Data Store'!$Y$7)+1),COUNTIF($AC$8:AC42,AC42))),"")</f>
        <v>31</v>
      </c>
      <c r="N42" s="114">
        <f t="array" ref="N42">IF(ISNUMBER(AC42),INDEX('All Player Data Store'!$J$7:$J$594,SMALL(IF('All Player Data Store'!$Y$7:$Y$594=AC42,ROW('All Player Data Store'!$Y$7:$Y$594)-ROW('All Player Data Store'!$Y$7)+1),COUNTIF($AC$8:AC42,AC42))),"")</f>
        <v>18.920000000000002</v>
      </c>
      <c r="O42" s="108">
        <f t="array" ref="O42">IF(ISNUMBER(AC42),INDEX('All Player Data Store'!$K$7:$K$594,SMALL(IF('All Player Data Store'!$Y$7:$Y$594=AC42,ROW('All Player Data Store'!$Y$7:$Y$594)-ROW('All Player Data Store'!$Y$7)+1),COUNTIF($AC$8:AC42,AC42))),"")</f>
        <v>19.98</v>
      </c>
      <c r="P42" s="108">
        <f t="array" ref="P42">IF(ISNUMBER(AC42),INDEX('All Player Data Store'!$L$7:$L$594,SMALL(IF('All Player Data Store'!$Y$7:$Y$594=AC42,ROW('All Player Data Store'!$Y$7:$Y$594)-ROW('All Player Data Store'!$Y$7)+1),COUNTIF($AC$8:AC42,AC42))),"")</f>
        <v>26.72</v>
      </c>
      <c r="Q42" s="108">
        <f t="array" ref="Q42">IF(ISNUMBER(AC42),INDEX('All Player Data Store'!$M$7:$M$594,SMALL(IF('All Player Data Store'!$Y$7:$Y$594=AC42,ROW('All Player Data Store'!$Y$7:$Y$594)-ROW('All Player Data Store'!$Y$7)+1),COUNTIF($AC$8:AC42,AC42))),"")</f>
        <v>25.41</v>
      </c>
      <c r="R42" s="108" t="str">
        <f t="array" ref="R42">IF(ISNUMBER(AC42),INDEX('All Player Data Store'!$N$7:$N$594,SMALL(IF('All Player Data Store'!$Y$7:$Y$594=AC42,ROW('All Player Data Store'!$Y$7:$Y$594)-ROW('All Player Data Store'!$Y$7)+1),COUNTIF($AC$8:AC42,AC42))),"")</f>
        <v/>
      </c>
      <c r="S42" s="108">
        <f t="array" ref="S42">IF(ISNUMBER(AC42),INDEX('All Player Data Store'!$O$7:$O$594,SMALL(IF('All Player Data Store'!$Y$7:$Y$594=AC42,ROW('All Player Data Store'!$Y$7:$Y$594)-ROW('All Player Data Store'!$Y$7)+1),COUNTIF($AC$8:AC42,AC42))),"")</f>
        <v>25.89</v>
      </c>
      <c r="T42" s="108">
        <f t="array" ref="T42">IF(ISNUMBER(AC42),INDEX('All Player Data Store'!$P$7:$P$594,SMALL(IF('All Player Data Store'!$Y$7:$Y$594=AC42,ROW('All Player Data Store'!$Y$7:$Y$594)-ROW('All Player Data Store'!$Y$7)+1),COUNTIF($AC$8:AC42,AC42))),"")</f>
        <v>22.69</v>
      </c>
      <c r="U42" s="108">
        <f t="array" ref="U42">IF(ISNUMBER(AC42),INDEX('All Player Data Store'!$Q$7:$Q$594,SMALL(IF('All Player Data Store'!$Y$7:$Y$594=AC42,ROW('All Player Data Store'!$Y$7:$Y$594)-ROW('All Player Data Store'!$Y$7)+1),COUNTIF($AC$8:AC42,AC42))),"")</f>
        <v>23.43</v>
      </c>
      <c r="V42" s="108">
        <f t="array" ref="V42">IF(ISNUMBER(AC42),INDEX('All Player Data Store'!$R$7:$R$594,SMALL(IF('All Player Data Store'!$Y$7:$Y$594=AC42,ROW('All Player Data Store'!$Y$7:$Y$594)-ROW('All Player Data Store'!$Y$7)+1),COUNTIF($AC$8:AC42,AC42))),"")</f>
        <v>18.260000000000002</v>
      </c>
      <c r="W42" s="108">
        <f t="array" ref="W42">IF(ISNUMBER(AC42),INDEX('All Player Data Store'!$S$7:$S$594,SMALL(IF('All Player Data Store'!$Y$7:$Y$594=AC42,ROW('All Player Data Store'!$Y$7:$Y$594)-ROW('All Player Data Store'!$Y$7)+1),COUNTIF($AC$8:AC42,AC42))),"")</f>
        <v>19.57</v>
      </c>
      <c r="X42" s="108" t="str">
        <f t="array" ref="X42">IF(ISNUMBER(AC42),INDEX('All Player Data Store'!$T$7:$T$594,SMALL(IF('All Player Data Store'!$Y$7:$Y$594=AC42,ROW('All Player Data Store'!$Y$7:$Y$594)-ROW('All Player Data Store'!$Y$7)+1),COUNTIF($AC$8:AC42,AC42))),"")</f>
        <v/>
      </c>
      <c r="Y42" s="108">
        <f t="array" ref="Y42">IF(ISNUMBER(AC42),INDEX('All Player Data Store'!$U$7:$U$594,SMALL(IF('All Player Data Store'!$Y$7:$Y$594=AC42,ROW('All Player Data Store'!$Y$7:$Y$594)-ROW('All Player Data Store'!$Y$7)+1),COUNTIF($AC$8:AC42,AC42))),"")</f>
        <v>21.44</v>
      </c>
      <c r="Z42" s="108">
        <f t="array" ref="Z42">IF(ISNUMBER(AC42),INDEX('All Player Data Store'!$V$7:$V$594,SMALL(IF('All Player Data Store'!$Y$7:$Y$594=AC42,ROW('All Player Data Store'!$Y$7:$Y$594)-ROW('All Player Data Store'!$Y$7)+1),COUNTIF($AC$8:AC42,AC42))),"")</f>
        <v>24.93</v>
      </c>
      <c r="AA42" s="112">
        <f t="array" ref="AA42">IF(ISNUMBER(AC42),INDEX('All Player Data Store'!$W$7:$W$594,SMALL(IF('All Player Data Store'!$Y$7:$Y$594=AC42,ROW('All Player Data Store'!$Y$7:$Y$594)-ROW('All Player Data Store'!$Y$7)+1),COUNTIF($AC$8:AC42,AC42))),"")</f>
        <v>1</v>
      </c>
      <c r="AB42" s="108">
        <f t="array" ref="AB42">IF(ISNUMBER(AC42),INDEX('All Player Data Store'!$X$7:$X$594,SMALL(IF('All Player Data Store'!$Y$7:$Y$594=AC42,ROW('All Player Data Store'!$Y$7:$Y$594)-ROW('All Player Data Store'!$Y$7)+1),COUNTIF($AC$8:AC42,AC42))),"")</f>
        <v>22.476363636363637</v>
      </c>
      <c r="AC42" s="115">
        <f>IF(ISERROR(IF(ISERROR(LARGE('All Player Data Store'!$Y$7:$Y$594,35)),"",(LARGE('All Player Data Store'!$Y$7:$Y$594,35)))),"",(IF(ISERROR(LARGE('All Player Data Store'!$Y$7:$Y$594,35)),"",(LARGE('All Player Data Store'!$Y$7:$Y$594,35)))))</f>
        <v>29.476363636363637</v>
      </c>
      <c r="AD42" s="106">
        <f t="shared" si="2"/>
        <v>3</v>
      </c>
      <c r="AE42" s="107" t="str">
        <f t="array" ref="AE42">IF(ISNUMBER(AC42),INDEX('All Player Data Store'!$J$8:$J$594,SMALL(IF('All Player Data Store'!$Y$7:$Y$594=AC42,ROW('All Player Data Store'!$Y$7:$Y$594)-ROW('All Player Data Store'!$Y$7)+1),COUNTIF($AC$8:AC42,AC42))),"")</f>
        <v>4*3(1)</v>
      </c>
      <c r="AF42" s="108">
        <f t="shared" si="3"/>
        <v>19.920000000000002</v>
      </c>
      <c r="AG42" s="108" t="str">
        <f t="array" ref="AG42">IF(ISNUMBER(AC42),INDEX('All Player Data Store'!$K$8:$K$594,SMALL(IF('All Player Data Store'!$Y$7:$Y$594=AC42,ROW('All Player Data Store'!$Y$7:$Y$594)-ROW('All Player Data Store'!$Y$7)+1),COUNTIF($AC$8:AC42,AC42))),"")</f>
        <v>2*4</v>
      </c>
      <c r="AH42" s="108">
        <f t="shared" si="4"/>
        <v>19.98</v>
      </c>
      <c r="AI42" s="108" t="str">
        <f t="array" ref="AI42">IF(ISNUMBER(AC42),INDEX('All Player Data Store'!$L$8:$L$594,SMALL(IF('All Player Data Store'!$Y$7:$Y$594=AC42,ROW('All Player Data Store'!$Y$7:$Y$594)-ROW('All Player Data Store'!$Y$7)+1),COUNTIF($AC$8:AC42,AC42))),"")</f>
        <v>4*0</v>
      </c>
      <c r="AJ42" s="108">
        <f t="shared" si="5"/>
        <v>27.72</v>
      </c>
      <c r="AK42" s="108" t="str">
        <f t="array" ref="AK42">IF(ISNUMBER(AC42),INDEX('All Player Data Store'!$M$8:$M$594,SMALL(IF('All Player Data Store'!$Y$7:$Y$594=AC42,ROW('All Player Data Store'!$Y$7:$Y$594)-ROW('All Player Data Store'!$Y$7)+1),COUNTIF($AC$8:AC42,AC42))),"")</f>
        <v>4*2</v>
      </c>
      <c r="AL42" s="108">
        <f t="shared" si="6"/>
        <v>26.41</v>
      </c>
      <c r="AM42" s="108" t="str">
        <f t="array" ref="AM42">IF(ISNUMBER(AC42),INDEX('All Player Data Store'!$N$8:$N$594,SMALL(IF('All Player Data Store'!$Y$7:$Y$594=AC42,ROW('All Player Data Store'!$Y$7:$Y$594)-ROW('All Player Data Store'!$Y$7)+1),COUNTIF($AC$8:AC42,AC42))),"")</f>
        <v/>
      </c>
      <c r="AN42" s="108" t="str">
        <f t="shared" si="7"/>
        <v/>
      </c>
      <c r="AO42" s="108" t="str">
        <f t="array" ref="AO42">IF(ISNUMBER(AC42),INDEX('All Player Data Store'!$O$8:$O$594,SMALL(IF('All Player Data Store'!$Y$7:$Y$594=AC42,ROW('All Player Data Store'!$Y$7:$Y$594)-ROW('All Player Data Store'!$Y$7)+1),COUNTIF($AC$8:AC42,AC42))),"")</f>
        <v>4*1</v>
      </c>
      <c r="AP42" s="108">
        <f t="shared" si="8"/>
        <v>26.89</v>
      </c>
      <c r="AQ42" s="108" t="str">
        <f t="array" ref="AQ42">IF(ISNUMBER(AC42),INDEX('All Player Data Store'!$P$8:$P$594,SMALL(IF('All Player Data Store'!$Y$7:$Y$594=AC42,ROW('All Player Data Store'!$Y$7:$Y$594)-ROW('All Player Data Store'!$Y$7)+1),COUNTIF($AC$8:AC42,AC42))),"")</f>
        <v>0*4</v>
      </c>
      <c r="AR42" s="108">
        <f t="shared" si="9"/>
        <v>22.69</v>
      </c>
      <c r="AS42" s="108" t="str">
        <f t="array" ref="AS42">IF(ISNUMBER(AC42),INDEX('All Player Data Store'!$Q$8:$Q$594,SMALL(IF('All Player Data Store'!$Y$7:$Y$594=AC42,ROW('All Player Data Store'!$Y$7:$Y$594)-ROW('All Player Data Store'!$Y$7)+1),COUNTIF($AC$8:AC42,AC42))),"")</f>
        <v>4*3</v>
      </c>
      <c r="AT42" s="108">
        <f t="shared" si="10"/>
        <v>24.43</v>
      </c>
      <c r="AU42" s="108" t="str">
        <f t="array" ref="AU42">IF(ISNUMBER(AC42),INDEX('All Player Data Store'!$R$8:$R$594,SMALL(IF('All Player Data Store'!$Y$7:$Y$594=AC42,ROW('All Player Data Store'!$Y$7:$Y$594)-ROW('All Player Data Store'!$Y$7)+1),COUNTIF($AC$8:AC42,AC42))),"")</f>
        <v>4*3</v>
      </c>
      <c r="AV42" s="108">
        <f t="shared" si="11"/>
        <v>19.260000000000002</v>
      </c>
      <c r="AW42" s="108" t="str">
        <f t="array" ref="AW42">IF(ISNUMBER(AC42),INDEX('All Player Data Store'!$S$8:$S$594,SMALL(IF('All Player Data Store'!$Y$7:$Y$594=AC42,ROW('All Player Data Store'!$Y$7:$Y$594)-ROW('All Player Data Store'!$Y$7)+1),COUNTIF($AC$8:AC42,AC42))),"")</f>
        <v>0*4</v>
      </c>
      <c r="AX42" s="108">
        <f t="shared" si="12"/>
        <v>19.57</v>
      </c>
      <c r="AY42" s="108" t="str">
        <f t="array" ref="AY42">IF(ISNUMBER(AC42),INDEX('All Player Data Store'!$T$8:$T$594,SMALL(IF('All Player Data Store'!$Y$7:$Y$594=AC42,ROW('All Player Data Store'!$Y$7:$Y$594)-ROW('All Player Data Store'!$Y$7)+1),COUNTIF($AC$8:AC42,AC42))),"")</f>
        <v/>
      </c>
      <c r="AZ42" s="108" t="str">
        <f t="shared" si="13"/>
        <v/>
      </c>
      <c r="BA42" s="108" t="str">
        <f t="array" ref="BA42">IF(ISNUMBER(AC42),INDEX('All Player Data Store'!$U$8:$U$594,SMALL(IF('All Player Data Store'!$Y$7:$Y$594=AC42,ROW('All Player Data Store'!$Y$7:$Y$594)-ROW('All Player Data Store'!$Y$7)+1),COUNTIF($AC$8:AC42,AC42))),"")</f>
        <v>4*3</v>
      </c>
      <c r="BB42" s="108">
        <f t="shared" si="14"/>
        <v>22.44</v>
      </c>
      <c r="BC42" s="108" t="str">
        <f t="array" ref="BC42">IF(ISNUMBER(AC42),INDEX('All Player Data Store'!$V$8:$V$594,SMALL(IF('All Player Data Store'!$Y$7:$Y$594=AC42,ROW('All Player Data Store'!$Y$7:$Y$594)-ROW('All Player Data Store'!$Y$7)+1),COUNTIF($AC$8:AC42,AC42))),"")</f>
        <v>1*4</v>
      </c>
      <c r="BD42" s="108">
        <f t="shared" si="15"/>
        <v>24.93</v>
      </c>
      <c r="BE42" s="1"/>
    </row>
    <row r="43" spans="2:57" ht="12" customHeight="1" x14ac:dyDescent="0.2">
      <c r="B43" s="98" t="str">
        <f t="shared" si="0"/>
        <v>Y</v>
      </c>
      <c r="C43" s="1"/>
      <c r="D43" s="68">
        <f t="shared" si="1"/>
        <v>36</v>
      </c>
      <c r="E43" s="2"/>
      <c r="F43" s="78">
        <v>36</v>
      </c>
      <c r="G43" s="110" t="str">
        <f t="array" ref="G43">IF(ISNUMBER(AC43),INDEX('All Player Data Store'!$C$7:$C$594,SMALL(IF('All Player Data Store'!$Y$7:$Y$594=AC43,ROW('All Player Data Store'!$Y$7:$Y$594)-ROW('All Player Data Store'!$Y$7)+1),COUNTIF($AC$8:AC43,AC43))),"")</f>
        <v>Ryan Cross</v>
      </c>
      <c r="H43" s="111" t="str">
        <f t="array" ref="H43">IF(ISNUMBER(AC43),INDEX('All Player Data Store'!$D$7:$D$594,SMALL(IF('All Player Data Store'!$Y$7:$Y$594=AC43,ROW('All Player Data Store'!$Y$7:$Y$594)-ROW('All Player Data Store'!$Y$7)+1),COUNTIF($AC$8:AC43,AC43))),"")</f>
        <v>Bri</v>
      </c>
      <c r="I43" s="69">
        <f t="array" ref="I43">IF(ISNUMBER(AC43),INDEX('All Player Data Store'!$E$7:$E$594,SMALL(IF('All Player Data Store'!$Y$7:$Y$594=AC43,ROW('All Player Data Store'!$Y$7:$Y$594)-ROW('All Player Data Store'!$Y$7)+1),COUNTIF($AC$8:AC43,AC43))),"")</f>
        <v>12</v>
      </c>
      <c r="J43" s="70">
        <f t="array" ref="J43">IF(ISNUMBER(AC43),INDEX('All Player Data Store'!$F$7:$F$594,SMALL(IF('All Player Data Store'!$Y$7:$Y$594=AC43,ROW('All Player Data Store'!$Y$7:$Y$594)-ROW('All Player Data Store'!$Y$7)+1),COUNTIF($AC$8:AC43,AC43))),"")</f>
        <v>8</v>
      </c>
      <c r="K43" s="112">
        <f t="array" ref="K43">IF(ISNUMBER(AC43),INDEX('All Player Data Store'!$G$7:$G$594,SMALL(IF('All Player Data Store'!$Y$7:$Y$594=AC43,ROW('All Player Data Store'!$Y$7:$Y$594)-ROW('All Player Data Store'!$Y$7)+1),COUNTIF($AC$8:AC43,AC43))),"")</f>
        <v>4</v>
      </c>
      <c r="L43" s="112">
        <f t="array" ref="L43">IF(ISNUMBER(AC43),INDEX('All Player Data Store'!$H$7:$H$594,SMALL(IF('All Player Data Store'!$Y$7:$Y$594=AC43,ROW('All Player Data Store'!$Y$7:$Y$594)-ROW('All Player Data Store'!$Y$7)+1),COUNTIF($AC$8:AC43,AC43))),"")</f>
        <v>38</v>
      </c>
      <c r="M43" s="113">
        <f t="array" ref="M43">IF(ISNUMBER(AC43),INDEX('All Player Data Store'!$I$7:$I$594,SMALL(IF('All Player Data Store'!$Y$7:$Y$594=AC43,ROW('All Player Data Store'!$Y$7:$Y$594)-ROW('All Player Data Store'!$Y$7)+1),COUNTIF($AC$8:AC43,AC43))),"")</f>
        <v>33</v>
      </c>
      <c r="N43" s="114">
        <f t="array" ref="N43">IF(ISNUMBER(AC43),INDEX('All Player Data Store'!$J$7:$J$594,SMALL(IF('All Player Data Store'!$Y$7:$Y$594=AC43,ROW('All Player Data Store'!$Y$7:$Y$594)-ROW('All Player Data Store'!$Y$7)+1),COUNTIF($AC$8:AC43,AC43))),"")</f>
        <v>21.35</v>
      </c>
      <c r="O43" s="108">
        <f t="array" ref="O43">IF(ISNUMBER(AC43),INDEX('All Player Data Store'!$K$7:$K$594,SMALL(IF('All Player Data Store'!$Y$7:$Y$594=AC43,ROW('All Player Data Store'!$Y$7:$Y$594)-ROW('All Player Data Store'!$Y$7)+1),COUNTIF($AC$8:AC43,AC43))),"")</f>
        <v>23.12</v>
      </c>
      <c r="P43" s="108">
        <f t="array" ref="P43">IF(ISNUMBER(AC43),INDEX('All Player Data Store'!$L$7:$L$594,SMALL(IF('All Player Data Store'!$Y$7:$Y$594=AC43,ROW('All Player Data Store'!$Y$7:$Y$594)-ROW('All Player Data Store'!$Y$7)+1),COUNTIF($AC$8:AC43,AC43))),"")</f>
        <v>19.47</v>
      </c>
      <c r="Q43" s="108">
        <f t="array" ref="Q43">IF(ISNUMBER(AC43),INDEX('All Player Data Store'!$M$7:$M$594,SMALL(IF('All Player Data Store'!$Y$7:$Y$594=AC43,ROW('All Player Data Store'!$Y$7:$Y$594)-ROW('All Player Data Store'!$Y$7)+1),COUNTIF($AC$8:AC43,AC43))),"")</f>
        <v>21.29</v>
      </c>
      <c r="R43" s="108">
        <f t="array" ref="R43">IF(ISNUMBER(AC43),INDEX('All Player Data Store'!$N$7:$N$594,SMALL(IF('All Player Data Store'!$Y$7:$Y$594=AC43,ROW('All Player Data Store'!$Y$7:$Y$594)-ROW('All Player Data Store'!$Y$7)+1),COUNTIF($AC$8:AC43,AC43))),"")</f>
        <v>19.510000000000002</v>
      </c>
      <c r="S43" s="108">
        <f t="array" ref="S43">IF(ISNUMBER(AC43),INDEX('All Player Data Store'!$O$7:$O$594,SMALL(IF('All Player Data Store'!$Y$7:$Y$594=AC43,ROW('All Player Data Store'!$Y$7:$Y$594)-ROW('All Player Data Store'!$Y$7)+1),COUNTIF($AC$8:AC43,AC43))),"")</f>
        <v>19.36</v>
      </c>
      <c r="T43" s="108">
        <f t="array" ref="T43">IF(ISNUMBER(AC43),INDEX('All Player Data Store'!$P$7:$P$594,SMALL(IF('All Player Data Store'!$Y$7:$Y$594=AC43,ROW('All Player Data Store'!$Y$7:$Y$594)-ROW('All Player Data Store'!$Y$7)+1),COUNTIF($AC$8:AC43,AC43))),"")</f>
        <v>18.09</v>
      </c>
      <c r="U43" s="108" t="str">
        <f t="array" ref="U43">IF(ISNUMBER(AC43),INDEX('All Player Data Store'!$Q$7:$Q$594,SMALL(IF('All Player Data Store'!$Y$7:$Y$594=AC43,ROW('All Player Data Store'!$Y$7:$Y$594)-ROW('All Player Data Store'!$Y$7)+1),COUNTIF($AC$8:AC43,AC43))),"")</f>
        <v/>
      </c>
      <c r="V43" s="108">
        <f t="array" ref="V43">IF(ISNUMBER(AC43),INDEX('All Player Data Store'!$R$7:$R$594,SMALL(IF('All Player Data Store'!$Y$7:$Y$594=AC43,ROW('All Player Data Store'!$Y$7:$Y$594)-ROW('All Player Data Store'!$Y$7)+1),COUNTIF($AC$8:AC43,AC43))),"")</f>
        <v>27.24</v>
      </c>
      <c r="W43" s="108">
        <f t="array" ref="W43">IF(ISNUMBER(AC43),INDEX('All Player Data Store'!$S$7:$S$594,SMALL(IF('All Player Data Store'!$Y$7:$Y$594=AC43,ROW('All Player Data Store'!$Y$7:$Y$594)-ROW('All Player Data Store'!$Y$7)+1),COUNTIF($AC$8:AC43,AC43))),"")</f>
        <v>20.079999999999998</v>
      </c>
      <c r="X43" s="108">
        <f t="array" ref="X43">IF(ISNUMBER(AC43),INDEX('All Player Data Store'!$T$7:$T$594,SMALL(IF('All Player Data Store'!$Y$7:$Y$594=AC43,ROW('All Player Data Store'!$Y$7:$Y$594)-ROW('All Player Data Store'!$Y$7)+1),COUNTIF($AC$8:AC43,AC43))),"")</f>
        <v>21.96</v>
      </c>
      <c r="Y43" s="108">
        <f t="array" ref="Y43">IF(ISNUMBER(AC43),INDEX('All Player Data Store'!$U$7:$U$594,SMALL(IF('All Player Data Store'!$Y$7:$Y$594=AC43,ROW('All Player Data Store'!$Y$7:$Y$594)-ROW('All Player Data Store'!$Y$7)+1),COUNTIF($AC$8:AC43,AC43))),"")</f>
        <v>23.41</v>
      </c>
      <c r="Z43" s="108">
        <f t="array" ref="Z43">IF(ISNUMBER(AC43),INDEX('All Player Data Store'!$V$7:$V$594,SMALL(IF('All Player Data Store'!$Y$7:$Y$594=AC43,ROW('All Player Data Store'!$Y$7:$Y$594)-ROW('All Player Data Store'!$Y$7)+1),COUNTIF($AC$8:AC43,AC43))),"")</f>
        <v>22.44</v>
      </c>
      <c r="AA43" s="112">
        <f t="array" ref="AA43">IF(ISNUMBER(AC43),INDEX('All Player Data Store'!$W$7:$W$594,SMALL(IF('All Player Data Store'!$Y$7:$Y$594=AC43,ROW('All Player Data Store'!$Y$7:$Y$594)-ROW('All Player Data Store'!$Y$7)+1),COUNTIF($AC$8:AC43,AC43))),"")</f>
        <v>6</v>
      </c>
      <c r="AB43" s="108">
        <f t="array" ref="AB43">IF(ISNUMBER(AC43),INDEX('All Player Data Store'!$X$7:$X$594,SMALL(IF('All Player Data Store'!$Y$7:$Y$594=AC43,ROW('All Player Data Store'!$Y$7:$Y$594)-ROW('All Player Data Store'!$Y$7)+1),COUNTIF($AC$8:AC43,AC43))),"")</f>
        <v>21.443333333333332</v>
      </c>
      <c r="AC43" s="115">
        <f>IF(ISERROR(IF(ISERROR(LARGE('All Player Data Store'!$Y$7:$Y$594,36)),"",(LARGE('All Player Data Store'!$Y$7:$Y$594,36)))),"",(IF(ISERROR(LARGE('All Player Data Store'!$Y$7:$Y$594,36)),"",(LARGE('All Player Data Store'!$Y$7:$Y$594,36)))))</f>
        <v>29.443333333333332</v>
      </c>
      <c r="AD43" s="106">
        <f t="shared" si="2"/>
        <v>3</v>
      </c>
      <c r="AE43" s="107" t="str">
        <f t="array" ref="AE43">IF(ISNUMBER(AC43),INDEX('All Player Data Store'!$J$8:$J$594,SMALL(IF('All Player Data Store'!$Y$7:$Y$594=AC43,ROW('All Player Data Store'!$Y$7:$Y$594)-ROW('All Player Data Store'!$Y$7)+1),COUNTIF($AC$8:AC43,AC43))),"")</f>
        <v>4*3</v>
      </c>
      <c r="AF43" s="108">
        <f t="shared" si="3"/>
        <v>22.35</v>
      </c>
      <c r="AG43" s="108" t="str">
        <f t="array" ref="AG43">IF(ISNUMBER(AC43),INDEX('All Player Data Store'!$K$8:$K$594,SMALL(IF('All Player Data Store'!$Y$7:$Y$594=AC43,ROW('All Player Data Store'!$Y$7:$Y$594)-ROW('All Player Data Store'!$Y$7)+1),COUNTIF($AC$8:AC43,AC43))),"")</f>
        <v>1*4(1)</v>
      </c>
      <c r="AH43" s="108">
        <f t="shared" si="4"/>
        <v>23.12</v>
      </c>
      <c r="AI43" s="108" t="str">
        <f t="array" ref="AI43">IF(ISNUMBER(AC43),INDEX('All Player Data Store'!$L$8:$L$594,SMALL(IF('All Player Data Store'!$Y$7:$Y$594=AC43,ROW('All Player Data Store'!$Y$7:$Y$594)-ROW('All Player Data Store'!$Y$7)+1),COUNTIF($AC$8:AC43,AC43))),"")</f>
        <v>4*2</v>
      </c>
      <c r="AJ43" s="108">
        <f t="shared" si="5"/>
        <v>20.47</v>
      </c>
      <c r="AK43" s="108" t="str">
        <f t="array" ref="AK43">IF(ISNUMBER(AC43),INDEX('All Player Data Store'!$M$8:$M$594,SMALL(IF('All Player Data Store'!$Y$7:$Y$594=AC43,ROW('All Player Data Store'!$Y$7:$Y$594)-ROW('All Player Data Store'!$Y$7)+1),COUNTIF($AC$8:AC43,AC43))),"")</f>
        <v>4*3(1)</v>
      </c>
      <c r="AL43" s="108">
        <f t="shared" si="6"/>
        <v>22.29</v>
      </c>
      <c r="AM43" s="108" t="str">
        <f t="array" ref="AM43">IF(ISNUMBER(AC43),INDEX('All Player Data Store'!$N$8:$N$594,SMALL(IF('All Player Data Store'!$Y$7:$Y$594=AC43,ROW('All Player Data Store'!$Y$7:$Y$594)-ROW('All Player Data Store'!$Y$7)+1),COUNTIF($AC$8:AC43,AC43))),"")</f>
        <v>4*2</v>
      </c>
      <c r="AN43" s="108">
        <f t="shared" si="7"/>
        <v>20.51</v>
      </c>
      <c r="AO43" s="108" t="str">
        <f t="array" ref="AO43">IF(ISNUMBER(AC43),INDEX('All Player Data Store'!$O$8:$O$594,SMALL(IF('All Player Data Store'!$Y$7:$Y$594=AC43,ROW('All Player Data Store'!$Y$7:$Y$594)-ROW('All Player Data Store'!$Y$7)+1),COUNTIF($AC$8:AC43,AC43))),"")</f>
        <v>4*2(1)</v>
      </c>
      <c r="AP43" s="108">
        <f t="shared" si="8"/>
        <v>20.36</v>
      </c>
      <c r="AQ43" s="108" t="str">
        <f t="array" ref="AQ43">IF(ISNUMBER(AC43),INDEX('All Player Data Store'!$P$8:$P$594,SMALL(IF('All Player Data Store'!$Y$7:$Y$594=AC43,ROW('All Player Data Store'!$Y$7:$Y$594)-ROW('All Player Data Store'!$Y$7)+1),COUNTIF($AC$8:AC43,AC43))),"")</f>
        <v>3*4</v>
      </c>
      <c r="AR43" s="108">
        <f t="shared" si="9"/>
        <v>18.09</v>
      </c>
      <c r="AS43" s="108" t="str">
        <f t="array" ref="AS43">IF(ISNUMBER(AC43),INDEX('All Player Data Store'!$Q$8:$Q$594,SMALL(IF('All Player Data Store'!$Y$7:$Y$594=AC43,ROW('All Player Data Store'!$Y$7:$Y$594)-ROW('All Player Data Store'!$Y$7)+1),COUNTIF($AC$8:AC43,AC43))),"")</f>
        <v/>
      </c>
      <c r="AT43" s="108" t="str">
        <f t="shared" si="10"/>
        <v/>
      </c>
      <c r="AU43" s="108" t="str">
        <f t="array" ref="AU43">IF(ISNUMBER(AC43),INDEX('All Player Data Store'!$R$8:$R$594,SMALL(IF('All Player Data Store'!$Y$7:$Y$594=AC43,ROW('All Player Data Store'!$Y$7:$Y$594)-ROW('All Player Data Store'!$Y$7)+1),COUNTIF($AC$8:AC43,AC43))),"")</f>
        <v>4*1</v>
      </c>
      <c r="AV43" s="108">
        <f t="shared" si="11"/>
        <v>28.24</v>
      </c>
      <c r="AW43" s="108" t="str">
        <f t="array" ref="AW43">IF(ISNUMBER(AC43),INDEX('All Player Data Store'!$S$8:$S$594,SMALL(IF('All Player Data Store'!$Y$7:$Y$594=AC43,ROW('All Player Data Store'!$Y$7:$Y$594)-ROW('All Player Data Store'!$Y$7)+1),COUNTIF($AC$8:AC43,AC43))),"")</f>
        <v>4*2(1)</v>
      </c>
      <c r="AX43" s="108">
        <f t="shared" si="12"/>
        <v>21.08</v>
      </c>
      <c r="AY43" s="108" t="str">
        <f t="array" ref="AY43">IF(ISNUMBER(AC43),INDEX('All Player Data Store'!$T$8:$T$594,SMALL(IF('All Player Data Store'!$Y$7:$Y$594=AC43,ROW('All Player Data Store'!$Y$7:$Y$594)-ROW('All Player Data Store'!$Y$7)+1),COUNTIF($AC$8:AC43,AC43))),"")</f>
        <v>4*2(2)</v>
      </c>
      <c r="AZ43" s="108">
        <f t="shared" si="13"/>
        <v>22.96</v>
      </c>
      <c r="BA43" s="108" t="str">
        <f t="array" ref="BA43">IF(ISNUMBER(AC43),INDEX('All Player Data Store'!$U$8:$U$594,SMALL(IF('All Player Data Store'!$Y$7:$Y$594=AC43,ROW('All Player Data Store'!$Y$7:$Y$594)-ROW('All Player Data Store'!$Y$7)+1),COUNTIF($AC$8:AC43,AC43))),"")</f>
        <v>1*4</v>
      </c>
      <c r="BB43" s="108">
        <f t="shared" si="14"/>
        <v>23.41</v>
      </c>
      <c r="BC43" s="108" t="str">
        <f t="array" ref="BC43">IF(ISNUMBER(AC43),INDEX('All Player Data Store'!$V$8:$V$594,SMALL(IF('All Player Data Store'!$Y$7:$Y$594=AC43,ROW('All Player Data Store'!$Y$7:$Y$594)-ROW('All Player Data Store'!$Y$7)+1),COUNTIF($AC$8:AC43,AC43))),"")</f>
        <v>1*4</v>
      </c>
      <c r="BD43" s="108">
        <f t="shared" si="15"/>
        <v>22.44</v>
      </c>
      <c r="BE43" s="1"/>
    </row>
    <row r="44" spans="2:57" ht="12" customHeight="1" x14ac:dyDescent="0.2">
      <c r="B44" s="98" t="str">
        <f t="shared" si="0"/>
        <v>Y</v>
      </c>
      <c r="C44" s="1"/>
      <c r="D44" s="68">
        <f t="shared" si="1"/>
        <v>37</v>
      </c>
      <c r="E44" s="2"/>
      <c r="F44" s="78">
        <v>37</v>
      </c>
      <c r="G44" s="110" t="str">
        <f t="array" ref="G44">IF(ISNUMBER(AC44),INDEX('All Player Data Store'!$C$7:$C$594,SMALL(IF('All Player Data Store'!$Y$7:$Y$594=AC44,ROW('All Player Data Store'!$Y$7:$Y$594)-ROW('All Player Data Store'!$Y$7)+1),COUNTIF($AC$8:AC44,AC44))),"")</f>
        <v>Matt Woodhouse</v>
      </c>
      <c r="H44" s="111" t="str">
        <f t="array" ref="H44">IF(ISNUMBER(AC44),INDEX('All Player Data Store'!$D$7:$D$594,SMALL(IF('All Player Data Store'!$Y$7:$Y$594=AC44,ROW('All Player Data Store'!$Y$7:$Y$594)-ROW('All Player Data Store'!$Y$7)+1),COUNTIF($AC$8:AC44,AC44))),"")</f>
        <v>Ald</v>
      </c>
      <c r="I44" s="69">
        <f t="array" ref="I44">IF(ISNUMBER(AC44),INDEX('All Player Data Store'!$E$7:$E$594,SMALL(IF('All Player Data Store'!$Y$7:$Y$594=AC44,ROW('All Player Data Store'!$Y$7:$Y$594)-ROW('All Player Data Store'!$Y$7)+1),COUNTIF($AC$8:AC44,AC44))),"")</f>
        <v>13</v>
      </c>
      <c r="J44" s="70">
        <f t="array" ref="J44">IF(ISNUMBER(AC44),INDEX('All Player Data Store'!$F$7:$F$594,SMALL(IF('All Player Data Store'!$Y$7:$Y$594=AC44,ROW('All Player Data Store'!$Y$7:$Y$594)-ROW('All Player Data Store'!$Y$7)+1),COUNTIF($AC$8:AC44,AC44))),"")</f>
        <v>7</v>
      </c>
      <c r="K44" s="112">
        <f t="array" ref="K44">IF(ISNUMBER(AC44),INDEX('All Player Data Store'!$G$7:$G$594,SMALL(IF('All Player Data Store'!$Y$7:$Y$594=AC44,ROW('All Player Data Store'!$Y$7:$Y$594)-ROW('All Player Data Store'!$Y$7)+1),COUNTIF($AC$8:AC44,AC44))),"")</f>
        <v>6</v>
      </c>
      <c r="L44" s="112">
        <f t="array" ref="L44">IF(ISNUMBER(AC44),INDEX('All Player Data Store'!$H$7:$H$594,SMALL(IF('All Player Data Store'!$Y$7:$Y$594=AC44,ROW('All Player Data Store'!$Y$7:$Y$594)-ROW('All Player Data Store'!$Y$7)+1),COUNTIF($AC$8:AC44,AC44))),"")</f>
        <v>38</v>
      </c>
      <c r="M44" s="113">
        <f t="array" ref="M44">IF(ISNUMBER(AC44),INDEX('All Player Data Store'!$I$7:$I$594,SMALL(IF('All Player Data Store'!$Y$7:$Y$594=AC44,ROW('All Player Data Store'!$Y$7:$Y$594)-ROW('All Player Data Store'!$Y$7)+1),COUNTIF($AC$8:AC44,AC44))),"")</f>
        <v>35</v>
      </c>
      <c r="N44" s="114">
        <f t="array" ref="N44">IF(ISNUMBER(AC44),INDEX('All Player Data Store'!$J$7:$J$594,SMALL(IF('All Player Data Store'!$Y$7:$Y$594=AC44,ROW('All Player Data Store'!$Y$7:$Y$594)-ROW('All Player Data Store'!$Y$7)+1),COUNTIF($AC$8:AC44,AC44))),"")</f>
        <v>23.61</v>
      </c>
      <c r="O44" s="108">
        <f t="array" ref="O44">IF(ISNUMBER(AC44),INDEX('All Player Data Store'!$K$7:$K$594,SMALL(IF('All Player Data Store'!$Y$7:$Y$594=AC44,ROW('All Player Data Store'!$Y$7:$Y$594)-ROW('All Player Data Store'!$Y$7)+1),COUNTIF($AC$8:AC44,AC44))),"")</f>
        <v>20.62</v>
      </c>
      <c r="P44" s="108">
        <f t="array" ref="P44">IF(ISNUMBER(AC44),INDEX('All Player Data Store'!$L$7:$L$594,SMALL(IF('All Player Data Store'!$Y$7:$Y$594=AC44,ROW('All Player Data Store'!$Y$7:$Y$594)-ROW('All Player Data Store'!$Y$7)+1),COUNTIF($AC$8:AC44,AC44))),"")</f>
        <v>23.83</v>
      </c>
      <c r="Q44" s="108">
        <f t="array" ref="Q44">IF(ISNUMBER(AC44),INDEX('All Player Data Store'!$M$7:$M$594,SMALL(IF('All Player Data Store'!$Y$7:$Y$594=AC44,ROW('All Player Data Store'!$Y$7:$Y$594)-ROW('All Player Data Store'!$Y$7)+1),COUNTIF($AC$8:AC44,AC44))),"")</f>
        <v>22.57</v>
      </c>
      <c r="R44" s="108">
        <f t="array" ref="R44">IF(ISNUMBER(AC44),INDEX('All Player Data Store'!$N$7:$N$594,SMALL(IF('All Player Data Store'!$Y$7:$Y$594=AC44,ROW('All Player Data Store'!$Y$7:$Y$594)-ROW('All Player Data Store'!$Y$7)+1),COUNTIF($AC$8:AC44,AC44))),"")</f>
        <v>22.9</v>
      </c>
      <c r="S44" s="108">
        <f t="array" ref="S44">IF(ISNUMBER(AC44),INDEX('All Player Data Store'!$O$7:$O$594,SMALL(IF('All Player Data Store'!$Y$7:$Y$594=AC44,ROW('All Player Data Store'!$Y$7:$Y$594)-ROW('All Player Data Store'!$Y$7)+1),COUNTIF($AC$8:AC44,AC44))),"")</f>
        <v>23.58</v>
      </c>
      <c r="T44" s="108">
        <f t="array" ref="T44">IF(ISNUMBER(AC44),INDEX('All Player Data Store'!$P$7:$P$594,SMALL(IF('All Player Data Store'!$Y$7:$Y$594=AC44,ROW('All Player Data Store'!$Y$7:$Y$594)-ROW('All Player Data Store'!$Y$7)+1),COUNTIF($AC$8:AC44,AC44))),"")</f>
        <v>19.21</v>
      </c>
      <c r="U44" s="108">
        <f t="array" ref="U44">IF(ISNUMBER(AC44),INDEX('All Player Data Store'!$Q$7:$Q$594,SMALL(IF('All Player Data Store'!$Y$7:$Y$594=AC44,ROW('All Player Data Store'!$Y$7:$Y$594)-ROW('All Player Data Store'!$Y$7)+1),COUNTIF($AC$8:AC44,AC44))),"")</f>
        <v>22.5</v>
      </c>
      <c r="V44" s="108">
        <f t="array" ref="V44">IF(ISNUMBER(AC44),INDEX('All Player Data Store'!$R$7:$R$594,SMALL(IF('All Player Data Store'!$Y$7:$Y$594=AC44,ROW('All Player Data Store'!$Y$7:$Y$594)-ROW('All Player Data Store'!$Y$7)+1),COUNTIF($AC$8:AC44,AC44))),"")</f>
        <v>19.88</v>
      </c>
      <c r="W44" s="108">
        <f t="array" ref="W44">IF(ISNUMBER(AC44),INDEX('All Player Data Store'!$S$7:$S$594,SMALL(IF('All Player Data Store'!$Y$7:$Y$594=AC44,ROW('All Player Data Store'!$Y$7:$Y$594)-ROW('All Player Data Store'!$Y$7)+1),COUNTIF($AC$8:AC44,AC44))),"")</f>
        <v>23.6</v>
      </c>
      <c r="X44" s="108">
        <f t="array" ref="X44">IF(ISNUMBER(AC44),INDEX('All Player Data Store'!$T$7:$T$594,SMALL(IF('All Player Data Store'!$Y$7:$Y$594=AC44,ROW('All Player Data Store'!$Y$7:$Y$594)-ROW('All Player Data Store'!$Y$7)+1),COUNTIF($AC$8:AC44,AC44))),"")</f>
        <v>22.83</v>
      </c>
      <c r="Y44" s="108">
        <f t="array" ref="Y44">IF(ISNUMBER(AC44),INDEX('All Player Data Store'!$U$7:$U$594,SMALL(IF('All Player Data Store'!$Y$7:$Y$594=AC44,ROW('All Player Data Store'!$Y$7:$Y$594)-ROW('All Player Data Store'!$Y$7)+1),COUNTIF($AC$8:AC44,AC44))),"")</f>
        <v>21.59</v>
      </c>
      <c r="Z44" s="108">
        <f t="array" ref="Z44">IF(ISNUMBER(AC44),INDEX('All Player Data Store'!$V$7:$V$594,SMALL(IF('All Player Data Store'!$Y$7:$Y$594=AC44,ROW('All Player Data Store'!$Y$7:$Y$594)-ROW('All Player Data Store'!$Y$7)+1),COUNTIF($AC$8:AC44,AC44))),"")</f>
        <v>23.99</v>
      </c>
      <c r="AA44" s="112">
        <f t="array" ref="AA44">IF(ISNUMBER(AC44),INDEX('All Player Data Store'!$W$7:$W$594,SMALL(IF('All Player Data Store'!$Y$7:$Y$594=AC44,ROW('All Player Data Store'!$Y$7:$Y$594)-ROW('All Player Data Store'!$Y$7)+1),COUNTIF($AC$8:AC44,AC44))),"")</f>
        <v>1</v>
      </c>
      <c r="AB44" s="108">
        <f t="array" ref="AB44">IF(ISNUMBER(AC44),INDEX('All Player Data Store'!$X$7:$X$594,SMALL(IF('All Player Data Store'!$Y$7:$Y$594=AC44,ROW('All Player Data Store'!$Y$7:$Y$594)-ROW('All Player Data Store'!$Y$7)+1),COUNTIF($AC$8:AC44,AC44))),"")</f>
        <v>22.362307692307692</v>
      </c>
      <c r="AC44" s="115">
        <f>IF(ISERROR(IF(ISERROR(LARGE('All Player Data Store'!$Y$7:$Y$594,37)),"",(LARGE('All Player Data Store'!$Y$7:$Y$594,37)))),"",(IF(ISERROR(LARGE('All Player Data Store'!$Y$7:$Y$594,37)),"",(LARGE('All Player Data Store'!$Y$7:$Y$594,37)))))</f>
        <v>29.362307692307692</v>
      </c>
      <c r="AD44" s="106">
        <f t="shared" si="2"/>
        <v>3</v>
      </c>
      <c r="AE44" s="107" t="str">
        <f t="array" ref="AE44">IF(ISNUMBER(AC44),INDEX('All Player Data Store'!$J$8:$J$594,SMALL(IF('All Player Data Store'!$Y$7:$Y$594=AC44,ROW('All Player Data Store'!$Y$7:$Y$594)-ROW('All Player Data Store'!$Y$7)+1),COUNTIF($AC$8:AC44,AC44))),"")</f>
        <v>4*1</v>
      </c>
      <c r="AF44" s="108">
        <f t="shared" si="3"/>
        <v>24.61</v>
      </c>
      <c r="AG44" s="108" t="str">
        <f t="array" ref="AG44">IF(ISNUMBER(AC44),INDEX('All Player Data Store'!$K$8:$K$594,SMALL(IF('All Player Data Store'!$Y$7:$Y$594=AC44,ROW('All Player Data Store'!$Y$7:$Y$594)-ROW('All Player Data Store'!$Y$7)+1),COUNTIF($AC$8:AC44,AC44))),"")</f>
        <v>3*4</v>
      </c>
      <c r="AH44" s="108">
        <f t="shared" si="4"/>
        <v>20.62</v>
      </c>
      <c r="AI44" s="108" t="str">
        <f t="array" ref="AI44">IF(ISNUMBER(AC44),INDEX('All Player Data Store'!$L$8:$L$594,SMALL(IF('All Player Data Store'!$Y$7:$Y$594=AC44,ROW('All Player Data Store'!$Y$7:$Y$594)-ROW('All Player Data Store'!$Y$7)+1),COUNTIF($AC$8:AC44,AC44))),"")</f>
        <v>4*3(1)</v>
      </c>
      <c r="AJ44" s="108">
        <f t="shared" si="5"/>
        <v>24.83</v>
      </c>
      <c r="AK44" s="108" t="str">
        <f t="array" ref="AK44">IF(ISNUMBER(AC44),INDEX('All Player Data Store'!$M$8:$M$594,SMALL(IF('All Player Data Store'!$Y$7:$Y$594=AC44,ROW('All Player Data Store'!$Y$7:$Y$594)-ROW('All Player Data Store'!$Y$7)+1),COUNTIF($AC$8:AC44,AC44))),"")</f>
        <v>3*4</v>
      </c>
      <c r="AL44" s="108">
        <f t="shared" si="6"/>
        <v>22.57</v>
      </c>
      <c r="AM44" s="108" t="str">
        <f t="array" ref="AM44">IF(ISNUMBER(AC44),INDEX('All Player Data Store'!$N$8:$N$594,SMALL(IF('All Player Data Store'!$Y$7:$Y$594=AC44,ROW('All Player Data Store'!$Y$7:$Y$594)-ROW('All Player Data Store'!$Y$7)+1),COUNTIF($AC$8:AC44,AC44))),"")</f>
        <v>4*2</v>
      </c>
      <c r="AN44" s="108">
        <f t="shared" si="7"/>
        <v>23.9</v>
      </c>
      <c r="AO44" s="108" t="str">
        <f t="array" ref="AO44">IF(ISNUMBER(AC44),INDEX('All Player Data Store'!$O$8:$O$594,SMALL(IF('All Player Data Store'!$Y$7:$Y$594=AC44,ROW('All Player Data Store'!$Y$7:$Y$594)-ROW('All Player Data Store'!$Y$7)+1),COUNTIF($AC$8:AC44,AC44))),"")</f>
        <v>4*0</v>
      </c>
      <c r="AP44" s="108">
        <f t="shared" si="8"/>
        <v>24.58</v>
      </c>
      <c r="AQ44" s="108" t="str">
        <f t="array" ref="AQ44">IF(ISNUMBER(AC44),INDEX('All Player Data Store'!$P$8:$P$594,SMALL(IF('All Player Data Store'!$Y$7:$Y$594=AC44,ROW('All Player Data Store'!$Y$7:$Y$594)-ROW('All Player Data Store'!$Y$7)+1),COUNTIF($AC$8:AC44,AC44))),"")</f>
        <v>1*4</v>
      </c>
      <c r="AR44" s="108">
        <f t="shared" si="9"/>
        <v>19.21</v>
      </c>
      <c r="AS44" s="108" t="str">
        <f t="array" ref="AS44">IF(ISNUMBER(AC44),INDEX('All Player Data Store'!$Q$8:$Q$594,SMALL(IF('All Player Data Store'!$Y$7:$Y$594=AC44,ROW('All Player Data Store'!$Y$7:$Y$594)-ROW('All Player Data Store'!$Y$7)+1),COUNTIF($AC$8:AC44,AC44))),"")</f>
        <v>4*1</v>
      </c>
      <c r="AT44" s="108">
        <f t="shared" si="10"/>
        <v>23.5</v>
      </c>
      <c r="AU44" s="108" t="str">
        <f t="array" ref="AU44">IF(ISNUMBER(AC44),INDEX('All Player Data Store'!$R$8:$R$594,SMALL(IF('All Player Data Store'!$Y$7:$Y$594=AC44,ROW('All Player Data Store'!$Y$7:$Y$594)-ROW('All Player Data Store'!$Y$7)+1),COUNTIF($AC$8:AC44,AC44))),"")</f>
        <v>4*2</v>
      </c>
      <c r="AV44" s="108">
        <f t="shared" si="11"/>
        <v>20.88</v>
      </c>
      <c r="AW44" s="108" t="str">
        <f t="array" ref="AW44">IF(ISNUMBER(AC44),INDEX('All Player Data Store'!$S$8:$S$594,SMALL(IF('All Player Data Store'!$Y$7:$Y$594=AC44,ROW('All Player Data Store'!$Y$7:$Y$594)-ROW('All Player Data Store'!$Y$7)+1),COUNTIF($AC$8:AC44,AC44))),"")</f>
        <v>0*4</v>
      </c>
      <c r="AX44" s="108">
        <f t="shared" si="12"/>
        <v>23.6</v>
      </c>
      <c r="AY44" s="108" t="str">
        <f t="array" ref="AY44">IF(ISNUMBER(AC44),INDEX('All Player Data Store'!$T$8:$T$594,SMALL(IF('All Player Data Store'!$Y$7:$Y$594=AC44,ROW('All Player Data Store'!$Y$7:$Y$594)-ROW('All Player Data Store'!$Y$7)+1),COUNTIF($AC$8:AC44,AC44))),"")</f>
        <v>1*4</v>
      </c>
      <c r="AZ44" s="108">
        <f t="shared" si="13"/>
        <v>22.83</v>
      </c>
      <c r="BA44" s="108" t="str">
        <f t="array" ref="BA44">IF(ISNUMBER(AC44),INDEX('All Player Data Store'!$U$8:$U$594,SMALL(IF('All Player Data Store'!$Y$7:$Y$594=AC44,ROW('All Player Data Store'!$Y$7:$Y$594)-ROW('All Player Data Store'!$Y$7)+1),COUNTIF($AC$8:AC44,AC44))),"")</f>
        <v>2*4</v>
      </c>
      <c r="BB44" s="108">
        <f t="shared" si="14"/>
        <v>21.59</v>
      </c>
      <c r="BC44" s="108" t="str">
        <f t="array" ref="BC44">IF(ISNUMBER(AC44),INDEX('All Player Data Store'!$V$8:$V$594,SMALL(IF('All Player Data Store'!$Y$7:$Y$594=AC44,ROW('All Player Data Store'!$Y$7:$Y$594)-ROW('All Player Data Store'!$Y$7)+1),COUNTIF($AC$8:AC44,AC44))),"")</f>
        <v>4*2</v>
      </c>
      <c r="BD44" s="108">
        <f t="shared" si="15"/>
        <v>24.99</v>
      </c>
      <c r="BE44" s="1"/>
    </row>
    <row r="45" spans="2:57" ht="12" customHeight="1" x14ac:dyDescent="0.2">
      <c r="B45" s="98" t="str">
        <f t="shared" si="0"/>
        <v>Y</v>
      </c>
      <c r="C45" s="1"/>
      <c r="D45" s="68">
        <f t="shared" si="1"/>
        <v>38</v>
      </c>
      <c r="E45" s="2"/>
      <c r="F45" s="78">
        <v>38</v>
      </c>
      <c r="G45" s="110" t="str">
        <f t="array" ref="G45">IF(ISNUMBER(AC45),INDEX('All Player Data Store'!$C$7:$C$594,SMALL(IF('All Player Data Store'!$Y$7:$Y$594=AC45,ROW('All Player Data Store'!$Y$7:$Y$594)-ROW('All Player Data Store'!$Y$7)+1),COUNTIF($AC$8:AC45,AC45))),"")</f>
        <v>Colin Mutter</v>
      </c>
      <c r="H45" s="111" t="str">
        <f t="array" ref="H45">IF(ISNUMBER(AC45),INDEX('All Player Data Store'!$D$7:$D$594,SMALL(IF('All Player Data Store'!$Y$7:$Y$594=AC45,ROW('All Player Data Store'!$Y$7:$Y$594)-ROW('All Player Data Store'!$Y$7)+1),COUNTIF($AC$8:AC45,AC45))),"")</f>
        <v>Swa</v>
      </c>
      <c r="I45" s="69">
        <f t="array" ref="I45">IF(ISNUMBER(AC45),INDEX('All Player Data Store'!$E$7:$E$594,SMALL(IF('All Player Data Store'!$Y$7:$Y$594=AC45,ROW('All Player Data Store'!$Y$7:$Y$594)-ROW('All Player Data Store'!$Y$7)+1),COUNTIF($AC$8:AC45,AC45))),"")</f>
        <v>12</v>
      </c>
      <c r="J45" s="70">
        <f t="array" ref="J45">IF(ISNUMBER(AC45),INDEX('All Player Data Store'!$F$7:$F$594,SMALL(IF('All Player Data Store'!$Y$7:$Y$594=AC45,ROW('All Player Data Store'!$Y$7:$Y$594)-ROW('All Player Data Store'!$Y$7)+1),COUNTIF($AC$8:AC45,AC45))),"")</f>
        <v>7</v>
      </c>
      <c r="K45" s="112">
        <f t="array" ref="K45">IF(ISNUMBER(AC45),INDEX('All Player Data Store'!$G$7:$G$594,SMALL(IF('All Player Data Store'!$Y$7:$Y$594=AC45,ROW('All Player Data Store'!$Y$7:$Y$594)-ROW('All Player Data Store'!$Y$7)+1),COUNTIF($AC$8:AC45,AC45))),"")</f>
        <v>5</v>
      </c>
      <c r="L45" s="112">
        <f t="array" ref="L45">IF(ISNUMBER(AC45),INDEX('All Player Data Store'!$H$7:$H$594,SMALL(IF('All Player Data Store'!$Y$7:$Y$594=AC45,ROW('All Player Data Store'!$Y$7:$Y$594)-ROW('All Player Data Store'!$Y$7)+1),COUNTIF($AC$8:AC45,AC45))),"")</f>
        <v>38</v>
      </c>
      <c r="M45" s="113">
        <f t="array" ref="M45">IF(ISNUMBER(AC45),INDEX('All Player Data Store'!$I$7:$I$594,SMALL(IF('All Player Data Store'!$Y$7:$Y$594=AC45,ROW('All Player Data Store'!$Y$7:$Y$594)-ROW('All Player Data Store'!$Y$7)+1),COUNTIF($AC$8:AC45,AC45))),"")</f>
        <v>22</v>
      </c>
      <c r="N45" s="114">
        <f t="array" ref="N45">IF(ISNUMBER(AC45),INDEX('All Player Data Store'!$J$7:$J$594,SMALL(IF('All Player Data Store'!$Y$7:$Y$594=AC45,ROW('All Player Data Store'!$Y$7:$Y$594)-ROW('All Player Data Store'!$Y$7)+1),COUNTIF($AC$8:AC45,AC45))),"")</f>
        <v>22.02</v>
      </c>
      <c r="O45" s="108">
        <f t="array" ref="O45">IF(ISNUMBER(AC45),INDEX('All Player Data Store'!$K$7:$K$594,SMALL(IF('All Player Data Store'!$Y$7:$Y$594=AC45,ROW('All Player Data Store'!$Y$7:$Y$594)-ROW('All Player Data Store'!$Y$7)+1),COUNTIF($AC$8:AC45,AC45))),"")</f>
        <v>22.32</v>
      </c>
      <c r="P45" s="108">
        <f t="array" ref="P45">IF(ISNUMBER(AC45),INDEX('All Player Data Store'!$L$7:$L$594,SMALL(IF('All Player Data Store'!$Y$7:$Y$594=AC45,ROW('All Player Data Store'!$Y$7:$Y$594)-ROW('All Player Data Store'!$Y$7)+1),COUNTIF($AC$8:AC45,AC45))),"")</f>
        <v>22.89</v>
      </c>
      <c r="Q45" s="108">
        <f t="array" ref="Q45">IF(ISNUMBER(AC45),INDEX('All Player Data Store'!$M$7:$M$594,SMALL(IF('All Player Data Store'!$Y$7:$Y$594=AC45,ROW('All Player Data Store'!$Y$7:$Y$594)-ROW('All Player Data Store'!$Y$7)+1),COUNTIF($AC$8:AC45,AC45))),"")</f>
        <v>20.12</v>
      </c>
      <c r="R45" s="108">
        <f t="array" ref="R45">IF(ISNUMBER(AC45),INDEX('All Player Data Store'!$N$7:$N$594,SMALL(IF('All Player Data Store'!$Y$7:$Y$594=AC45,ROW('All Player Data Store'!$Y$7:$Y$594)-ROW('All Player Data Store'!$Y$7)+1),COUNTIF($AC$8:AC45,AC45))),"")</f>
        <v>27.08</v>
      </c>
      <c r="S45" s="108">
        <f t="array" ref="S45">IF(ISNUMBER(AC45),INDEX('All Player Data Store'!$O$7:$O$594,SMALL(IF('All Player Data Store'!$Y$7:$Y$594=AC45,ROW('All Player Data Store'!$Y$7:$Y$594)-ROW('All Player Data Store'!$Y$7)+1),COUNTIF($AC$8:AC45,AC45))),"")</f>
        <v>19.350000000000001</v>
      </c>
      <c r="T45" s="108">
        <f t="array" ref="T45">IF(ISNUMBER(AC45),INDEX('All Player Data Store'!$P$7:$P$594,SMALL(IF('All Player Data Store'!$Y$7:$Y$594=AC45,ROW('All Player Data Store'!$Y$7:$Y$594)-ROW('All Player Data Store'!$Y$7)+1),COUNTIF($AC$8:AC45,AC45))),"")</f>
        <v>22.76</v>
      </c>
      <c r="U45" s="108">
        <f t="array" ref="U45">IF(ISNUMBER(AC45),INDEX('All Player Data Store'!$Q$7:$Q$594,SMALL(IF('All Player Data Store'!$Y$7:$Y$594=AC45,ROW('All Player Data Store'!$Y$7:$Y$594)-ROW('All Player Data Store'!$Y$7)+1),COUNTIF($AC$8:AC45,AC45))),"")</f>
        <v>23.14</v>
      </c>
      <c r="V45" s="108">
        <f t="array" ref="V45">IF(ISNUMBER(AC45),INDEX('All Player Data Store'!$R$7:$R$594,SMALL(IF('All Player Data Store'!$Y$7:$Y$594=AC45,ROW('All Player Data Store'!$Y$7:$Y$594)-ROW('All Player Data Store'!$Y$7)+1),COUNTIF($AC$8:AC45,AC45))),"")</f>
        <v>21.55</v>
      </c>
      <c r="W45" s="108" t="str">
        <f t="array" ref="W45">IF(ISNUMBER(AC45),INDEX('All Player Data Store'!$S$7:$S$594,SMALL(IF('All Player Data Store'!$Y$7:$Y$594=AC45,ROW('All Player Data Store'!$Y$7:$Y$594)-ROW('All Player Data Store'!$Y$7)+1),COUNTIF($AC$8:AC45,AC45))),"")</f>
        <v/>
      </c>
      <c r="X45" s="108">
        <f t="array" ref="X45">IF(ISNUMBER(AC45),INDEX('All Player Data Store'!$T$7:$T$594,SMALL(IF('All Player Data Store'!$Y$7:$Y$594=AC45,ROW('All Player Data Store'!$Y$7:$Y$594)-ROW('All Player Data Store'!$Y$7)+1),COUNTIF($AC$8:AC45,AC45))),"")</f>
        <v>19.09</v>
      </c>
      <c r="Y45" s="108">
        <f t="array" ref="Y45">IF(ISNUMBER(AC45),INDEX('All Player Data Store'!$U$7:$U$594,SMALL(IF('All Player Data Store'!$Y$7:$Y$594=AC45,ROW('All Player Data Store'!$Y$7:$Y$594)-ROW('All Player Data Store'!$Y$7)+1),COUNTIF($AC$8:AC45,AC45))),"")</f>
        <v>23.57</v>
      </c>
      <c r="Z45" s="108">
        <f t="array" ref="Z45">IF(ISNUMBER(AC45),INDEX('All Player Data Store'!$V$7:$V$594,SMALL(IF('All Player Data Store'!$Y$7:$Y$594=AC45,ROW('All Player Data Store'!$Y$7:$Y$594)-ROW('All Player Data Store'!$Y$7)+1),COUNTIF($AC$8:AC45,AC45))),"")</f>
        <v>22.64</v>
      </c>
      <c r="AA45" s="112">
        <f t="array" ref="AA45">IF(ISNUMBER(AC45),INDEX('All Player Data Store'!$W$7:$W$594,SMALL(IF('All Player Data Store'!$Y$7:$Y$594=AC45,ROW('All Player Data Store'!$Y$7:$Y$594)-ROW('All Player Data Store'!$Y$7)+1),COUNTIF($AC$8:AC45,AC45))),"")</f>
        <v>1</v>
      </c>
      <c r="AB45" s="108">
        <f t="array" ref="AB45">IF(ISNUMBER(AC45),INDEX('All Player Data Store'!$X$7:$X$594,SMALL(IF('All Player Data Store'!$Y$7:$Y$594=AC45,ROW('All Player Data Store'!$Y$7:$Y$594)-ROW('All Player Data Store'!$Y$7)+1),COUNTIF($AC$8:AC45,AC45))),"")</f>
        <v>22.210833333333337</v>
      </c>
      <c r="AC45" s="115">
        <f>IF(ISERROR(IF(ISERROR(LARGE('All Player Data Store'!$Y$7:$Y$594,38)),"",(LARGE('All Player Data Store'!$Y$7:$Y$594,38)))),"",(IF(ISERROR(LARGE('All Player Data Store'!$Y$7:$Y$594,38)),"",(LARGE('All Player Data Store'!$Y$7:$Y$594,38)))))</f>
        <v>29.210833333333337</v>
      </c>
      <c r="AD45" s="106">
        <f t="shared" si="2"/>
        <v>3</v>
      </c>
      <c r="AE45" s="107" t="str">
        <f t="array" ref="AE45">IF(ISNUMBER(AC45),INDEX('All Player Data Store'!$J$8:$J$594,SMALL(IF('All Player Data Store'!$Y$7:$Y$594=AC45,ROW('All Player Data Store'!$Y$7:$Y$594)-ROW('All Player Data Store'!$Y$7)+1),COUNTIF($AC$8:AC45,AC45))),"")</f>
        <v>4*0</v>
      </c>
      <c r="AF45" s="108">
        <f t="shared" si="3"/>
        <v>23.02</v>
      </c>
      <c r="AG45" s="108" t="str">
        <f t="array" ref="AG45">IF(ISNUMBER(AC45),INDEX('All Player Data Store'!$K$8:$K$594,SMALL(IF('All Player Data Store'!$Y$7:$Y$594=AC45,ROW('All Player Data Store'!$Y$7:$Y$594)-ROW('All Player Data Store'!$Y$7)+1),COUNTIF($AC$8:AC45,AC45))),"")</f>
        <v>4*2</v>
      </c>
      <c r="AH45" s="108">
        <f t="shared" si="4"/>
        <v>23.32</v>
      </c>
      <c r="AI45" s="108" t="str">
        <f t="array" ref="AI45">IF(ISNUMBER(AC45),INDEX('All Player Data Store'!$L$8:$L$594,SMALL(IF('All Player Data Store'!$Y$7:$Y$594=AC45,ROW('All Player Data Store'!$Y$7:$Y$594)-ROW('All Player Data Store'!$Y$7)+1),COUNTIF($AC$8:AC45,AC45))),"")</f>
        <v>4*0</v>
      </c>
      <c r="AJ45" s="108">
        <f t="shared" si="5"/>
        <v>23.89</v>
      </c>
      <c r="AK45" s="108" t="str">
        <f t="array" ref="AK45">IF(ISNUMBER(AC45),INDEX('All Player Data Store'!$M$8:$M$594,SMALL(IF('All Player Data Store'!$Y$7:$Y$594=AC45,ROW('All Player Data Store'!$Y$7:$Y$594)-ROW('All Player Data Store'!$Y$7)+1),COUNTIF($AC$8:AC45,AC45))),"")</f>
        <v>4*0</v>
      </c>
      <c r="AL45" s="108">
        <f t="shared" si="6"/>
        <v>21.12</v>
      </c>
      <c r="AM45" s="108" t="str">
        <f t="array" ref="AM45">IF(ISNUMBER(AC45),INDEX('All Player Data Store'!$N$8:$N$594,SMALL(IF('All Player Data Store'!$Y$7:$Y$594=AC45,ROW('All Player Data Store'!$Y$7:$Y$594)-ROW('All Player Data Store'!$Y$7)+1),COUNTIF($AC$8:AC45,AC45))),"")</f>
        <v>4*0</v>
      </c>
      <c r="AN45" s="108">
        <f t="shared" si="7"/>
        <v>28.08</v>
      </c>
      <c r="AO45" s="108" t="str">
        <f t="array" ref="AO45">IF(ISNUMBER(AC45),INDEX('All Player Data Store'!$O$8:$O$594,SMALL(IF('All Player Data Store'!$Y$7:$Y$594=AC45,ROW('All Player Data Store'!$Y$7:$Y$594)-ROW('All Player Data Store'!$Y$7)+1),COUNTIF($AC$8:AC45,AC45))),"")</f>
        <v>3*4</v>
      </c>
      <c r="AP45" s="108">
        <f t="shared" si="8"/>
        <v>19.350000000000001</v>
      </c>
      <c r="AQ45" s="108" t="str">
        <f t="array" ref="AQ45">IF(ISNUMBER(AC45),INDEX('All Player Data Store'!$P$8:$P$594,SMALL(IF('All Player Data Store'!$Y$7:$Y$594=AC45,ROW('All Player Data Store'!$Y$7:$Y$594)-ROW('All Player Data Store'!$Y$7)+1),COUNTIF($AC$8:AC45,AC45))),"")</f>
        <v>0*4</v>
      </c>
      <c r="AR45" s="108">
        <f t="shared" si="9"/>
        <v>22.76</v>
      </c>
      <c r="AS45" s="108" t="str">
        <f t="array" ref="AS45">IF(ISNUMBER(AC45),INDEX('All Player Data Store'!$Q$8:$Q$594,SMALL(IF('All Player Data Store'!$Y$7:$Y$594=AC45,ROW('All Player Data Store'!$Y$7:$Y$594)-ROW('All Player Data Store'!$Y$7)+1),COUNTIF($AC$8:AC45,AC45))),"")</f>
        <v>2*4</v>
      </c>
      <c r="AT45" s="108">
        <f t="shared" si="10"/>
        <v>23.14</v>
      </c>
      <c r="AU45" s="108" t="str">
        <f t="array" ref="AU45">IF(ISNUMBER(AC45),INDEX('All Player Data Store'!$R$8:$R$594,SMALL(IF('All Player Data Store'!$Y$7:$Y$594=AC45,ROW('All Player Data Store'!$Y$7:$Y$594)-ROW('All Player Data Store'!$Y$7)+1),COUNTIF($AC$8:AC45,AC45))),"")</f>
        <v>4*0</v>
      </c>
      <c r="AV45" s="108">
        <f t="shared" si="11"/>
        <v>22.55</v>
      </c>
      <c r="AW45" s="108" t="str">
        <f t="array" ref="AW45">IF(ISNUMBER(AC45),INDEX('All Player Data Store'!$S$8:$S$594,SMALL(IF('All Player Data Store'!$Y$7:$Y$594=AC45,ROW('All Player Data Store'!$Y$7:$Y$594)-ROW('All Player Data Store'!$Y$7)+1),COUNTIF($AC$8:AC45,AC45))),"")</f>
        <v/>
      </c>
      <c r="AX45" s="108" t="str">
        <f t="shared" si="12"/>
        <v/>
      </c>
      <c r="AY45" s="108" t="str">
        <f t="array" ref="AY45">IF(ISNUMBER(AC45),INDEX('All Player Data Store'!$T$8:$T$594,SMALL(IF('All Player Data Store'!$Y$7:$Y$594=AC45,ROW('All Player Data Store'!$Y$7:$Y$594)-ROW('All Player Data Store'!$Y$7)+1),COUNTIF($AC$8:AC45,AC45))),"")</f>
        <v>4*0</v>
      </c>
      <c r="AZ45" s="108">
        <f t="shared" si="13"/>
        <v>20.09</v>
      </c>
      <c r="BA45" s="108" t="str">
        <f t="array" ref="BA45">IF(ISNUMBER(AC45),INDEX('All Player Data Store'!$U$8:$U$594,SMALL(IF('All Player Data Store'!$Y$7:$Y$594=AC45,ROW('All Player Data Store'!$Y$7:$Y$594)-ROW('All Player Data Store'!$Y$7)+1),COUNTIF($AC$8:AC45,AC45))),"")</f>
        <v>3*4(1)</v>
      </c>
      <c r="BB45" s="108">
        <f t="shared" si="14"/>
        <v>23.57</v>
      </c>
      <c r="BC45" s="108" t="str">
        <f t="array" ref="BC45">IF(ISNUMBER(AC45),INDEX('All Player Data Store'!$V$8:$V$594,SMALL(IF('All Player Data Store'!$Y$7:$Y$594=AC45,ROW('All Player Data Store'!$Y$7:$Y$594)-ROW('All Player Data Store'!$Y$7)+1),COUNTIF($AC$8:AC45,AC45))),"")</f>
        <v>2*4</v>
      </c>
      <c r="BD45" s="108">
        <f t="shared" si="15"/>
        <v>22.64</v>
      </c>
      <c r="BE45" s="1"/>
    </row>
    <row r="46" spans="2:57" ht="12" customHeight="1" x14ac:dyDescent="0.2">
      <c r="B46" s="98" t="str">
        <f t="shared" si="0"/>
        <v>Y</v>
      </c>
      <c r="C46" s="1"/>
      <c r="D46" s="68">
        <f t="shared" si="1"/>
        <v>39</v>
      </c>
      <c r="E46" s="2"/>
      <c r="F46" s="78">
        <v>39</v>
      </c>
      <c r="G46" s="110" t="str">
        <f t="array" ref="G46">IF(ISNUMBER(AC46),INDEX('All Player Data Store'!$C$7:$C$594,SMALL(IF('All Player Data Store'!$Y$7:$Y$594=AC46,ROW('All Player Data Store'!$Y$7:$Y$594)-ROW('All Player Data Store'!$Y$7)+1),COUNTIF($AC$8:AC46,AC46))),"")</f>
        <v>Jake Carton</v>
      </c>
      <c r="H46" s="111" t="str">
        <f t="array" ref="H46">IF(ISNUMBER(AC46),INDEX('All Player Data Store'!$D$7:$D$594,SMALL(IF('All Player Data Store'!$Y$7:$Y$594=AC46,ROW('All Player Data Store'!$Y$7:$Y$594)-ROW('All Player Data Store'!$Y$7)+1),COUNTIF($AC$8:AC46,AC46))),"")</f>
        <v>Poo</v>
      </c>
      <c r="I46" s="69">
        <f t="array" ref="I46">IF(ISNUMBER(AC46),INDEX('All Player Data Store'!$E$7:$E$594,SMALL(IF('All Player Data Store'!$Y$7:$Y$594=AC46,ROW('All Player Data Store'!$Y$7:$Y$594)-ROW('All Player Data Store'!$Y$7)+1),COUNTIF($AC$8:AC46,AC46))),"")</f>
        <v>12</v>
      </c>
      <c r="J46" s="70">
        <f t="array" ref="J46">IF(ISNUMBER(AC46),INDEX('All Player Data Store'!$F$7:$F$594,SMALL(IF('All Player Data Store'!$Y$7:$Y$594=AC46,ROW('All Player Data Store'!$Y$7:$Y$594)-ROW('All Player Data Store'!$Y$7)+1),COUNTIF($AC$8:AC46,AC46))),"")</f>
        <v>6</v>
      </c>
      <c r="K46" s="112">
        <f t="array" ref="K46">IF(ISNUMBER(AC46),INDEX('All Player Data Store'!$G$7:$G$594,SMALL(IF('All Player Data Store'!$Y$7:$Y$594=AC46,ROW('All Player Data Store'!$Y$7:$Y$594)-ROW('All Player Data Store'!$Y$7)+1),COUNTIF($AC$8:AC46,AC46))),"")</f>
        <v>6</v>
      </c>
      <c r="L46" s="112">
        <f t="array" ref="L46">IF(ISNUMBER(AC46),INDEX('All Player Data Store'!$H$7:$H$594,SMALL(IF('All Player Data Store'!$Y$7:$Y$594=AC46,ROW('All Player Data Store'!$Y$7:$Y$594)-ROW('All Player Data Store'!$Y$7)+1),COUNTIF($AC$8:AC46,AC46))),"")</f>
        <v>37</v>
      </c>
      <c r="M46" s="113">
        <f t="array" ref="M46">IF(ISNUMBER(AC46),INDEX('All Player Data Store'!$I$7:$I$594,SMALL(IF('All Player Data Store'!$Y$7:$Y$594=AC46,ROW('All Player Data Store'!$Y$7:$Y$594)-ROW('All Player Data Store'!$Y$7)+1),COUNTIF($AC$8:AC46,AC46))),"")</f>
        <v>30</v>
      </c>
      <c r="N46" s="114">
        <f t="array" ref="N46">IF(ISNUMBER(AC46),INDEX('All Player Data Store'!$J$7:$J$594,SMALL(IF('All Player Data Store'!$Y$7:$Y$594=AC46,ROW('All Player Data Store'!$Y$7:$Y$594)-ROW('All Player Data Store'!$Y$7)+1),COUNTIF($AC$8:AC46,AC46))),"")</f>
        <v>24.81</v>
      </c>
      <c r="O46" s="108">
        <f t="array" ref="O46">IF(ISNUMBER(AC46),INDEX('All Player Data Store'!$K$7:$K$594,SMALL(IF('All Player Data Store'!$Y$7:$Y$594=AC46,ROW('All Player Data Store'!$Y$7:$Y$594)-ROW('All Player Data Store'!$Y$7)+1),COUNTIF($AC$8:AC46,AC46))),"")</f>
        <v>22.63</v>
      </c>
      <c r="P46" s="108">
        <f t="array" ref="P46">IF(ISNUMBER(AC46),INDEX('All Player Data Store'!$L$7:$L$594,SMALL(IF('All Player Data Store'!$Y$7:$Y$594=AC46,ROW('All Player Data Store'!$Y$7:$Y$594)-ROW('All Player Data Store'!$Y$7)+1),COUNTIF($AC$8:AC46,AC46))),"")</f>
        <v>22.89</v>
      </c>
      <c r="Q46" s="108" t="str">
        <f t="array" ref="Q46">IF(ISNUMBER(AC46),INDEX('All Player Data Store'!$M$7:$M$594,SMALL(IF('All Player Data Store'!$Y$7:$Y$594=AC46,ROW('All Player Data Store'!$Y$7:$Y$594)-ROW('All Player Data Store'!$Y$7)+1),COUNTIF($AC$8:AC46,AC46))),"")</f>
        <v/>
      </c>
      <c r="R46" s="108">
        <f t="array" ref="R46">IF(ISNUMBER(AC46),INDEX('All Player Data Store'!$N$7:$N$594,SMALL(IF('All Player Data Store'!$Y$7:$Y$594=AC46,ROW('All Player Data Store'!$Y$7:$Y$594)-ROW('All Player Data Store'!$Y$7)+1),COUNTIF($AC$8:AC46,AC46))),"")</f>
        <v>26.98</v>
      </c>
      <c r="S46" s="108">
        <f t="array" ref="S46">IF(ISNUMBER(AC46),INDEX('All Player Data Store'!$O$7:$O$594,SMALL(IF('All Player Data Store'!$Y$7:$Y$594=AC46,ROW('All Player Data Store'!$Y$7:$Y$594)-ROW('All Player Data Store'!$Y$7)+1),COUNTIF($AC$8:AC46,AC46))),"")</f>
        <v>21.6</v>
      </c>
      <c r="T46" s="108">
        <f t="array" ref="T46">IF(ISNUMBER(AC46),INDEX('All Player Data Store'!$P$7:$P$594,SMALL(IF('All Player Data Store'!$Y$7:$Y$594=AC46,ROW('All Player Data Store'!$Y$7:$Y$594)-ROW('All Player Data Store'!$Y$7)+1),COUNTIF($AC$8:AC46,AC46))),"")</f>
        <v>22.77</v>
      </c>
      <c r="U46" s="108">
        <f t="array" ref="U46">IF(ISNUMBER(AC46),INDEX('All Player Data Store'!$Q$7:$Q$594,SMALL(IF('All Player Data Store'!$Y$7:$Y$594=AC46,ROW('All Player Data Store'!$Y$7:$Y$594)-ROW('All Player Data Store'!$Y$7)+1),COUNTIF($AC$8:AC46,AC46))),"")</f>
        <v>20.58</v>
      </c>
      <c r="V46" s="108">
        <f t="array" ref="V46">IF(ISNUMBER(AC46),INDEX('All Player Data Store'!$R$7:$R$594,SMALL(IF('All Player Data Store'!$Y$7:$Y$594=AC46,ROW('All Player Data Store'!$Y$7:$Y$594)-ROW('All Player Data Store'!$Y$7)+1),COUNTIF($AC$8:AC46,AC46))),"")</f>
        <v>23</v>
      </c>
      <c r="W46" s="108">
        <f t="array" ref="W46">IF(ISNUMBER(AC46),INDEX('All Player Data Store'!$S$7:$S$594,SMALL(IF('All Player Data Store'!$Y$7:$Y$594=AC46,ROW('All Player Data Store'!$Y$7:$Y$594)-ROW('All Player Data Store'!$Y$7)+1),COUNTIF($AC$8:AC46,AC46))),"")</f>
        <v>23.11</v>
      </c>
      <c r="X46" s="108">
        <f t="array" ref="X46">IF(ISNUMBER(AC46),INDEX('All Player Data Store'!$T$7:$T$594,SMALL(IF('All Player Data Store'!$Y$7:$Y$594=AC46,ROW('All Player Data Store'!$Y$7:$Y$594)-ROW('All Player Data Store'!$Y$7)+1),COUNTIF($AC$8:AC46,AC46))),"")</f>
        <v>23.58</v>
      </c>
      <c r="Y46" s="108">
        <f t="array" ref="Y46">IF(ISNUMBER(AC46),INDEX('All Player Data Store'!$U$7:$U$594,SMALL(IF('All Player Data Store'!$Y$7:$Y$594=AC46,ROW('All Player Data Store'!$Y$7:$Y$594)-ROW('All Player Data Store'!$Y$7)+1),COUNTIF($AC$8:AC46,AC46))),"")</f>
        <v>22.97</v>
      </c>
      <c r="Z46" s="108">
        <f t="array" ref="Z46">IF(ISNUMBER(AC46),INDEX('All Player Data Store'!$V$7:$V$594,SMALL(IF('All Player Data Store'!$Y$7:$Y$594=AC46,ROW('All Player Data Store'!$Y$7:$Y$594)-ROW('All Player Data Store'!$Y$7)+1),COUNTIF($AC$8:AC46,AC46))),"")</f>
        <v>22.55</v>
      </c>
      <c r="AA46" s="112">
        <f t="array" ref="AA46">IF(ISNUMBER(AC46),INDEX('All Player Data Store'!$W$7:$W$594,SMALL(IF('All Player Data Store'!$Y$7:$Y$594=AC46,ROW('All Player Data Store'!$Y$7:$Y$594)-ROW('All Player Data Store'!$Y$7)+1),COUNTIF($AC$8:AC46,AC46))),"")</f>
        <v>5</v>
      </c>
      <c r="AB46" s="108">
        <f t="array" ref="AB46">IF(ISNUMBER(AC46),INDEX('All Player Data Store'!$X$7:$X$594,SMALL(IF('All Player Data Store'!$Y$7:$Y$594=AC46,ROW('All Player Data Store'!$Y$7:$Y$594)-ROW('All Player Data Store'!$Y$7)+1),COUNTIF($AC$8:AC46,AC46))),"")</f>
        <v>23.122499999999999</v>
      </c>
      <c r="AC46" s="115">
        <f>IF(ISERROR(IF(ISERROR(LARGE('All Player Data Store'!$Y$7:$Y$594,39)),"",(LARGE('All Player Data Store'!$Y$7:$Y$594,39)))),"",(IF(ISERROR(LARGE('All Player Data Store'!$Y$7:$Y$594,39)),"",(LARGE('All Player Data Store'!$Y$7:$Y$594,39)))))</f>
        <v>29.122499999999999</v>
      </c>
      <c r="AD46" s="106">
        <f t="shared" si="2"/>
        <v>3</v>
      </c>
      <c r="AE46" s="107" t="str">
        <f t="array" ref="AE46">IF(ISNUMBER(AC46),INDEX('All Player Data Store'!$J$8:$J$594,SMALL(IF('All Player Data Store'!$Y$7:$Y$594=AC46,ROW('All Player Data Store'!$Y$7:$Y$594)-ROW('All Player Data Store'!$Y$7)+1),COUNTIF($AC$8:AC46,AC46))),"")</f>
        <v>4*1(1)</v>
      </c>
      <c r="AF46" s="108">
        <f t="shared" si="3"/>
        <v>25.81</v>
      </c>
      <c r="AG46" s="108" t="str">
        <f t="array" ref="AG46">IF(ISNUMBER(AC46),INDEX('All Player Data Store'!$K$8:$K$594,SMALL(IF('All Player Data Store'!$Y$7:$Y$594=AC46,ROW('All Player Data Store'!$Y$7:$Y$594)-ROW('All Player Data Store'!$Y$7)+1),COUNTIF($AC$8:AC46,AC46))),"")</f>
        <v>4*2</v>
      </c>
      <c r="AH46" s="108">
        <f t="shared" si="4"/>
        <v>23.63</v>
      </c>
      <c r="AI46" s="108" t="str">
        <f t="array" ref="AI46">IF(ISNUMBER(AC46),INDEX('All Player Data Store'!$L$8:$L$594,SMALL(IF('All Player Data Store'!$Y$7:$Y$594=AC46,ROW('All Player Data Store'!$Y$7:$Y$594)-ROW('All Player Data Store'!$Y$7)+1),COUNTIF($AC$8:AC46,AC46))),"")</f>
        <v>4*1</v>
      </c>
      <c r="AJ46" s="108">
        <f t="shared" si="5"/>
        <v>23.89</v>
      </c>
      <c r="AK46" s="108" t="str">
        <f t="array" ref="AK46">IF(ISNUMBER(AC46),INDEX('All Player Data Store'!$M$8:$M$594,SMALL(IF('All Player Data Store'!$Y$7:$Y$594=AC46,ROW('All Player Data Store'!$Y$7:$Y$594)-ROW('All Player Data Store'!$Y$7)+1),COUNTIF($AC$8:AC46,AC46))),"")</f>
        <v/>
      </c>
      <c r="AL46" s="108" t="str">
        <f t="shared" si="6"/>
        <v/>
      </c>
      <c r="AM46" s="108" t="str">
        <f t="array" ref="AM46">IF(ISNUMBER(AC46),INDEX('All Player Data Store'!$N$8:$N$594,SMALL(IF('All Player Data Store'!$Y$7:$Y$594=AC46,ROW('All Player Data Store'!$Y$7:$Y$594)-ROW('All Player Data Store'!$Y$7)+1),COUNTIF($AC$8:AC46,AC46))),"")</f>
        <v>3*4</v>
      </c>
      <c r="AN46" s="108">
        <f t="shared" si="7"/>
        <v>26.98</v>
      </c>
      <c r="AO46" s="108" t="str">
        <f t="array" ref="AO46">IF(ISNUMBER(AC46),INDEX('All Player Data Store'!$O$8:$O$594,SMALL(IF('All Player Data Store'!$Y$7:$Y$594=AC46,ROW('All Player Data Store'!$Y$7:$Y$594)-ROW('All Player Data Store'!$Y$7)+1),COUNTIF($AC$8:AC46,AC46))),"")</f>
        <v>1*4(1)</v>
      </c>
      <c r="AP46" s="108">
        <f t="shared" si="8"/>
        <v>21.6</v>
      </c>
      <c r="AQ46" s="108" t="str">
        <f t="array" ref="AQ46">IF(ISNUMBER(AC46),INDEX('All Player Data Store'!$P$8:$P$594,SMALL(IF('All Player Data Store'!$Y$7:$Y$594=AC46,ROW('All Player Data Store'!$Y$7:$Y$594)-ROW('All Player Data Store'!$Y$7)+1),COUNTIF($AC$8:AC46,AC46))),"")</f>
        <v>4*0</v>
      </c>
      <c r="AR46" s="108">
        <f t="shared" si="9"/>
        <v>23.77</v>
      </c>
      <c r="AS46" s="108" t="str">
        <f t="array" ref="AS46">IF(ISNUMBER(AC46),INDEX('All Player Data Store'!$Q$8:$Q$594,SMALL(IF('All Player Data Store'!$Y$7:$Y$594=AC46,ROW('All Player Data Store'!$Y$7:$Y$594)-ROW('All Player Data Store'!$Y$7)+1),COUNTIF($AC$8:AC46,AC46))),"")</f>
        <v>1*4</v>
      </c>
      <c r="AT46" s="108">
        <f t="shared" si="10"/>
        <v>20.58</v>
      </c>
      <c r="AU46" s="108" t="str">
        <f t="array" ref="AU46">IF(ISNUMBER(AC46),INDEX('All Player Data Store'!$R$8:$R$594,SMALL(IF('All Player Data Store'!$Y$7:$Y$594=AC46,ROW('All Player Data Store'!$Y$7:$Y$594)-ROW('All Player Data Store'!$Y$7)+1),COUNTIF($AC$8:AC46,AC46))),"")</f>
        <v>2*4(1)</v>
      </c>
      <c r="AV46" s="108">
        <f t="shared" si="11"/>
        <v>23</v>
      </c>
      <c r="AW46" s="108" t="str">
        <f t="array" ref="AW46">IF(ISNUMBER(AC46),INDEX('All Player Data Store'!$S$8:$S$594,SMALL(IF('All Player Data Store'!$Y$7:$Y$594=AC46,ROW('All Player Data Store'!$Y$7:$Y$594)-ROW('All Player Data Store'!$Y$7)+1),COUNTIF($AC$8:AC46,AC46))),"")</f>
        <v>3*4(1)</v>
      </c>
      <c r="AX46" s="108">
        <f t="shared" si="12"/>
        <v>23.11</v>
      </c>
      <c r="AY46" s="108" t="str">
        <f t="array" ref="AY46">IF(ISNUMBER(AC46),INDEX('All Player Data Store'!$T$8:$T$594,SMALL(IF('All Player Data Store'!$Y$7:$Y$594=AC46,ROW('All Player Data Store'!$Y$7:$Y$594)-ROW('All Player Data Store'!$Y$7)+1),COUNTIF($AC$8:AC46,AC46))),"")</f>
        <v>4*0</v>
      </c>
      <c r="AZ46" s="108">
        <f t="shared" si="13"/>
        <v>24.58</v>
      </c>
      <c r="BA46" s="108" t="str">
        <f t="array" ref="BA46">IF(ISNUMBER(AC46),INDEX('All Player Data Store'!$U$8:$U$594,SMALL(IF('All Player Data Store'!$Y$7:$Y$594=AC46,ROW('All Player Data Store'!$Y$7:$Y$594)-ROW('All Player Data Store'!$Y$7)+1),COUNTIF($AC$8:AC46,AC46))),"")</f>
        <v>3*4(1)</v>
      </c>
      <c r="BB46" s="108">
        <f t="shared" si="14"/>
        <v>22.97</v>
      </c>
      <c r="BC46" s="108" t="str">
        <f t="array" ref="BC46">IF(ISNUMBER(AC46),INDEX('All Player Data Store'!$V$8:$V$594,SMALL(IF('All Player Data Store'!$Y$7:$Y$594=AC46,ROW('All Player Data Store'!$Y$7:$Y$594)-ROW('All Player Data Store'!$Y$7)+1),COUNTIF($AC$8:AC46,AC46))),"")</f>
        <v>4*2</v>
      </c>
      <c r="BD46" s="108">
        <f t="shared" si="15"/>
        <v>23.55</v>
      </c>
      <c r="BE46" s="1"/>
    </row>
    <row r="47" spans="2:57" ht="12" customHeight="1" x14ac:dyDescent="0.2">
      <c r="B47" s="98" t="str">
        <f t="shared" si="0"/>
        <v>N</v>
      </c>
      <c r="C47" s="1"/>
      <c r="D47" s="68">
        <f t="shared" si="1"/>
        <v>40</v>
      </c>
      <c r="E47" s="2"/>
      <c r="F47" s="78">
        <v>40</v>
      </c>
      <c r="G47" s="110" t="str">
        <f t="array" ref="G47">IF(ISNUMBER(AC47),INDEX('All Player Data Store'!$C$7:$C$594,SMALL(IF('All Player Data Store'!$Y$7:$Y$594=AC47,ROW('All Player Data Store'!$Y$7:$Y$594)-ROW('All Player Data Store'!$Y$7)+1),COUNTIF($AC$8:AC47,AC47))),"")</f>
        <v>Mark Porter</v>
      </c>
      <c r="H47" s="111" t="str">
        <f t="array" ref="H47">IF(ISNUMBER(AC47),INDEX('All Player Data Store'!$D$7:$D$594,SMALL(IF('All Player Data Store'!$Y$7:$Y$594=AC47,ROW('All Player Data Store'!$Y$7:$Y$594)-ROW('All Player Data Store'!$Y$7)+1),COUNTIF($AC$8:AC47,AC47))),"")</f>
        <v>Lyt</v>
      </c>
      <c r="I47" s="69">
        <f t="array" ref="I47">IF(ISNUMBER(AC47),INDEX('All Player Data Store'!$E$7:$E$594,SMALL(IF('All Player Data Store'!$Y$7:$Y$594=AC47,ROW('All Player Data Store'!$Y$7:$Y$594)-ROW('All Player Data Store'!$Y$7)+1),COUNTIF($AC$8:AC47,AC47))),"")</f>
        <v>9</v>
      </c>
      <c r="J47" s="70">
        <f t="array" ref="J47">IF(ISNUMBER(AC47),INDEX('All Player Data Store'!$F$7:$F$594,SMALL(IF('All Player Data Store'!$Y$7:$Y$594=AC47,ROW('All Player Data Store'!$Y$7:$Y$594)-ROW('All Player Data Store'!$Y$7)+1),COUNTIF($AC$8:AC47,AC47))),"")</f>
        <v>6</v>
      </c>
      <c r="K47" s="112">
        <f t="array" ref="K47">IF(ISNUMBER(AC47),INDEX('All Player Data Store'!$G$7:$G$594,SMALL(IF('All Player Data Store'!$Y$7:$Y$594=AC47,ROW('All Player Data Store'!$Y$7:$Y$594)-ROW('All Player Data Store'!$Y$7)+1),COUNTIF($AC$8:AC47,AC47))),"")</f>
        <v>3</v>
      </c>
      <c r="L47" s="112">
        <f t="array" ref="L47">IF(ISNUMBER(AC47),INDEX('All Player Data Store'!$H$7:$H$594,SMALL(IF('All Player Data Store'!$Y$7:$Y$594=AC47,ROW('All Player Data Store'!$Y$7:$Y$594)-ROW('All Player Data Store'!$Y$7)+1),COUNTIF($AC$8:AC47,AC47))),"")</f>
        <v>28</v>
      </c>
      <c r="M47" s="113">
        <f t="array" ref="M47">IF(ISNUMBER(AC47),INDEX('All Player Data Store'!$I$7:$I$594,SMALL(IF('All Player Data Store'!$Y$7:$Y$594=AC47,ROW('All Player Data Store'!$Y$7:$Y$594)-ROW('All Player Data Store'!$Y$7)+1),COUNTIF($AC$8:AC47,AC47))),"")</f>
        <v>21</v>
      </c>
      <c r="N47" s="114">
        <f t="array" ref="N47">IF(ISNUMBER(AC47),INDEX('All Player Data Store'!$J$7:$J$594,SMALL(IF('All Player Data Store'!$Y$7:$Y$594=AC47,ROW('All Player Data Store'!$Y$7:$Y$594)-ROW('All Player Data Store'!$Y$7)+1),COUNTIF($AC$8:AC47,AC47))),"")</f>
        <v>24.33</v>
      </c>
      <c r="O47" s="108">
        <f t="array" ref="O47">IF(ISNUMBER(AC47),INDEX('All Player Data Store'!$K$7:$K$594,SMALL(IF('All Player Data Store'!$Y$7:$Y$594=AC47,ROW('All Player Data Store'!$Y$7:$Y$594)-ROW('All Player Data Store'!$Y$7)+1),COUNTIF($AC$8:AC47,AC47))),"")</f>
        <v>20.47</v>
      </c>
      <c r="P47" s="108">
        <f t="array" ref="P47">IF(ISNUMBER(AC47),INDEX('All Player Data Store'!$L$7:$L$594,SMALL(IF('All Player Data Store'!$Y$7:$Y$594=AC47,ROW('All Player Data Store'!$Y$7:$Y$594)-ROW('All Player Data Store'!$Y$7)+1),COUNTIF($AC$8:AC47,AC47))),"")</f>
        <v>19.09</v>
      </c>
      <c r="Q47" s="108" t="str">
        <f t="array" ref="Q47">IF(ISNUMBER(AC47),INDEX('All Player Data Store'!$M$7:$M$594,SMALL(IF('All Player Data Store'!$Y$7:$Y$594=AC47,ROW('All Player Data Store'!$Y$7:$Y$594)-ROW('All Player Data Store'!$Y$7)+1),COUNTIF($AC$8:AC47,AC47))),"")</f>
        <v/>
      </c>
      <c r="R47" s="108">
        <f t="array" ref="R47">IF(ISNUMBER(AC47),INDEX('All Player Data Store'!$N$7:$N$594,SMALL(IF('All Player Data Store'!$Y$7:$Y$594=AC47,ROW('All Player Data Store'!$Y$7:$Y$594)-ROW('All Player Data Store'!$Y$7)+1),COUNTIF($AC$8:AC47,AC47))),"")</f>
        <v>22.91</v>
      </c>
      <c r="S47" s="108" t="str">
        <f t="array" ref="S47">IF(ISNUMBER(AC47),INDEX('All Player Data Store'!$O$7:$O$594,SMALL(IF('All Player Data Store'!$Y$7:$Y$594=AC47,ROW('All Player Data Store'!$Y$7:$Y$594)-ROW('All Player Data Store'!$Y$7)+1),COUNTIF($AC$8:AC47,AC47))),"")</f>
        <v/>
      </c>
      <c r="T47" s="108" t="str">
        <f t="array" ref="T47">IF(ISNUMBER(AC47),INDEX('All Player Data Store'!$P$7:$P$594,SMALL(IF('All Player Data Store'!$Y$7:$Y$594=AC47,ROW('All Player Data Store'!$Y$7:$Y$594)-ROW('All Player Data Store'!$Y$7)+1),COUNTIF($AC$8:AC47,AC47))),"")</f>
        <v/>
      </c>
      <c r="U47" s="108" t="str">
        <f t="array" ref="U47">IF(ISNUMBER(AC47),INDEX('All Player Data Store'!$Q$7:$Q$594,SMALL(IF('All Player Data Store'!$Y$7:$Y$594=AC47,ROW('All Player Data Store'!$Y$7:$Y$594)-ROW('All Player Data Store'!$Y$7)+1),COUNTIF($AC$8:AC47,AC47))),"")</f>
        <v/>
      </c>
      <c r="V47" s="108">
        <f t="array" ref="V47">IF(ISNUMBER(AC47),INDEX('All Player Data Store'!$R$7:$R$594,SMALL(IF('All Player Data Store'!$Y$7:$Y$594=AC47,ROW('All Player Data Store'!$Y$7:$Y$594)-ROW('All Player Data Store'!$Y$7)+1),COUNTIF($AC$8:AC47,AC47))),"")</f>
        <v>21.96</v>
      </c>
      <c r="W47" s="108">
        <f t="array" ref="W47">IF(ISNUMBER(AC47),INDEX('All Player Data Store'!$S$7:$S$594,SMALL(IF('All Player Data Store'!$Y$7:$Y$594=AC47,ROW('All Player Data Store'!$Y$7:$Y$594)-ROW('All Player Data Store'!$Y$7)+1),COUNTIF($AC$8:AC47,AC47))),"")</f>
        <v>24.55</v>
      </c>
      <c r="X47" s="108">
        <f t="array" ref="X47">IF(ISNUMBER(AC47),INDEX('All Player Data Store'!$T$7:$T$594,SMALL(IF('All Player Data Store'!$Y$7:$Y$594=AC47,ROW('All Player Data Store'!$Y$7:$Y$594)-ROW('All Player Data Store'!$Y$7)+1),COUNTIF($AC$8:AC47,AC47))),"")</f>
        <v>25.62</v>
      </c>
      <c r="Y47" s="108">
        <f t="array" ref="Y47">IF(ISNUMBER(AC47),INDEX('All Player Data Store'!$U$7:$U$594,SMALL(IF('All Player Data Store'!$Y$7:$Y$594=AC47,ROW('All Player Data Store'!$Y$7:$Y$594)-ROW('All Player Data Store'!$Y$7)+1),COUNTIF($AC$8:AC47,AC47))),"")</f>
        <v>24.69</v>
      </c>
      <c r="Z47" s="108">
        <f t="array" ref="Z47">IF(ISNUMBER(AC47),INDEX('All Player Data Store'!$V$7:$V$594,SMALL(IF('All Player Data Store'!$Y$7:$Y$594=AC47,ROW('All Player Data Store'!$Y$7:$Y$594)-ROW('All Player Data Store'!$Y$7)+1),COUNTIF($AC$8:AC47,AC47))),"")</f>
        <v>24.14</v>
      </c>
      <c r="AA47" s="112">
        <f t="array" ref="AA47">IF(ISNUMBER(AC47),INDEX('All Player Data Store'!$W$7:$W$594,SMALL(IF('All Player Data Store'!$Y$7:$Y$594=AC47,ROW('All Player Data Store'!$Y$7:$Y$594)-ROW('All Player Data Store'!$Y$7)+1),COUNTIF($AC$8:AC47,AC47))),"")</f>
        <v>4</v>
      </c>
      <c r="AB47" s="108">
        <f t="array" ref="AB47">IF(ISNUMBER(AC47),INDEX('All Player Data Store'!$X$7:$X$594,SMALL(IF('All Player Data Store'!$Y$7:$Y$594=AC47,ROW('All Player Data Store'!$Y$7:$Y$594)-ROW('All Player Data Store'!$Y$7)+1),COUNTIF($AC$8:AC47,AC47))),"")</f>
        <v>23.084444444444443</v>
      </c>
      <c r="AC47" s="115">
        <f>IF(ISERROR(IF(ISERROR(LARGE('All Player Data Store'!$Y$7:$Y$594,40)),"",(LARGE('All Player Data Store'!$Y$7:$Y$594,40)))),"",(IF(ISERROR(LARGE('All Player Data Store'!$Y$7:$Y$594,40)),"",(LARGE('All Player Data Store'!$Y$7:$Y$594,40)))))</f>
        <v>29.084444444444443</v>
      </c>
      <c r="AD47" s="106">
        <f t="shared" si="2"/>
        <v>3</v>
      </c>
      <c r="AE47" s="107" t="str">
        <f t="array" ref="AE47">IF(ISNUMBER(AC47),INDEX('All Player Data Store'!$J$8:$J$594,SMALL(IF('All Player Data Store'!$Y$7:$Y$594=AC47,ROW('All Player Data Store'!$Y$7:$Y$594)-ROW('All Player Data Store'!$Y$7)+1),COUNTIF($AC$8:AC47,AC47))),"")</f>
        <v>4*3</v>
      </c>
      <c r="AF47" s="108">
        <f t="shared" si="3"/>
        <v>25.33</v>
      </c>
      <c r="AG47" s="108" t="str">
        <f t="array" ref="AG47">IF(ISNUMBER(AC47),INDEX('All Player Data Store'!$K$8:$K$594,SMALL(IF('All Player Data Store'!$Y$7:$Y$594=AC47,ROW('All Player Data Store'!$Y$7:$Y$594)-ROW('All Player Data Store'!$Y$7)+1),COUNTIF($AC$8:AC47,AC47))),"")</f>
        <v>1*4</v>
      </c>
      <c r="AH47" s="108">
        <f t="shared" si="4"/>
        <v>20.47</v>
      </c>
      <c r="AI47" s="108" t="str">
        <f t="array" ref="AI47">IF(ISNUMBER(AC47),INDEX('All Player Data Store'!$L$8:$L$594,SMALL(IF('All Player Data Store'!$Y$7:$Y$594=AC47,ROW('All Player Data Store'!$Y$7:$Y$594)-ROW('All Player Data Store'!$Y$7)+1),COUNTIF($AC$8:AC47,AC47))),"")</f>
        <v>4*0</v>
      </c>
      <c r="AJ47" s="108">
        <f t="shared" si="5"/>
        <v>20.09</v>
      </c>
      <c r="AK47" s="108" t="str">
        <f t="array" ref="AK47">IF(ISNUMBER(AC47),INDEX('All Player Data Store'!$M$8:$M$594,SMALL(IF('All Player Data Store'!$Y$7:$Y$594=AC47,ROW('All Player Data Store'!$Y$7:$Y$594)-ROW('All Player Data Store'!$Y$7)+1),COUNTIF($AC$8:AC47,AC47))),"")</f>
        <v/>
      </c>
      <c r="AL47" s="108" t="str">
        <f t="shared" si="6"/>
        <v/>
      </c>
      <c r="AM47" s="108" t="str">
        <f t="array" ref="AM47">IF(ISNUMBER(AC47),INDEX('All Player Data Store'!$N$8:$N$594,SMALL(IF('All Player Data Store'!$Y$7:$Y$594=AC47,ROW('All Player Data Store'!$Y$7:$Y$594)-ROW('All Player Data Store'!$Y$7)+1),COUNTIF($AC$8:AC47,AC47))),"")</f>
        <v>2*4</v>
      </c>
      <c r="AN47" s="108">
        <f t="shared" si="7"/>
        <v>22.91</v>
      </c>
      <c r="AO47" s="108" t="str">
        <f t="array" ref="AO47">IF(ISNUMBER(AC47),INDEX('All Player Data Store'!$O$8:$O$594,SMALL(IF('All Player Data Store'!$Y$7:$Y$594=AC47,ROW('All Player Data Store'!$Y$7:$Y$594)-ROW('All Player Data Store'!$Y$7)+1),COUNTIF($AC$8:AC47,AC47))),"")</f>
        <v/>
      </c>
      <c r="AP47" s="108" t="str">
        <f t="shared" si="8"/>
        <v/>
      </c>
      <c r="AQ47" s="108" t="str">
        <f t="array" ref="AQ47">IF(ISNUMBER(AC47),INDEX('All Player Data Store'!$P$8:$P$594,SMALL(IF('All Player Data Store'!$Y$7:$Y$594=AC47,ROW('All Player Data Store'!$Y$7:$Y$594)-ROW('All Player Data Store'!$Y$7)+1),COUNTIF($AC$8:AC47,AC47))),"")</f>
        <v/>
      </c>
      <c r="AR47" s="108" t="str">
        <f t="shared" si="9"/>
        <v/>
      </c>
      <c r="AS47" s="108" t="str">
        <f t="array" ref="AS47">IF(ISNUMBER(AC47),INDEX('All Player Data Store'!$Q$8:$Q$594,SMALL(IF('All Player Data Store'!$Y$7:$Y$594=AC47,ROW('All Player Data Store'!$Y$7:$Y$594)-ROW('All Player Data Store'!$Y$7)+1),COUNTIF($AC$8:AC47,AC47))),"")</f>
        <v/>
      </c>
      <c r="AT47" s="108" t="str">
        <f t="shared" si="10"/>
        <v/>
      </c>
      <c r="AU47" s="108" t="str">
        <f t="array" ref="AU47">IF(ISNUMBER(AC47),INDEX('All Player Data Store'!$R$8:$R$594,SMALL(IF('All Player Data Store'!$Y$7:$Y$594=AC47,ROW('All Player Data Store'!$Y$7:$Y$594)-ROW('All Player Data Store'!$Y$7)+1),COUNTIF($AC$8:AC47,AC47))),"")</f>
        <v>4*2(1)</v>
      </c>
      <c r="AV47" s="108">
        <f t="shared" si="11"/>
        <v>22.96</v>
      </c>
      <c r="AW47" s="108" t="str">
        <f t="array" ref="AW47">IF(ISNUMBER(AC47),INDEX('All Player Data Store'!$S$8:$S$594,SMALL(IF('All Player Data Store'!$Y$7:$Y$594=AC47,ROW('All Player Data Store'!$Y$7:$Y$594)-ROW('All Player Data Store'!$Y$7)+1),COUNTIF($AC$8:AC47,AC47))),"")</f>
        <v>4*1(1)</v>
      </c>
      <c r="AX47" s="108">
        <f t="shared" si="12"/>
        <v>25.55</v>
      </c>
      <c r="AY47" s="108" t="str">
        <f t="array" ref="AY47">IF(ISNUMBER(AC47),INDEX('All Player Data Store'!$T$8:$T$594,SMALL(IF('All Player Data Store'!$Y$7:$Y$594=AC47,ROW('All Player Data Store'!$Y$7:$Y$594)-ROW('All Player Data Store'!$Y$7)+1),COUNTIF($AC$8:AC47,AC47))),"")</f>
        <v>4*3</v>
      </c>
      <c r="AZ47" s="108">
        <f t="shared" si="13"/>
        <v>26.62</v>
      </c>
      <c r="BA47" s="108" t="str">
        <f t="array" ref="BA47">IF(ISNUMBER(AC47),INDEX('All Player Data Store'!$U$8:$U$594,SMALL(IF('All Player Data Store'!$Y$7:$Y$594=AC47,ROW('All Player Data Store'!$Y$7:$Y$594)-ROW('All Player Data Store'!$Y$7)+1),COUNTIF($AC$8:AC47,AC47))),"")</f>
        <v>1*4</v>
      </c>
      <c r="BB47" s="108">
        <f t="shared" si="14"/>
        <v>24.69</v>
      </c>
      <c r="BC47" s="108" t="str">
        <f t="array" ref="BC47">IF(ISNUMBER(AC47),INDEX('All Player Data Store'!$V$8:$V$594,SMALL(IF('All Player Data Store'!$Y$7:$Y$594=AC47,ROW('All Player Data Store'!$Y$7:$Y$594)-ROW('All Player Data Store'!$Y$7)+1),COUNTIF($AC$8:AC47,AC47))),"")</f>
        <v>4*0(2)</v>
      </c>
      <c r="BD47" s="108">
        <f t="shared" si="15"/>
        <v>25.14</v>
      </c>
      <c r="BE47" s="1"/>
    </row>
    <row r="48" spans="2:57" ht="12" customHeight="1" x14ac:dyDescent="0.2">
      <c r="B48" s="98" t="str">
        <f t="shared" si="0"/>
        <v>Y</v>
      </c>
      <c r="C48" s="1"/>
      <c r="D48" s="68">
        <f t="shared" si="1"/>
        <v>41</v>
      </c>
      <c r="E48" s="2"/>
      <c r="F48" s="78">
        <v>41</v>
      </c>
      <c r="G48" s="110" t="str">
        <f t="array" ref="G48">IF(ISNUMBER(AC48),INDEX('All Player Data Store'!$C$7:$C$594,SMALL(IF('All Player Data Store'!$Y$7:$Y$594=AC48,ROW('All Player Data Store'!$Y$7:$Y$594)-ROW('All Player Data Store'!$Y$7)+1),COUNTIF($AC$8:AC48,AC48))),"")</f>
        <v>Richard Gomm</v>
      </c>
      <c r="H48" s="111" t="str">
        <f t="array" ref="H48">IF(ISNUMBER(AC48),INDEX('All Player Data Store'!$D$7:$D$594,SMALL(IF('All Player Data Store'!$Y$7:$Y$594=AC48,ROW('All Player Data Store'!$Y$7:$Y$594)-ROW('All Player Data Store'!$Y$7)+1),COUNTIF($AC$8:AC48,AC48))),"")</f>
        <v>Wey</v>
      </c>
      <c r="I48" s="69">
        <f t="array" ref="I48">IF(ISNUMBER(AC48),INDEX('All Player Data Store'!$E$7:$E$594,SMALL(IF('All Player Data Store'!$Y$7:$Y$594=AC48,ROW('All Player Data Store'!$Y$7:$Y$594)-ROW('All Player Data Store'!$Y$7)+1),COUNTIF($AC$8:AC48,AC48))),"")</f>
        <v>11</v>
      </c>
      <c r="J48" s="70">
        <f t="array" ref="J48">IF(ISNUMBER(AC48),INDEX('All Player Data Store'!$F$7:$F$594,SMALL(IF('All Player Data Store'!$Y$7:$Y$594=AC48,ROW('All Player Data Store'!$Y$7:$Y$594)-ROW('All Player Data Store'!$Y$7)+1),COUNTIF($AC$8:AC48,AC48))),"")</f>
        <v>7</v>
      </c>
      <c r="K48" s="112">
        <f t="array" ref="K48">IF(ISNUMBER(AC48),INDEX('All Player Data Store'!$G$7:$G$594,SMALL(IF('All Player Data Store'!$Y$7:$Y$594=AC48,ROW('All Player Data Store'!$Y$7:$Y$594)-ROW('All Player Data Store'!$Y$7)+1),COUNTIF($AC$8:AC48,AC48))),"")</f>
        <v>4</v>
      </c>
      <c r="L48" s="112">
        <f t="array" ref="L48">IF(ISNUMBER(AC48),INDEX('All Player Data Store'!$H$7:$H$594,SMALL(IF('All Player Data Store'!$Y$7:$Y$594=AC48,ROW('All Player Data Store'!$Y$7:$Y$594)-ROW('All Player Data Store'!$Y$7)+1),COUNTIF($AC$8:AC48,AC48))),"")</f>
        <v>37</v>
      </c>
      <c r="M48" s="113">
        <f t="array" ref="M48">IF(ISNUMBER(AC48),INDEX('All Player Data Store'!$I$7:$I$594,SMALL(IF('All Player Data Store'!$Y$7:$Y$594=AC48,ROW('All Player Data Store'!$Y$7:$Y$594)-ROW('All Player Data Store'!$Y$7)+1),COUNTIF($AC$8:AC48,AC48))),"")</f>
        <v>22</v>
      </c>
      <c r="N48" s="114">
        <f t="array" ref="N48">IF(ISNUMBER(AC48),INDEX('All Player Data Store'!$J$7:$J$594,SMALL(IF('All Player Data Store'!$Y$7:$Y$594=AC48,ROW('All Player Data Store'!$Y$7:$Y$594)-ROW('All Player Data Store'!$Y$7)+1),COUNTIF($AC$8:AC48,AC48))),"")</f>
        <v>26.32</v>
      </c>
      <c r="O48" s="108" t="str">
        <f t="array" ref="O48">IF(ISNUMBER(AC48),INDEX('All Player Data Store'!$K$7:$K$594,SMALL(IF('All Player Data Store'!$Y$7:$Y$594=AC48,ROW('All Player Data Store'!$Y$7:$Y$594)-ROW('All Player Data Store'!$Y$7)+1),COUNTIF($AC$8:AC48,AC48))),"")</f>
        <v/>
      </c>
      <c r="P48" s="108">
        <f t="array" ref="P48">IF(ISNUMBER(AC48),INDEX('All Player Data Store'!$L$7:$L$594,SMALL(IF('All Player Data Store'!$Y$7:$Y$594=AC48,ROW('All Player Data Store'!$Y$7:$Y$594)-ROW('All Player Data Store'!$Y$7)+1),COUNTIF($AC$8:AC48,AC48))),"")</f>
        <v>18.68</v>
      </c>
      <c r="Q48" s="108">
        <f t="array" ref="Q48">IF(ISNUMBER(AC48),INDEX('All Player Data Store'!$M$7:$M$594,SMALL(IF('All Player Data Store'!$Y$7:$Y$594=AC48,ROW('All Player Data Store'!$Y$7:$Y$594)-ROW('All Player Data Store'!$Y$7)+1),COUNTIF($AC$8:AC48,AC48))),"")</f>
        <v>20.07</v>
      </c>
      <c r="R48" s="108">
        <f t="array" ref="R48">IF(ISNUMBER(AC48),INDEX('All Player Data Store'!$N$7:$N$594,SMALL(IF('All Player Data Store'!$Y$7:$Y$594=AC48,ROW('All Player Data Store'!$Y$7:$Y$594)-ROW('All Player Data Store'!$Y$7)+1),COUNTIF($AC$8:AC48,AC48))),"")</f>
        <v>25.85</v>
      </c>
      <c r="S48" s="108">
        <f t="array" ref="S48">IF(ISNUMBER(AC48),INDEX('All Player Data Store'!$O$7:$O$594,SMALL(IF('All Player Data Store'!$Y$7:$Y$594=AC48,ROW('All Player Data Store'!$Y$7:$Y$594)-ROW('All Player Data Store'!$Y$7)+1),COUNTIF($AC$8:AC48,AC48))),"")</f>
        <v>22.52</v>
      </c>
      <c r="T48" s="108">
        <f t="array" ref="T48">IF(ISNUMBER(AC48),INDEX('All Player Data Store'!$P$7:$P$594,SMALL(IF('All Player Data Store'!$Y$7:$Y$594=AC48,ROW('All Player Data Store'!$Y$7:$Y$594)-ROW('All Player Data Store'!$Y$7)+1),COUNTIF($AC$8:AC48,AC48))),"")</f>
        <v>19.940000000000001</v>
      </c>
      <c r="U48" s="108">
        <f t="array" ref="U48">IF(ISNUMBER(AC48),INDEX('All Player Data Store'!$Q$7:$Q$594,SMALL(IF('All Player Data Store'!$Y$7:$Y$594=AC48,ROW('All Player Data Store'!$Y$7:$Y$594)-ROW('All Player Data Store'!$Y$7)+1),COUNTIF($AC$8:AC48,AC48))),"")</f>
        <v>21.55</v>
      </c>
      <c r="V48" s="108">
        <f t="array" ref="V48">IF(ISNUMBER(AC48),INDEX('All Player Data Store'!$R$7:$R$594,SMALL(IF('All Player Data Store'!$Y$7:$Y$594=AC48,ROW('All Player Data Store'!$Y$7:$Y$594)-ROW('All Player Data Store'!$Y$7)+1),COUNTIF($AC$8:AC48,AC48))),"")</f>
        <v>20.07</v>
      </c>
      <c r="W48" s="108">
        <f t="array" ref="W48">IF(ISNUMBER(AC48),INDEX('All Player Data Store'!$S$7:$S$594,SMALL(IF('All Player Data Store'!$Y$7:$Y$594=AC48,ROW('All Player Data Store'!$Y$7:$Y$594)-ROW('All Player Data Store'!$Y$7)+1),COUNTIF($AC$8:AC48,AC48))),"")</f>
        <v>27.83</v>
      </c>
      <c r="X48" s="108">
        <f t="array" ref="X48">IF(ISNUMBER(AC48),INDEX('All Player Data Store'!$T$7:$T$594,SMALL(IF('All Player Data Store'!$Y$7:$Y$594=AC48,ROW('All Player Data Store'!$Y$7:$Y$594)-ROW('All Player Data Store'!$Y$7)+1),COUNTIF($AC$8:AC48,AC48))),"")</f>
        <v>22.37</v>
      </c>
      <c r="Y48" s="108">
        <f t="array" ref="Y48">IF(ISNUMBER(AC48),INDEX('All Player Data Store'!$U$7:$U$594,SMALL(IF('All Player Data Store'!$Y$7:$Y$594=AC48,ROW('All Player Data Store'!$Y$7:$Y$594)-ROW('All Player Data Store'!$Y$7)+1),COUNTIF($AC$8:AC48,AC48))),"")</f>
        <v>17.170000000000002</v>
      </c>
      <c r="Z48" s="108" t="str">
        <f t="array" ref="Z48">IF(ISNUMBER(AC48),INDEX('All Player Data Store'!$V$7:$V$594,SMALL(IF('All Player Data Store'!$Y$7:$Y$594=AC48,ROW('All Player Data Store'!$Y$7:$Y$594)-ROW('All Player Data Store'!$Y$7)+1),COUNTIF($AC$8:AC48,AC48))),"")</f>
        <v/>
      </c>
      <c r="AA48" s="112">
        <f t="array" ref="AA48">IF(ISNUMBER(AC48),INDEX('All Player Data Store'!$W$7:$W$594,SMALL(IF('All Player Data Store'!$Y$7:$Y$594=AC48,ROW('All Player Data Store'!$Y$7:$Y$594)-ROW('All Player Data Store'!$Y$7)+1),COUNTIF($AC$8:AC48,AC48))),"")</f>
        <v>5</v>
      </c>
      <c r="AB48" s="108">
        <f t="array" ref="AB48">IF(ISNUMBER(AC48),INDEX('All Player Data Store'!$X$7:$X$594,SMALL(IF('All Player Data Store'!$Y$7:$Y$594=AC48,ROW('All Player Data Store'!$Y$7:$Y$594)-ROW('All Player Data Store'!$Y$7)+1),COUNTIF($AC$8:AC48,AC48))),"")</f>
        <v>22.033636363636365</v>
      </c>
      <c r="AC48" s="115">
        <f>IF(ISERROR(IF(ISERROR(LARGE('All Player Data Store'!$Y$7:$Y$594,41)),"",(LARGE('All Player Data Store'!$Y$7:$Y$594,41)))),"",(IF(ISERROR(LARGE('All Player Data Store'!$Y$7:$Y$594,41)),"",(LARGE('All Player Data Store'!$Y$7:$Y$594,41)))))</f>
        <v>29.033636363636365</v>
      </c>
      <c r="AD48" s="106">
        <f t="shared" si="2"/>
        <v>3</v>
      </c>
      <c r="AE48" s="107" t="str">
        <f t="array" ref="AE48">IF(ISNUMBER(AC48),INDEX('All Player Data Store'!$J$8:$J$594,SMALL(IF('All Player Data Store'!$Y$7:$Y$594=AC48,ROW('All Player Data Store'!$Y$7:$Y$594)-ROW('All Player Data Store'!$Y$7)+1),COUNTIF($AC$8:AC48,AC48))),"")</f>
        <v>3*4</v>
      </c>
      <c r="AF48" s="108">
        <f t="shared" si="3"/>
        <v>26.32</v>
      </c>
      <c r="AG48" s="108" t="str">
        <f t="array" ref="AG48">IF(ISNUMBER(AC48),INDEX('All Player Data Store'!$K$8:$K$594,SMALL(IF('All Player Data Store'!$Y$7:$Y$594=AC48,ROW('All Player Data Store'!$Y$7:$Y$594)-ROW('All Player Data Store'!$Y$7)+1),COUNTIF($AC$8:AC48,AC48))),"")</f>
        <v/>
      </c>
      <c r="AH48" s="108" t="str">
        <f t="shared" si="4"/>
        <v/>
      </c>
      <c r="AI48" s="108" t="str">
        <f t="array" ref="AI48">IF(ISNUMBER(AC48),INDEX('All Player Data Store'!$L$8:$L$594,SMALL(IF('All Player Data Store'!$Y$7:$Y$594=AC48,ROW('All Player Data Store'!$Y$7:$Y$594)-ROW('All Player Data Store'!$Y$7)+1),COUNTIF($AC$8:AC48,AC48))),"")</f>
        <v>4*2</v>
      </c>
      <c r="AJ48" s="108">
        <f t="shared" si="5"/>
        <v>19.68</v>
      </c>
      <c r="AK48" s="108" t="str">
        <f t="array" ref="AK48">IF(ISNUMBER(AC48),INDEX('All Player Data Store'!$M$8:$M$594,SMALL(IF('All Player Data Store'!$Y$7:$Y$594=AC48,ROW('All Player Data Store'!$Y$7:$Y$594)-ROW('All Player Data Store'!$Y$7)+1),COUNTIF($AC$8:AC48,AC48))),"")</f>
        <v>1*4(1)</v>
      </c>
      <c r="AL48" s="108">
        <f t="shared" si="6"/>
        <v>20.07</v>
      </c>
      <c r="AM48" s="108" t="str">
        <f t="array" ref="AM48">IF(ISNUMBER(AC48),INDEX('All Player Data Store'!$N$8:$N$594,SMALL(IF('All Player Data Store'!$Y$7:$Y$594=AC48,ROW('All Player Data Store'!$Y$7:$Y$594)-ROW('All Player Data Store'!$Y$7)+1),COUNTIF($AC$8:AC48,AC48))),"")</f>
        <v>4*1(1)</v>
      </c>
      <c r="AN48" s="108">
        <f t="shared" si="7"/>
        <v>26.85</v>
      </c>
      <c r="AO48" s="108" t="str">
        <f t="array" ref="AO48">IF(ISNUMBER(AC48),INDEX('All Player Data Store'!$O$8:$O$594,SMALL(IF('All Player Data Store'!$Y$7:$Y$594=AC48,ROW('All Player Data Store'!$Y$7:$Y$594)-ROW('All Player Data Store'!$Y$7)+1),COUNTIF($AC$8:AC48,AC48))),"")</f>
        <v>4*0(1)</v>
      </c>
      <c r="AP48" s="108">
        <f t="shared" si="8"/>
        <v>23.52</v>
      </c>
      <c r="AQ48" s="108" t="str">
        <f t="array" ref="AQ48">IF(ISNUMBER(AC48),INDEX('All Player Data Store'!$P$8:$P$594,SMALL(IF('All Player Data Store'!$Y$7:$Y$594=AC48,ROW('All Player Data Store'!$Y$7:$Y$594)-ROW('All Player Data Store'!$Y$7)+1),COUNTIF($AC$8:AC48,AC48))),"")</f>
        <v>4*2</v>
      </c>
      <c r="AR48" s="108">
        <f t="shared" si="9"/>
        <v>20.94</v>
      </c>
      <c r="AS48" s="108" t="str">
        <f t="array" ref="AS48">IF(ISNUMBER(AC48),INDEX('All Player Data Store'!$Q$8:$Q$594,SMALL(IF('All Player Data Store'!$Y$7:$Y$594=AC48,ROW('All Player Data Store'!$Y$7:$Y$594)-ROW('All Player Data Store'!$Y$7)+1),COUNTIF($AC$8:AC48,AC48))),"")</f>
        <v>4*0</v>
      </c>
      <c r="AT48" s="108">
        <f t="shared" si="10"/>
        <v>22.55</v>
      </c>
      <c r="AU48" s="108" t="str">
        <f t="array" ref="AU48">IF(ISNUMBER(AC48),INDEX('All Player Data Store'!$R$8:$R$594,SMALL(IF('All Player Data Store'!$Y$7:$Y$594=AC48,ROW('All Player Data Store'!$Y$7:$Y$594)-ROW('All Player Data Store'!$Y$7)+1),COUNTIF($AC$8:AC48,AC48))),"")</f>
        <v>4*1</v>
      </c>
      <c r="AV48" s="108">
        <f t="shared" si="11"/>
        <v>21.07</v>
      </c>
      <c r="AW48" s="108" t="str">
        <f t="array" ref="AW48">IF(ISNUMBER(AC48),INDEX('All Player Data Store'!$S$8:$S$594,SMALL(IF('All Player Data Store'!$Y$7:$Y$594=AC48,ROW('All Player Data Store'!$Y$7:$Y$594)-ROW('All Player Data Store'!$Y$7)+1),COUNTIF($AC$8:AC48,AC48))),"")</f>
        <v>4*0(1)</v>
      </c>
      <c r="AX48" s="108">
        <f t="shared" si="12"/>
        <v>28.83</v>
      </c>
      <c r="AY48" s="108" t="str">
        <f t="array" ref="AY48">IF(ISNUMBER(AC48),INDEX('All Player Data Store'!$T$8:$T$594,SMALL(IF('All Player Data Store'!$Y$7:$Y$594=AC48,ROW('All Player Data Store'!$Y$7:$Y$594)-ROW('All Player Data Store'!$Y$7)+1),COUNTIF($AC$8:AC48,AC48))),"")</f>
        <v>3*4(1)</v>
      </c>
      <c r="AZ48" s="108">
        <f t="shared" si="13"/>
        <v>22.37</v>
      </c>
      <c r="BA48" s="108" t="str">
        <f t="array" ref="BA48">IF(ISNUMBER(AC48),INDEX('All Player Data Store'!$U$8:$U$594,SMALL(IF('All Player Data Store'!$Y$7:$Y$594=AC48,ROW('All Player Data Store'!$Y$7:$Y$594)-ROW('All Player Data Store'!$Y$7)+1),COUNTIF($AC$8:AC48,AC48))),"")</f>
        <v>2*4</v>
      </c>
      <c r="BB48" s="108">
        <f t="shared" si="14"/>
        <v>17.170000000000002</v>
      </c>
      <c r="BC48" s="108" t="str">
        <f t="array" ref="BC48">IF(ISNUMBER(AC48),INDEX('All Player Data Store'!$V$8:$V$594,SMALL(IF('All Player Data Store'!$Y$7:$Y$594=AC48,ROW('All Player Data Store'!$Y$7:$Y$594)-ROW('All Player Data Store'!$Y$7)+1),COUNTIF($AC$8:AC48,AC48))),"")</f>
        <v/>
      </c>
      <c r="BD48" s="108" t="str">
        <f t="shared" si="15"/>
        <v/>
      </c>
      <c r="BE48" s="1"/>
    </row>
    <row r="49" spans="2:57" ht="12" customHeight="1" x14ac:dyDescent="0.2">
      <c r="B49" s="98" t="str">
        <f t="shared" si="0"/>
        <v>Y</v>
      </c>
      <c r="C49" s="1"/>
      <c r="D49" s="68">
        <f t="shared" si="1"/>
        <v>42</v>
      </c>
      <c r="E49" s="2"/>
      <c r="F49" s="78">
        <v>42</v>
      </c>
      <c r="G49" s="110" t="str">
        <f t="array" ref="G49">IF(ISNUMBER(AC49),INDEX('All Player Data Store'!$C$7:$C$594,SMALL(IF('All Player Data Store'!$Y$7:$Y$594=AC49,ROW('All Player Data Store'!$Y$7:$Y$594)-ROW('All Player Data Store'!$Y$7)+1),COUNTIF($AC$8:AC49,AC49))),"")</f>
        <v>Lawrence Prodger</v>
      </c>
      <c r="H49" s="111" t="str">
        <f t="array" ref="H49">IF(ISNUMBER(AC49),INDEX('All Player Data Store'!$D$7:$D$594,SMALL(IF('All Player Data Store'!$Y$7:$Y$594=AC49,ROW('All Player Data Store'!$Y$7:$Y$594)-ROW('All Player Data Store'!$Y$7)+1),COUNTIF($AC$8:AC49,AC49))),"")</f>
        <v>Par</v>
      </c>
      <c r="I49" s="69">
        <f t="array" ref="I49">IF(ISNUMBER(AC49),INDEX('All Player Data Store'!$E$7:$E$594,SMALL(IF('All Player Data Store'!$Y$7:$Y$594=AC49,ROW('All Player Data Store'!$Y$7:$Y$594)-ROW('All Player Data Store'!$Y$7)+1),COUNTIF($AC$8:AC49,AC49))),"")</f>
        <v>11</v>
      </c>
      <c r="J49" s="70">
        <f t="array" ref="J49">IF(ISNUMBER(AC49),INDEX('All Player Data Store'!$F$7:$F$594,SMALL(IF('All Player Data Store'!$Y$7:$Y$594=AC49,ROW('All Player Data Store'!$Y$7:$Y$594)-ROW('All Player Data Store'!$Y$7)+1),COUNTIF($AC$8:AC49,AC49))),"")</f>
        <v>6</v>
      </c>
      <c r="K49" s="112">
        <f t="array" ref="K49">IF(ISNUMBER(AC49),INDEX('All Player Data Store'!$G$7:$G$594,SMALL(IF('All Player Data Store'!$Y$7:$Y$594=AC49,ROW('All Player Data Store'!$Y$7:$Y$594)-ROW('All Player Data Store'!$Y$7)+1),COUNTIF($AC$8:AC49,AC49))),"")</f>
        <v>5</v>
      </c>
      <c r="L49" s="112">
        <f t="array" ref="L49">IF(ISNUMBER(AC49),INDEX('All Player Data Store'!$H$7:$H$594,SMALL(IF('All Player Data Store'!$Y$7:$Y$594=AC49,ROW('All Player Data Store'!$Y$7:$Y$594)-ROW('All Player Data Store'!$Y$7)+1),COUNTIF($AC$8:AC49,AC49))),"")</f>
        <v>34</v>
      </c>
      <c r="M49" s="113">
        <f t="array" ref="M49">IF(ISNUMBER(AC49),INDEX('All Player Data Store'!$I$7:$I$594,SMALL(IF('All Player Data Store'!$Y$7:$Y$594=AC49,ROW('All Player Data Store'!$Y$7:$Y$594)-ROW('All Player Data Store'!$Y$7)+1),COUNTIF($AC$8:AC49,AC49))),"")</f>
        <v>32</v>
      </c>
      <c r="N49" s="114">
        <f t="array" ref="N49">IF(ISNUMBER(AC49),INDEX('All Player Data Store'!$J$7:$J$594,SMALL(IF('All Player Data Store'!$Y$7:$Y$594=AC49,ROW('All Player Data Store'!$Y$7:$Y$594)-ROW('All Player Data Store'!$Y$7)+1),COUNTIF($AC$8:AC49,AC49))),"")</f>
        <v>22.76</v>
      </c>
      <c r="O49" s="108">
        <f t="array" ref="O49">IF(ISNUMBER(AC49),INDEX('All Player Data Store'!$K$7:$K$594,SMALL(IF('All Player Data Store'!$Y$7:$Y$594=AC49,ROW('All Player Data Store'!$Y$7:$Y$594)-ROW('All Player Data Store'!$Y$7)+1),COUNTIF($AC$8:AC49,AC49))),"")</f>
        <v>20.25</v>
      </c>
      <c r="P49" s="108" t="str">
        <f t="array" ref="P49">IF(ISNUMBER(AC49),INDEX('All Player Data Store'!$L$7:$L$594,SMALL(IF('All Player Data Store'!$Y$7:$Y$594=AC49,ROW('All Player Data Store'!$Y$7:$Y$594)-ROW('All Player Data Store'!$Y$7)+1),COUNTIF($AC$8:AC49,AC49))),"")</f>
        <v/>
      </c>
      <c r="Q49" s="108">
        <f t="array" ref="Q49">IF(ISNUMBER(AC49),INDEX('All Player Data Store'!$M$7:$M$594,SMALL(IF('All Player Data Store'!$Y$7:$Y$594=AC49,ROW('All Player Data Store'!$Y$7:$Y$594)-ROW('All Player Data Store'!$Y$7)+1),COUNTIF($AC$8:AC49,AC49))),"")</f>
        <v>21.84</v>
      </c>
      <c r="R49" s="108">
        <f t="array" ref="R49">IF(ISNUMBER(AC49),INDEX('All Player Data Store'!$N$7:$N$594,SMALL(IF('All Player Data Store'!$Y$7:$Y$594=AC49,ROW('All Player Data Store'!$Y$7:$Y$594)-ROW('All Player Data Store'!$Y$7)+1),COUNTIF($AC$8:AC49,AC49))),"")</f>
        <v>23.48</v>
      </c>
      <c r="S49" s="108">
        <f t="array" ref="S49">IF(ISNUMBER(AC49),INDEX('All Player Data Store'!$O$7:$O$594,SMALL(IF('All Player Data Store'!$Y$7:$Y$594=AC49,ROW('All Player Data Store'!$Y$7:$Y$594)-ROW('All Player Data Store'!$Y$7)+1),COUNTIF($AC$8:AC49,AC49))),"")</f>
        <v>25.12</v>
      </c>
      <c r="T49" s="108">
        <f t="array" ref="T49">IF(ISNUMBER(AC49),INDEX('All Player Data Store'!$P$7:$P$594,SMALL(IF('All Player Data Store'!$Y$7:$Y$594=AC49,ROW('All Player Data Store'!$Y$7:$Y$594)-ROW('All Player Data Store'!$Y$7)+1),COUNTIF($AC$8:AC49,AC49))),"")</f>
        <v>21.57</v>
      </c>
      <c r="U49" s="108">
        <f t="array" ref="U49">IF(ISNUMBER(AC49),INDEX('All Player Data Store'!$Q$7:$Q$594,SMALL(IF('All Player Data Store'!$Y$7:$Y$594=AC49,ROW('All Player Data Store'!$Y$7:$Y$594)-ROW('All Player Data Store'!$Y$7)+1),COUNTIF($AC$8:AC49,AC49))),"")</f>
        <v>20.71</v>
      </c>
      <c r="V49" s="108">
        <f t="array" ref="V49">IF(ISNUMBER(AC49),INDEX('All Player Data Store'!$R$7:$R$594,SMALL(IF('All Player Data Store'!$Y$7:$Y$594=AC49,ROW('All Player Data Store'!$Y$7:$Y$594)-ROW('All Player Data Store'!$Y$7)+1),COUNTIF($AC$8:AC49,AC49))),"")</f>
        <v>23.58</v>
      </c>
      <c r="W49" s="108">
        <f t="array" ref="W49">IF(ISNUMBER(AC49),INDEX('All Player Data Store'!$S$7:$S$594,SMALL(IF('All Player Data Store'!$Y$7:$Y$594=AC49,ROW('All Player Data Store'!$Y$7:$Y$594)-ROW('All Player Data Store'!$Y$7)+1),COUNTIF($AC$8:AC49,AC49))),"")</f>
        <v>23.15</v>
      </c>
      <c r="X49" s="108">
        <f t="array" ref="X49">IF(ISNUMBER(AC49),INDEX('All Player Data Store'!$T$7:$T$594,SMALL(IF('All Player Data Store'!$Y$7:$Y$594=AC49,ROW('All Player Data Store'!$Y$7:$Y$594)-ROW('All Player Data Store'!$Y$7)+1),COUNTIF($AC$8:AC49,AC49))),"")</f>
        <v>24.51</v>
      </c>
      <c r="Y49" s="108">
        <f t="array" ref="Y49">IF(ISNUMBER(AC49),INDEX('All Player Data Store'!$U$7:$U$594,SMALL(IF('All Player Data Store'!$Y$7:$Y$594=AC49,ROW('All Player Data Store'!$Y$7:$Y$594)-ROW('All Player Data Store'!$Y$7)+1),COUNTIF($AC$8:AC49,AC49))),"")</f>
        <v>25.19</v>
      </c>
      <c r="Z49" s="108" t="str">
        <f t="array" ref="Z49">IF(ISNUMBER(AC49),INDEX('All Player Data Store'!$V$7:$V$594,SMALL(IF('All Player Data Store'!$Y$7:$Y$594=AC49,ROW('All Player Data Store'!$Y$7:$Y$594)-ROW('All Player Data Store'!$Y$7)+1),COUNTIF($AC$8:AC49,AC49))),"")</f>
        <v/>
      </c>
      <c r="AA49" s="112">
        <f t="array" ref="AA49">IF(ISNUMBER(AC49),INDEX('All Player Data Store'!$W$7:$W$594,SMALL(IF('All Player Data Store'!$Y$7:$Y$594=AC49,ROW('All Player Data Store'!$Y$7:$Y$594)-ROW('All Player Data Store'!$Y$7)+1),COUNTIF($AC$8:AC49,AC49))),"")</f>
        <v>1</v>
      </c>
      <c r="AB49" s="108">
        <f t="array" ref="AB49">IF(ISNUMBER(AC49),INDEX('All Player Data Store'!$X$7:$X$594,SMALL(IF('All Player Data Store'!$Y$7:$Y$594=AC49,ROW('All Player Data Store'!$Y$7:$Y$594)-ROW('All Player Data Store'!$Y$7)+1),COUNTIF($AC$8:AC49,AC49))),"")</f>
        <v>22.923636363636362</v>
      </c>
      <c r="AC49" s="115">
        <f>IF(ISERROR(IF(ISERROR(LARGE('All Player Data Store'!$Y$7:$Y$594,42)),"",(LARGE('All Player Data Store'!$Y$7:$Y$594,42)))),"",(IF(ISERROR(LARGE('All Player Data Store'!$Y$7:$Y$594,42)),"",(LARGE('All Player Data Store'!$Y$7:$Y$594,42)))))</f>
        <v>28.923636363636362</v>
      </c>
      <c r="AD49" s="106">
        <f t="shared" si="2"/>
        <v>3</v>
      </c>
      <c r="AE49" s="107" t="str">
        <f t="array" ref="AE49">IF(ISNUMBER(AC49),INDEX('All Player Data Store'!$J$8:$J$594,SMALL(IF('All Player Data Store'!$Y$7:$Y$594=AC49,ROW('All Player Data Store'!$Y$7:$Y$594)-ROW('All Player Data Store'!$Y$7)+1),COUNTIF($AC$8:AC49,AC49))),"")</f>
        <v>3*4</v>
      </c>
      <c r="AF49" s="108">
        <f t="shared" si="3"/>
        <v>22.76</v>
      </c>
      <c r="AG49" s="108" t="str">
        <f t="array" ref="AG49">IF(ISNUMBER(AC49),INDEX('All Player Data Store'!$K$8:$K$594,SMALL(IF('All Player Data Store'!$Y$7:$Y$594=AC49,ROW('All Player Data Store'!$Y$7:$Y$594)-ROW('All Player Data Store'!$Y$7)+1),COUNTIF($AC$8:AC49,AC49))),"")</f>
        <v>2*4</v>
      </c>
      <c r="AH49" s="108">
        <f t="shared" si="4"/>
        <v>20.25</v>
      </c>
      <c r="AI49" s="108" t="str">
        <f t="array" ref="AI49">IF(ISNUMBER(AC49),INDEX('All Player Data Store'!$L$8:$L$594,SMALL(IF('All Player Data Store'!$Y$7:$Y$594=AC49,ROW('All Player Data Store'!$Y$7:$Y$594)-ROW('All Player Data Store'!$Y$7)+1),COUNTIF($AC$8:AC49,AC49))),"")</f>
        <v/>
      </c>
      <c r="AJ49" s="108" t="str">
        <f t="shared" si="5"/>
        <v/>
      </c>
      <c r="AK49" s="108" t="str">
        <f t="array" ref="AK49">IF(ISNUMBER(AC49),INDEX('All Player Data Store'!$M$8:$M$594,SMALL(IF('All Player Data Store'!$Y$7:$Y$594=AC49,ROW('All Player Data Store'!$Y$7:$Y$594)-ROW('All Player Data Store'!$Y$7)+1),COUNTIF($AC$8:AC49,AC49))),"")</f>
        <v>4*2</v>
      </c>
      <c r="AL49" s="108">
        <f t="shared" si="6"/>
        <v>22.84</v>
      </c>
      <c r="AM49" s="108" t="str">
        <f t="array" ref="AM49">IF(ISNUMBER(AC49),INDEX('All Player Data Store'!$N$8:$N$594,SMALL(IF('All Player Data Store'!$Y$7:$Y$594=AC49,ROW('All Player Data Store'!$Y$7:$Y$594)-ROW('All Player Data Store'!$Y$7)+1),COUNTIF($AC$8:AC49,AC49))),"")</f>
        <v>4*3</v>
      </c>
      <c r="AN49" s="108">
        <f t="shared" si="7"/>
        <v>24.48</v>
      </c>
      <c r="AO49" s="108" t="str">
        <f t="array" ref="AO49">IF(ISNUMBER(AC49),INDEX('All Player Data Store'!$O$8:$O$594,SMALL(IF('All Player Data Store'!$Y$7:$Y$594=AC49,ROW('All Player Data Store'!$Y$7:$Y$594)-ROW('All Player Data Store'!$Y$7)+1),COUNTIF($AC$8:AC49,AC49))),"")</f>
        <v>4*2</v>
      </c>
      <c r="AP49" s="108">
        <f t="shared" si="8"/>
        <v>26.12</v>
      </c>
      <c r="AQ49" s="108" t="str">
        <f t="array" ref="AQ49">IF(ISNUMBER(AC49),INDEX('All Player Data Store'!$P$8:$P$594,SMALL(IF('All Player Data Store'!$Y$7:$Y$594=AC49,ROW('All Player Data Store'!$Y$7:$Y$594)-ROW('All Player Data Store'!$Y$7)+1),COUNTIF($AC$8:AC49,AC49))),"")</f>
        <v>4*3</v>
      </c>
      <c r="AR49" s="108">
        <f t="shared" si="9"/>
        <v>22.57</v>
      </c>
      <c r="AS49" s="108" t="str">
        <f t="array" ref="AS49">IF(ISNUMBER(AC49),INDEX('All Player Data Store'!$Q$8:$Q$594,SMALL(IF('All Player Data Store'!$Y$7:$Y$594=AC49,ROW('All Player Data Store'!$Y$7:$Y$594)-ROW('All Player Data Store'!$Y$7)+1),COUNTIF($AC$8:AC49,AC49))),"")</f>
        <v>2*4</v>
      </c>
      <c r="AT49" s="108">
        <f t="shared" si="10"/>
        <v>20.71</v>
      </c>
      <c r="AU49" s="108" t="str">
        <f t="array" ref="AU49">IF(ISNUMBER(AC49),INDEX('All Player Data Store'!$R$8:$R$594,SMALL(IF('All Player Data Store'!$Y$7:$Y$594=AC49,ROW('All Player Data Store'!$Y$7:$Y$594)-ROW('All Player Data Store'!$Y$7)+1),COUNTIF($AC$8:AC49,AC49))),"")</f>
        <v>4*0</v>
      </c>
      <c r="AV49" s="108">
        <f t="shared" si="11"/>
        <v>24.58</v>
      </c>
      <c r="AW49" s="108" t="str">
        <f t="array" ref="AW49">IF(ISNUMBER(AC49),INDEX('All Player Data Store'!$S$8:$S$594,SMALL(IF('All Player Data Store'!$Y$7:$Y$594=AC49,ROW('All Player Data Store'!$Y$7:$Y$594)-ROW('All Player Data Store'!$Y$7)+1),COUNTIF($AC$8:AC49,AC49))),"")</f>
        <v>1*4</v>
      </c>
      <c r="AX49" s="108">
        <f t="shared" si="12"/>
        <v>23.15</v>
      </c>
      <c r="AY49" s="108" t="str">
        <f t="array" ref="AY49">IF(ISNUMBER(AC49),INDEX('All Player Data Store'!$T$8:$T$594,SMALL(IF('All Player Data Store'!$Y$7:$Y$594=AC49,ROW('All Player Data Store'!$Y$7:$Y$594)-ROW('All Player Data Store'!$Y$7)+1),COUNTIF($AC$8:AC49,AC49))),"")</f>
        <v>4*2</v>
      </c>
      <c r="AZ49" s="108">
        <f t="shared" si="13"/>
        <v>25.51</v>
      </c>
      <c r="BA49" s="108" t="str">
        <f t="array" ref="BA49">IF(ISNUMBER(AC49),INDEX('All Player Data Store'!$U$8:$U$594,SMALL(IF('All Player Data Store'!$Y$7:$Y$594=AC49,ROW('All Player Data Store'!$Y$7:$Y$594)-ROW('All Player Data Store'!$Y$7)+1),COUNTIF($AC$8:AC49,AC49))),"")</f>
        <v>2*4(1)</v>
      </c>
      <c r="BB49" s="108">
        <f t="shared" si="14"/>
        <v>25.19</v>
      </c>
      <c r="BC49" s="108" t="str">
        <f t="array" ref="BC49">IF(ISNUMBER(AC49),INDEX('All Player Data Store'!$V$8:$V$594,SMALL(IF('All Player Data Store'!$Y$7:$Y$594=AC49,ROW('All Player Data Store'!$Y$7:$Y$594)-ROW('All Player Data Store'!$Y$7)+1),COUNTIF($AC$8:AC49,AC49))),"")</f>
        <v/>
      </c>
      <c r="BD49" s="108" t="str">
        <f t="shared" si="15"/>
        <v/>
      </c>
      <c r="BE49" s="1"/>
    </row>
    <row r="50" spans="2:57" ht="12" customHeight="1" x14ac:dyDescent="0.2">
      <c r="B50" s="98" t="str">
        <f t="shared" si="0"/>
        <v>N</v>
      </c>
      <c r="C50" s="1"/>
      <c r="D50" s="68">
        <f t="shared" si="1"/>
        <v>43</v>
      </c>
      <c r="E50" s="2"/>
      <c r="F50" s="78">
        <v>43</v>
      </c>
      <c r="G50" s="110" t="str">
        <f t="array" ref="G50">IF(ISNUMBER(AC50),INDEX('All Player Data Store'!$C$7:$C$594,SMALL(IF('All Player Data Store'!$Y$7:$Y$594=AC50,ROW('All Player Data Store'!$Y$7:$Y$594)-ROW('All Player Data Store'!$Y$7)+1),COUNTIF($AC$8:AC50,AC50))),"")</f>
        <v>Martin Wood</v>
      </c>
      <c r="H50" s="111" t="str">
        <f t="array" ref="H50">IF(ISNUMBER(AC50),INDEX('All Player Data Store'!$D$7:$D$594,SMALL(IF('All Player Data Store'!$Y$7:$Y$594=AC50,ROW('All Player Data Store'!$Y$7:$Y$594)-ROW('All Player Data Store'!$Y$7)+1),COUNTIF($AC$8:AC50,AC50))),"")</f>
        <v>Chr</v>
      </c>
      <c r="I50" s="69">
        <f t="array" ref="I50">IF(ISNUMBER(AC50),INDEX('All Player Data Store'!$E$7:$E$594,SMALL(IF('All Player Data Store'!$Y$7:$Y$594=AC50,ROW('All Player Data Store'!$Y$7:$Y$594)-ROW('All Player Data Store'!$Y$7)+1),COUNTIF($AC$8:AC50,AC50))),"")</f>
        <v>5</v>
      </c>
      <c r="J50" s="70">
        <f t="array" ref="J50">IF(ISNUMBER(AC50),INDEX('All Player Data Store'!$F$7:$F$594,SMALL(IF('All Player Data Store'!$Y$7:$Y$594=AC50,ROW('All Player Data Store'!$Y$7:$Y$594)-ROW('All Player Data Store'!$Y$7)+1),COUNTIF($AC$8:AC50,AC50))),"")</f>
        <v>5</v>
      </c>
      <c r="K50" s="112" t="str">
        <f t="array" ref="K50">IF(ISNUMBER(AC50),INDEX('All Player Data Store'!$G$7:$G$594,SMALL(IF('All Player Data Store'!$Y$7:$Y$594=AC50,ROW('All Player Data Store'!$Y$7:$Y$594)-ROW('All Player Data Store'!$Y$7)+1),COUNTIF($AC$8:AC50,AC50))),"")</f>
        <v/>
      </c>
      <c r="L50" s="112">
        <f t="array" ref="L50">IF(ISNUMBER(AC50),INDEX('All Player Data Store'!$H$7:$H$594,SMALL(IF('All Player Data Store'!$Y$7:$Y$594=AC50,ROW('All Player Data Store'!$Y$7:$Y$594)-ROW('All Player Data Store'!$Y$7)+1),COUNTIF($AC$8:AC50,AC50))),"")</f>
        <v>20</v>
      </c>
      <c r="M50" s="113">
        <f t="array" ref="M50">IF(ISNUMBER(AC50),INDEX('All Player Data Store'!$I$7:$I$594,SMALL(IF('All Player Data Store'!$Y$7:$Y$594=AC50,ROW('All Player Data Store'!$Y$7:$Y$594)-ROW('All Player Data Store'!$Y$7)+1),COUNTIF($AC$8:AC50,AC50))),"")</f>
        <v>3</v>
      </c>
      <c r="N50" s="114" t="str">
        <f t="array" ref="N50">IF(ISNUMBER(AC50),INDEX('All Player Data Store'!$J$7:$J$594,SMALL(IF('All Player Data Store'!$Y$7:$Y$594=AC50,ROW('All Player Data Store'!$Y$7:$Y$594)-ROW('All Player Data Store'!$Y$7)+1),COUNTIF($AC$8:AC50,AC50))),"")</f>
        <v/>
      </c>
      <c r="O50" s="108">
        <f t="array" ref="O50">IF(ISNUMBER(AC50),INDEX('All Player Data Store'!$K$7:$K$594,SMALL(IF('All Player Data Store'!$Y$7:$Y$594=AC50,ROW('All Player Data Store'!$Y$7:$Y$594)-ROW('All Player Data Store'!$Y$7)+1),COUNTIF($AC$8:AC50,AC50))),"")</f>
        <v>22.77</v>
      </c>
      <c r="P50" s="108" t="str">
        <f t="array" ref="P50">IF(ISNUMBER(AC50),INDEX('All Player Data Store'!$L$7:$L$594,SMALL(IF('All Player Data Store'!$Y$7:$Y$594=AC50,ROW('All Player Data Store'!$Y$7:$Y$594)-ROW('All Player Data Store'!$Y$7)+1),COUNTIF($AC$8:AC50,AC50))),"")</f>
        <v/>
      </c>
      <c r="Q50" s="108">
        <f t="array" ref="Q50">IF(ISNUMBER(AC50),INDEX('All Player Data Store'!$M$7:$M$594,SMALL(IF('All Player Data Store'!$Y$7:$Y$594=AC50,ROW('All Player Data Store'!$Y$7:$Y$594)-ROW('All Player Data Store'!$Y$7)+1),COUNTIF($AC$8:AC50,AC50))),"")</f>
        <v>23.3</v>
      </c>
      <c r="R50" s="108" t="str">
        <f t="array" ref="R50">IF(ISNUMBER(AC50),INDEX('All Player Data Store'!$N$7:$N$594,SMALL(IF('All Player Data Store'!$Y$7:$Y$594=AC50,ROW('All Player Data Store'!$Y$7:$Y$594)-ROW('All Player Data Store'!$Y$7)+1),COUNTIF($AC$8:AC50,AC50))),"")</f>
        <v/>
      </c>
      <c r="S50" s="108" t="str">
        <f t="array" ref="S50">IF(ISNUMBER(AC50),INDEX('All Player Data Store'!$O$7:$O$594,SMALL(IF('All Player Data Store'!$Y$7:$Y$594=AC50,ROW('All Player Data Store'!$Y$7:$Y$594)-ROW('All Player Data Store'!$Y$7)+1),COUNTIF($AC$8:AC50,AC50))),"")</f>
        <v/>
      </c>
      <c r="T50" s="108" t="str">
        <f t="array" ref="T50">IF(ISNUMBER(AC50),INDEX('All Player Data Store'!$P$7:$P$594,SMALL(IF('All Player Data Store'!$Y$7:$Y$594=AC50,ROW('All Player Data Store'!$Y$7:$Y$594)-ROW('All Player Data Store'!$Y$7)+1),COUNTIF($AC$8:AC50,AC50))),"")</f>
        <v/>
      </c>
      <c r="U50" s="108" t="str">
        <f t="array" ref="U50">IF(ISNUMBER(AC50),INDEX('All Player Data Store'!$Q$7:$Q$594,SMALL(IF('All Player Data Store'!$Y$7:$Y$594=AC50,ROW('All Player Data Store'!$Y$7:$Y$594)-ROW('All Player Data Store'!$Y$7)+1),COUNTIF($AC$8:AC50,AC50))),"")</f>
        <v/>
      </c>
      <c r="V50" s="108">
        <f t="array" ref="V50">IF(ISNUMBER(AC50),INDEX('All Player Data Store'!$R$7:$R$594,SMALL(IF('All Player Data Store'!$Y$7:$Y$594=AC50,ROW('All Player Data Store'!$Y$7:$Y$594)-ROW('All Player Data Store'!$Y$7)+1),COUNTIF($AC$8:AC50,AC50))),"")</f>
        <v>22.96</v>
      </c>
      <c r="W50" s="108">
        <f t="array" ref="W50">IF(ISNUMBER(AC50),INDEX('All Player Data Store'!$S$7:$S$594,SMALL(IF('All Player Data Store'!$Y$7:$Y$594=AC50,ROW('All Player Data Store'!$Y$7:$Y$594)-ROW('All Player Data Store'!$Y$7)+1),COUNTIF($AC$8:AC50,AC50))),"")</f>
        <v>23.04</v>
      </c>
      <c r="X50" s="108" t="str">
        <f t="array" ref="X50">IF(ISNUMBER(AC50),INDEX('All Player Data Store'!$T$7:$T$594,SMALL(IF('All Player Data Store'!$Y$7:$Y$594=AC50,ROW('All Player Data Store'!$Y$7:$Y$594)-ROW('All Player Data Store'!$Y$7)+1),COUNTIF($AC$8:AC50,AC50))),"")</f>
        <v/>
      </c>
      <c r="Y50" s="108">
        <f t="array" ref="Y50">IF(ISNUMBER(AC50),INDEX('All Player Data Store'!$U$7:$U$594,SMALL(IF('All Player Data Store'!$Y$7:$Y$594=AC50,ROW('All Player Data Store'!$Y$7:$Y$594)-ROW('All Player Data Store'!$Y$7)+1),COUNTIF($AC$8:AC50,AC50))),"")</f>
        <v>26.03</v>
      </c>
      <c r="Z50" s="108" t="str">
        <f t="array" ref="Z50">IF(ISNUMBER(AC50),INDEX('All Player Data Store'!$V$7:$V$594,SMALL(IF('All Player Data Store'!$Y$7:$Y$594=AC50,ROW('All Player Data Store'!$Y$7:$Y$594)-ROW('All Player Data Store'!$Y$7)+1),COUNTIF($AC$8:AC50,AC50))),"")</f>
        <v/>
      </c>
      <c r="AA50" s="112">
        <f t="array" ref="AA50">IF(ISNUMBER(AC50),INDEX('All Player Data Store'!$W$7:$W$594,SMALL(IF('All Player Data Store'!$Y$7:$Y$594=AC50,ROW('All Player Data Store'!$Y$7:$Y$594)-ROW('All Player Data Store'!$Y$7)+1),COUNTIF($AC$8:AC50,AC50))),"")</f>
        <v>1</v>
      </c>
      <c r="AB50" s="108">
        <f t="array" ref="AB50">IF(ISNUMBER(AC50),INDEX('All Player Data Store'!$X$7:$X$594,SMALL(IF('All Player Data Store'!$Y$7:$Y$594=AC50,ROW('All Player Data Store'!$Y$7:$Y$594)-ROW('All Player Data Store'!$Y$7)+1),COUNTIF($AC$8:AC50,AC50))),"")</f>
        <v>23.619999999999997</v>
      </c>
      <c r="AC50" s="115">
        <f>IF(ISERROR(IF(ISERROR(LARGE('All Player Data Store'!$Y$7:$Y$594,43)),"",(LARGE('All Player Data Store'!$Y$7:$Y$594,43)))),"",(IF(ISERROR(LARGE('All Player Data Store'!$Y$7:$Y$594,43)),"",(LARGE('All Player Data Store'!$Y$7:$Y$594,43)))))</f>
        <v>28.619999999999997</v>
      </c>
      <c r="AD50" s="106">
        <f t="shared" si="2"/>
        <v>3</v>
      </c>
      <c r="AE50" s="107" t="str">
        <f t="array" ref="AE50">IF(ISNUMBER(AC50),INDEX('All Player Data Store'!$J$8:$J$594,SMALL(IF('All Player Data Store'!$Y$7:$Y$594=AC50,ROW('All Player Data Store'!$Y$7:$Y$594)-ROW('All Player Data Store'!$Y$7)+1),COUNTIF($AC$8:AC50,AC50))),"")</f>
        <v/>
      </c>
      <c r="AF50" s="108" t="str">
        <f t="shared" si="3"/>
        <v/>
      </c>
      <c r="AG50" s="108" t="str">
        <f t="array" ref="AG50">IF(ISNUMBER(AC50),INDEX('All Player Data Store'!$K$8:$K$594,SMALL(IF('All Player Data Store'!$Y$7:$Y$594=AC50,ROW('All Player Data Store'!$Y$7:$Y$594)-ROW('All Player Data Store'!$Y$7)+1),COUNTIF($AC$8:AC50,AC50))),"")</f>
        <v>4*0(1)</v>
      </c>
      <c r="AH50" s="108">
        <f t="shared" si="4"/>
        <v>23.77</v>
      </c>
      <c r="AI50" s="108" t="str">
        <f t="array" ref="AI50">IF(ISNUMBER(AC50),INDEX('All Player Data Store'!$L$8:$L$594,SMALL(IF('All Player Data Store'!$Y$7:$Y$594=AC50,ROW('All Player Data Store'!$Y$7:$Y$594)-ROW('All Player Data Store'!$Y$7)+1),COUNTIF($AC$8:AC50,AC50))),"")</f>
        <v/>
      </c>
      <c r="AJ50" s="108" t="str">
        <f t="shared" si="5"/>
        <v/>
      </c>
      <c r="AK50" s="108" t="str">
        <f t="array" ref="AK50">IF(ISNUMBER(AC50),INDEX('All Player Data Store'!$M$8:$M$594,SMALL(IF('All Player Data Store'!$Y$7:$Y$594=AC50,ROW('All Player Data Store'!$Y$7:$Y$594)-ROW('All Player Data Store'!$Y$7)+1),COUNTIF($AC$8:AC50,AC50))),"")</f>
        <v>4*0</v>
      </c>
      <c r="AL50" s="108">
        <f t="shared" si="6"/>
        <v>24.3</v>
      </c>
      <c r="AM50" s="108" t="str">
        <f t="array" ref="AM50">IF(ISNUMBER(AC50),INDEX('All Player Data Store'!$N$8:$N$594,SMALL(IF('All Player Data Store'!$Y$7:$Y$594=AC50,ROW('All Player Data Store'!$Y$7:$Y$594)-ROW('All Player Data Store'!$Y$7)+1),COUNTIF($AC$8:AC50,AC50))),"")</f>
        <v/>
      </c>
      <c r="AN50" s="108" t="str">
        <f t="shared" si="7"/>
        <v/>
      </c>
      <c r="AO50" s="108" t="str">
        <f t="array" ref="AO50">IF(ISNUMBER(AC50),INDEX('All Player Data Store'!$O$8:$O$594,SMALL(IF('All Player Data Store'!$Y$7:$Y$594=AC50,ROW('All Player Data Store'!$Y$7:$Y$594)-ROW('All Player Data Store'!$Y$7)+1),COUNTIF($AC$8:AC50,AC50))),"")</f>
        <v/>
      </c>
      <c r="AP50" s="108" t="str">
        <f t="shared" si="8"/>
        <v/>
      </c>
      <c r="AQ50" s="108" t="str">
        <f t="array" ref="AQ50">IF(ISNUMBER(AC50),INDEX('All Player Data Store'!$P$8:$P$594,SMALL(IF('All Player Data Store'!$Y$7:$Y$594=AC50,ROW('All Player Data Store'!$Y$7:$Y$594)-ROW('All Player Data Store'!$Y$7)+1),COUNTIF($AC$8:AC50,AC50))),"")</f>
        <v/>
      </c>
      <c r="AR50" s="108" t="str">
        <f t="shared" si="9"/>
        <v/>
      </c>
      <c r="AS50" s="108" t="str">
        <f t="array" ref="AS50">IF(ISNUMBER(AC50),INDEX('All Player Data Store'!$Q$8:$Q$594,SMALL(IF('All Player Data Store'!$Y$7:$Y$594=AC50,ROW('All Player Data Store'!$Y$7:$Y$594)-ROW('All Player Data Store'!$Y$7)+1),COUNTIF($AC$8:AC50,AC50))),"")</f>
        <v/>
      </c>
      <c r="AT50" s="108" t="str">
        <f t="shared" si="10"/>
        <v/>
      </c>
      <c r="AU50" s="108" t="str">
        <f t="array" ref="AU50">IF(ISNUMBER(AC50),INDEX('All Player Data Store'!$R$8:$R$594,SMALL(IF('All Player Data Store'!$Y$7:$Y$594=AC50,ROW('All Player Data Store'!$Y$7:$Y$594)-ROW('All Player Data Store'!$Y$7)+1),COUNTIF($AC$8:AC50,AC50))),"")</f>
        <v>4*1</v>
      </c>
      <c r="AV50" s="108">
        <f t="shared" si="11"/>
        <v>23.96</v>
      </c>
      <c r="AW50" s="108" t="str">
        <f t="array" ref="AW50">IF(ISNUMBER(AC50),INDEX('All Player Data Store'!$S$8:$S$594,SMALL(IF('All Player Data Store'!$Y$7:$Y$594=AC50,ROW('All Player Data Store'!$Y$7:$Y$594)-ROW('All Player Data Store'!$Y$7)+1),COUNTIF($AC$8:AC50,AC50))),"")</f>
        <v>4*2</v>
      </c>
      <c r="AX50" s="108">
        <f t="shared" si="12"/>
        <v>24.04</v>
      </c>
      <c r="AY50" s="108" t="str">
        <f t="array" ref="AY50">IF(ISNUMBER(AC50),INDEX('All Player Data Store'!$T$8:$T$594,SMALL(IF('All Player Data Store'!$Y$7:$Y$594=AC50,ROW('All Player Data Store'!$Y$7:$Y$594)-ROW('All Player Data Store'!$Y$7)+1),COUNTIF($AC$8:AC50,AC50))),"")</f>
        <v/>
      </c>
      <c r="AZ50" s="108" t="str">
        <f t="shared" si="13"/>
        <v/>
      </c>
      <c r="BA50" s="108" t="str">
        <f t="array" ref="BA50">IF(ISNUMBER(AC50),INDEX('All Player Data Store'!$U$8:$U$594,SMALL(IF('All Player Data Store'!$Y$7:$Y$594=AC50,ROW('All Player Data Store'!$Y$7:$Y$594)-ROW('All Player Data Store'!$Y$7)+1),COUNTIF($AC$8:AC50,AC50))),"")</f>
        <v>4*0</v>
      </c>
      <c r="BB50" s="108">
        <f t="shared" si="14"/>
        <v>27.03</v>
      </c>
      <c r="BC50" s="108" t="str">
        <f t="array" ref="BC50">IF(ISNUMBER(AC50),INDEX('All Player Data Store'!$V$8:$V$594,SMALL(IF('All Player Data Store'!$Y$7:$Y$594=AC50,ROW('All Player Data Store'!$Y$7:$Y$594)-ROW('All Player Data Store'!$Y$7)+1),COUNTIF($AC$8:AC50,AC50))),"")</f>
        <v/>
      </c>
      <c r="BD50" s="108" t="str">
        <f t="shared" si="15"/>
        <v/>
      </c>
      <c r="BE50" s="1"/>
    </row>
    <row r="51" spans="2:57" ht="12" customHeight="1" x14ac:dyDescent="0.2">
      <c r="B51" s="98" t="str">
        <f t="shared" si="0"/>
        <v>Y</v>
      </c>
      <c r="C51" s="1"/>
      <c r="D51" s="68">
        <f t="shared" si="1"/>
        <v>44</v>
      </c>
      <c r="E51" s="2"/>
      <c r="F51" s="78">
        <v>44</v>
      </c>
      <c r="G51" s="110" t="str">
        <f t="array" ref="G51">IF(ISNUMBER(AC51),INDEX('All Player Data Store'!$C$7:$C$594,SMALL(IF('All Player Data Store'!$Y$7:$Y$594=AC51,ROW('All Player Data Store'!$Y$7:$Y$594)-ROW('All Player Data Store'!$Y$7)+1),COUNTIF($AC$8:AC51,AC51))),"")</f>
        <v>Jonathon Gillingham-Smithers</v>
      </c>
      <c r="H51" s="111" t="str">
        <f t="array" ref="H51">IF(ISNUMBER(AC51),INDEX('All Player Data Store'!$D$7:$D$594,SMALL(IF('All Player Data Store'!$Y$7:$Y$594=AC51,ROW('All Player Data Store'!$Y$7:$Y$594)-ROW('All Player Data Store'!$Y$7)+1),COUNTIF($AC$8:AC51,AC51))),"")</f>
        <v>Bou</v>
      </c>
      <c r="I51" s="69">
        <f t="array" ref="I51">IF(ISNUMBER(AC51),INDEX('All Player Data Store'!$E$7:$E$594,SMALL(IF('All Player Data Store'!$Y$7:$Y$594=AC51,ROW('All Player Data Store'!$Y$7:$Y$594)-ROW('All Player Data Store'!$Y$7)+1),COUNTIF($AC$8:AC51,AC51))),"")</f>
        <v>12</v>
      </c>
      <c r="J51" s="70">
        <f t="array" ref="J51">IF(ISNUMBER(AC51),INDEX('All Player Data Store'!$F$7:$F$594,SMALL(IF('All Player Data Store'!$Y$7:$Y$594=AC51,ROW('All Player Data Store'!$Y$7:$Y$594)-ROW('All Player Data Store'!$Y$7)+1),COUNTIF($AC$8:AC51,AC51))),"")</f>
        <v>7</v>
      </c>
      <c r="K51" s="112">
        <f t="array" ref="K51">IF(ISNUMBER(AC51),INDEX('All Player Data Store'!$G$7:$G$594,SMALL(IF('All Player Data Store'!$Y$7:$Y$594=AC51,ROW('All Player Data Store'!$Y$7:$Y$594)-ROW('All Player Data Store'!$Y$7)+1),COUNTIF($AC$8:AC51,AC51))),"")</f>
        <v>5</v>
      </c>
      <c r="L51" s="112">
        <f t="array" ref="L51">IF(ISNUMBER(AC51),INDEX('All Player Data Store'!$H$7:$H$594,SMALL(IF('All Player Data Store'!$Y$7:$Y$594=AC51,ROW('All Player Data Store'!$Y$7:$Y$594)-ROW('All Player Data Store'!$Y$7)+1),COUNTIF($AC$8:AC51,AC51))),"")</f>
        <v>36</v>
      </c>
      <c r="M51" s="113">
        <f t="array" ref="M51">IF(ISNUMBER(AC51),INDEX('All Player Data Store'!$I$7:$I$594,SMALL(IF('All Player Data Store'!$Y$7:$Y$594=AC51,ROW('All Player Data Store'!$Y$7:$Y$594)-ROW('All Player Data Store'!$Y$7)+1),COUNTIF($AC$8:AC51,AC51))),"")</f>
        <v>28</v>
      </c>
      <c r="N51" s="114">
        <f t="array" ref="N51">IF(ISNUMBER(AC51),INDEX('All Player Data Store'!$J$7:$J$594,SMALL(IF('All Player Data Store'!$Y$7:$Y$594=AC51,ROW('All Player Data Store'!$Y$7:$Y$594)-ROW('All Player Data Store'!$Y$7)+1),COUNTIF($AC$8:AC51,AC51))),"")</f>
        <v>19.899999999999999</v>
      </c>
      <c r="O51" s="108">
        <f t="array" ref="O51">IF(ISNUMBER(AC51),INDEX('All Player Data Store'!$K$7:$K$594,SMALL(IF('All Player Data Store'!$Y$7:$Y$594=AC51,ROW('All Player Data Store'!$Y$7:$Y$594)-ROW('All Player Data Store'!$Y$7)+1),COUNTIF($AC$8:AC51,AC51))),"")</f>
        <v>20.09</v>
      </c>
      <c r="P51" s="108">
        <f t="array" ref="P51">IF(ISNUMBER(AC51),INDEX('All Player Data Store'!$L$7:$L$594,SMALL(IF('All Player Data Store'!$Y$7:$Y$594=AC51,ROW('All Player Data Store'!$Y$7:$Y$594)-ROW('All Player Data Store'!$Y$7)+1),COUNTIF($AC$8:AC51,AC51))),"")</f>
        <v>21.34</v>
      </c>
      <c r="Q51" s="108">
        <f t="array" ref="Q51">IF(ISNUMBER(AC51),INDEX('All Player Data Store'!$M$7:$M$594,SMALL(IF('All Player Data Store'!$Y$7:$Y$594=AC51,ROW('All Player Data Store'!$Y$7:$Y$594)-ROW('All Player Data Store'!$Y$7)+1),COUNTIF($AC$8:AC51,AC51))),"")</f>
        <v>18.57</v>
      </c>
      <c r="R51" s="108">
        <f t="array" ref="R51">IF(ISNUMBER(AC51),INDEX('All Player Data Store'!$N$7:$N$594,SMALL(IF('All Player Data Store'!$Y$7:$Y$594=AC51,ROW('All Player Data Store'!$Y$7:$Y$594)-ROW('All Player Data Store'!$Y$7)+1),COUNTIF($AC$8:AC51,AC51))),"")</f>
        <v>20.43</v>
      </c>
      <c r="S51" s="108">
        <f t="array" ref="S51">IF(ISNUMBER(AC51),INDEX('All Player Data Store'!$O$7:$O$594,SMALL(IF('All Player Data Store'!$Y$7:$Y$594=AC51,ROW('All Player Data Store'!$Y$7:$Y$594)-ROW('All Player Data Store'!$Y$7)+1),COUNTIF($AC$8:AC51,AC51))),"")</f>
        <v>22.52</v>
      </c>
      <c r="T51" s="108" t="str">
        <f t="array" ref="T51">IF(ISNUMBER(AC51),INDEX('All Player Data Store'!$P$7:$P$594,SMALL(IF('All Player Data Store'!$Y$7:$Y$594=AC51,ROW('All Player Data Store'!$Y$7:$Y$594)-ROW('All Player Data Store'!$Y$7)+1),COUNTIF($AC$8:AC51,AC51))),"")</f>
        <v/>
      </c>
      <c r="U51" s="108">
        <f t="array" ref="U51">IF(ISNUMBER(AC51),INDEX('All Player Data Store'!$Q$7:$Q$594,SMALL(IF('All Player Data Store'!$Y$7:$Y$594=AC51,ROW('All Player Data Store'!$Y$7:$Y$594)-ROW('All Player Data Store'!$Y$7)+1),COUNTIF($AC$8:AC51,AC51))),"")</f>
        <v>22.44</v>
      </c>
      <c r="V51" s="108">
        <f t="array" ref="V51">IF(ISNUMBER(AC51),INDEX('All Player Data Store'!$R$7:$R$594,SMALL(IF('All Player Data Store'!$Y$7:$Y$594=AC51,ROW('All Player Data Store'!$Y$7:$Y$594)-ROW('All Player Data Store'!$Y$7)+1),COUNTIF($AC$8:AC51,AC51))),"")</f>
        <v>24.23</v>
      </c>
      <c r="W51" s="108">
        <f t="array" ref="W51">IF(ISNUMBER(AC51),INDEX('All Player Data Store'!$S$7:$S$594,SMALL(IF('All Player Data Store'!$Y$7:$Y$594=AC51,ROW('All Player Data Store'!$Y$7:$Y$594)-ROW('All Player Data Store'!$Y$7)+1),COUNTIF($AC$8:AC51,AC51))),"")</f>
        <v>21.39</v>
      </c>
      <c r="X51" s="108">
        <f t="array" ref="X51">IF(ISNUMBER(AC51),INDEX('All Player Data Store'!$T$7:$T$594,SMALL(IF('All Player Data Store'!$Y$7:$Y$594=AC51,ROW('All Player Data Store'!$Y$7:$Y$594)-ROW('All Player Data Store'!$Y$7)+1),COUNTIF($AC$8:AC51,AC51))),"")</f>
        <v>21.24</v>
      </c>
      <c r="Y51" s="108">
        <f t="array" ref="Y51">IF(ISNUMBER(AC51),INDEX('All Player Data Store'!$U$7:$U$594,SMALL(IF('All Player Data Store'!$Y$7:$Y$594=AC51,ROW('All Player Data Store'!$Y$7:$Y$594)-ROW('All Player Data Store'!$Y$7)+1),COUNTIF($AC$8:AC51,AC51))),"")</f>
        <v>25.24</v>
      </c>
      <c r="Z51" s="108">
        <f t="array" ref="Z51">IF(ISNUMBER(AC51),INDEX('All Player Data Store'!$V$7:$V$594,SMALL(IF('All Player Data Store'!$Y$7:$Y$594=AC51,ROW('All Player Data Store'!$Y$7:$Y$594)-ROW('All Player Data Store'!$Y$7)+1),COUNTIF($AC$8:AC51,AC51))),"")</f>
        <v>19.84</v>
      </c>
      <c r="AA51" s="112">
        <f t="array" ref="AA51">IF(ISNUMBER(AC51),INDEX('All Player Data Store'!$W$7:$W$594,SMALL(IF('All Player Data Store'!$Y$7:$Y$594=AC51,ROW('All Player Data Store'!$Y$7:$Y$594)-ROW('All Player Data Store'!$Y$7)+1),COUNTIF($AC$8:AC51,AC51))),"")</f>
        <v>7</v>
      </c>
      <c r="AB51" s="108">
        <f t="array" ref="AB51">IF(ISNUMBER(AC51),INDEX('All Player Data Store'!$X$7:$X$594,SMALL(IF('All Player Data Store'!$Y$7:$Y$594=AC51,ROW('All Player Data Store'!$Y$7:$Y$594)-ROW('All Player Data Store'!$Y$7)+1),COUNTIF($AC$8:AC51,AC51))),"")</f>
        <v>21.435833333333335</v>
      </c>
      <c r="AC51" s="115">
        <f>IF(ISERROR(IF(ISERROR(LARGE('All Player Data Store'!$Y$7:$Y$594,44)),"",(LARGE('All Player Data Store'!$Y$7:$Y$594,44)))),"",(IF(ISERROR(LARGE('All Player Data Store'!$Y$7:$Y$594,44)),"",(LARGE('All Player Data Store'!$Y$7:$Y$594,44)))))</f>
        <v>28.435833333333335</v>
      </c>
      <c r="AD51" s="106">
        <f t="shared" si="2"/>
        <v>3</v>
      </c>
      <c r="AE51" s="107" t="str">
        <f t="array" ref="AE51">IF(ISNUMBER(AC51),INDEX('All Player Data Store'!$J$8:$J$594,SMALL(IF('All Player Data Store'!$Y$7:$Y$594=AC51,ROW('All Player Data Store'!$Y$7:$Y$594)-ROW('All Player Data Store'!$Y$7)+1),COUNTIF($AC$8:AC51,AC51))),"")</f>
        <v>4*2(1)</v>
      </c>
      <c r="AF51" s="108">
        <f t="shared" si="3"/>
        <v>20.9</v>
      </c>
      <c r="AG51" s="108" t="str">
        <f t="array" ref="AG51">IF(ISNUMBER(AC51),INDEX('All Player Data Store'!$K$8:$K$594,SMALL(IF('All Player Data Store'!$Y$7:$Y$594=AC51,ROW('All Player Data Store'!$Y$7:$Y$594)-ROW('All Player Data Store'!$Y$7)+1),COUNTIF($AC$8:AC51,AC51))),"")</f>
        <v>4*1</v>
      </c>
      <c r="AH51" s="108">
        <f t="shared" si="4"/>
        <v>21.09</v>
      </c>
      <c r="AI51" s="108" t="str">
        <f t="array" ref="AI51">IF(ISNUMBER(AC51),INDEX('All Player Data Store'!$L$8:$L$594,SMALL(IF('All Player Data Store'!$Y$7:$Y$594=AC51,ROW('All Player Data Store'!$Y$7:$Y$594)-ROW('All Player Data Store'!$Y$7)+1),COUNTIF($AC$8:AC51,AC51))),"")</f>
        <v>1*4</v>
      </c>
      <c r="AJ51" s="108">
        <f t="shared" si="5"/>
        <v>21.34</v>
      </c>
      <c r="AK51" s="108" t="str">
        <f t="array" ref="AK51">IF(ISNUMBER(AC51),INDEX('All Player Data Store'!$M$8:$M$594,SMALL(IF('All Player Data Store'!$Y$7:$Y$594=AC51,ROW('All Player Data Store'!$Y$7:$Y$594)-ROW('All Player Data Store'!$Y$7)+1),COUNTIF($AC$8:AC51,AC51))),"")</f>
        <v>4*1(1)</v>
      </c>
      <c r="AL51" s="108">
        <f t="shared" si="6"/>
        <v>19.57</v>
      </c>
      <c r="AM51" s="108" t="str">
        <f t="array" ref="AM51">IF(ISNUMBER(AC51),INDEX('All Player Data Store'!$N$8:$N$594,SMALL(IF('All Player Data Store'!$Y$7:$Y$594=AC51,ROW('All Player Data Store'!$Y$7:$Y$594)-ROW('All Player Data Store'!$Y$7)+1),COUNTIF($AC$8:AC51,AC51))),"")</f>
        <v>2*4</v>
      </c>
      <c r="AN51" s="108">
        <f t="shared" si="7"/>
        <v>20.43</v>
      </c>
      <c r="AO51" s="108" t="str">
        <f t="array" ref="AO51">IF(ISNUMBER(AC51),INDEX('All Player Data Store'!$O$8:$O$594,SMALL(IF('All Player Data Store'!$Y$7:$Y$594=AC51,ROW('All Player Data Store'!$Y$7:$Y$594)-ROW('All Player Data Store'!$Y$7)+1),COUNTIF($AC$8:AC51,AC51))),"")</f>
        <v>4*0(1)</v>
      </c>
      <c r="AP51" s="108">
        <f t="shared" si="8"/>
        <v>23.52</v>
      </c>
      <c r="AQ51" s="108" t="str">
        <f t="array" ref="AQ51">IF(ISNUMBER(AC51),INDEX('All Player Data Store'!$P$8:$P$594,SMALL(IF('All Player Data Store'!$Y$7:$Y$594=AC51,ROW('All Player Data Store'!$Y$7:$Y$594)-ROW('All Player Data Store'!$Y$7)+1),COUNTIF($AC$8:AC51,AC51))),"")</f>
        <v/>
      </c>
      <c r="AR51" s="108" t="str">
        <f t="shared" si="9"/>
        <v/>
      </c>
      <c r="AS51" s="108" t="str">
        <f t="array" ref="AS51">IF(ISNUMBER(AC51),INDEX('All Player Data Store'!$Q$8:$Q$594,SMALL(IF('All Player Data Store'!$Y$7:$Y$594=AC51,ROW('All Player Data Store'!$Y$7:$Y$594)-ROW('All Player Data Store'!$Y$7)+1),COUNTIF($AC$8:AC51,AC51))),"")</f>
        <v>4*3(1)</v>
      </c>
      <c r="AT51" s="108">
        <f t="shared" si="10"/>
        <v>23.44</v>
      </c>
      <c r="AU51" s="108" t="str">
        <f t="array" ref="AU51">IF(ISNUMBER(AC51),INDEX('All Player Data Store'!$R$8:$R$594,SMALL(IF('All Player Data Store'!$Y$7:$Y$594=AC51,ROW('All Player Data Store'!$Y$7:$Y$594)-ROW('All Player Data Store'!$Y$7)+1),COUNTIF($AC$8:AC51,AC51))),"")</f>
        <v>1*4</v>
      </c>
      <c r="AV51" s="108">
        <f t="shared" si="11"/>
        <v>24.23</v>
      </c>
      <c r="AW51" s="108" t="str">
        <f t="array" ref="AW51">IF(ISNUMBER(AC51),INDEX('All Player Data Store'!$S$8:$S$594,SMALL(IF('All Player Data Store'!$Y$7:$Y$594=AC51,ROW('All Player Data Store'!$Y$7:$Y$594)-ROW('All Player Data Store'!$Y$7)+1),COUNTIF($AC$8:AC51,AC51))),"")</f>
        <v>3*4(2)</v>
      </c>
      <c r="AX51" s="108">
        <f t="shared" si="12"/>
        <v>21.39</v>
      </c>
      <c r="AY51" s="108" t="str">
        <f t="array" ref="AY51">IF(ISNUMBER(AC51),INDEX('All Player Data Store'!$T$8:$T$594,SMALL(IF('All Player Data Store'!$Y$7:$Y$594=AC51,ROW('All Player Data Store'!$Y$7:$Y$594)-ROW('All Player Data Store'!$Y$7)+1),COUNTIF($AC$8:AC51,AC51))),"")</f>
        <v>4*1(1)</v>
      </c>
      <c r="AZ51" s="108">
        <f t="shared" si="13"/>
        <v>22.24</v>
      </c>
      <c r="BA51" s="108" t="str">
        <f t="array" ref="BA51">IF(ISNUMBER(AC51),INDEX('All Player Data Store'!$U$8:$U$594,SMALL(IF('All Player Data Store'!$Y$7:$Y$594=AC51,ROW('All Player Data Store'!$Y$7:$Y$594)-ROW('All Player Data Store'!$Y$7)+1),COUNTIF($AC$8:AC51,AC51))),"")</f>
        <v>1*4</v>
      </c>
      <c r="BB51" s="108">
        <f t="shared" si="14"/>
        <v>25.24</v>
      </c>
      <c r="BC51" s="108" t="str">
        <f t="array" ref="BC51">IF(ISNUMBER(AC51),INDEX('All Player Data Store'!$V$8:$V$594,SMALL(IF('All Player Data Store'!$Y$7:$Y$594=AC51,ROW('All Player Data Store'!$Y$7:$Y$594)-ROW('All Player Data Store'!$Y$7)+1),COUNTIF($AC$8:AC51,AC51))),"")</f>
        <v>4*0</v>
      </c>
      <c r="BD51" s="108">
        <f t="shared" si="15"/>
        <v>20.84</v>
      </c>
      <c r="BE51" s="1"/>
    </row>
    <row r="52" spans="2:57" ht="12" customHeight="1" x14ac:dyDescent="0.2">
      <c r="B52" s="98" t="str">
        <f t="shared" si="0"/>
        <v>Y</v>
      </c>
      <c r="C52" s="1"/>
      <c r="D52" s="68">
        <f t="shared" si="1"/>
        <v>45</v>
      </c>
      <c r="E52" s="2"/>
      <c r="F52" s="78">
        <v>45</v>
      </c>
      <c r="G52" s="110" t="str">
        <f t="array" ref="G52">IF(ISNUMBER(AC52),INDEX('All Player Data Store'!$C$7:$C$594,SMALL(IF('All Player Data Store'!$Y$7:$Y$594=AC52,ROW('All Player Data Store'!$Y$7:$Y$594)-ROW('All Player Data Store'!$Y$7)+1),COUNTIF($AC$8:AC52,AC52))),"")</f>
        <v>Antoni Dyke</v>
      </c>
      <c r="H52" s="111" t="str">
        <f t="array" ref="H52">IF(ISNUMBER(AC52),INDEX('All Player Data Store'!$D$7:$D$594,SMALL(IF('All Player Data Store'!$Y$7:$Y$594=AC52,ROW('All Player Data Store'!$Y$7:$Y$594)-ROW('All Player Data Store'!$Y$7)+1),COUNTIF($AC$8:AC52,AC52))),"")</f>
        <v>Sha</v>
      </c>
      <c r="I52" s="69">
        <f t="array" ref="I52">IF(ISNUMBER(AC52),INDEX('All Player Data Store'!$E$7:$E$594,SMALL(IF('All Player Data Store'!$Y$7:$Y$594=AC52,ROW('All Player Data Store'!$Y$7:$Y$594)-ROW('All Player Data Store'!$Y$7)+1),COUNTIF($AC$8:AC52,AC52))),"")</f>
        <v>13</v>
      </c>
      <c r="J52" s="70">
        <f t="array" ref="J52">IF(ISNUMBER(AC52),INDEX('All Player Data Store'!$F$7:$F$594,SMALL(IF('All Player Data Store'!$Y$7:$Y$594=AC52,ROW('All Player Data Store'!$Y$7:$Y$594)-ROW('All Player Data Store'!$Y$7)+1),COUNTIF($AC$8:AC52,AC52))),"")</f>
        <v>8</v>
      </c>
      <c r="K52" s="112">
        <f t="array" ref="K52">IF(ISNUMBER(AC52),INDEX('All Player Data Store'!$G$7:$G$594,SMALL(IF('All Player Data Store'!$Y$7:$Y$594=AC52,ROW('All Player Data Store'!$Y$7:$Y$594)-ROW('All Player Data Store'!$Y$7)+1),COUNTIF($AC$8:AC52,AC52))),"")</f>
        <v>5</v>
      </c>
      <c r="L52" s="112">
        <f t="array" ref="L52">IF(ISNUMBER(AC52),INDEX('All Player Data Store'!$H$7:$H$594,SMALL(IF('All Player Data Store'!$Y$7:$Y$594=AC52,ROW('All Player Data Store'!$Y$7:$Y$594)-ROW('All Player Data Store'!$Y$7)+1),COUNTIF($AC$8:AC52,AC52))),"")</f>
        <v>40</v>
      </c>
      <c r="M52" s="113">
        <f t="array" ref="M52">IF(ISNUMBER(AC52),INDEX('All Player Data Store'!$I$7:$I$594,SMALL(IF('All Player Data Store'!$Y$7:$Y$594=AC52,ROW('All Player Data Store'!$Y$7:$Y$594)-ROW('All Player Data Store'!$Y$7)+1),COUNTIF($AC$8:AC52,AC52))),"")</f>
        <v>32</v>
      </c>
      <c r="N52" s="114">
        <f t="array" ref="N52">IF(ISNUMBER(AC52),INDEX('All Player Data Store'!$J$7:$J$594,SMALL(IF('All Player Data Store'!$Y$7:$Y$594=AC52,ROW('All Player Data Store'!$Y$7:$Y$594)-ROW('All Player Data Store'!$Y$7)+1),COUNTIF($AC$8:AC52,AC52))),"")</f>
        <v>16.399999999999999</v>
      </c>
      <c r="O52" s="108">
        <f t="array" ref="O52">IF(ISNUMBER(AC52),INDEX('All Player Data Store'!$K$7:$K$594,SMALL(IF('All Player Data Store'!$Y$7:$Y$594=AC52,ROW('All Player Data Store'!$Y$7:$Y$594)-ROW('All Player Data Store'!$Y$7)+1),COUNTIF($AC$8:AC52,AC52))),"")</f>
        <v>20.59</v>
      </c>
      <c r="P52" s="108">
        <f t="array" ref="P52">IF(ISNUMBER(AC52),INDEX('All Player Data Store'!$L$7:$L$594,SMALL(IF('All Player Data Store'!$Y$7:$Y$594=AC52,ROW('All Player Data Store'!$Y$7:$Y$594)-ROW('All Player Data Store'!$Y$7)+1),COUNTIF($AC$8:AC52,AC52))),"")</f>
        <v>20.14</v>
      </c>
      <c r="Q52" s="108">
        <f t="array" ref="Q52">IF(ISNUMBER(AC52),INDEX('All Player Data Store'!$M$7:$M$594,SMALL(IF('All Player Data Store'!$Y$7:$Y$594=AC52,ROW('All Player Data Store'!$Y$7:$Y$594)-ROW('All Player Data Store'!$Y$7)+1),COUNTIF($AC$8:AC52,AC52))),"")</f>
        <v>19.649999999999999</v>
      </c>
      <c r="R52" s="108">
        <f t="array" ref="R52">IF(ISNUMBER(AC52),INDEX('All Player Data Store'!$N$7:$N$594,SMALL(IF('All Player Data Store'!$Y$7:$Y$594=AC52,ROW('All Player Data Store'!$Y$7:$Y$594)-ROW('All Player Data Store'!$Y$7)+1),COUNTIF($AC$8:AC52,AC52))),"")</f>
        <v>21.8</v>
      </c>
      <c r="S52" s="108">
        <f t="array" ref="S52">IF(ISNUMBER(AC52),INDEX('All Player Data Store'!$O$7:$O$594,SMALL(IF('All Player Data Store'!$Y$7:$Y$594=AC52,ROW('All Player Data Store'!$Y$7:$Y$594)-ROW('All Player Data Store'!$Y$7)+1),COUNTIF($AC$8:AC52,AC52))),"")</f>
        <v>18.559999999999999</v>
      </c>
      <c r="T52" s="108">
        <f t="array" ref="T52">IF(ISNUMBER(AC52),INDEX('All Player Data Store'!$P$7:$P$594,SMALL(IF('All Player Data Store'!$Y$7:$Y$594=AC52,ROW('All Player Data Store'!$Y$7:$Y$594)-ROW('All Player Data Store'!$Y$7)+1),COUNTIF($AC$8:AC52,AC52))),"")</f>
        <v>20.38</v>
      </c>
      <c r="U52" s="108">
        <f t="array" ref="U52">IF(ISNUMBER(AC52),INDEX('All Player Data Store'!$Q$7:$Q$594,SMALL(IF('All Player Data Store'!$Y$7:$Y$594=AC52,ROW('All Player Data Store'!$Y$7:$Y$594)-ROW('All Player Data Store'!$Y$7)+1),COUNTIF($AC$8:AC52,AC52))),"")</f>
        <v>20.260000000000002</v>
      </c>
      <c r="V52" s="108">
        <f t="array" ref="V52">IF(ISNUMBER(AC52),INDEX('All Player Data Store'!$R$7:$R$594,SMALL(IF('All Player Data Store'!$Y$7:$Y$594=AC52,ROW('All Player Data Store'!$Y$7:$Y$594)-ROW('All Player Data Store'!$Y$7)+1),COUNTIF($AC$8:AC52,AC52))),"")</f>
        <v>21.42</v>
      </c>
      <c r="W52" s="108">
        <f t="array" ref="W52">IF(ISNUMBER(AC52),INDEX('All Player Data Store'!$S$7:$S$594,SMALL(IF('All Player Data Store'!$Y$7:$Y$594=AC52,ROW('All Player Data Store'!$Y$7:$Y$594)-ROW('All Player Data Store'!$Y$7)+1),COUNTIF($AC$8:AC52,AC52))),"")</f>
        <v>21.15</v>
      </c>
      <c r="X52" s="108">
        <f t="array" ref="X52">IF(ISNUMBER(AC52),INDEX('All Player Data Store'!$T$7:$T$594,SMALL(IF('All Player Data Store'!$Y$7:$Y$594=AC52,ROW('All Player Data Store'!$Y$7:$Y$594)-ROW('All Player Data Store'!$Y$7)+1),COUNTIF($AC$8:AC52,AC52))),"")</f>
        <v>24.74</v>
      </c>
      <c r="Y52" s="108">
        <f t="array" ref="Y52">IF(ISNUMBER(AC52),INDEX('All Player Data Store'!$U$7:$U$594,SMALL(IF('All Player Data Store'!$Y$7:$Y$594=AC52,ROW('All Player Data Store'!$Y$7:$Y$594)-ROW('All Player Data Store'!$Y$7)+1),COUNTIF($AC$8:AC52,AC52))),"")</f>
        <v>19.850000000000001</v>
      </c>
      <c r="Z52" s="108">
        <f t="array" ref="Z52">IF(ISNUMBER(AC52),INDEX('All Player Data Store'!$V$7:$V$594,SMALL(IF('All Player Data Store'!$Y$7:$Y$594=AC52,ROW('All Player Data Store'!$Y$7:$Y$594)-ROW('All Player Data Store'!$Y$7)+1),COUNTIF($AC$8:AC52,AC52))),"")</f>
        <v>20.18</v>
      </c>
      <c r="AA52" s="112">
        <f t="array" ref="AA52">IF(ISNUMBER(AC52),INDEX('All Player Data Store'!$W$7:$W$594,SMALL(IF('All Player Data Store'!$Y$7:$Y$594=AC52,ROW('All Player Data Store'!$Y$7:$Y$594)-ROW('All Player Data Store'!$Y$7)+1),COUNTIF($AC$8:AC52,AC52))),"")</f>
        <v>3</v>
      </c>
      <c r="AB52" s="108">
        <f t="array" ref="AB52">IF(ISNUMBER(AC52),INDEX('All Player Data Store'!$X$7:$X$594,SMALL(IF('All Player Data Store'!$Y$7:$Y$594=AC52,ROW('All Player Data Store'!$Y$7:$Y$594)-ROW('All Player Data Store'!$Y$7)+1),COUNTIF($AC$8:AC52,AC52))),"")</f>
        <v>20.393846153846155</v>
      </c>
      <c r="AC52" s="115">
        <f>IF(ISERROR(IF(ISERROR(LARGE('All Player Data Store'!$Y$7:$Y$594,45)),"",(LARGE('All Player Data Store'!$Y$7:$Y$594,45)))),"",(IF(ISERROR(LARGE('All Player Data Store'!$Y$7:$Y$594,45)),"",(LARGE('All Player Data Store'!$Y$7:$Y$594,45)))))</f>
        <v>28.393846153846155</v>
      </c>
      <c r="AD52" s="106">
        <f t="shared" si="2"/>
        <v>3</v>
      </c>
      <c r="AE52" s="107" t="str">
        <f t="array" ref="AE52">IF(ISNUMBER(AC52),INDEX('All Player Data Store'!$J$8:$J$594,SMALL(IF('All Player Data Store'!$Y$7:$Y$594=AC52,ROW('All Player Data Store'!$Y$7:$Y$594)-ROW('All Player Data Store'!$Y$7)+1),COUNTIF($AC$8:AC52,AC52))),"")</f>
        <v>4*1</v>
      </c>
      <c r="AF52" s="108">
        <f t="shared" si="3"/>
        <v>17.399999999999999</v>
      </c>
      <c r="AG52" s="108" t="str">
        <f t="array" ref="AG52">IF(ISNUMBER(AC52),INDEX('All Player Data Store'!$K$8:$K$594,SMALL(IF('All Player Data Store'!$Y$7:$Y$594=AC52,ROW('All Player Data Store'!$Y$7:$Y$594)-ROW('All Player Data Store'!$Y$7)+1),COUNTIF($AC$8:AC52,AC52))),"")</f>
        <v>2*4</v>
      </c>
      <c r="AH52" s="108">
        <f t="shared" si="4"/>
        <v>20.59</v>
      </c>
      <c r="AI52" s="108" t="str">
        <f t="array" ref="AI52">IF(ISNUMBER(AC52),INDEX('All Player Data Store'!$L$8:$L$594,SMALL(IF('All Player Data Store'!$Y$7:$Y$594=AC52,ROW('All Player Data Store'!$Y$7:$Y$594)-ROW('All Player Data Store'!$Y$7)+1),COUNTIF($AC$8:AC52,AC52))),"")</f>
        <v>1*4</v>
      </c>
      <c r="AJ52" s="108">
        <f t="shared" si="5"/>
        <v>20.14</v>
      </c>
      <c r="AK52" s="108" t="str">
        <f t="array" ref="AK52">IF(ISNUMBER(AC52),INDEX('All Player Data Store'!$M$8:$M$594,SMALL(IF('All Player Data Store'!$Y$7:$Y$594=AC52,ROW('All Player Data Store'!$Y$7:$Y$594)-ROW('All Player Data Store'!$Y$7)+1),COUNTIF($AC$8:AC52,AC52))),"")</f>
        <v>4*1</v>
      </c>
      <c r="AL52" s="108">
        <f t="shared" si="6"/>
        <v>20.65</v>
      </c>
      <c r="AM52" s="108" t="str">
        <f t="array" ref="AM52">IF(ISNUMBER(AC52),INDEX('All Player Data Store'!$N$8:$N$594,SMALL(IF('All Player Data Store'!$Y$7:$Y$594=AC52,ROW('All Player Data Store'!$Y$7:$Y$594)-ROW('All Player Data Store'!$Y$7)+1),COUNTIF($AC$8:AC52,AC52))),"")</f>
        <v>4*1</v>
      </c>
      <c r="AN52" s="108">
        <f t="shared" si="7"/>
        <v>22.8</v>
      </c>
      <c r="AO52" s="108" t="str">
        <f t="array" ref="AO52">IF(ISNUMBER(AC52),INDEX('All Player Data Store'!$O$8:$O$594,SMALL(IF('All Player Data Store'!$Y$7:$Y$594=AC52,ROW('All Player Data Store'!$Y$7:$Y$594)-ROW('All Player Data Store'!$Y$7)+1),COUNTIF($AC$8:AC52,AC52))),"")</f>
        <v>0*4</v>
      </c>
      <c r="AP52" s="108">
        <f t="shared" si="8"/>
        <v>18.559999999999999</v>
      </c>
      <c r="AQ52" s="108" t="str">
        <f t="array" ref="AQ52">IF(ISNUMBER(AC52),INDEX('All Player Data Store'!$P$8:$P$594,SMALL(IF('All Player Data Store'!$Y$7:$Y$594=AC52,ROW('All Player Data Store'!$Y$7:$Y$594)-ROW('All Player Data Store'!$Y$7)+1),COUNTIF($AC$8:AC52,AC52))),"")</f>
        <v>2*4(1)</v>
      </c>
      <c r="AR52" s="108">
        <f t="shared" si="9"/>
        <v>20.38</v>
      </c>
      <c r="AS52" s="108" t="str">
        <f t="array" ref="AS52">IF(ISNUMBER(AC52),INDEX('All Player Data Store'!$Q$8:$Q$594,SMALL(IF('All Player Data Store'!$Y$7:$Y$594=AC52,ROW('All Player Data Store'!$Y$7:$Y$594)-ROW('All Player Data Store'!$Y$7)+1),COUNTIF($AC$8:AC52,AC52))),"")</f>
        <v>4*0</v>
      </c>
      <c r="AT52" s="108">
        <f t="shared" si="10"/>
        <v>21.26</v>
      </c>
      <c r="AU52" s="108" t="str">
        <f t="array" ref="AU52">IF(ISNUMBER(AC52),INDEX('All Player Data Store'!$R$8:$R$594,SMALL(IF('All Player Data Store'!$Y$7:$Y$594=AC52,ROW('All Player Data Store'!$Y$7:$Y$594)-ROW('All Player Data Store'!$Y$7)+1),COUNTIF($AC$8:AC52,AC52))),"")</f>
        <v>4*3(1)</v>
      </c>
      <c r="AV52" s="108">
        <f t="shared" si="11"/>
        <v>22.42</v>
      </c>
      <c r="AW52" s="108" t="str">
        <f t="array" ref="AW52">IF(ISNUMBER(AC52),INDEX('All Player Data Store'!$S$8:$S$594,SMALL(IF('All Player Data Store'!$Y$7:$Y$594=AC52,ROW('All Player Data Store'!$Y$7:$Y$594)-ROW('All Player Data Store'!$Y$7)+1),COUNTIF($AC$8:AC52,AC52))),"")</f>
        <v>3*4</v>
      </c>
      <c r="AX52" s="108">
        <f t="shared" si="12"/>
        <v>21.15</v>
      </c>
      <c r="AY52" s="108" t="str">
        <f t="array" ref="AY52">IF(ISNUMBER(AC52),INDEX('All Player Data Store'!$T$8:$T$594,SMALL(IF('All Player Data Store'!$Y$7:$Y$594=AC52,ROW('All Player Data Store'!$Y$7:$Y$594)-ROW('All Player Data Store'!$Y$7)+1),COUNTIF($AC$8:AC52,AC52))),"")</f>
        <v>4*0(1)</v>
      </c>
      <c r="AZ52" s="108">
        <f t="shared" si="13"/>
        <v>25.74</v>
      </c>
      <c r="BA52" s="108" t="str">
        <f t="array" ref="BA52">IF(ISNUMBER(AC52),INDEX('All Player Data Store'!$U$8:$U$594,SMALL(IF('All Player Data Store'!$Y$7:$Y$594=AC52,ROW('All Player Data Store'!$Y$7:$Y$594)-ROW('All Player Data Store'!$Y$7)+1),COUNTIF($AC$8:AC52,AC52))),"")</f>
        <v>4*3</v>
      </c>
      <c r="BB52" s="108">
        <f t="shared" si="14"/>
        <v>20.85</v>
      </c>
      <c r="BC52" s="108" t="str">
        <f t="array" ref="BC52">IF(ISNUMBER(AC52),INDEX('All Player Data Store'!$V$8:$V$594,SMALL(IF('All Player Data Store'!$Y$7:$Y$594=AC52,ROW('All Player Data Store'!$Y$7:$Y$594)-ROW('All Player Data Store'!$Y$7)+1),COUNTIF($AC$8:AC52,AC52))),"")</f>
        <v>4*3</v>
      </c>
      <c r="BD52" s="108">
        <f t="shared" si="15"/>
        <v>21.18</v>
      </c>
      <c r="BE52" s="1"/>
    </row>
    <row r="53" spans="2:57" ht="12" customHeight="1" x14ac:dyDescent="0.2">
      <c r="B53" s="98" t="str">
        <f t="shared" si="0"/>
        <v>N</v>
      </c>
      <c r="C53" s="1"/>
      <c r="D53" s="68">
        <f t="shared" si="1"/>
        <v>46</v>
      </c>
      <c r="E53" s="2"/>
      <c r="F53" s="78">
        <v>46</v>
      </c>
      <c r="G53" s="110" t="str">
        <f t="array" ref="G53">IF(ISNUMBER(AC53),INDEX('All Player Data Store'!$C$7:$C$594,SMALL(IF('All Player Data Store'!$Y$7:$Y$594=AC53,ROW('All Player Data Store'!$Y$7:$Y$594)-ROW('All Player Data Store'!$Y$7)+1),COUNTIF($AC$8:AC53,AC53))),"")</f>
        <v>Declan Harris</v>
      </c>
      <c r="H53" s="111" t="str">
        <f t="array" ref="H53">IF(ISNUMBER(AC53),INDEX('All Player Data Store'!$D$7:$D$594,SMALL(IF('All Player Data Store'!$Y$7:$Y$594=AC53,ROW('All Player Data Store'!$Y$7:$Y$594)-ROW('All Player Data Store'!$Y$7)+1),COUNTIF($AC$8:AC53,AC53))),"")</f>
        <v>Chr</v>
      </c>
      <c r="I53" s="69">
        <f t="array" ref="I53">IF(ISNUMBER(AC53),INDEX('All Player Data Store'!$E$7:$E$594,SMALL(IF('All Player Data Store'!$Y$7:$Y$594=AC53,ROW('All Player Data Store'!$Y$7:$Y$594)-ROW('All Player Data Store'!$Y$7)+1),COUNTIF($AC$8:AC53,AC53))),"")</f>
        <v>8</v>
      </c>
      <c r="J53" s="70">
        <f t="array" ref="J53">IF(ISNUMBER(AC53),INDEX('All Player Data Store'!$F$7:$F$594,SMALL(IF('All Player Data Store'!$Y$7:$Y$594=AC53,ROW('All Player Data Store'!$Y$7:$Y$594)-ROW('All Player Data Store'!$Y$7)+1),COUNTIF($AC$8:AC53,AC53))),"")</f>
        <v>5</v>
      </c>
      <c r="K53" s="112">
        <f t="array" ref="K53">IF(ISNUMBER(AC53),INDEX('All Player Data Store'!$G$7:$G$594,SMALL(IF('All Player Data Store'!$Y$7:$Y$594=AC53,ROW('All Player Data Store'!$Y$7:$Y$594)-ROW('All Player Data Store'!$Y$7)+1),COUNTIF($AC$8:AC53,AC53))),"")</f>
        <v>3</v>
      </c>
      <c r="L53" s="112">
        <f t="array" ref="L53">IF(ISNUMBER(AC53),INDEX('All Player Data Store'!$H$7:$H$594,SMALL(IF('All Player Data Store'!$Y$7:$Y$594=AC53,ROW('All Player Data Store'!$Y$7:$Y$594)-ROW('All Player Data Store'!$Y$7)+1),COUNTIF($AC$8:AC53,AC53))),"")</f>
        <v>22</v>
      </c>
      <c r="M53" s="113">
        <f t="array" ref="M53">IF(ISNUMBER(AC53),INDEX('All Player Data Store'!$I$7:$I$594,SMALL(IF('All Player Data Store'!$Y$7:$Y$594=AC53,ROW('All Player Data Store'!$Y$7:$Y$594)-ROW('All Player Data Store'!$Y$7)+1),COUNTIF($AC$8:AC53,AC53))),"")</f>
        <v>18</v>
      </c>
      <c r="N53" s="114" t="str">
        <f t="array" ref="N53">IF(ISNUMBER(AC53),INDEX('All Player Data Store'!$J$7:$J$594,SMALL(IF('All Player Data Store'!$Y$7:$Y$594=AC53,ROW('All Player Data Store'!$Y$7:$Y$594)-ROW('All Player Data Store'!$Y$7)+1),COUNTIF($AC$8:AC53,AC53))),"")</f>
        <v/>
      </c>
      <c r="O53" s="108">
        <f t="array" ref="O53">IF(ISNUMBER(AC53),INDEX('All Player Data Store'!$K$7:$K$594,SMALL(IF('All Player Data Store'!$Y$7:$Y$594=AC53,ROW('All Player Data Store'!$Y$7:$Y$594)-ROW('All Player Data Store'!$Y$7)+1),COUNTIF($AC$8:AC53,AC53))),"")</f>
        <v>23.49</v>
      </c>
      <c r="P53" s="108" t="str">
        <f t="array" ref="P53">IF(ISNUMBER(AC53),INDEX('All Player Data Store'!$L$7:$L$594,SMALL(IF('All Player Data Store'!$Y$7:$Y$594=AC53,ROW('All Player Data Store'!$Y$7:$Y$594)-ROW('All Player Data Store'!$Y$7)+1),COUNTIF($AC$8:AC53,AC53))),"")</f>
        <v/>
      </c>
      <c r="Q53" s="108" t="str">
        <f t="array" ref="Q53">IF(ISNUMBER(AC53),INDEX('All Player Data Store'!$M$7:$M$594,SMALL(IF('All Player Data Store'!$Y$7:$Y$594=AC53,ROW('All Player Data Store'!$Y$7:$Y$594)-ROW('All Player Data Store'!$Y$7)+1),COUNTIF($AC$8:AC53,AC53))),"")</f>
        <v/>
      </c>
      <c r="R53" s="108">
        <f t="array" ref="R53">IF(ISNUMBER(AC53),INDEX('All Player Data Store'!$N$7:$N$594,SMALL(IF('All Player Data Store'!$Y$7:$Y$594=AC53,ROW('All Player Data Store'!$Y$7:$Y$594)-ROW('All Player Data Store'!$Y$7)+1),COUNTIF($AC$8:AC53,AC53))),"")</f>
        <v>23.74</v>
      </c>
      <c r="S53" s="108">
        <f t="array" ref="S53">IF(ISNUMBER(AC53),INDEX('All Player Data Store'!$O$7:$O$594,SMALL(IF('All Player Data Store'!$Y$7:$Y$594=AC53,ROW('All Player Data Store'!$Y$7:$Y$594)-ROW('All Player Data Store'!$Y$7)+1),COUNTIF($AC$8:AC53,AC53))),"")</f>
        <v>23.52</v>
      </c>
      <c r="T53" s="108">
        <f t="array" ref="T53">IF(ISNUMBER(AC53),INDEX('All Player Data Store'!$P$7:$P$594,SMALL(IF('All Player Data Store'!$Y$7:$Y$594=AC53,ROW('All Player Data Store'!$Y$7:$Y$594)-ROW('All Player Data Store'!$Y$7)+1),COUNTIF($AC$8:AC53,AC53))),"")</f>
        <v>24.95</v>
      </c>
      <c r="U53" s="108">
        <f t="array" ref="U53">IF(ISNUMBER(AC53),INDEX('All Player Data Store'!$Q$7:$Q$594,SMALL(IF('All Player Data Store'!$Y$7:$Y$594=AC53,ROW('All Player Data Store'!$Y$7:$Y$594)-ROW('All Player Data Store'!$Y$7)+1),COUNTIF($AC$8:AC53,AC53))),"")</f>
        <v>18.920000000000002</v>
      </c>
      <c r="V53" s="108" t="str">
        <f t="array" ref="V53">IF(ISNUMBER(AC53),INDEX('All Player Data Store'!$R$7:$R$594,SMALL(IF('All Player Data Store'!$Y$7:$Y$594=AC53,ROW('All Player Data Store'!$Y$7:$Y$594)-ROW('All Player Data Store'!$Y$7)+1),COUNTIF($AC$8:AC53,AC53))),"")</f>
        <v/>
      </c>
      <c r="W53" s="108">
        <f t="array" ref="W53">IF(ISNUMBER(AC53),INDEX('All Player Data Store'!$S$7:$S$594,SMALL(IF('All Player Data Store'!$Y$7:$Y$594=AC53,ROW('All Player Data Store'!$Y$7:$Y$594)-ROW('All Player Data Store'!$Y$7)+1),COUNTIF($AC$8:AC53,AC53))),"")</f>
        <v>23.18</v>
      </c>
      <c r="X53" s="108" t="str">
        <f t="array" ref="X53">IF(ISNUMBER(AC53),INDEX('All Player Data Store'!$T$7:$T$594,SMALL(IF('All Player Data Store'!$Y$7:$Y$594=AC53,ROW('All Player Data Store'!$Y$7:$Y$594)-ROW('All Player Data Store'!$Y$7)+1),COUNTIF($AC$8:AC53,AC53))),"")</f>
        <v/>
      </c>
      <c r="Y53" s="108">
        <f t="array" ref="Y53">IF(ISNUMBER(AC53),INDEX('All Player Data Store'!$U$7:$U$594,SMALL(IF('All Player Data Store'!$Y$7:$Y$594=AC53,ROW('All Player Data Store'!$Y$7:$Y$594)-ROW('All Player Data Store'!$Y$7)+1),COUNTIF($AC$8:AC53,AC53))),"")</f>
        <v>23.3</v>
      </c>
      <c r="Z53" s="108">
        <f t="array" ref="Z53">IF(ISNUMBER(AC53),INDEX('All Player Data Store'!$V$7:$V$594,SMALL(IF('All Player Data Store'!$Y$7:$Y$594=AC53,ROW('All Player Data Store'!$Y$7:$Y$594)-ROW('All Player Data Store'!$Y$7)+1),COUNTIF($AC$8:AC53,AC53))),"")</f>
        <v>25.34</v>
      </c>
      <c r="AA53" s="112">
        <f t="array" ref="AA53">IF(ISNUMBER(AC53),INDEX('All Player Data Store'!$W$7:$W$594,SMALL(IF('All Player Data Store'!$Y$7:$Y$594=AC53,ROW('All Player Data Store'!$Y$7:$Y$594)-ROW('All Player Data Store'!$Y$7)+1),COUNTIF($AC$8:AC53,AC53))),"")</f>
        <v>4</v>
      </c>
      <c r="AB53" s="108">
        <f t="array" ref="AB53">IF(ISNUMBER(AC53),INDEX('All Player Data Store'!$X$7:$X$594,SMALL(IF('All Player Data Store'!$Y$7:$Y$594=AC53,ROW('All Player Data Store'!$Y$7:$Y$594)-ROW('All Player Data Store'!$Y$7)+1),COUNTIF($AC$8:AC53,AC53))),"")</f>
        <v>23.305000000000003</v>
      </c>
      <c r="AC53" s="115">
        <f>IF(ISERROR(IF(ISERROR(LARGE('All Player Data Store'!$Y$7:$Y$594,46)),"",(LARGE('All Player Data Store'!$Y$7:$Y$594,46)))),"",(IF(ISERROR(LARGE('All Player Data Store'!$Y$7:$Y$594,46)),"",(LARGE('All Player Data Store'!$Y$7:$Y$594,46)))))</f>
        <v>28.305000000000003</v>
      </c>
      <c r="AD53" s="106">
        <f t="shared" si="2"/>
        <v>3</v>
      </c>
      <c r="AE53" s="107" t="str">
        <f t="array" ref="AE53">IF(ISNUMBER(AC53),INDEX('All Player Data Store'!$J$8:$J$594,SMALL(IF('All Player Data Store'!$Y$7:$Y$594=AC53,ROW('All Player Data Store'!$Y$7:$Y$594)-ROW('All Player Data Store'!$Y$7)+1),COUNTIF($AC$8:AC53,AC53))),"")</f>
        <v/>
      </c>
      <c r="AF53" s="108" t="str">
        <f t="shared" si="3"/>
        <v/>
      </c>
      <c r="AG53" s="108" t="str">
        <f t="array" ref="AG53">IF(ISNUMBER(AC53),INDEX('All Player Data Store'!$K$8:$K$594,SMALL(IF('All Player Data Store'!$Y$7:$Y$594=AC53,ROW('All Player Data Store'!$Y$7:$Y$594)-ROW('All Player Data Store'!$Y$7)+1),COUNTIF($AC$8:AC53,AC53))),"")</f>
        <v>1*4</v>
      </c>
      <c r="AH53" s="108">
        <f t="shared" si="4"/>
        <v>23.49</v>
      </c>
      <c r="AI53" s="108" t="str">
        <f t="array" ref="AI53">IF(ISNUMBER(AC53),INDEX('All Player Data Store'!$L$8:$L$594,SMALL(IF('All Player Data Store'!$Y$7:$Y$594=AC53,ROW('All Player Data Store'!$Y$7:$Y$594)-ROW('All Player Data Store'!$Y$7)+1),COUNTIF($AC$8:AC53,AC53))),"")</f>
        <v/>
      </c>
      <c r="AJ53" s="108" t="str">
        <f t="shared" si="5"/>
        <v/>
      </c>
      <c r="AK53" s="108" t="str">
        <f t="array" ref="AK53">IF(ISNUMBER(AC53),INDEX('All Player Data Store'!$M$8:$M$594,SMALL(IF('All Player Data Store'!$Y$7:$Y$594=AC53,ROW('All Player Data Store'!$Y$7:$Y$594)-ROW('All Player Data Store'!$Y$7)+1),COUNTIF($AC$8:AC53,AC53))),"")</f>
        <v/>
      </c>
      <c r="AL53" s="108" t="str">
        <f t="shared" si="6"/>
        <v/>
      </c>
      <c r="AM53" s="108" t="str">
        <f t="array" ref="AM53">IF(ISNUMBER(AC53),INDEX('All Player Data Store'!$N$8:$N$594,SMALL(IF('All Player Data Store'!$Y$7:$Y$594=AC53,ROW('All Player Data Store'!$Y$7:$Y$594)-ROW('All Player Data Store'!$Y$7)+1),COUNTIF($AC$8:AC53,AC53))),"")</f>
        <v>1*4(1)</v>
      </c>
      <c r="AN53" s="108">
        <f t="shared" si="7"/>
        <v>23.74</v>
      </c>
      <c r="AO53" s="108" t="str">
        <f t="array" ref="AO53">IF(ISNUMBER(AC53),INDEX('All Player Data Store'!$O$8:$O$594,SMALL(IF('All Player Data Store'!$Y$7:$Y$594=AC53,ROW('All Player Data Store'!$Y$7:$Y$594)-ROW('All Player Data Store'!$Y$7)+1),COUNTIF($AC$8:AC53,AC53))),"")</f>
        <v>0*4</v>
      </c>
      <c r="AP53" s="108">
        <f t="shared" si="8"/>
        <v>23.52</v>
      </c>
      <c r="AQ53" s="108" t="str">
        <f t="array" ref="AQ53">IF(ISNUMBER(AC53),INDEX('All Player Data Store'!$P$8:$P$594,SMALL(IF('All Player Data Store'!$Y$7:$Y$594=AC53,ROW('All Player Data Store'!$Y$7:$Y$594)-ROW('All Player Data Store'!$Y$7)+1),COUNTIF($AC$8:AC53,AC53))),"")</f>
        <v>4*1</v>
      </c>
      <c r="AR53" s="108">
        <f t="shared" si="9"/>
        <v>25.95</v>
      </c>
      <c r="AS53" s="108" t="str">
        <f t="array" ref="AS53">IF(ISNUMBER(AC53),INDEX('All Player Data Store'!$Q$8:$Q$594,SMALL(IF('All Player Data Store'!$Y$7:$Y$594=AC53,ROW('All Player Data Store'!$Y$7:$Y$594)-ROW('All Player Data Store'!$Y$7)+1),COUNTIF($AC$8:AC53,AC53))),"")</f>
        <v>4*1</v>
      </c>
      <c r="AT53" s="108">
        <f t="shared" si="10"/>
        <v>19.920000000000002</v>
      </c>
      <c r="AU53" s="108" t="str">
        <f t="array" ref="AU53">IF(ISNUMBER(AC53),INDEX('All Player Data Store'!$R$8:$R$594,SMALL(IF('All Player Data Store'!$Y$7:$Y$594=AC53,ROW('All Player Data Store'!$Y$7:$Y$594)-ROW('All Player Data Store'!$Y$7)+1),COUNTIF($AC$8:AC53,AC53))),"")</f>
        <v/>
      </c>
      <c r="AV53" s="108" t="str">
        <f t="shared" si="11"/>
        <v/>
      </c>
      <c r="AW53" s="108" t="str">
        <f t="array" ref="AW53">IF(ISNUMBER(AC53),INDEX('All Player Data Store'!$S$8:$S$594,SMALL(IF('All Player Data Store'!$Y$7:$Y$594=AC53,ROW('All Player Data Store'!$Y$7:$Y$594)-ROW('All Player Data Store'!$Y$7)+1),COUNTIF($AC$8:AC53,AC53))),"")</f>
        <v>4*1(2)</v>
      </c>
      <c r="AX53" s="108">
        <f t="shared" si="12"/>
        <v>24.18</v>
      </c>
      <c r="AY53" s="108" t="str">
        <f t="array" ref="AY53">IF(ISNUMBER(AC53),INDEX('All Player Data Store'!$T$8:$T$594,SMALL(IF('All Player Data Store'!$Y$7:$Y$594=AC53,ROW('All Player Data Store'!$Y$7:$Y$594)-ROW('All Player Data Store'!$Y$7)+1),COUNTIF($AC$8:AC53,AC53))),"")</f>
        <v/>
      </c>
      <c r="AZ53" s="108" t="str">
        <f t="shared" si="13"/>
        <v/>
      </c>
      <c r="BA53" s="108" t="str">
        <f t="array" ref="BA53">IF(ISNUMBER(AC53),INDEX('All Player Data Store'!$U$8:$U$594,SMALL(IF('All Player Data Store'!$Y$7:$Y$594=AC53,ROW('All Player Data Store'!$Y$7:$Y$594)-ROW('All Player Data Store'!$Y$7)+1),COUNTIF($AC$8:AC53,AC53))),"")</f>
        <v>4*0</v>
      </c>
      <c r="BB53" s="108">
        <f t="shared" si="14"/>
        <v>24.3</v>
      </c>
      <c r="BC53" s="108" t="str">
        <f t="array" ref="BC53">IF(ISNUMBER(AC53),INDEX('All Player Data Store'!$V$8:$V$594,SMALL(IF('All Player Data Store'!$Y$7:$Y$594=AC53,ROW('All Player Data Store'!$Y$7:$Y$594)-ROW('All Player Data Store'!$Y$7)+1),COUNTIF($AC$8:AC53,AC53))),"")</f>
        <v>4*3(1)</v>
      </c>
      <c r="BD53" s="108">
        <f t="shared" si="15"/>
        <v>26.34</v>
      </c>
      <c r="BE53" s="1"/>
    </row>
    <row r="54" spans="2:57" ht="12" customHeight="1" x14ac:dyDescent="0.2">
      <c r="B54" s="98" t="str">
        <f t="shared" si="0"/>
        <v>Y</v>
      </c>
      <c r="C54" s="1"/>
      <c r="D54" s="68">
        <f t="shared" si="1"/>
        <v>47</v>
      </c>
      <c r="E54" s="2"/>
      <c r="F54" s="78">
        <v>47</v>
      </c>
      <c r="G54" s="110" t="str">
        <f t="array" ref="G54">IF(ISNUMBER(AC54),INDEX('All Player Data Store'!$C$7:$C$594,SMALL(IF('All Player Data Store'!$Y$7:$Y$594=AC54,ROW('All Player Data Store'!$Y$7:$Y$594)-ROW('All Player Data Store'!$Y$7)+1),COUNTIF($AC$8:AC54,AC54))),"")</f>
        <v>Tom Moors</v>
      </c>
      <c r="H54" s="111" t="str">
        <f t="array" ref="H54">IF(ISNUMBER(AC54),INDEX('All Player Data Store'!$D$7:$D$594,SMALL(IF('All Player Data Store'!$Y$7:$Y$594=AC54,ROW('All Player Data Store'!$Y$7:$Y$594)-ROW('All Player Data Store'!$Y$7)+1),COUNTIF($AC$8:AC54,AC54))),"")</f>
        <v>Ald</v>
      </c>
      <c r="I54" s="69">
        <f t="array" ref="I54">IF(ISNUMBER(AC54),INDEX('All Player Data Store'!$E$7:$E$594,SMALL(IF('All Player Data Store'!$Y$7:$Y$594=AC54,ROW('All Player Data Store'!$Y$7:$Y$594)-ROW('All Player Data Store'!$Y$7)+1),COUNTIF($AC$8:AC54,AC54))),"")</f>
        <v>10</v>
      </c>
      <c r="J54" s="70">
        <f t="array" ref="J54">IF(ISNUMBER(AC54),INDEX('All Player Data Store'!$F$7:$F$594,SMALL(IF('All Player Data Store'!$Y$7:$Y$594=AC54,ROW('All Player Data Store'!$Y$7:$Y$594)-ROW('All Player Data Store'!$Y$7)+1),COUNTIF($AC$8:AC54,AC54))),"")</f>
        <v>6</v>
      </c>
      <c r="K54" s="112">
        <f t="array" ref="K54">IF(ISNUMBER(AC54),INDEX('All Player Data Store'!$G$7:$G$594,SMALL(IF('All Player Data Store'!$Y$7:$Y$594=AC54,ROW('All Player Data Store'!$Y$7:$Y$594)-ROW('All Player Data Store'!$Y$7)+1),COUNTIF($AC$8:AC54,AC54))),"")</f>
        <v>4</v>
      </c>
      <c r="L54" s="112">
        <f t="array" ref="L54">IF(ISNUMBER(AC54),INDEX('All Player Data Store'!$H$7:$H$594,SMALL(IF('All Player Data Store'!$Y$7:$Y$594=AC54,ROW('All Player Data Store'!$Y$7:$Y$594)-ROW('All Player Data Store'!$Y$7)+1),COUNTIF($AC$8:AC54,AC54))),"")</f>
        <v>30</v>
      </c>
      <c r="M54" s="113">
        <f t="array" ref="M54">IF(ISNUMBER(AC54),INDEX('All Player Data Store'!$I$7:$I$594,SMALL(IF('All Player Data Store'!$Y$7:$Y$594=AC54,ROW('All Player Data Store'!$Y$7:$Y$594)-ROW('All Player Data Store'!$Y$7)+1),COUNTIF($AC$8:AC54,AC54))),"")</f>
        <v>21</v>
      </c>
      <c r="N54" s="114" t="str">
        <f t="array" ref="N54">IF(ISNUMBER(AC54),INDEX('All Player Data Store'!$J$7:$J$594,SMALL(IF('All Player Data Store'!$Y$7:$Y$594=AC54,ROW('All Player Data Store'!$Y$7:$Y$594)-ROW('All Player Data Store'!$Y$7)+1),COUNTIF($AC$8:AC54,AC54))),"")</f>
        <v/>
      </c>
      <c r="O54" s="108" t="str">
        <f t="array" ref="O54">IF(ISNUMBER(AC54),INDEX('All Player Data Store'!$K$7:$K$594,SMALL(IF('All Player Data Store'!$Y$7:$Y$594=AC54,ROW('All Player Data Store'!$Y$7:$Y$594)-ROW('All Player Data Store'!$Y$7)+1),COUNTIF($AC$8:AC54,AC54))),"")</f>
        <v/>
      </c>
      <c r="P54" s="108">
        <f t="array" ref="P54">IF(ISNUMBER(AC54),INDEX('All Player Data Store'!$L$7:$L$594,SMALL(IF('All Player Data Store'!$Y$7:$Y$594=AC54,ROW('All Player Data Store'!$Y$7:$Y$594)-ROW('All Player Data Store'!$Y$7)+1),COUNTIF($AC$8:AC54,AC54))),"")</f>
        <v>24.32</v>
      </c>
      <c r="Q54" s="108">
        <f t="array" ref="Q54">IF(ISNUMBER(AC54),INDEX('All Player Data Store'!$M$7:$M$594,SMALL(IF('All Player Data Store'!$Y$7:$Y$594=AC54,ROW('All Player Data Store'!$Y$7:$Y$594)-ROW('All Player Data Store'!$Y$7)+1),COUNTIF($AC$8:AC54,AC54))),"")</f>
        <v>20.81</v>
      </c>
      <c r="R54" s="108">
        <f t="array" ref="R54">IF(ISNUMBER(AC54),INDEX('All Player Data Store'!$N$7:$N$594,SMALL(IF('All Player Data Store'!$Y$7:$Y$594=AC54,ROW('All Player Data Store'!$Y$7:$Y$594)-ROW('All Player Data Store'!$Y$7)+1),COUNTIF($AC$8:AC54,AC54))),"")</f>
        <v>27.45</v>
      </c>
      <c r="S54" s="108">
        <f t="array" ref="S54">IF(ISNUMBER(AC54),INDEX('All Player Data Store'!$O$7:$O$594,SMALL(IF('All Player Data Store'!$Y$7:$Y$594=AC54,ROW('All Player Data Store'!$Y$7:$Y$594)-ROW('All Player Data Store'!$Y$7)+1),COUNTIF($AC$8:AC54,AC54))),"")</f>
        <v>22.08</v>
      </c>
      <c r="T54" s="108">
        <f t="array" ref="T54">IF(ISNUMBER(AC54),INDEX('All Player Data Store'!$P$7:$P$594,SMALL(IF('All Player Data Store'!$Y$7:$Y$594=AC54,ROW('All Player Data Store'!$Y$7:$Y$594)-ROW('All Player Data Store'!$Y$7)+1),COUNTIF($AC$8:AC54,AC54))),"")</f>
        <v>22.27</v>
      </c>
      <c r="U54" s="108">
        <f t="array" ref="U54">IF(ISNUMBER(AC54),INDEX('All Player Data Store'!$Q$7:$Q$594,SMALL(IF('All Player Data Store'!$Y$7:$Y$594=AC54,ROW('All Player Data Store'!$Y$7:$Y$594)-ROW('All Player Data Store'!$Y$7)+1),COUNTIF($AC$8:AC54,AC54))),"")</f>
        <v>22.39</v>
      </c>
      <c r="V54" s="108">
        <f t="array" ref="V54">IF(ISNUMBER(AC54),INDEX('All Player Data Store'!$R$7:$R$594,SMALL(IF('All Player Data Store'!$Y$7:$Y$594=AC54,ROW('All Player Data Store'!$Y$7:$Y$594)-ROW('All Player Data Store'!$Y$7)+1),COUNTIF($AC$8:AC54,AC54))),"")</f>
        <v>21.26</v>
      </c>
      <c r="W54" s="108">
        <f t="array" ref="W54">IF(ISNUMBER(AC54),INDEX('All Player Data Store'!$S$7:$S$594,SMALL(IF('All Player Data Store'!$Y$7:$Y$594=AC54,ROW('All Player Data Store'!$Y$7:$Y$594)-ROW('All Player Data Store'!$Y$7)+1),COUNTIF($AC$8:AC54,AC54))),"")</f>
        <v>22.61</v>
      </c>
      <c r="X54" s="108">
        <f t="array" ref="X54">IF(ISNUMBER(AC54),INDEX('All Player Data Store'!$T$7:$T$594,SMALL(IF('All Player Data Store'!$Y$7:$Y$594=AC54,ROW('All Player Data Store'!$Y$7:$Y$594)-ROW('All Player Data Store'!$Y$7)+1),COUNTIF($AC$8:AC54,AC54))),"")</f>
        <v>21.33</v>
      </c>
      <c r="Y54" s="108">
        <f t="array" ref="Y54">IF(ISNUMBER(AC54),INDEX('All Player Data Store'!$U$7:$U$594,SMALL(IF('All Player Data Store'!$Y$7:$Y$594=AC54,ROW('All Player Data Store'!$Y$7:$Y$594)-ROW('All Player Data Store'!$Y$7)+1),COUNTIF($AC$8:AC54,AC54))),"")</f>
        <v>17.260000000000002</v>
      </c>
      <c r="Z54" s="108" t="str">
        <f t="array" ref="Z54">IF(ISNUMBER(AC54),INDEX('All Player Data Store'!$V$7:$V$594,SMALL(IF('All Player Data Store'!$Y$7:$Y$594=AC54,ROW('All Player Data Store'!$Y$7:$Y$594)-ROW('All Player Data Store'!$Y$7)+1),COUNTIF($AC$8:AC54,AC54))),"")</f>
        <v/>
      </c>
      <c r="AA54" s="112">
        <f t="array" ref="AA54">IF(ISNUMBER(AC54),INDEX('All Player Data Store'!$W$7:$W$594,SMALL(IF('All Player Data Store'!$Y$7:$Y$594=AC54,ROW('All Player Data Store'!$Y$7:$Y$594)-ROW('All Player Data Store'!$Y$7)+1),COUNTIF($AC$8:AC54,AC54))),"")</f>
        <v>2</v>
      </c>
      <c r="AB54" s="108">
        <f t="array" ref="AB54">IF(ISNUMBER(AC54),INDEX('All Player Data Store'!$X$7:$X$594,SMALL(IF('All Player Data Store'!$Y$7:$Y$594=AC54,ROW('All Player Data Store'!$Y$7:$Y$594)-ROW('All Player Data Store'!$Y$7)+1),COUNTIF($AC$8:AC54,AC54))),"")</f>
        <v>22.177999999999997</v>
      </c>
      <c r="AC54" s="115">
        <f>IF(ISERROR(IF(ISERROR(LARGE('All Player Data Store'!$Y$7:$Y$594,47)),"",(LARGE('All Player Data Store'!$Y$7:$Y$594,47)))),"",(IF(ISERROR(LARGE('All Player Data Store'!$Y$7:$Y$594,47)),"",(LARGE('All Player Data Store'!$Y$7:$Y$594,47)))))</f>
        <v>28.177999999999997</v>
      </c>
      <c r="AD54" s="106">
        <f t="shared" si="2"/>
        <v>3</v>
      </c>
      <c r="AE54" s="107" t="str">
        <f t="array" ref="AE54">IF(ISNUMBER(AC54),INDEX('All Player Data Store'!$J$8:$J$594,SMALL(IF('All Player Data Store'!$Y$7:$Y$594=AC54,ROW('All Player Data Store'!$Y$7:$Y$594)-ROW('All Player Data Store'!$Y$7)+1),COUNTIF($AC$8:AC54,AC54))),"")</f>
        <v/>
      </c>
      <c r="AF54" s="108" t="str">
        <f t="shared" si="3"/>
        <v/>
      </c>
      <c r="AG54" s="108" t="str">
        <f t="array" ref="AG54">IF(ISNUMBER(AC54),INDEX('All Player Data Store'!$K$8:$K$594,SMALL(IF('All Player Data Store'!$Y$7:$Y$594=AC54,ROW('All Player Data Store'!$Y$7:$Y$594)-ROW('All Player Data Store'!$Y$7)+1),COUNTIF($AC$8:AC54,AC54))),"")</f>
        <v/>
      </c>
      <c r="AH54" s="108" t="str">
        <f t="shared" si="4"/>
        <v/>
      </c>
      <c r="AI54" s="108" t="str">
        <f t="array" ref="AI54">IF(ISNUMBER(AC54),INDEX('All Player Data Store'!$L$8:$L$594,SMALL(IF('All Player Data Store'!$Y$7:$Y$594=AC54,ROW('All Player Data Store'!$Y$7:$Y$594)-ROW('All Player Data Store'!$Y$7)+1),COUNTIF($AC$8:AC54,AC54))),"")</f>
        <v>0*4</v>
      </c>
      <c r="AJ54" s="108">
        <f t="shared" si="5"/>
        <v>24.32</v>
      </c>
      <c r="AK54" s="108" t="str">
        <f t="array" ref="AK54">IF(ISNUMBER(AC54),INDEX('All Player Data Store'!$M$8:$M$594,SMALL(IF('All Player Data Store'!$Y$7:$Y$594=AC54,ROW('All Player Data Store'!$Y$7:$Y$594)-ROW('All Player Data Store'!$Y$7)+1),COUNTIF($AC$8:AC54,AC54))),"")</f>
        <v>1*4</v>
      </c>
      <c r="AL54" s="108">
        <f t="shared" si="6"/>
        <v>20.81</v>
      </c>
      <c r="AM54" s="108" t="str">
        <f t="array" ref="AM54">IF(ISNUMBER(AC54),INDEX('All Player Data Store'!$N$8:$N$594,SMALL(IF('All Player Data Store'!$Y$7:$Y$594=AC54,ROW('All Player Data Store'!$Y$7:$Y$594)-ROW('All Player Data Store'!$Y$7)+1),COUNTIF($AC$8:AC54,AC54))),"")</f>
        <v>4*0(1)</v>
      </c>
      <c r="AN54" s="108">
        <f t="shared" si="7"/>
        <v>28.45</v>
      </c>
      <c r="AO54" s="108" t="str">
        <f t="array" ref="AO54">IF(ISNUMBER(AC54),INDEX('All Player Data Store'!$O$8:$O$594,SMALL(IF('All Player Data Store'!$Y$7:$Y$594=AC54,ROW('All Player Data Store'!$Y$7:$Y$594)-ROW('All Player Data Store'!$Y$7)+1),COUNTIF($AC$8:AC54,AC54))),"")</f>
        <v>4*1</v>
      </c>
      <c r="AP54" s="108">
        <f t="shared" si="8"/>
        <v>23.08</v>
      </c>
      <c r="AQ54" s="108" t="str">
        <f t="array" ref="AQ54">IF(ISNUMBER(AC54),INDEX('All Player Data Store'!$P$8:$P$594,SMALL(IF('All Player Data Store'!$Y$7:$Y$594=AC54,ROW('All Player Data Store'!$Y$7:$Y$594)-ROW('All Player Data Store'!$Y$7)+1),COUNTIF($AC$8:AC54,AC54))),"")</f>
        <v>4*0</v>
      </c>
      <c r="AR54" s="108">
        <f t="shared" si="9"/>
        <v>23.27</v>
      </c>
      <c r="AS54" s="108" t="str">
        <f t="array" ref="AS54">IF(ISNUMBER(AC54),INDEX('All Player Data Store'!$Q$8:$Q$594,SMALL(IF('All Player Data Store'!$Y$7:$Y$594=AC54,ROW('All Player Data Store'!$Y$7:$Y$594)-ROW('All Player Data Store'!$Y$7)+1),COUNTIF($AC$8:AC54,AC54))),"")</f>
        <v>4*1</v>
      </c>
      <c r="AT54" s="108">
        <f t="shared" si="10"/>
        <v>23.39</v>
      </c>
      <c r="AU54" s="108" t="str">
        <f t="array" ref="AU54">IF(ISNUMBER(AC54),INDEX('All Player Data Store'!$R$8:$R$594,SMALL(IF('All Player Data Store'!$Y$7:$Y$594=AC54,ROW('All Player Data Store'!$Y$7:$Y$594)-ROW('All Player Data Store'!$Y$7)+1),COUNTIF($AC$8:AC54,AC54))),"")</f>
        <v>4*2</v>
      </c>
      <c r="AV54" s="108">
        <f t="shared" si="11"/>
        <v>22.26</v>
      </c>
      <c r="AW54" s="108" t="str">
        <f t="array" ref="AW54">IF(ISNUMBER(AC54),INDEX('All Player Data Store'!$S$8:$S$594,SMALL(IF('All Player Data Store'!$Y$7:$Y$594=AC54,ROW('All Player Data Store'!$Y$7:$Y$594)-ROW('All Player Data Store'!$Y$7)+1),COUNTIF($AC$8:AC54,AC54))),"")</f>
        <v>4*1</v>
      </c>
      <c r="AX54" s="108">
        <f t="shared" si="12"/>
        <v>23.61</v>
      </c>
      <c r="AY54" s="108" t="str">
        <f t="array" ref="AY54">IF(ISNUMBER(AC54),INDEX('All Player Data Store'!$T$8:$T$594,SMALL(IF('All Player Data Store'!$Y$7:$Y$594=AC54,ROW('All Player Data Store'!$Y$7:$Y$594)-ROW('All Player Data Store'!$Y$7)+1),COUNTIF($AC$8:AC54,AC54))),"")</f>
        <v>3*4</v>
      </c>
      <c r="AZ54" s="108">
        <f t="shared" si="13"/>
        <v>21.33</v>
      </c>
      <c r="BA54" s="108" t="str">
        <f t="array" ref="BA54">IF(ISNUMBER(AC54),INDEX('All Player Data Store'!$U$8:$U$594,SMALL(IF('All Player Data Store'!$Y$7:$Y$594=AC54,ROW('All Player Data Store'!$Y$7:$Y$594)-ROW('All Player Data Store'!$Y$7)+1),COUNTIF($AC$8:AC54,AC54))),"")</f>
        <v>2*4(1)</v>
      </c>
      <c r="BB54" s="108">
        <f t="shared" si="14"/>
        <v>17.260000000000002</v>
      </c>
      <c r="BC54" s="108" t="str">
        <f t="array" ref="BC54">IF(ISNUMBER(AC54),INDEX('All Player Data Store'!$V$8:$V$594,SMALL(IF('All Player Data Store'!$Y$7:$Y$594=AC54,ROW('All Player Data Store'!$Y$7:$Y$594)-ROW('All Player Data Store'!$Y$7)+1),COUNTIF($AC$8:AC54,AC54))),"")</f>
        <v/>
      </c>
      <c r="BD54" s="108" t="str">
        <f t="shared" si="15"/>
        <v/>
      </c>
      <c r="BE54" s="1"/>
    </row>
    <row r="55" spans="2:57" ht="12" customHeight="1" x14ac:dyDescent="0.2">
      <c r="B55" s="98" t="str">
        <f t="shared" si="0"/>
        <v>Y</v>
      </c>
      <c r="C55" s="1"/>
      <c r="D55" s="68">
        <f t="shared" si="1"/>
        <v>48</v>
      </c>
      <c r="E55" s="2"/>
      <c r="F55" s="78">
        <v>48</v>
      </c>
      <c r="G55" s="110" t="str">
        <f t="array" ref="G55">IF(ISNUMBER(AC55),INDEX('All Player Data Store'!$C$7:$C$594,SMALL(IF('All Player Data Store'!$Y$7:$Y$594=AC55,ROW('All Player Data Store'!$Y$7:$Y$594)-ROW('All Player Data Store'!$Y$7)+1),COUNTIF($AC$8:AC55,AC55))),"")</f>
        <v>Graham Inniss</v>
      </c>
      <c r="H55" s="111" t="str">
        <f t="array" ref="H55">IF(ISNUMBER(AC55),INDEX('All Player Data Store'!$D$7:$D$594,SMALL(IF('All Player Data Store'!$Y$7:$Y$594=AC55,ROW('All Player Data Store'!$Y$7:$Y$594)-ROW('All Player Data Store'!$Y$7)+1),COUNTIF($AC$8:AC55,AC55))),"")</f>
        <v>Chr</v>
      </c>
      <c r="I55" s="69">
        <f t="array" ref="I55">IF(ISNUMBER(AC55),INDEX('All Player Data Store'!$E$7:$E$594,SMALL(IF('All Player Data Store'!$Y$7:$Y$594=AC55,ROW('All Player Data Store'!$Y$7:$Y$594)-ROW('All Player Data Store'!$Y$7)+1),COUNTIF($AC$8:AC55,AC55))),"")</f>
        <v>10</v>
      </c>
      <c r="J55" s="70">
        <f t="array" ref="J55">IF(ISNUMBER(AC55),INDEX('All Player Data Store'!$F$7:$F$594,SMALL(IF('All Player Data Store'!$Y$7:$Y$594=AC55,ROW('All Player Data Store'!$Y$7:$Y$594)-ROW('All Player Data Store'!$Y$7)+1),COUNTIF($AC$8:AC55,AC55))),"")</f>
        <v>6</v>
      </c>
      <c r="K55" s="112">
        <f t="array" ref="K55">IF(ISNUMBER(AC55),INDEX('All Player Data Store'!$G$7:$G$594,SMALL(IF('All Player Data Store'!$Y$7:$Y$594=AC55,ROW('All Player Data Store'!$Y$7:$Y$594)-ROW('All Player Data Store'!$Y$7)+1),COUNTIF($AC$8:AC55,AC55))),"")</f>
        <v>4</v>
      </c>
      <c r="L55" s="112">
        <f t="array" ref="L55">IF(ISNUMBER(AC55),INDEX('All Player Data Store'!$H$7:$H$594,SMALL(IF('All Player Data Store'!$Y$7:$Y$594=AC55,ROW('All Player Data Store'!$Y$7:$Y$594)-ROW('All Player Data Store'!$Y$7)+1),COUNTIF($AC$8:AC55,AC55))),"")</f>
        <v>30</v>
      </c>
      <c r="M55" s="113">
        <f t="array" ref="M55">IF(ISNUMBER(AC55),INDEX('All Player Data Store'!$I$7:$I$594,SMALL(IF('All Player Data Store'!$Y$7:$Y$594=AC55,ROW('All Player Data Store'!$Y$7:$Y$594)-ROW('All Player Data Store'!$Y$7)+1),COUNTIF($AC$8:AC55,AC55))),"")</f>
        <v>26</v>
      </c>
      <c r="N55" s="114">
        <f t="array" ref="N55">IF(ISNUMBER(AC55),INDEX('All Player Data Store'!$J$7:$J$594,SMALL(IF('All Player Data Store'!$Y$7:$Y$594=AC55,ROW('All Player Data Store'!$Y$7:$Y$594)-ROW('All Player Data Store'!$Y$7)+1),COUNTIF($AC$8:AC55,AC55))),"")</f>
        <v>23.49</v>
      </c>
      <c r="O55" s="108" t="str">
        <f t="array" ref="O55">IF(ISNUMBER(AC55),INDEX('All Player Data Store'!$K$7:$K$594,SMALL(IF('All Player Data Store'!$Y$7:$Y$594=AC55,ROW('All Player Data Store'!$Y$7:$Y$594)-ROW('All Player Data Store'!$Y$7)+1),COUNTIF($AC$8:AC55,AC55))),"")</f>
        <v/>
      </c>
      <c r="P55" s="108">
        <f t="array" ref="P55">IF(ISNUMBER(AC55),INDEX('All Player Data Store'!$L$7:$L$594,SMALL(IF('All Player Data Store'!$Y$7:$Y$594=AC55,ROW('All Player Data Store'!$Y$7:$Y$594)-ROW('All Player Data Store'!$Y$7)+1),COUNTIF($AC$8:AC55,AC55))),"")</f>
        <v>24.74</v>
      </c>
      <c r="Q55" s="108">
        <f t="array" ref="Q55">IF(ISNUMBER(AC55),INDEX('All Player Data Store'!$M$7:$M$594,SMALL(IF('All Player Data Store'!$Y$7:$Y$594=AC55,ROW('All Player Data Store'!$Y$7:$Y$594)-ROW('All Player Data Store'!$Y$7)+1),COUNTIF($AC$8:AC55,AC55))),"")</f>
        <v>24.5</v>
      </c>
      <c r="R55" s="108">
        <f t="array" ref="R55">IF(ISNUMBER(AC55),INDEX('All Player Data Store'!$N$7:$N$594,SMALL(IF('All Player Data Store'!$Y$7:$Y$594=AC55,ROW('All Player Data Store'!$Y$7:$Y$594)-ROW('All Player Data Store'!$Y$7)+1),COUNTIF($AC$8:AC55,AC55))),"")</f>
        <v>21.35</v>
      </c>
      <c r="S55" s="108">
        <f t="array" ref="S55">IF(ISNUMBER(AC55),INDEX('All Player Data Store'!$O$7:$O$594,SMALL(IF('All Player Data Store'!$Y$7:$Y$594=AC55,ROW('All Player Data Store'!$Y$7:$Y$594)-ROW('All Player Data Store'!$Y$7)+1),COUNTIF($AC$8:AC55,AC55))),"")</f>
        <v>22.37</v>
      </c>
      <c r="T55" s="108">
        <f t="array" ref="T55">IF(ISNUMBER(AC55),INDEX('All Player Data Store'!$P$7:$P$594,SMALL(IF('All Player Data Store'!$Y$7:$Y$594=AC55,ROW('All Player Data Store'!$Y$7:$Y$594)-ROW('All Player Data Store'!$Y$7)+1),COUNTIF($AC$8:AC55,AC55))),"")</f>
        <v>24.14</v>
      </c>
      <c r="U55" s="108" t="str">
        <f t="array" ref="U55">IF(ISNUMBER(AC55),INDEX('All Player Data Store'!$Q$7:$Q$594,SMALL(IF('All Player Data Store'!$Y$7:$Y$594=AC55,ROW('All Player Data Store'!$Y$7:$Y$594)-ROW('All Player Data Store'!$Y$7)+1),COUNTIF($AC$8:AC55,AC55))),"")</f>
        <v/>
      </c>
      <c r="V55" s="108">
        <f t="array" ref="V55">IF(ISNUMBER(AC55),INDEX('All Player Data Store'!$R$7:$R$594,SMALL(IF('All Player Data Store'!$Y$7:$Y$594=AC55,ROW('All Player Data Store'!$Y$7:$Y$594)-ROW('All Player Data Store'!$Y$7)+1),COUNTIF($AC$8:AC55,AC55))),"")</f>
        <v>20.190000000000001</v>
      </c>
      <c r="W55" s="108">
        <f t="array" ref="W55">IF(ISNUMBER(AC55),INDEX('All Player Data Store'!$S$7:$S$594,SMALL(IF('All Player Data Store'!$Y$7:$Y$594=AC55,ROW('All Player Data Store'!$Y$7:$Y$594)-ROW('All Player Data Store'!$Y$7)+1),COUNTIF($AC$8:AC55,AC55))),"")</f>
        <v>21.16</v>
      </c>
      <c r="X55" s="108">
        <f t="array" ref="X55">IF(ISNUMBER(AC55),INDEX('All Player Data Store'!$T$7:$T$594,SMALL(IF('All Player Data Store'!$Y$7:$Y$594=AC55,ROW('All Player Data Store'!$Y$7:$Y$594)-ROW('All Player Data Store'!$Y$7)+1),COUNTIF($AC$8:AC55,AC55))),"")</f>
        <v>19.190000000000001</v>
      </c>
      <c r="Y55" s="108" t="str">
        <f t="array" ref="Y55">IF(ISNUMBER(AC55),INDEX('All Player Data Store'!$U$7:$U$594,SMALL(IF('All Player Data Store'!$Y$7:$Y$594=AC55,ROW('All Player Data Store'!$Y$7:$Y$594)-ROW('All Player Data Store'!$Y$7)+1),COUNTIF($AC$8:AC55,AC55))),"")</f>
        <v/>
      </c>
      <c r="Z55" s="108">
        <f t="array" ref="Z55">IF(ISNUMBER(AC55),INDEX('All Player Data Store'!$V$7:$V$594,SMALL(IF('All Player Data Store'!$Y$7:$Y$594=AC55,ROW('All Player Data Store'!$Y$7:$Y$594)-ROW('All Player Data Store'!$Y$7)+1),COUNTIF($AC$8:AC55,AC55))),"")</f>
        <v>20.61</v>
      </c>
      <c r="AA55" s="112">
        <f t="array" ref="AA55">IF(ISNUMBER(AC55),INDEX('All Player Data Store'!$W$7:$W$594,SMALL(IF('All Player Data Store'!$Y$7:$Y$594=AC55,ROW('All Player Data Store'!$Y$7:$Y$594)-ROW('All Player Data Store'!$Y$7)+1),COUNTIF($AC$8:AC55,AC55))),"")</f>
        <v>1</v>
      </c>
      <c r="AB55" s="108">
        <f t="array" ref="AB55">IF(ISNUMBER(AC55),INDEX('All Player Data Store'!$X$7:$X$594,SMALL(IF('All Player Data Store'!$Y$7:$Y$594=AC55,ROW('All Player Data Store'!$Y$7:$Y$594)-ROW('All Player Data Store'!$Y$7)+1),COUNTIF($AC$8:AC55,AC55))),"")</f>
        <v>22.173999999999996</v>
      </c>
      <c r="AC55" s="115">
        <f>IF(ISERROR(IF(ISERROR(LARGE('All Player Data Store'!$Y$7:$Y$594,48)),"",(LARGE('All Player Data Store'!$Y$7:$Y$594,48)))),"",(IF(ISERROR(LARGE('All Player Data Store'!$Y$7:$Y$594,48)),"",(LARGE('All Player Data Store'!$Y$7:$Y$594,48)))))</f>
        <v>28.173999999999996</v>
      </c>
      <c r="AD55" s="106">
        <f t="shared" si="2"/>
        <v>3</v>
      </c>
      <c r="AE55" s="107" t="str">
        <f t="array" ref="AE55">IF(ISNUMBER(AC55),INDEX('All Player Data Store'!$J$8:$J$594,SMALL(IF('All Player Data Store'!$Y$7:$Y$594=AC55,ROW('All Player Data Store'!$Y$7:$Y$594)-ROW('All Player Data Store'!$Y$7)+1),COUNTIF($AC$8:AC55,AC55))),"")</f>
        <v>4*3</v>
      </c>
      <c r="AF55" s="108">
        <f t="shared" si="3"/>
        <v>24.49</v>
      </c>
      <c r="AG55" s="108" t="str">
        <f t="array" ref="AG55">IF(ISNUMBER(AC55),INDEX('All Player Data Store'!$K$8:$K$594,SMALL(IF('All Player Data Store'!$Y$7:$Y$594=AC55,ROW('All Player Data Store'!$Y$7:$Y$594)-ROW('All Player Data Store'!$Y$7)+1),COUNTIF($AC$8:AC55,AC55))),"")</f>
        <v/>
      </c>
      <c r="AH55" s="108" t="str">
        <f t="shared" si="4"/>
        <v/>
      </c>
      <c r="AI55" s="108" t="str">
        <f t="array" ref="AI55">IF(ISNUMBER(AC55),INDEX('All Player Data Store'!$L$8:$L$594,SMALL(IF('All Player Data Store'!$Y$7:$Y$594=AC55,ROW('All Player Data Store'!$Y$7:$Y$594)-ROW('All Player Data Store'!$Y$7)+1),COUNTIF($AC$8:AC55,AC55))),"")</f>
        <v>4*0(1)</v>
      </c>
      <c r="AJ55" s="108">
        <f t="shared" si="5"/>
        <v>25.74</v>
      </c>
      <c r="AK55" s="108" t="str">
        <f t="array" ref="AK55">IF(ISNUMBER(AC55),INDEX('All Player Data Store'!$M$8:$M$594,SMALL(IF('All Player Data Store'!$Y$7:$Y$594=AC55,ROW('All Player Data Store'!$Y$7:$Y$594)-ROW('All Player Data Store'!$Y$7)+1),COUNTIF($AC$8:AC55,AC55))),"")</f>
        <v>4*2</v>
      </c>
      <c r="AL55" s="108">
        <f t="shared" si="6"/>
        <v>25.5</v>
      </c>
      <c r="AM55" s="108" t="str">
        <f t="array" ref="AM55">IF(ISNUMBER(AC55),INDEX('All Player Data Store'!$N$8:$N$594,SMALL(IF('All Player Data Store'!$Y$7:$Y$594=AC55,ROW('All Player Data Store'!$Y$7:$Y$594)-ROW('All Player Data Store'!$Y$7)+1),COUNTIF($AC$8:AC55,AC55))),"")</f>
        <v>3*4</v>
      </c>
      <c r="AN55" s="108">
        <f t="shared" si="7"/>
        <v>21.35</v>
      </c>
      <c r="AO55" s="108" t="str">
        <f t="array" ref="AO55">IF(ISNUMBER(AC55),INDEX('All Player Data Store'!$O$8:$O$594,SMALL(IF('All Player Data Store'!$Y$7:$Y$594=AC55,ROW('All Player Data Store'!$Y$7:$Y$594)-ROW('All Player Data Store'!$Y$7)+1),COUNTIF($AC$8:AC55,AC55))),"")</f>
        <v>1*4</v>
      </c>
      <c r="AP55" s="108">
        <f t="shared" si="8"/>
        <v>22.37</v>
      </c>
      <c r="AQ55" s="108" t="str">
        <f t="array" ref="AQ55">IF(ISNUMBER(AC55),INDEX('All Player Data Store'!$P$8:$P$594,SMALL(IF('All Player Data Store'!$Y$7:$Y$594=AC55,ROW('All Player Data Store'!$Y$7:$Y$594)-ROW('All Player Data Store'!$Y$7)+1),COUNTIF($AC$8:AC55,AC55))),"")</f>
        <v>4*0</v>
      </c>
      <c r="AR55" s="108">
        <f t="shared" si="9"/>
        <v>25.14</v>
      </c>
      <c r="AS55" s="108" t="str">
        <f t="array" ref="AS55">IF(ISNUMBER(AC55),INDEX('All Player Data Store'!$Q$8:$Q$594,SMALL(IF('All Player Data Store'!$Y$7:$Y$594=AC55,ROW('All Player Data Store'!$Y$7:$Y$594)-ROW('All Player Data Store'!$Y$7)+1),COUNTIF($AC$8:AC55,AC55))),"")</f>
        <v/>
      </c>
      <c r="AT55" s="108" t="str">
        <f t="shared" si="10"/>
        <v/>
      </c>
      <c r="AU55" s="108" t="str">
        <f t="array" ref="AU55">IF(ISNUMBER(AC55),INDEX('All Player Data Store'!$R$8:$R$594,SMALL(IF('All Player Data Store'!$Y$7:$Y$594=AC55,ROW('All Player Data Store'!$Y$7:$Y$594)-ROW('All Player Data Store'!$Y$7)+1),COUNTIF($AC$8:AC55,AC55))),"")</f>
        <v>4*3</v>
      </c>
      <c r="AV55" s="108">
        <f t="shared" si="11"/>
        <v>21.19</v>
      </c>
      <c r="AW55" s="108" t="str">
        <f t="array" ref="AW55">IF(ISNUMBER(AC55),INDEX('All Player Data Store'!$S$8:$S$594,SMALL(IF('All Player Data Store'!$Y$7:$Y$594=AC55,ROW('All Player Data Store'!$Y$7:$Y$594)-ROW('All Player Data Store'!$Y$7)+1),COUNTIF($AC$8:AC55,AC55))),"")</f>
        <v>4*2</v>
      </c>
      <c r="AX55" s="108">
        <f t="shared" si="12"/>
        <v>22.16</v>
      </c>
      <c r="AY55" s="108" t="str">
        <f t="array" ref="AY55">IF(ISNUMBER(AC55),INDEX('All Player Data Store'!$T$8:$T$594,SMALL(IF('All Player Data Store'!$Y$7:$Y$594=AC55,ROW('All Player Data Store'!$Y$7:$Y$594)-ROW('All Player Data Store'!$Y$7)+1),COUNTIF($AC$8:AC55,AC55))),"")</f>
        <v>2*4</v>
      </c>
      <c r="AZ55" s="108">
        <f t="shared" si="13"/>
        <v>19.190000000000001</v>
      </c>
      <c r="BA55" s="108" t="str">
        <f t="array" ref="BA55">IF(ISNUMBER(AC55),INDEX('All Player Data Store'!$U$8:$U$594,SMALL(IF('All Player Data Store'!$Y$7:$Y$594=AC55,ROW('All Player Data Store'!$Y$7:$Y$594)-ROW('All Player Data Store'!$Y$7)+1),COUNTIF($AC$8:AC55,AC55))),"")</f>
        <v/>
      </c>
      <c r="BB55" s="108" t="str">
        <f t="shared" si="14"/>
        <v/>
      </c>
      <c r="BC55" s="108" t="str">
        <f t="array" ref="BC55">IF(ISNUMBER(AC55),INDEX('All Player Data Store'!$V$8:$V$594,SMALL(IF('All Player Data Store'!$Y$7:$Y$594=AC55,ROW('All Player Data Store'!$Y$7:$Y$594)-ROW('All Player Data Store'!$Y$7)+1),COUNTIF($AC$8:AC55,AC55))),"")</f>
        <v>0*4</v>
      </c>
      <c r="BD55" s="108">
        <f t="shared" si="15"/>
        <v>20.61</v>
      </c>
      <c r="BE55" s="1"/>
    </row>
    <row r="56" spans="2:57" ht="12" customHeight="1" x14ac:dyDescent="0.2">
      <c r="B56" s="98" t="str">
        <f t="shared" si="0"/>
        <v>Y</v>
      </c>
      <c r="C56" s="1"/>
      <c r="D56" s="68">
        <f t="shared" si="1"/>
        <v>49</v>
      </c>
      <c r="E56" s="2"/>
      <c r="F56" s="78">
        <v>49</v>
      </c>
      <c r="G56" s="110" t="str">
        <f t="array" ref="G56">IF(ISNUMBER(AC56),INDEX('All Player Data Store'!$C$7:$C$594,SMALL(IF('All Player Data Store'!$Y$7:$Y$594=AC56,ROW('All Player Data Store'!$Y$7:$Y$594)-ROW('All Player Data Store'!$Y$7)+1),COUNTIF($AC$8:AC56,AC56))),"")</f>
        <v>Geordie Grant</v>
      </c>
      <c r="H56" s="111" t="str">
        <f t="array" ref="H56">IF(ISNUMBER(AC56),INDEX('All Player Data Store'!$D$7:$D$594,SMALL(IF('All Player Data Store'!$Y$7:$Y$594=AC56,ROW('All Player Data Store'!$Y$7:$Y$594)-ROW('All Player Data Store'!$Y$7)+1),COUNTIF($AC$8:AC56,AC56))),"")</f>
        <v>Aly</v>
      </c>
      <c r="I56" s="69">
        <f t="array" ref="I56">IF(ISNUMBER(AC56),INDEX('All Player Data Store'!$E$7:$E$594,SMALL(IF('All Player Data Store'!$Y$7:$Y$594=AC56,ROW('All Player Data Store'!$Y$7:$Y$594)-ROW('All Player Data Store'!$Y$7)+1),COUNTIF($AC$8:AC56,AC56))),"")</f>
        <v>11</v>
      </c>
      <c r="J56" s="70">
        <f t="array" ref="J56">IF(ISNUMBER(AC56),INDEX('All Player Data Store'!$F$7:$F$594,SMALL(IF('All Player Data Store'!$Y$7:$Y$594=AC56,ROW('All Player Data Store'!$Y$7:$Y$594)-ROW('All Player Data Store'!$Y$7)+1),COUNTIF($AC$8:AC56,AC56))),"")</f>
        <v>6</v>
      </c>
      <c r="K56" s="112">
        <f t="array" ref="K56">IF(ISNUMBER(AC56),INDEX('All Player Data Store'!$G$7:$G$594,SMALL(IF('All Player Data Store'!$Y$7:$Y$594=AC56,ROW('All Player Data Store'!$Y$7:$Y$594)-ROW('All Player Data Store'!$Y$7)+1),COUNTIF($AC$8:AC56,AC56))),"")</f>
        <v>5</v>
      </c>
      <c r="L56" s="112">
        <f t="array" ref="L56">IF(ISNUMBER(AC56),INDEX('All Player Data Store'!$H$7:$H$594,SMALL(IF('All Player Data Store'!$Y$7:$Y$594=AC56,ROW('All Player Data Store'!$Y$7:$Y$594)-ROW('All Player Data Store'!$Y$7)+1),COUNTIF($AC$8:AC56,AC56))),"")</f>
        <v>31</v>
      </c>
      <c r="M56" s="113">
        <f t="array" ref="M56">IF(ISNUMBER(AC56),INDEX('All Player Data Store'!$I$7:$I$594,SMALL(IF('All Player Data Store'!$Y$7:$Y$594=AC56,ROW('All Player Data Store'!$Y$7:$Y$594)-ROW('All Player Data Store'!$Y$7)+1),COUNTIF($AC$8:AC56,AC56))),"")</f>
        <v>28</v>
      </c>
      <c r="N56" s="114">
        <f t="array" ref="N56">IF(ISNUMBER(AC56),INDEX('All Player Data Store'!$J$7:$J$594,SMALL(IF('All Player Data Store'!$Y$7:$Y$594=AC56,ROW('All Player Data Store'!$Y$7:$Y$594)-ROW('All Player Data Store'!$Y$7)+1),COUNTIF($AC$8:AC56,AC56))),"")</f>
        <v>19.09</v>
      </c>
      <c r="O56" s="108">
        <f t="array" ref="O56">IF(ISNUMBER(AC56),INDEX('All Player Data Store'!$K$7:$K$594,SMALL(IF('All Player Data Store'!$Y$7:$Y$594=AC56,ROW('All Player Data Store'!$Y$7:$Y$594)-ROW('All Player Data Store'!$Y$7)+1),COUNTIF($AC$8:AC56,AC56))),"")</f>
        <v>21.87</v>
      </c>
      <c r="P56" s="108" t="str">
        <f t="array" ref="P56">IF(ISNUMBER(AC56),INDEX('All Player Data Store'!$L$7:$L$594,SMALL(IF('All Player Data Store'!$Y$7:$Y$594=AC56,ROW('All Player Data Store'!$Y$7:$Y$594)-ROW('All Player Data Store'!$Y$7)+1),COUNTIF($AC$8:AC56,AC56))),"")</f>
        <v/>
      </c>
      <c r="Q56" s="108">
        <f t="array" ref="Q56">IF(ISNUMBER(AC56),INDEX('All Player Data Store'!$M$7:$M$594,SMALL(IF('All Player Data Store'!$Y$7:$Y$594=AC56,ROW('All Player Data Store'!$Y$7:$Y$594)-ROW('All Player Data Store'!$Y$7)+1),COUNTIF($AC$8:AC56,AC56))),"")</f>
        <v>23.78</v>
      </c>
      <c r="R56" s="108">
        <f t="array" ref="R56">IF(ISNUMBER(AC56),INDEX('All Player Data Store'!$N$7:$N$594,SMALL(IF('All Player Data Store'!$Y$7:$Y$594=AC56,ROW('All Player Data Store'!$Y$7:$Y$594)-ROW('All Player Data Store'!$Y$7)+1),COUNTIF($AC$8:AC56,AC56))),"")</f>
        <v>26.52</v>
      </c>
      <c r="S56" s="108">
        <f t="array" ref="S56">IF(ISNUMBER(AC56),INDEX('All Player Data Store'!$O$7:$O$594,SMALL(IF('All Player Data Store'!$Y$7:$Y$594=AC56,ROW('All Player Data Store'!$Y$7:$Y$594)-ROW('All Player Data Store'!$Y$7)+1),COUNTIF($AC$8:AC56,AC56))),"")</f>
        <v>22.02</v>
      </c>
      <c r="T56" s="108">
        <f t="array" ref="T56">IF(ISNUMBER(AC56),INDEX('All Player Data Store'!$P$7:$P$594,SMALL(IF('All Player Data Store'!$Y$7:$Y$594=AC56,ROW('All Player Data Store'!$Y$7:$Y$594)-ROW('All Player Data Store'!$Y$7)+1),COUNTIF($AC$8:AC56,AC56))),"")</f>
        <v>22.85</v>
      </c>
      <c r="U56" s="108">
        <f t="array" ref="U56">IF(ISNUMBER(AC56),INDEX('All Player Data Store'!$Q$7:$Q$594,SMALL(IF('All Player Data Store'!$Y$7:$Y$594=AC56,ROW('All Player Data Store'!$Y$7:$Y$594)-ROW('All Player Data Store'!$Y$7)+1),COUNTIF($AC$8:AC56,AC56))),"")</f>
        <v>23.69</v>
      </c>
      <c r="V56" s="108">
        <f t="array" ref="V56">IF(ISNUMBER(AC56),INDEX('All Player Data Store'!$R$7:$R$594,SMALL(IF('All Player Data Store'!$Y$7:$Y$594=AC56,ROW('All Player Data Store'!$Y$7:$Y$594)-ROW('All Player Data Store'!$Y$7)+1),COUNTIF($AC$8:AC56,AC56))),"")</f>
        <v>20.94</v>
      </c>
      <c r="W56" s="108">
        <f t="array" ref="W56">IF(ISNUMBER(AC56),INDEX('All Player Data Store'!$S$7:$S$594,SMALL(IF('All Player Data Store'!$Y$7:$Y$594=AC56,ROW('All Player Data Store'!$Y$7:$Y$594)-ROW('All Player Data Store'!$Y$7)+1),COUNTIF($AC$8:AC56,AC56))),"")</f>
        <v>19.8</v>
      </c>
      <c r="X56" s="108">
        <f t="array" ref="X56">IF(ISNUMBER(AC56),INDEX('All Player Data Store'!$T$7:$T$594,SMALL(IF('All Player Data Store'!$Y$7:$Y$594=AC56,ROW('All Player Data Store'!$Y$7:$Y$594)-ROW('All Player Data Store'!$Y$7)+1),COUNTIF($AC$8:AC56,AC56))),"")</f>
        <v>21.59</v>
      </c>
      <c r="Y56" s="108">
        <f t="array" ref="Y56">IF(ISNUMBER(AC56),INDEX('All Player Data Store'!$U$7:$U$594,SMALL(IF('All Player Data Store'!$Y$7:$Y$594=AC56,ROW('All Player Data Store'!$Y$7:$Y$594)-ROW('All Player Data Store'!$Y$7)+1),COUNTIF($AC$8:AC56,AC56))),"")</f>
        <v>21.71</v>
      </c>
      <c r="Z56" s="108" t="str">
        <f t="array" ref="Z56">IF(ISNUMBER(AC56),INDEX('All Player Data Store'!$V$7:$V$594,SMALL(IF('All Player Data Store'!$Y$7:$Y$594=AC56,ROW('All Player Data Store'!$Y$7:$Y$594)-ROW('All Player Data Store'!$Y$7)+1),COUNTIF($AC$8:AC56,AC56))),"")</f>
        <v/>
      </c>
      <c r="AA56" s="112">
        <f t="array" ref="AA56">IF(ISNUMBER(AC56),INDEX('All Player Data Store'!$W$7:$W$594,SMALL(IF('All Player Data Store'!$Y$7:$Y$594=AC56,ROW('All Player Data Store'!$Y$7:$Y$594)-ROW('All Player Data Store'!$Y$7)+1),COUNTIF($AC$8:AC56,AC56))),"")</f>
        <v>5</v>
      </c>
      <c r="AB56" s="108">
        <f t="array" ref="AB56">IF(ISNUMBER(AC56),INDEX('All Player Data Store'!$X$7:$X$594,SMALL(IF('All Player Data Store'!$Y$7:$Y$594=AC56,ROW('All Player Data Store'!$Y$7:$Y$594)-ROW('All Player Data Store'!$Y$7)+1),COUNTIF($AC$8:AC56,AC56))),"")</f>
        <v>22.169090909090912</v>
      </c>
      <c r="AC56" s="115">
        <f>IF(ISERROR(IF(ISERROR(LARGE('All Player Data Store'!$Y$7:$Y$594,49)),"",(LARGE('All Player Data Store'!$Y$7:$Y$594,49)))),"",(IF(ISERROR(LARGE('All Player Data Store'!$Y$7:$Y$594,49)),"",(LARGE('All Player Data Store'!$Y$7:$Y$594,49)))))</f>
        <v>28.169090909090912</v>
      </c>
      <c r="AD56" s="106">
        <f t="shared" si="2"/>
        <v>3</v>
      </c>
      <c r="AE56" s="107" t="str">
        <f t="array" ref="AE56">IF(ISNUMBER(AC56),INDEX('All Player Data Store'!$J$8:$J$594,SMALL(IF('All Player Data Store'!$Y$7:$Y$594=AC56,ROW('All Player Data Store'!$Y$7:$Y$594)-ROW('All Player Data Store'!$Y$7)+1),COUNTIF($AC$8:AC56,AC56))),"")</f>
        <v>4*0</v>
      </c>
      <c r="AF56" s="108">
        <f t="shared" si="3"/>
        <v>20.09</v>
      </c>
      <c r="AG56" s="108" t="str">
        <f t="array" ref="AG56">IF(ISNUMBER(AC56),INDEX('All Player Data Store'!$K$8:$K$594,SMALL(IF('All Player Data Store'!$Y$7:$Y$594=AC56,ROW('All Player Data Store'!$Y$7:$Y$594)-ROW('All Player Data Store'!$Y$7)+1),COUNTIF($AC$8:AC56,AC56))),"")</f>
        <v>4*3(2)</v>
      </c>
      <c r="AH56" s="108">
        <f t="shared" si="4"/>
        <v>22.87</v>
      </c>
      <c r="AI56" s="108" t="str">
        <f t="array" ref="AI56">IF(ISNUMBER(AC56),INDEX('All Player Data Store'!$L$8:$L$594,SMALL(IF('All Player Data Store'!$Y$7:$Y$594=AC56,ROW('All Player Data Store'!$Y$7:$Y$594)-ROW('All Player Data Store'!$Y$7)+1),COUNTIF($AC$8:AC56,AC56))),"")</f>
        <v/>
      </c>
      <c r="AJ56" s="108" t="str">
        <f t="shared" si="5"/>
        <v/>
      </c>
      <c r="AK56" s="108" t="str">
        <f t="array" ref="AK56">IF(ISNUMBER(AC56),INDEX('All Player Data Store'!$M$8:$M$594,SMALL(IF('All Player Data Store'!$Y$7:$Y$594=AC56,ROW('All Player Data Store'!$Y$7:$Y$594)-ROW('All Player Data Store'!$Y$7)+1),COUNTIF($AC$8:AC56,AC56))),"")</f>
        <v>4*1</v>
      </c>
      <c r="AL56" s="108">
        <f t="shared" si="6"/>
        <v>24.78</v>
      </c>
      <c r="AM56" s="108" t="str">
        <f t="array" ref="AM56">IF(ISNUMBER(AC56),INDEX('All Player Data Store'!$N$8:$N$594,SMALL(IF('All Player Data Store'!$Y$7:$Y$594=AC56,ROW('All Player Data Store'!$Y$7:$Y$594)-ROW('All Player Data Store'!$Y$7)+1),COUNTIF($AC$8:AC56,AC56))),"")</f>
        <v>4*1</v>
      </c>
      <c r="AN56" s="108">
        <f t="shared" si="7"/>
        <v>27.52</v>
      </c>
      <c r="AO56" s="108" t="str">
        <f t="array" ref="AO56">IF(ISNUMBER(AC56),INDEX('All Player Data Store'!$O$8:$O$594,SMALL(IF('All Player Data Store'!$Y$7:$Y$594=AC56,ROW('All Player Data Store'!$Y$7:$Y$594)-ROW('All Player Data Store'!$Y$7)+1),COUNTIF($AC$8:AC56,AC56))),"")</f>
        <v>1*4(1)</v>
      </c>
      <c r="AP56" s="108">
        <f t="shared" si="8"/>
        <v>22.02</v>
      </c>
      <c r="AQ56" s="108" t="str">
        <f t="array" ref="AQ56">IF(ISNUMBER(AC56),INDEX('All Player Data Store'!$P$8:$P$594,SMALL(IF('All Player Data Store'!$Y$7:$Y$594=AC56,ROW('All Player Data Store'!$Y$7:$Y$594)-ROW('All Player Data Store'!$Y$7)+1),COUNTIF($AC$8:AC56,AC56))),"")</f>
        <v>4*2</v>
      </c>
      <c r="AR56" s="108">
        <f t="shared" si="9"/>
        <v>23.85</v>
      </c>
      <c r="AS56" s="108" t="str">
        <f t="array" ref="AS56">IF(ISNUMBER(AC56),INDEX('All Player Data Store'!$Q$8:$Q$594,SMALL(IF('All Player Data Store'!$Y$7:$Y$594=AC56,ROW('All Player Data Store'!$Y$7:$Y$594)-ROW('All Player Data Store'!$Y$7)+1),COUNTIF($AC$8:AC56,AC56))),"")</f>
        <v>0*4(1)</v>
      </c>
      <c r="AT56" s="108">
        <f t="shared" si="10"/>
        <v>23.69</v>
      </c>
      <c r="AU56" s="108" t="str">
        <f t="array" ref="AU56">IF(ISNUMBER(AC56),INDEX('All Player Data Store'!$R$8:$R$594,SMALL(IF('All Player Data Store'!$Y$7:$Y$594=AC56,ROW('All Player Data Store'!$Y$7:$Y$594)-ROW('All Player Data Store'!$Y$7)+1),COUNTIF($AC$8:AC56,AC56))),"")</f>
        <v>2*4(1)</v>
      </c>
      <c r="AV56" s="108">
        <f t="shared" si="11"/>
        <v>20.94</v>
      </c>
      <c r="AW56" s="108" t="str">
        <f t="array" ref="AW56">IF(ISNUMBER(AC56),INDEX('All Player Data Store'!$S$8:$S$594,SMALL(IF('All Player Data Store'!$Y$7:$Y$594=AC56,ROW('All Player Data Store'!$Y$7:$Y$594)-ROW('All Player Data Store'!$Y$7)+1),COUNTIF($AC$8:AC56,AC56))),"")</f>
        <v>1*4</v>
      </c>
      <c r="AX56" s="108">
        <f t="shared" si="12"/>
        <v>19.8</v>
      </c>
      <c r="AY56" s="108" t="str">
        <f t="array" ref="AY56">IF(ISNUMBER(AC56),INDEX('All Player Data Store'!$T$8:$T$594,SMALL(IF('All Player Data Store'!$Y$7:$Y$594=AC56,ROW('All Player Data Store'!$Y$7:$Y$594)-ROW('All Player Data Store'!$Y$7)+1),COUNTIF($AC$8:AC56,AC56))),"")</f>
        <v>3*4</v>
      </c>
      <c r="AZ56" s="108">
        <f t="shared" si="13"/>
        <v>21.59</v>
      </c>
      <c r="BA56" s="108" t="str">
        <f t="array" ref="BA56">IF(ISNUMBER(AC56),INDEX('All Player Data Store'!$U$8:$U$594,SMALL(IF('All Player Data Store'!$Y$7:$Y$594=AC56,ROW('All Player Data Store'!$Y$7:$Y$594)-ROW('All Player Data Store'!$Y$7)+1),COUNTIF($AC$8:AC56,AC56))),"")</f>
        <v>4*1</v>
      </c>
      <c r="BB56" s="108">
        <f t="shared" si="14"/>
        <v>22.71</v>
      </c>
      <c r="BC56" s="108" t="str">
        <f t="array" ref="BC56">IF(ISNUMBER(AC56),INDEX('All Player Data Store'!$V$8:$V$594,SMALL(IF('All Player Data Store'!$Y$7:$Y$594=AC56,ROW('All Player Data Store'!$Y$7:$Y$594)-ROW('All Player Data Store'!$Y$7)+1),COUNTIF($AC$8:AC56,AC56))),"")</f>
        <v/>
      </c>
      <c r="BD56" s="108" t="str">
        <f t="shared" si="15"/>
        <v/>
      </c>
      <c r="BE56" s="1"/>
    </row>
    <row r="57" spans="2:57" ht="12" customHeight="1" x14ac:dyDescent="0.2">
      <c r="B57" s="98" t="str">
        <f t="shared" si="0"/>
        <v>N</v>
      </c>
      <c r="C57" s="1"/>
      <c r="D57" s="68">
        <f t="shared" si="1"/>
        <v>50</v>
      </c>
      <c r="E57" s="2"/>
      <c r="F57" s="78">
        <v>50</v>
      </c>
      <c r="G57" s="110" t="str">
        <f t="array" ref="G57">IF(ISNUMBER(AC57),INDEX('All Player Data Store'!$C$7:$C$594,SMALL(IF('All Player Data Store'!$Y$7:$Y$594=AC57,ROW('All Player Data Store'!$Y$7:$Y$594)-ROW('All Player Data Store'!$Y$7)+1),COUNTIF($AC$8:AC57,AC57))),"")</f>
        <v>Eddie White</v>
      </c>
      <c r="H57" s="111" t="str">
        <f t="array" ref="H57">IF(ISNUMBER(AC57),INDEX('All Player Data Store'!$D$7:$D$594,SMALL(IF('All Player Data Store'!$Y$7:$Y$594=AC57,ROW('All Player Data Store'!$Y$7:$Y$594)-ROW('All Player Data Store'!$Y$7)+1),COUNTIF($AC$8:AC57,AC57))),"")</f>
        <v>Chr</v>
      </c>
      <c r="I57" s="69">
        <f t="array" ref="I57">IF(ISNUMBER(AC57),INDEX('All Player Data Store'!$E$7:$E$594,SMALL(IF('All Player Data Store'!$Y$7:$Y$594=AC57,ROW('All Player Data Store'!$Y$7:$Y$594)-ROW('All Player Data Store'!$Y$7)+1),COUNTIF($AC$8:AC57,AC57))),"")</f>
        <v>6</v>
      </c>
      <c r="J57" s="70">
        <f t="array" ref="J57">IF(ISNUMBER(AC57),INDEX('All Player Data Store'!$F$7:$F$594,SMALL(IF('All Player Data Store'!$Y$7:$Y$594=AC57,ROW('All Player Data Store'!$Y$7:$Y$594)-ROW('All Player Data Store'!$Y$7)+1),COUNTIF($AC$8:AC57,AC57))),"")</f>
        <v>5</v>
      </c>
      <c r="K57" s="112">
        <f t="array" ref="K57">IF(ISNUMBER(AC57),INDEX('All Player Data Store'!$G$7:$G$594,SMALL(IF('All Player Data Store'!$Y$7:$Y$594=AC57,ROW('All Player Data Store'!$Y$7:$Y$594)-ROW('All Player Data Store'!$Y$7)+1),COUNTIF($AC$8:AC57,AC57))),"")</f>
        <v>1</v>
      </c>
      <c r="L57" s="112">
        <f t="array" ref="L57">IF(ISNUMBER(AC57),INDEX('All Player Data Store'!$H$7:$H$594,SMALL(IF('All Player Data Store'!$Y$7:$Y$594=AC57,ROW('All Player Data Store'!$Y$7:$Y$594)-ROW('All Player Data Store'!$Y$7)+1),COUNTIF($AC$8:AC57,AC57))),"")</f>
        <v>21</v>
      </c>
      <c r="M57" s="113">
        <f t="array" ref="M57">IF(ISNUMBER(AC57),INDEX('All Player Data Store'!$I$7:$I$594,SMALL(IF('All Player Data Store'!$Y$7:$Y$594=AC57,ROW('All Player Data Store'!$Y$7:$Y$594)-ROW('All Player Data Store'!$Y$7)+1),COUNTIF($AC$8:AC57,AC57))),"")</f>
        <v>8</v>
      </c>
      <c r="N57" s="114">
        <f t="array" ref="N57">IF(ISNUMBER(AC57),INDEX('All Player Data Store'!$J$7:$J$594,SMALL(IF('All Player Data Store'!$Y$7:$Y$594=AC57,ROW('All Player Data Store'!$Y$7:$Y$594)-ROW('All Player Data Store'!$Y$7)+1),COUNTIF($AC$8:AC57,AC57))),"")</f>
        <v>25.05</v>
      </c>
      <c r="O57" s="108" t="str">
        <f t="array" ref="O57">IF(ISNUMBER(AC57),INDEX('All Player Data Store'!$K$7:$K$594,SMALL(IF('All Player Data Store'!$Y$7:$Y$594=AC57,ROW('All Player Data Store'!$Y$7:$Y$594)-ROW('All Player Data Store'!$Y$7)+1),COUNTIF($AC$8:AC57,AC57))),"")</f>
        <v/>
      </c>
      <c r="P57" s="108">
        <f t="array" ref="P57">IF(ISNUMBER(AC57),INDEX('All Player Data Store'!$L$7:$L$594,SMALL(IF('All Player Data Store'!$Y$7:$Y$594=AC57,ROW('All Player Data Store'!$Y$7:$Y$594)-ROW('All Player Data Store'!$Y$7)+1),COUNTIF($AC$8:AC57,AC57))),"")</f>
        <v>23.86</v>
      </c>
      <c r="Q57" s="108" t="str">
        <f t="array" ref="Q57">IF(ISNUMBER(AC57),INDEX('All Player Data Store'!$M$7:$M$594,SMALL(IF('All Player Data Store'!$Y$7:$Y$594=AC57,ROW('All Player Data Store'!$Y$7:$Y$594)-ROW('All Player Data Store'!$Y$7)+1),COUNTIF($AC$8:AC57,AC57))),"")</f>
        <v/>
      </c>
      <c r="R57" s="108" t="str">
        <f t="array" ref="R57">IF(ISNUMBER(AC57),INDEX('All Player Data Store'!$N$7:$N$594,SMALL(IF('All Player Data Store'!$Y$7:$Y$594=AC57,ROW('All Player Data Store'!$Y$7:$Y$594)-ROW('All Player Data Store'!$Y$7)+1),COUNTIF($AC$8:AC57,AC57))),"")</f>
        <v/>
      </c>
      <c r="S57" s="108" t="str">
        <f t="array" ref="S57">IF(ISNUMBER(AC57),INDEX('All Player Data Store'!$O$7:$O$594,SMALL(IF('All Player Data Store'!$Y$7:$Y$594=AC57,ROW('All Player Data Store'!$Y$7:$Y$594)-ROW('All Player Data Store'!$Y$7)+1),COUNTIF($AC$8:AC57,AC57))),"")</f>
        <v/>
      </c>
      <c r="T57" s="108" t="str">
        <f t="array" ref="T57">IF(ISNUMBER(AC57),INDEX('All Player Data Store'!$P$7:$P$594,SMALL(IF('All Player Data Store'!$Y$7:$Y$594=AC57,ROW('All Player Data Store'!$Y$7:$Y$594)-ROW('All Player Data Store'!$Y$7)+1),COUNTIF($AC$8:AC57,AC57))),"")</f>
        <v/>
      </c>
      <c r="U57" s="108">
        <f t="array" ref="U57">IF(ISNUMBER(AC57),INDEX('All Player Data Store'!$Q$7:$Q$594,SMALL(IF('All Player Data Store'!$Y$7:$Y$594=AC57,ROW('All Player Data Store'!$Y$7:$Y$594)-ROW('All Player Data Store'!$Y$7)+1),COUNTIF($AC$8:AC57,AC57))),"")</f>
        <v>21.64</v>
      </c>
      <c r="V57" s="108" t="str">
        <f t="array" ref="V57">IF(ISNUMBER(AC57),INDEX('All Player Data Store'!$R$7:$R$594,SMALL(IF('All Player Data Store'!$Y$7:$Y$594=AC57,ROW('All Player Data Store'!$Y$7:$Y$594)-ROW('All Player Data Store'!$Y$7)+1),COUNTIF($AC$8:AC57,AC57))),"")</f>
        <v/>
      </c>
      <c r="W57" s="108">
        <f t="array" ref="W57">IF(ISNUMBER(AC57),INDEX('All Player Data Store'!$S$7:$S$594,SMALL(IF('All Player Data Store'!$Y$7:$Y$594=AC57,ROW('All Player Data Store'!$Y$7:$Y$594)-ROW('All Player Data Store'!$Y$7)+1),COUNTIF($AC$8:AC57,AC57))),"")</f>
        <v>23.86</v>
      </c>
      <c r="X57" s="108">
        <f t="array" ref="X57">IF(ISNUMBER(AC57),INDEX('All Player Data Store'!$T$7:$T$594,SMALL(IF('All Player Data Store'!$Y$7:$Y$594=AC57,ROW('All Player Data Store'!$Y$7:$Y$594)-ROW('All Player Data Store'!$Y$7)+1),COUNTIF($AC$8:AC57,AC57))),"")</f>
        <v>22.91</v>
      </c>
      <c r="Y57" s="108" t="str">
        <f t="array" ref="Y57">IF(ISNUMBER(AC57),INDEX('All Player Data Store'!$U$7:$U$594,SMALL(IF('All Player Data Store'!$Y$7:$Y$594=AC57,ROW('All Player Data Store'!$Y$7:$Y$594)-ROW('All Player Data Store'!$Y$7)+1),COUNTIF($AC$8:AC57,AC57))),"")</f>
        <v/>
      </c>
      <c r="Z57" s="108">
        <f t="array" ref="Z57">IF(ISNUMBER(AC57),INDEX('All Player Data Store'!$V$7:$V$594,SMALL(IF('All Player Data Store'!$Y$7:$Y$594=AC57,ROW('All Player Data Store'!$Y$7:$Y$594)-ROW('All Player Data Store'!$Y$7)+1),COUNTIF($AC$8:AC57,AC57))),"")</f>
        <v>21.5</v>
      </c>
      <c r="AA57" s="112">
        <f t="array" ref="AA57">IF(ISNUMBER(AC57),INDEX('All Player Data Store'!$W$7:$W$594,SMALL(IF('All Player Data Store'!$Y$7:$Y$594=AC57,ROW('All Player Data Store'!$Y$7:$Y$594)-ROW('All Player Data Store'!$Y$7)+1),COUNTIF($AC$8:AC57,AC57))),"")</f>
        <v>1</v>
      </c>
      <c r="AB57" s="108">
        <f t="array" ref="AB57">IF(ISNUMBER(AC57),INDEX('All Player Data Store'!$X$7:$X$594,SMALL(IF('All Player Data Store'!$Y$7:$Y$594=AC57,ROW('All Player Data Store'!$Y$7:$Y$594)-ROW('All Player Data Store'!$Y$7)+1),COUNTIF($AC$8:AC57,AC57))),"")</f>
        <v>23.136666666666667</v>
      </c>
      <c r="AC57" s="115">
        <f>IF(ISERROR(IF(ISERROR(LARGE('All Player Data Store'!$Y$7:$Y$594,50)),"",(LARGE('All Player Data Store'!$Y$7:$Y$594,50)))),"",(IF(ISERROR(LARGE('All Player Data Store'!$Y$7:$Y$594,50)),"",(LARGE('All Player Data Store'!$Y$7:$Y$594,50)))))</f>
        <v>28.136666666666667</v>
      </c>
      <c r="AD57" s="106">
        <f t="shared" si="2"/>
        <v>3</v>
      </c>
      <c r="AE57" s="107" t="str">
        <f t="array" ref="AE57">IF(ISNUMBER(AC57),INDEX('All Player Data Store'!$J$8:$J$594,SMALL(IF('All Player Data Store'!$Y$7:$Y$594=AC57,ROW('All Player Data Store'!$Y$7:$Y$594)-ROW('All Player Data Store'!$Y$7)+1),COUNTIF($AC$8:AC57,AC57))),"")</f>
        <v>4*0</v>
      </c>
      <c r="AF57" s="108">
        <f t="shared" si="3"/>
        <v>26.05</v>
      </c>
      <c r="AG57" s="108" t="str">
        <f t="array" ref="AG57">IF(ISNUMBER(AC57),INDEX('All Player Data Store'!$K$8:$K$594,SMALL(IF('All Player Data Store'!$Y$7:$Y$594=AC57,ROW('All Player Data Store'!$Y$7:$Y$594)-ROW('All Player Data Store'!$Y$7)+1),COUNTIF($AC$8:AC57,AC57))),"")</f>
        <v/>
      </c>
      <c r="AH57" s="108" t="str">
        <f t="shared" si="4"/>
        <v/>
      </c>
      <c r="AI57" s="108" t="str">
        <f t="array" ref="AI57">IF(ISNUMBER(AC57),INDEX('All Player Data Store'!$L$8:$L$594,SMALL(IF('All Player Data Store'!$Y$7:$Y$594=AC57,ROW('All Player Data Store'!$Y$7:$Y$594)-ROW('All Player Data Store'!$Y$7)+1),COUNTIF($AC$8:AC57,AC57))),"")</f>
        <v>4*0</v>
      </c>
      <c r="AJ57" s="108">
        <f t="shared" si="5"/>
        <v>24.86</v>
      </c>
      <c r="AK57" s="108" t="str">
        <f t="array" ref="AK57">IF(ISNUMBER(AC57),INDEX('All Player Data Store'!$M$8:$M$594,SMALL(IF('All Player Data Store'!$Y$7:$Y$594=AC57,ROW('All Player Data Store'!$Y$7:$Y$594)-ROW('All Player Data Store'!$Y$7)+1),COUNTIF($AC$8:AC57,AC57))),"")</f>
        <v/>
      </c>
      <c r="AL57" s="108" t="str">
        <f t="shared" si="6"/>
        <v/>
      </c>
      <c r="AM57" s="108" t="str">
        <f t="array" ref="AM57">IF(ISNUMBER(AC57),INDEX('All Player Data Store'!$N$8:$N$594,SMALL(IF('All Player Data Store'!$Y$7:$Y$594=AC57,ROW('All Player Data Store'!$Y$7:$Y$594)-ROW('All Player Data Store'!$Y$7)+1),COUNTIF($AC$8:AC57,AC57))),"")</f>
        <v/>
      </c>
      <c r="AN57" s="108" t="str">
        <f t="shared" si="7"/>
        <v/>
      </c>
      <c r="AO57" s="108" t="str">
        <f t="array" ref="AO57">IF(ISNUMBER(AC57),INDEX('All Player Data Store'!$O$8:$O$594,SMALL(IF('All Player Data Store'!$Y$7:$Y$594=AC57,ROW('All Player Data Store'!$Y$7:$Y$594)-ROW('All Player Data Store'!$Y$7)+1),COUNTIF($AC$8:AC57,AC57))),"")</f>
        <v/>
      </c>
      <c r="AP57" s="108" t="str">
        <f t="shared" si="8"/>
        <v/>
      </c>
      <c r="AQ57" s="108" t="str">
        <f t="array" ref="AQ57">IF(ISNUMBER(AC57),INDEX('All Player Data Store'!$P$8:$P$594,SMALL(IF('All Player Data Store'!$Y$7:$Y$594=AC57,ROW('All Player Data Store'!$Y$7:$Y$594)-ROW('All Player Data Store'!$Y$7)+1),COUNTIF($AC$8:AC57,AC57))),"")</f>
        <v/>
      </c>
      <c r="AR57" s="108" t="str">
        <f t="shared" si="9"/>
        <v/>
      </c>
      <c r="AS57" s="108" t="str">
        <f t="array" ref="AS57">IF(ISNUMBER(AC57),INDEX('All Player Data Store'!$Q$8:$Q$594,SMALL(IF('All Player Data Store'!$Y$7:$Y$594=AC57,ROW('All Player Data Store'!$Y$7:$Y$594)-ROW('All Player Data Store'!$Y$7)+1),COUNTIF($AC$8:AC57,AC57))),"")</f>
        <v>4*3</v>
      </c>
      <c r="AT57" s="108">
        <f t="shared" si="10"/>
        <v>22.64</v>
      </c>
      <c r="AU57" s="108" t="str">
        <f t="array" ref="AU57">IF(ISNUMBER(AC57),INDEX('All Player Data Store'!$R$8:$R$594,SMALL(IF('All Player Data Store'!$Y$7:$Y$594=AC57,ROW('All Player Data Store'!$Y$7:$Y$594)-ROW('All Player Data Store'!$Y$7)+1),COUNTIF($AC$8:AC57,AC57))),"")</f>
        <v/>
      </c>
      <c r="AV57" s="108" t="str">
        <f t="shared" si="11"/>
        <v/>
      </c>
      <c r="AW57" s="108" t="str">
        <f t="array" ref="AW57">IF(ISNUMBER(AC57),INDEX('All Player Data Store'!$S$8:$S$594,SMALL(IF('All Player Data Store'!$Y$7:$Y$594=AC57,ROW('All Player Data Store'!$Y$7:$Y$594)-ROW('All Player Data Store'!$Y$7)+1),COUNTIF($AC$8:AC57,AC57))),"")</f>
        <v>4*0</v>
      </c>
      <c r="AX57" s="108">
        <f t="shared" si="12"/>
        <v>24.86</v>
      </c>
      <c r="AY57" s="108" t="str">
        <f t="array" ref="AY57">IF(ISNUMBER(AC57),INDEX('All Player Data Store'!$T$8:$T$594,SMALL(IF('All Player Data Store'!$Y$7:$Y$594=AC57,ROW('All Player Data Store'!$Y$7:$Y$594)-ROW('All Player Data Store'!$Y$7)+1),COUNTIF($AC$8:AC57,AC57))),"")</f>
        <v>1*4</v>
      </c>
      <c r="AZ57" s="108">
        <f t="shared" si="13"/>
        <v>22.91</v>
      </c>
      <c r="BA57" s="108" t="str">
        <f t="array" ref="BA57">IF(ISNUMBER(AC57),INDEX('All Player Data Store'!$U$8:$U$594,SMALL(IF('All Player Data Store'!$Y$7:$Y$594=AC57,ROW('All Player Data Store'!$Y$7:$Y$594)-ROW('All Player Data Store'!$Y$7)+1),COUNTIF($AC$8:AC57,AC57))),"")</f>
        <v/>
      </c>
      <c r="BB57" s="108" t="str">
        <f t="shared" si="14"/>
        <v/>
      </c>
      <c r="BC57" s="108" t="str">
        <f t="array" ref="BC57">IF(ISNUMBER(AC57),INDEX('All Player Data Store'!$V$8:$V$594,SMALL(IF('All Player Data Store'!$Y$7:$Y$594=AC57,ROW('All Player Data Store'!$Y$7:$Y$594)-ROW('All Player Data Store'!$Y$7)+1),COUNTIF($AC$8:AC57,AC57))),"")</f>
        <v>4*1(1)</v>
      </c>
      <c r="BD57" s="108">
        <f t="shared" si="15"/>
        <v>22.5</v>
      </c>
      <c r="BE57" s="1"/>
    </row>
    <row r="58" spans="2:57" ht="12" customHeight="1" x14ac:dyDescent="0.2">
      <c r="B58" s="98" t="str">
        <f t="shared" si="0"/>
        <v>N</v>
      </c>
      <c r="C58" s="1"/>
      <c r="D58" s="68">
        <f t="shared" si="1"/>
        <v>51</v>
      </c>
      <c r="E58" s="2"/>
      <c r="F58" s="78">
        <v>51</v>
      </c>
      <c r="G58" s="110" t="str">
        <f t="array" ref="G58">IF(ISNUMBER(AC58),INDEX('All Player Data Store'!$C$7:$C$594,SMALL(IF('All Player Data Store'!$Y$7:$Y$594=AC58,ROW('All Player Data Store'!$Y$7:$Y$594)-ROW('All Player Data Store'!$Y$7)+1),COUNTIF($AC$8:AC58,AC58))),"")</f>
        <v>Gordon Penn</v>
      </c>
      <c r="H58" s="111" t="str">
        <f t="array" ref="H58">IF(ISNUMBER(AC58),INDEX('All Player Data Store'!$D$7:$D$594,SMALL(IF('All Player Data Store'!$Y$7:$Y$594=AC58,ROW('All Player Data Store'!$Y$7:$Y$594)-ROW('All Player Data Store'!$Y$7)+1),COUNTIF($AC$8:AC58,AC58))),"")</f>
        <v>Bos</v>
      </c>
      <c r="I58" s="69">
        <f t="array" ref="I58">IF(ISNUMBER(AC58),INDEX('All Player Data Store'!$E$7:$E$594,SMALL(IF('All Player Data Store'!$Y$7:$Y$594=AC58,ROW('All Player Data Store'!$Y$7:$Y$594)-ROW('All Player Data Store'!$Y$7)+1),COUNTIF($AC$8:AC58,AC58))),"")</f>
        <v>9</v>
      </c>
      <c r="J58" s="70">
        <f t="array" ref="J58">IF(ISNUMBER(AC58),INDEX('All Player Data Store'!$F$7:$F$594,SMALL(IF('All Player Data Store'!$Y$7:$Y$594=AC58,ROW('All Player Data Store'!$Y$7:$Y$594)-ROW('All Player Data Store'!$Y$7)+1),COUNTIF($AC$8:AC58,AC58))),"")</f>
        <v>7</v>
      </c>
      <c r="K58" s="112">
        <f t="array" ref="K58">IF(ISNUMBER(AC58),INDEX('All Player Data Store'!$G$7:$G$594,SMALL(IF('All Player Data Store'!$Y$7:$Y$594=AC58,ROW('All Player Data Store'!$Y$7:$Y$594)-ROW('All Player Data Store'!$Y$7)+1),COUNTIF($AC$8:AC58,AC58))),"")</f>
        <v>2</v>
      </c>
      <c r="L58" s="112">
        <f t="array" ref="L58">IF(ISNUMBER(AC58),INDEX('All Player Data Store'!$H$7:$H$594,SMALL(IF('All Player Data Store'!$Y$7:$Y$594=AC58,ROW('All Player Data Store'!$Y$7:$Y$594)-ROW('All Player Data Store'!$Y$7)+1),COUNTIF($AC$8:AC58,AC58))),"")</f>
        <v>34</v>
      </c>
      <c r="M58" s="113">
        <f t="array" ref="M58">IF(ISNUMBER(AC58),INDEX('All Player Data Store'!$I$7:$I$594,SMALL(IF('All Player Data Store'!$Y$7:$Y$594=AC58,ROW('All Player Data Store'!$Y$7:$Y$594)-ROW('All Player Data Store'!$Y$7)+1),COUNTIF($AC$8:AC58,AC58))),"")</f>
        <v>17</v>
      </c>
      <c r="N58" s="114" t="str">
        <f t="array" ref="N58">IF(ISNUMBER(AC58),INDEX('All Player Data Store'!$J$7:$J$594,SMALL(IF('All Player Data Store'!$Y$7:$Y$594=AC58,ROW('All Player Data Store'!$Y$7:$Y$594)-ROW('All Player Data Store'!$Y$7)+1),COUNTIF($AC$8:AC58,AC58))),"")</f>
        <v/>
      </c>
      <c r="O58" s="108" t="str">
        <f t="array" ref="O58">IF(ISNUMBER(AC58),INDEX('All Player Data Store'!$K$7:$K$594,SMALL(IF('All Player Data Store'!$Y$7:$Y$594=AC58,ROW('All Player Data Store'!$Y$7:$Y$594)-ROW('All Player Data Store'!$Y$7)+1),COUNTIF($AC$8:AC58,AC58))),"")</f>
        <v/>
      </c>
      <c r="P58" s="108">
        <f t="array" ref="P58">IF(ISNUMBER(AC58),INDEX('All Player Data Store'!$L$7:$L$594,SMALL(IF('All Player Data Store'!$Y$7:$Y$594=AC58,ROW('All Player Data Store'!$Y$7:$Y$594)-ROW('All Player Data Store'!$Y$7)+1),COUNTIF($AC$8:AC58,AC58))),"")</f>
        <v>21.46</v>
      </c>
      <c r="Q58" s="108">
        <f t="array" ref="Q58">IF(ISNUMBER(AC58),INDEX('All Player Data Store'!$M$7:$M$594,SMALL(IF('All Player Data Store'!$Y$7:$Y$594=AC58,ROW('All Player Data Store'!$Y$7:$Y$594)-ROW('All Player Data Store'!$Y$7)+1),COUNTIF($AC$8:AC58,AC58))),"")</f>
        <v>22.77</v>
      </c>
      <c r="R58" s="108">
        <f t="array" ref="R58">IF(ISNUMBER(AC58),INDEX('All Player Data Store'!$N$7:$N$594,SMALL(IF('All Player Data Store'!$Y$7:$Y$594=AC58,ROW('All Player Data Store'!$Y$7:$Y$594)-ROW('All Player Data Store'!$Y$7)+1),COUNTIF($AC$8:AC58,AC58))),"")</f>
        <v>21.74</v>
      </c>
      <c r="S58" s="108">
        <f t="array" ref="S58">IF(ISNUMBER(AC58),INDEX('All Player Data Store'!$O$7:$O$594,SMALL(IF('All Player Data Store'!$Y$7:$Y$594=AC58,ROW('All Player Data Store'!$Y$7:$Y$594)-ROW('All Player Data Store'!$Y$7)+1),COUNTIF($AC$8:AC58,AC58))),"")</f>
        <v>19.05</v>
      </c>
      <c r="T58" s="108">
        <f t="array" ref="T58">IF(ISNUMBER(AC58),INDEX('All Player Data Store'!$P$7:$P$594,SMALL(IF('All Player Data Store'!$Y$7:$Y$594=AC58,ROW('All Player Data Store'!$Y$7:$Y$594)-ROW('All Player Data Store'!$Y$7)+1),COUNTIF($AC$8:AC58,AC58))),"")</f>
        <v>19.97</v>
      </c>
      <c r="U58" s="108">
        <f t="array" ref="U58">IF(ISNUMBER(AC58),INDEX('All Player Data Store'!$Q$7:$Q$594,SMALL(IF('All Player Data Store'!$Y$7:$Y$594=AC58,ROW('All Player Data Store'!$Y$7:$Y$594)-ROW('All Player Data Store'!$Y$7)+1),COUNTIF($AC$8:AC58,AC58))),"")</f>
        <v>24.84</v>
      </c>
      <c r="V58" s="108">
        <f t="array" ref="V58">IF(ISNUMBER(AC58),INDEX('All Player Data Store'!$R$7:$R$594,SMALL(IF('All Player Data Store'!$Y$7:$Y$594=AC58,ROW('All Player Data Store'!$Y$7:$Y$594)-ROW('All Player Data Store'!$Y$7)+1),COUNTIF($AC$8:AC58,AC58))),"")</f>
        <v>17.079999999999998</v>
      </c>
      <c r="W58" s="108">
        <f t="array" ref="W58">IF(ISNUMBER(AC58),INDEX('All Player Data Store'!$S$7:$S$594,SMALL(IF('All Player Data Store'!$Y$7:$Y$594=AC58,ROW('All Player Data Store'!$Y$7:$Y$594)-ROW('All Player Data Store'!$Y$7)+1),COUNTIF($AC$8:AC58,AC58))),"")</f>
        <v>19.86</v>
      </c>
      <c r="X58" s="108" t="str">
        <f t="array" ref="X58">IF(ISNUMBER(AC58),INDEX('All Player Data Store'!$T$7:$T$594,SMALL(IF('All Player Data Store'!$Y$7:$Y$594=AC58,ROW('All Player Data Store'!$Y$7:$Y$594)-ROW('All Player Data Store'!$Y$7)+1),COUNTIF($AC$8:AC58,AC58))),"")</f>
        <v/>
      </c>
      <c r="Y58" s="108" t="str">
        <f t="array" ref="Y58">IF(ISNUMBER(AC58),INDEX('All Player Data Store'!$U$7:$U$594,SMALL(IF('All Player Data Store'!$Y$7:$Y$594=AC58,ROW('All Player Data Store'!$Y$7:$Y$594)-ROW('All Player Data Store'!$Y$7)+1),COUNTIF($AC$8:AC58,AC58))),"")</f>
        <v/>
      </c>
      <c r="Z58" s="108">
        <f t="array" ref="Z58">IF(ISNUMBER(AC58),INDEX('All Player Data Store'!$V$7:$V$594,SMALL(IF('All Player Data Store'!$Y$7:$Y$594=AC58,ROW('All Player Data Store'!$Y$7:$Y$594)-ROW('All Player Data Store'!$Y$7)+1),COUNTIF($AC$8:AC58,AC58))),"")</f>
        <v>22.52</v>
      </c>
      <c r="AA58" s="112">
        <f t="array" ref="AA58">IF(ISNUMBER(AC58),INDEX('All Player Data Store'!$W$7:$W$594,SMALL(IF('All Player Data Store'!$Y$7:$Y$594=AC58,ROW('All Player Data Store'!$Y$7:$Y$594)-ROW('All Player Data Store'!$Y$7)+1),COUNTIF($AC$8:AC58,AC58))),"")</f>
        <v>1</v>
      </c>
      <c r="AB58" s="108">
        <f t="array" ref="AB58">IF(ISNUMBER(AC58),INDEX('All Player Data Store'!$X$7:$X$594,SMALL(IF('All Player Data Store'!$Y$7:$Y$594=AC58,ROW('All Player Data Store'!$Y$7:$Y$594)-ROW('All Player Data Store'!$Y$7)+1),COUNTIF($AC$8:AC58,AC58))),"")</f>
        <v>21.03222222222222</v>
      </c>
      <c r="AC58" s="115">
        <f>IF(ISERROR(IF(ISERROR(LARGE('All Player Data Store'!$Y$7:$Y$594,51)),"",(LARGE('All Player Data Store'!$Y$7:$Y$594,51)))),"",(IF(ISERROR(LARGE('All Player Data Store'!$Y$7:$Y$594,51)),"",(LARGE('All Player Data Store'!$Y$7:$Y$594,51)))))</f>
        <v>28.03222222222222</v>
      </c>
      <c r="AD58" s="106">
        <f t="shared" si="2"/>
        <v>3</v>
      </c>
      <c r="AE58" s="107" t="str">
        <f t="array" ref="AE58">IF(ISNUMBER(AC58),INDEX('All Player Data Store'!$J$8:$J$594,SMALL(IF('All Player Data Store'!$Y$7:$Y$594=AC58,ROW('All Player Data Store'!$Y$7:$Y$594)-ROW('All Player Data Store'!$Y$7)+1),COUNTIF($AC$8:AC58,AC58))),"")</f>
        <v/>
      </c>
      <c r="AF58" s="108" t="str">
        <f t="shared" si="3"/>
        <v/>
      </c>
      <c r="AG58" s="108" t="str">
        <f t="array" ref="AG58">IF(ISNUMBER(AC58),INDEX('All Player Data Store'!$K$8:$K$594,SMALL(IF('All Player Data Store'!$Y$7:$Y$594=AC58,ROW('All Player Data Store'!$Y$7:$Y$594)-ROW('All Player Data Store'!$Y$7)+1),COUNTIF($AC$8:AC58,AC58))),"")</f>
        <v/>
      </c>
      <c r="AH58" s="108" t="str">
        <f t="shared" si="4"/>
        <v/>
      </c>
      <c r="AI58" s="108" t="str">
        <f t="array" ref="AI58">IF(ISNUMBER(AC58),INDEX('All Player Data Store'!$L$8:$L$594,SMALL(IF('All Player Data Store'!$Y$7:$Y$594=AC58,ROW('All Player Data Store'!$Y$7:$Y$594)-ROW('All Player Data Store'!$Y$7)+1),COUNTIF($AC$8:AC58,AC58))),"")</f>
        <v>4*1</v>
      </c>
      <c r="AJ58" s="108">
        <f t="shared" si="5"/>
        <v>22.46</v>
      </c>
      <c r="AK58" s="108" t="str">
        <f t="array" ref="AK58">IF(ISNUMBER(AC58),INDEX('All Player Data Store'!$M$8:$M$594,SMALL(IF('All Player Data Store'!$Y$7:$Y$594=AC58,ROW('All Player Data Store'!$Y$7:$Y$594)-ROW('All Player Data Store'!$Y$7)+1),COUNTIF($AC$8:AC58,AC58))),"")</f>
        <v>4*0</v>
      </c>
      <c r="AL58" s="108">
        <f t="shared" si="6"/>
        <v>23.77</v>
      </c>
      <c r="AM58" s="108" t="str">
        <f t="array" ref="AM58">IF(ISNUMBER(AC58),INDEX('All Player Data Store'!$N$8:$N$594,SMALL(IF('All Player Data Store'!$Y$7:$Y$594=AC58,ROW('All Player Data Store'!$Y$7:$Y$594)-ROW('All Player Data Store'!$Y$7)+1),COUNTIF($AC$8:AC58,AC58))),"")</f>
        <v>4*3</v>
      </c>
      <c r="AN58" s="108">
        <f t="shared" si="7"/>
        <v>22.74</v>
      </c>
      <c r="AO58" s="108" t="str">
        <f t="array" ref="AO58">IF(ISNUMBER(AC58),INDEX('All Player Data Store'!$O$8:$O$594,SMALL(IF('All Player Data Store'!$Y$7:$Y$594=AC58,ROW('All Player Data Store'!$Y$7:$Y$594)-ROW('All Player Data Store'!$Y$7)+1),COUNTIF($AC$8:AC58,AC58))),"")</f>
        <v>4*1(1)</v>
      </c>
      <c r="AP58" s="108">
        <f t="shared" si="8"/>
        <v>20.05</v>
      </c>
      <c r="AQ58" s="108" t="str">
        <f t="array" ref="AQ58">IF(ISNUMBER(AC58),INDEX('All Player Data Store'!$P$8:$P$594,SMALL(IF('All Player Data Store'!$Y$7:$Y$594=AC58,ROW('All Player Data Store'!$Y$7:$Y$594)-ROW('All Player Data Store'!$Y$7)+1),COUNTIF($AC$8:AC58,AC58))),"")</f>
        <v>3*4</v>
      </c>
      <c r="AR58" s="108">
        <f t="shared" si="9"/>
        <v>19.97</v>
      </c>
      <c r="AS58" s="108" t="str">
        <f t="array" ref="AS58">IF(ISNUMBER(AC58),INDEX('All Player Data Store'!$Q$8:$Q$594,SMALL(IF('All Player Data Store'!$Y$7:$Y$594=AC58,ROW('All Player Data Store'!$Y$7:$Y$594)-ROW('All Player Data Store'!$Y$7)+1),COUNTIF($AC$8:AC58,AC58))),"")</f>
        <v>4*2</v>
      </c>
      <c r="AT58" s="108">
        <f t="shared" si="10"/>
        <v>25.84</v>
      </c>
      <c r="AU58" s="108" t="str">
        <f t="array" ref="AU58">IF(ISNUMBER(AC58),INDEX('All Player Data Store'!$R$8:$R$594,SMALL(IF('All Player Data Store'!$Y$7:$Y$594=AC58,ROW('All Player Data Store'!$Y$7:$Y$594)-ROW('All Player Data Store'!$Y$7)+1),COUNTIF($AC$8:AC58,AC58))),"")</f>
        <v>4*2</v>
      </c>
      <c r="AV58" s="108">
        <f t="shared" si="11"/>
        <v>18.079999999999998</v>
      </c>
      <c r="AW58" s="108" t="str">
        <f t="array" ref="AW58">IF(ISNUMBER(AC58),INDEX('All Player Data Store'!$S$8:$S$594,SMALL(IF('All Player Data Store'!$Y$7:$Y$594=AC58,ROW('All Player Data Store'!$Y$7:$Y$594)-ROW('All Player Data Store'!$Y$7)+1),COUNTIF($AC$8:AC58,AC58))),"")</f>
        <v>3*4</v>
      </c>
      <c r="AX58" s="108">
        <f t="shared" si="12"/>
        <v>19.86</v>
      </c>
      <c r="AY58" s="108" t="str">
        <f t="array" ref="AY58">IF(ISNUMBER(AC58),INDEX('All Player Data Store'!$T$8:$T$594,SMALL(IF('All Player Data Store'!$Y$7:$Y$594=AC58,ROW('All Player Data Store'!$Y$7:$Y$594)-ROW('All Player Data Store'!$Y$7)+1),COUNTIF($AC$8:AC58,AC58))),"")</f>
        <v/>
      </c>
      <c r="AZ58" s="108" t="str">
        <f t="shared" si="13"/>
        <v/>
      </c>
      <c r="BA58" s="108" t="str">
        <f t="array" ref="BA58">IF(ISNUMBER(AC58),INDEX('All Player Data Store'!$U$8:$U$594,SMALL(IF('All Player Data Store'!$Y$7:$Y$594=AC58,ROW('All Player Data Store'!$Y$7:$Y$594)-ROW('All Player Data Store'!$Y$7)+1),COUNTIF($AC$8:AC58,AC58))),"")</f>
        <v/>
      </c>
      <c r="BB58" s="108" t="str">
        <f t="shared" si="14"/>
        <v/>
      </c>
      <c r="BC58" s="108" t="str">
        <f t="array" ref="BC58">IF(ISNUMBER(AC58),INDEX('All Player Data Store'!$V$8:$V$594,SMALL(IF('All Player Data Store'!$Y$7:$Y$594=AC58,ROW('All Player Data Store'!$Y$7:$Y$594)-ROW('All Player Data Store'!$Y$7)+1),COUNTIF($AC$8:AC58,AC58))),"")</f>
        <v>4*0</v>
      </c>
      <c r="BD58" s="108">
        <f t="shared" si="15"/>
        <v>23.52</v>
      </c>
      <c r="BE58" s="1"/>
    </row>
    <row r="59" spans="2:57" ht="12" customHeight="1" x14ac:dyDescent="0.2">
      <c r="B59" s="98" t="str">
        <f t="shared" si="0"/>
        <v>Y</v>
      </c>
      <c r="C59" s="1"/>
      <c r="D59" s="68">
        <f t="shared" si="1"/>
        <v>52</v>
      </c>
      <c r="E59" s="2"/>
      <c r="F59" s="78">
        <v>52</v>
      </c>
      <c r="G59" s="110" t="str">
        <f t="array" ref="G59">IF(ISNUMBER(AC59),INDEX('All Player Data Store'!$C$7:$C$594,SMALL(IF('All Player Data Store'!$Y$7:$Y$594=AC59,ROW('All Player Data Store'!$Y$7:$Y$594)-ROW('All Player Data Store'!$Y$7)+1),COUNTIF($AC$8:AC59,AC59))),"")</f>
        <v>Steve Bullock</v>
      </c>
      <c r="H59" s="111" t="str">
        <f t="array" ref="H59">IF(ISNUMBER(AC59),INDEX('All Player Data Store'!$D$7:$D$594,SMALL(IF('All Player Data Store'!$Y$7:$Y$594=AC59,ROW('All Player Data Store'!$Y$7:$Y$594)-ROW('All Player Data Store'!$Y$7)+1),COUNTIF($AC$8:AC59,AC59))),"")</f>
        <v>Aly</v>
      </c>
      <c r="I59" s="69">
        <f t="array" ref="I59">IF(ISNUMBER(AC59),INDEX('All Player Data Store'!$E$7:$E$594,SMALL(IF('All Player Data Store'!$Y$7:$Y$594=AC59,ROW('All Player Data Store'!$Y$7:$Y$594)-ROW('All Player Data Store'!$Y$7)+1),COUNTIF($AC$8:AC59,AC59))),"")</f>
        <v>12</v>
      </c>
      <c r="J59" s="70">
        <f t="array" ref="J59">IF(ISNUMBER(AC59),INDEX('All Player Data Store'!$F$7:$F$594,SMALL(IF('All Player Data Store'!$Y$7:$Y$594=AC59,ROW('All Player Data Store'!$Y$7:$Y$594)-ROW('All Player Data Store'!$Y$7)+1),COUNTIF($AC$8:AC59,AC59))),"")</f>
        <v>8</v>
      </c>
      <c r="K59" s="112">
        <f t="array" ref="K59">IF(ISNUMBER(AC59),INDEX('All Player Data Store'!$G$7:$G$594,SMALL(IF('All Player Data Store'!$Y$7:$Y$594=AC59,ROW('All Player Data Store'!$Y$7:$Y$594)-ROW('All Player Data Store'!$Y$7)+1),COUNTIF($AC$8:AC59,AC59))),"")</f>
        <v>4</v>
      </c>
      <c r="L59" s="112">
        <f t="array" ref="L59">IF(ISNUMBER(AC59),INDEX('All Player Data Store'!$H$7:$H$594,SMALL(IF('All Player Data Store'!$Y$7:$Y$594=AC59,ROW('All Player Data Store'!$Y$7:$Y$594)-ROW('All Player Data Store'!$Y$7)+1),COUNTIF($AC$8:AC59,AC59))),"")</f>
        <v>35</v>
      </c>
      <c r="M59" s="113">
        <f t="array" ref="M59">IF(ISNUMBER(AC59),INDEX('All Player Data Store'!$I$7:$I$594,SMALL(IF('All Player Data Store'!$Y$7:$Y$594=AC59,ROW('All Player Data Store'!$Y$7:$Y$594)-ROW('All Player Data Store'!$Y$7)+1),COUNTIF($AC$8:AC59,AC59))),"")</f>
        <v>33</v>
      </c>
      <c r="N59" s="114">
        <f t="array" ref="N59">IF(ISNUMBER(AC59),INDEX('All Player Data Store'!$J$7:$J$594,SMALL(IF('All Player Data Store'!$Y$7:$Y$594=AC59,ROW('All Player Data Store'!$Y$7:$Y$594)-ROW('All Player Data Store'!$Y$7)+1),COUNTIF($AC$8:AC59,AC59))),"")</f>
        <v>19.46</v>
      </c>
      <c r="O59" s="108">
        <f t="array" ref="O59">IF(ISNUMBER(AC59),INDEX('All Player Data Store'!$K$7:$K$594,SMALL(IF('All Player Data Store'!$Y$7:$Y$594=AC59,ROW('All Player Data Store'!$Y$7:$Y$594)-ROW('All Player Data Store'!$Y$7)+1),COUNTIF($AC$8:AC59,AC59))),"")</f>
        <v>20.55</v>
      </c>
      <c r="P59" s="108">
        <f t="array" ref="P59">IF(ISNUMBER(AC59),INDEX('All Player Data Store'!$L$7:$L$594,SMALL(IF('All Player Data Store'!$Y$7:$Y$594=AC59,ROW('All Player Data Store'!$Y$7:$Y$594)-ROW('All Player Data Store'!$Y$7)+1),COUNTIF($AC$8:AC59,AC59))),"")</f>
        <v>20.16</v>
      </c>
      <c r="Q59" s="108" t="str">
        <f t="array" ref="Q59">IF(ISNUMBER(AC59),INDEX('All Player Data Store'!$M$7:$M$594,SMALL(IF('All Player Data Store'!$Y$7:$Y$594=AC59,ROW('All Player Data Store'!$Y$7:$Y$594)-ROW('All Player Data Store'!$Y$7)+1),COUNTIF($AC$8:AC59,AC59))),"")</f>
        <v/>
      </c>
      <c r="R59" s="108">
        <f t="array" ref="R59">IF(ISNUMBER(AC59),INDEX('All Player Data Store'!$N$7:$N$594,SMALL(IF('All Player Data Store'!$Y$7:$Y$594=AC59,ROW('All Player Data Store'!$Y$7:$Y$594)-ROW('All Player Data Store'!$Y$7)+1),COUNTIF($AC$8:AC59,AC59))),"")</f>
        <v>18.13</v>
      </c>
      <c r="S59" s="108">
        <f t="array" ref="S59">IF(ISNUMBER(AC59),INDEX('All Player Data Store'!$O$7:$O$594,SMALL(IF('All Player Data Store'!$Y$7:$Y$594=AC59,ROW('All Player Data Store'!$Y$7:$Y$594)-ROW('All Player Data Store'!$Y$7)+1),COUNTIF($AC$8:AC59,AC59))),"")</f>
        <v>21.1</v>
      </c>
      <c r="T59" s="108">
        <f t="array" ref="T59">IF(ISNUMBER(AC59),INDEX('All Player Data Store'!$P$7:$P$594,SMALL(IF('All Player Data Store'!$Y$7:$Y$594=AC59,ROW('All Player Data Store'!$Y$7:$Y$594)-ROW('All Player Data Store'!$Y$7)+1),COUNTIF($AC$8:AC59,AC59))),"")</f>
        <v>17.760000000000002</v>
      </c>
      <c r="U59" s="108">
        <f t="array" ref="U59">IF(ISNUMBER(AC59),INDEX('All Player Data Store'!$Q$7:$Q$594,SMALL(IF('All Player Data Store'!$Y$7:$Y$594=AC59,ROW('All Player Data Store'!$Y$7:$Y$594)-ROW('All Player Data Store'!$Y$7)+1),COUNTIF($AC$8:AC59,AC59))),"")</f>
        <v>19.64</v>
      </c>
      <c r="V59" s="108">
        <f t="array" ref="V59">IF(ISNUMBER(AC59),INDEX('All Player Data Store'!$R$7:$R$594,SMALL(IF('All Player Data Store'!$Y$7:$Y$594=AC59,ROW('All Player Data Store'!$Y$7:$Y$594)-ROW('All Player Data Store'!$Y$7)+1),COUNTIF($AC$8:AC59,AC59))),"")</f>
        <v>17.22</v>
      </c>
      <c r="W59" s="108">
        <f t="array" ref="W59">IF(ISNUMBER(AC59),INDEX('All Player Data Store'!$S$7:$S$594,SMALL(IF('All Player Data Store'!$Y$7:$Y$594=AC59,ROW('All Player Data Store'!$Y$7:$Y$594)-ROW('All Player Data Store'!$Y$7)+1),COUNTIF($AC$8:AC59,AC59))),"")</f>
        <v>20.12</v>
      </c>
      <c r="X59" s="108">
        <f t="array" ref="X59">IF(ISNUMBER(AC59),INDEX('All Player Data Store'!$T$7:$T$594,SMALL(IF('All Player Data Store'!$Y$7:$Y$594=AC59,ROW('All Player Data Store'!$Y$7:$Y$594)-ROW('All Player Data Store'!$Y$7)+1),COUNTIF($AC$8:AC59,AC59))),"")</f>
        <v>22.56</v>
      </c>
      <c r="Y59" s="108">
        <f t="array" ref="Y59">IF(ISNUMBER(AC59),INDEX('All Player Data Store'!$U$7:$U$594,SMALL(IF('All Player Data Store'!$Y$7:$Y$594=AC59,ROW('All Player Data Store'!$Y$7:$Y$594)-ROW('All Player Data Store'!$Y$7)+1),COUNTIF($AC$8:AC59,AC59))),"")</f>
        <v>22.33</v>
      </c>
      <c r="Z59" s="108">
        <f t="array" ref="Z59">IF(ISNUMBER(AC59),INDEX('All Player Data Store'!$V$7:$V$594,SMALL(IF('All Player Data Store'!$Y$7:$Y$594=AC59,ROW('All Player Data Store'!$Y$7:$Y$594)-ROW('All Player Data Store'!$Y$7)+1),COUNTIF($AC$8:AC59,AC59))),"")</f>
        <v>21.25</v>
      </c>
      <c r="AA59" s="112">
        <f t="array" ref="AA59">IF(ISNUMBER(AC59),INDEX('All Player Data Store'!$W$7:$W$594,SMALL(IF('All Player Data Store'!$Y$7:$Y$594=AC59,ROW('All Player Data Store'!$Y$7:$Y$594)-ROW('All Player Data Store'!$Y$7)+1),COUNTIF($AC$8:AC59,AC59))),"")</f>
        <v>1</v>
      </c>
      <c r="AB59" s="108">
        <f t="array" ref="AB59">IF(ISNUMBER(AC59),INDEX('All Player Data Store'!$X$7:$X$594,SMALL(IF('All Player Data Store'!$Y$7:$Y$594=AC59,ROW('All Player Data Store'!$Y$7:$Y$594)-ROW('All Player Data Store'!$Y$7)+1),COUNTIF($AC$8:AC59,AC59))),"")</f>
        <v>20.023333333333337</v>
      </c>
      <c r="AC59" s="115">
        <f>IF(ISERROR(IF(ISERROR(LARGE('All Player Data Store'!$Y$7:$Y$594,52)),"",(LARGE('All Player Data Store'!$Y$7:$Y$594,52)))),"",(IF(ISERROR(LARGE('All Player Data Store'!$Y$7:$Y$594,52)),"",(LARGE('All Player Data Store'!$Y$7:$Y$594,52)))))</f>
        <v>28.023333333333337</v>
      </c>
      <c r="AD59" s="106">
        <f t="shared" si="2"/>
        <v>3</v>
      </c>
      <c r="AE59" s="107" t="str">
        <f t="array" ref="AE59">IF(ISNUMBER(AC59),INDEX('All Player Data Store'!$J$8:$J$594,SMALL(IF('All Player Data Store'!$Y$7:$Y$594=AC59,ROW('All Player Data Store'!$Y$7:$Y$594)-ROW('All Player Data Store'!$Y$7)+1),COUNTIF($AC$8:AC59,AC59))),"")</f>
        <v>4*0</v>
      </c>
      <c r="AF59" s="108">
        <f t="shared" si="3"/>
        <v>20.46</v>
      </c>
      <c r="AG59" s="108" t="str">
        <f t="array" ref="AG59">IF(ISNUMBER(AC59),INDEX('All Player Data Store'!$K$8:$K$594,SMALL(IF('All Player Data Store'!$Y$7:$Y$594=AC59,ROW('All Player Data Store'!$Y$7:$Y$594)-ROW('All Player Data Store'!$Y$7)+1),COUNTIF($AC$8:AC59,AC59))),"")</f>
        <v>4*2</v>
      </c>
      <c r="AH59" s="108">
        <f t="shared" si="4"/>
        <v>21.55</v>
      </c>
      <c r="AI59" s="108" t="str">
        <f t="array" ref="AI59">IF(ISNUMBER(AC59),INDEX('All Player Data Store'!$L$8:$L$594,SMALL(IF('All Player Data Store'!$Y$7:$Y$594=AC59,ROW('All Player Data Store'!$Y$7:$Y$594)-ROW('All Player Data Store'!$Y$7)+1),COUNTIF($AC$8:AC59,AC59))),"")</f>
        <v>2*4</v>
      </c>
      <c r="AJ59" s="108">
        <f t="shared" si="5"/>
        <v>20.16</v>
      </c>
      <c r="AK59" s="108" t="str">
        <f t="array" ref="AK59">IF(ISNUMBER(AC59),INDEX('All Player Data Store'!$M$8:$M$594,SMALL(IF('All Player Data Store'!$Y$7:$Y$594=AC59,ROW('All Player Data Store'!$Y$7:$Y$594)-ROW('All Player Data Store'!$Y$7)+1),COUNTIF($AC$8:AC59,AC59))),"")</f>
        <v/>
      </c>
      <c r="AL59" s="108" t="str">
        <f t="shared" si="6"/>
        <v/>
      </c>
      <c r="AM59" s="108" t="str">
        <f t="array" ref="AM59">IF(ISNUMBER(AC59),INDEX('All Player Data Store'!$N$8:$N$594,SMALL(IF('All Player Data Store'!$Y$7:$Y$594=AC59,ROW('All Player Data Store'!$Y$7:$Y$594)-ROW('All Player Data Store'!$Y$7)+1),COUNTIF($AC$8:AC59,AC59))),"")</f>
        <v>0*4</v>
      </c>
      <c r="AN59" s="108">
        <f t="shared" si="7"/>
        <v>18.13</v>
      </c>
      <c r="AO59" s="108" t="str">
        <f t="array" ref="AO59">IF(ISNUMBER(AC59),INDEX('All Player Data Store'!$O$8:$O$594,SMALL(IF('All Player Data Store'!$Y$7:$Y$594=AC59,ROW('All Player Data Store'!$Y$7:$Y$594)-ROW('All Player Data Store'!$Y$7)+1),COUNTIF($AC$8:AC59,AC59))),"")</f>
        <v>4*2(1)</v>
      </c>
      <c r="AP59" s="108">
        <f t="shared" si="8"/>
        <v>22.1</v>
      </c>
      <c r="AQ59" s="108" t="str">
        <f t="array" ref="AQ59">IF(ISNUMBER(AC59),INDEX('All Player Data Store'!$P$8:$P$594,SMALL(IF('All Player Data Store'!$Y$7:$Y$594=AC59,ROW('All Player Data Store'!$Y$7:$Y$594)-ROW('All Player Data Store'!$Y$7)+1),COUNTIF($AC$8:AC59,AC59))),"")</f>
        <v>4*3</v>
      </c>
      <c r="AR59" s="108">
        <f t="shared" si="9"/>
        <v>18.760000000000002</v>
      </c>
      <c r="AS59" s="108" t="str">
        <f t="array" ref="AS59">IF(ISNUMBER(AC59),INDEX('All Player Data Store'!$Q$8:$Q$594,SMALL(IF('All Player Data Store'!$Y$7:$Y$594=AC59,ROW('All Player Data Store'!$Y$7:$Y$594)-ROW('All Player Data Store'!$Y$7)+1),COUNTIF($AC$8:AC59,AC59))),"")</f>
        <v>4*2</v>
      </c>
      <c r="AT59" s="108">
        <f t="shared" si="10"/>
        <v>20.64</v>
      </c>
      <c r="AU59" s="108" t="str">
        <f t="array" ref="AU59">IF(ISNUMBER(AC59),INDEX('All Player Data Store'!$R$8:$R$594,SMALL(IF('All Player Data Store'!$Y$7:$Y$594=AC59,ROW('All Player Data Store'!$Y$7:$Y$594)-ROW('All Player Data Store'!$Y$7)+1),COUNTIF($AC$8:AC59,AC59))),"")</f>
        <v>4*2</v>
      </c>
      <c r="AV59" s="108">
        <f t="shared" si="11"/>
        <v>18.22</v>
      </c>
      <c r="AW59" s="108" t="str">
        <f t="array" ref="AW59">IF(ISNUMBER(AC59),INDEX('All Player Data Store'!$S$8:$S$594,SMALL(IF('All Player Data Store'!$Y$7:$Y$594=AC59,ROW('All Player Data Store'!$Y$7:$Y$594)-ROW('All Player Data Store'!$Y$7)+1),COUNTIF($AC$8:AC59,AC59))),"")</f>
        <v>0*4</v>
      </c>
      <c r="AX59" s="108">
        <f t="shared" si="12"/>
        <v>20.12</v>
      </c>
      <c r="AY59" s="108" t="str">
        <f t="array" ref="AY59">IF(ISNUMBER(AC59),INDEX('All Player Data Store'!$T$8:$T$594,SMALL(IF('All Player Data Store'!$Y$7:$Y$594=AC59,ROW('All Player Data Store'!$Y$7:$Y$594)-ROW('All Player Data Store'!$Y$7)+1),COUNTIF($AC$8:AC59,AC59))),"")</f>
        <v>1*4</v>
      </c>
      <c r="AZ59" s="108">
        <f t="shared" si="13"/>
        <v>22.56</v>
      </c>
      <c r="BA59" s="108" t="str">
        <f t="array" ref="BA59">IF(ISNUMBER(AC59),INDEX('All Player Data Store'!$U$8:$U$594,SMALL(IF('All Player Data Store'!$Y$7:$Y$594=AC59,ROW('All Player Data Store'!$Y$7:$Y$594)-ROW('All Player Data Store'!$Y$7)+1),COUNTIF($AC$8:AC59,AC59))),"")</f>
        <v>4*3</v>
      </c>
      <c r="BB59" s="108">
        <f t="shared" si="14"/>
        <v>23.33</v>
      </c>
      <c r="BC59" s="108" t="str">
        <f t="array" ref="BC59">IF(ISNUMBER(AC59),INDEX('All Player Data Store'!$V$8:$V$594,SMALL(IF('All Player Data Store'!$Y$7:$Y$594=AC59,ROW('All Player Data Store'!$Y$7:$Y$594)-ROW('All Player Data Store'!$Y$7)+1),COUNTIF($AC$8:AC59,AC59))),"")</f>
        <v>4*3</v>
      </c>
      <c r="BD59" s="108">
        <f t="shared" si="15"/>
        <v>22.25</v>
      </c>
      <c r="BE59" s="1"/>
    </row>
    <row r="60" spans="2:57" ht="12" customHeight="1" x14ac:dyDescent="0.2">
      <c r="B60" s="98" t="str">
        <f t="shared" si="0"/>
        <v>Y</v>
      </c>
      <c r="C60" s="1"/>
      <c r="D60" s="68">
        <f t="shared" si="1"/>
        <v>53</v>
      </c>
      <c r="E60" s="2"/>
      <c r="F60" s="78">
        <v>53</v>
      </c>
      <c r="G60" s="110" t="str">
        <f t="array" ref="G60">IF(ISNUMBER(AC60),INDEX('All Player Data Store'!$C$7:$C$594,SMALL(IF('All Player Data Store'!$Y$7:$Y$594=AC60,ROW('All Player Data Store'!$Y$7:$Y$594)-ROW('All Player Data Store'!$Y$7)+1),COUNTIF($AC$8:AC60,AC60))),"")</f>
        <v>Richard Wright</v>
      </c>
      <c r="H60" s="111" t="str">
        <f t="array" ref="H60">IF(ISNUMBER(AC60),INDEX('All Player Data Store'!$D$7:$D$594,SMALL(IF('All Player Data Store'!$Y$7:$Y$594=AC60,ROW('All Player Data Store'!$Y$7:$Y$594)-ROW('All Player Data Store'!$Y$7)+1),COUNTIF($AC$8:AC60,AC60))),"")</f>
        <v>Dor</v>
      </c>
      <c r="I60" s="69">
        <f t="array" ref="I60">IF(ISNUMBER(AC60),INDEX('All Player Data Store'!$E$7:$E$594,SMALL(IF('All Player Data Store'!$Y$7:$Y$594=AC60,ROW('All Player Data Store'!$Y$7:$Y$594)-ROW('All Player Data Store'!$Y$7)+1),COUNTIF($AC$8:AC60,AC60))),"")</f>
        <v>13</v>
      </c>
      <c r="J60" s="70">
        <f t="array" ref="J60">IF(ISNUMBER(AC60),INDEX('All Player Data Store'!$F$7:$F$594,SMALL(IF('All Player Data Store'!$Y$7:$Y$594=AC60,ROW('All Player Data Store'!$Y$7:$Y$594)-ROW('All Player Data Store'!$Y$7)+1),COUNTIF($AC$8:AC60,AC60))),"")</f>
        <v>6</v>
      </c>
      <c r="K60" s="112">
        <f t="array" ref="K60">IF(ISNUMBER(AC60),INDEX('All Player Data Store'!$G$7:$G$594,SMALL(IF('All Player Data Store'!$Y$7:$Y$594=AC60,ROW('All Player Data Store'!$Y$7:$Y$594)-ROW('All Player Data Store'!$Y$7)+1),COUNTIF($AC$8:AC60,AC60))),"")</f>
        <v>7</v>
      </c>
      <c r="L60" s="112">
        <f t="array" ref="L60">IF(ISNUMBER(AC60),INDEX('All Player Data Store'!$H$7:$H$594,SMALL(IF('All Player Data Store'!$Y$7:$Y$594=AC60,ROW('All Player Data Store'!$Y$7:$Y$594)-ROW('All Player Data Store'!$Y$7)+1),COUNTIF($AC$8:AC60,AC60))),"")</f>
        <v>35</v>
      </c>
      <c r="M60" s="113">
        <f t="array" ref="M60">IF(ISNUMBER(AC60),INDEX('All Player Data Store'!$I$7:$I$594,SMALL(IF('All Player Data Store'!$Y$7:$Y$594=AC60,ROW('All Player Data Store'!$Y$7:$Y$594)-ROW('All Player Data Store'!$Y$7)+1),COUNTIF($AC$8:AC60,AC60))),"")</f>
        <v>37</v>
      </c>
      <c r="N60" s="114">
        <f t="array" ref="N60">IF(ISNUMBER(AC60),INDEX('All Player Data Store'!$J$7:$J$594,SMALL(IF('All Player Data Store'!$Y$7:$Y$594=AC60,ROW('All Player Data Store'!$Y$7:$Y$594)-ROW('All Player Data Store'!$Y$7)+1),COUNTIF($AC$8:AC60,AC60))),"")</f>
        <v>21.57</v>
      </c>
      <c r="O60" s="108">
        <f t="array" ref="O60">IF(ISNUMBER(AC60),INDEX('All Player Data Store'!$K$7:$K$594,SMALL(IF('All Player Data Store'!$Y$7:$Y$594=AC60,ROW('All Player Data Store'!$Y$7:$Y$594)-ROW('All Player Data Store'!$Y$7)+1),COUNTIF($AC$8:AC60,AC60))),"")</f>
        <v>23.32</v>
      </c>
      <c r="P60" s="108">
        <f t="array" ref="P60">IF(ISNUMBER(AC60),INDEX('All Player Data Store'!$L$7:$L$594,SMALL(IF('All Player Data Store'!$Y$7:$Y$594=AC60,ROW('All Player Data Store'!$Y$7:$Y$594)-ROW('All Player Data Store'!$Y$7)+1),COUNTIF($AC$8:AC60,AC60))),"")</f>
        <v>23.82</v>
      </c>
      <c r="Q60" s="108">
        <f t="array" ref="Q60">IF(ISNUMBER(AC60),INDEX('All Player Data Store'!$M$7:$M$594,SMALL(IF('All Player Data Store'!$Y$7:$Y$594=AC60,ROW('All Player Data Store'!$Y$7:$Y$594)-ROW('All Player Data Store'!$Y$7)+1),COUNTIF($AC$8:AC60,AC60))),"")</f>
        <v>19.46</v>
      </c>
      <c r="R60" s="108">
        <f t="array" ref="R60">IF(ISNUMBER(AC60),INDEX('All Player Data Store'!$N$7:$N$594,SMALL(IF('All Player Data Store'!$Y$7:$Y$594=AC60,ROW('All Player Data Store'!$Y$7:$Y$594)-ROW('All Player Data Store'!$Y$7)+1),COUNTIF($AC$8:AC60,AC60))),"")</f>
        <v>19.14</v>
      </c>
      <c r="S60" s="108">
        <f t="array" ref="S60">IF(ISNUMBER(AC60),INDEX('All Player Data Store'!$O$7:$O$594,SMALL(IF('All Player Data Store'!$Y$7:$Y$594=AC60,ROW('All Player Data Store'!$Y$7:$Y$594)-ROW('All Player Data Store'!$Y$7)+1),COUNTIF($AC$8:AC60,AC60))),"")</f>
        <v>22.39</v>
      </c>
      <c r="T60" s="108">
        <f t="array" ref="T60">IF(ISNUMBER(AC60),INDEX('All Player Data Store'!$P$7:$P$594,SMALL(IF('All Player Data Store'!$Y$7:$Y$594=AC60,ROW('All Player Data Store'!$Y$7:$Y$594)-ROW('All Player Data Store'!$Y$7)+1),COUNTIF($AC$8:AC60,AC60))),"")</f>
        <v>22.74</v>
      </c>
      <c r="U60" s="108">
        <f t="array" ref="U60">IF(ISNUMBER(AC60),INDEX('All Player Data Store'!$Q$7:$Q$594,SMALL(IF('All Player Data Store'!$Y$7:$Y$594=AC60,ROW('All Player Data Store'!$Y$7:$Y$594)-ROW('All Player Data Store'!$Y$7)+1),COUNTIF($AC$8:AC60,AC60))),"")</f>
        <v>28.63</v>
      </c>
      <c r="V60" s="108">
        <f t="array" ref="V60">IF(ISNUMBER(AC60),INDEX('All Player Data Store'!$R$7:$R$594,SMALL(IF('All Player Data Store'!$Y$7:$Y$594=AC60,ROW('All Player Data Store'!$Y$7:$Y$594)-ROW('All Player Data Store'!$Y$7)+1),COUNTIF($AC$8:AC60,AC60))),"")</f>
        <v>21.59</v>
      </c>
      <c r="W60" s="108">
        <f t="array" ref="W60">IF(ISNUMBER(AC60),INDEX('All Player Data Store'!$S$7:$S$594,SMALL(IF('All Player Data Store'!$Y$7:$Y$594=AC60,ROW('All Player Data Store'!$Y$7:$Y$594)-ROW('All Player Data Store'!$Y$7)+1),COUNTIF($AC$8:AC60,AC60))),"")</f>
        <v>25.6</v>
      </c>
      <c r="X60" s="108">
        <f t="array" ref="X60">IF(ISNUMBER(AC60),INDEX('All Player Data Store'!$T$7:$T$594,SMALL(IF('All Player Data Store'!$Y$7:$Y$594=AC60,ROW('All Player Data Store'!$Y$7:$Y$594)-ROW('All Player Data Store'!$Y$7)+1),COUNTIF($AC$8:AC60,AC60))),"")</f>
        <v>21.05</v>
      </c>
      <c r="Y60" s="108">
        <f t="array" ref="Y60">IF(ISNUMBER(AC60),INDEX('All Player Data Store'!$U$7:$U$594,SMALL(IF('All Player Data Store'!$Y$7:$Y$594=AC60,ROW('All Player Data Store'!$Y$7:$Y$594)-ROW('All Player Data Store'!$Y$7)+1),COUNTIF($AC$8:AC60,AC60))),"")</f>
        <v>17.809999999999999</v>
      </c>
      <c r="Z60" s="108">
        <f t="array" ref="Z60">IF(ISNUMBER(AC60),INDEX('All Player Data Store'!$V$7:$V$594,SMALL(IF('All Player Data Store'!$Y$7:$Y$594=AC60,ROW('All Player Data Store'!$Y$7:$Y$594)-ROW('All Player Data Store'!$Y$7)+1),COUNTIF($AC$8:AC60,AC60))),"")</f>
        <v>17.93</v>
      </c>
      <c r="AA60" s="112">
        <f t="array" ref="AA60">IF(ISNUMBER(AC60),INDEX('All Player Data Store'!$W$7:$W$594,SMALL(IF('All Player Data Store'!$Y$7:$Y$594=AC60,ROW('All Player Data Store'!$Y$7:$Y$594)-ROW('All Player Data Store'!$Y$7)+1),COUNTIF($AC$8:AC60,AC60))),"")</f>
        <v>3</v>
      </c>
      <c r="AB60" s="108">
        <f t="array" ref="AB60">IF(ISNUMBER(AC60),INDEX('All Player Data Store'!$X$7:$X$594,SMALL(IF('All Player Data Store'!$Y$7:$Y$594=AC60,ROW('All Player Data Store'!$Y$7:$Y$594)-ROW('All Player Data Store'!$Y$7)+1),COUNTIF($AC$8:AC60,AC60))),"")</f>
        <v>21.926923076923078</v>
      </c>
      <c r="AC60" s="115">
        <f>IF(ISERROR(IF(ISERROR(LARGE('All Player Data Store'!$Y$7:$Y$594,53)),"",(LARGE('All Player Data Store'!$Y$7:$Y$594,53)))),"",(IF(ISERROR(LARGE('All Player Data Store'!$Y$7:$Y$594,53)),"",(LARGE('All Player Data Store'!$Y$7:$Y$594,53)))))</f>
        <v>27.926923076923078</v>
      </c>
      <c r="AD60" s="106">
        <f t="shared" si="2"/>
        <v>3</v>
      </c>
      <c r="AE60" s="107" t="str">
        <f t="array" ref="AE60">IF(ISNUMBER(AC60),INDEX('All Player Data Store'!$J$8:$J$594,SMALL(IF('All Player Data Store'!$Y$7:$Y$594=AC60,ROW('All Player Data Store'!$Y$7:$Y$594)-ROW('All Player Data Store'!$Y$7)+1),COUNTIF($AC$8:AC60,AC60))),"")</f>
        <v>4*3</v>
      </c>
      <c r="AF60" s="108">
        <f t="shared" si="3"/>
        <v>22.57</v>
      </c>
      <c r="AG60" s="108" t="str">
        <f t="array" ref="AG60">IF(ISNUMBER(AC60),INDEX('All Player Data Store'!$K$8:$K$594,SMALL(IF('All Player Data Store'!$Y$7:$Y$594=AC60,ROW('All Player Data Store'!$Y$7:$Y$594)-ROW('All Player Data Store'!$Y$7)+1),COUNTIF($AC$8:AC60,AC60))),"")</f>
        <v>2*4</v>
      </c>
      <c r="AH60" s="108">
        <f t="shared" si="4"/>
        <v>23.32</v>
      </c>
      <c r="AI60" s="108" t="str">
        <f t="array" ref="AI60">IF(ISNUMBER(AC60),INDEX('All Player Data Store'!$L$8:$L$594,SMALL(IF('All Player Data Store'!$Y$7:$Y$594=AC60,ROW('All Player Data Store'!$Y$7:$Y$594)-ROW('All Player Data Store'!$Y$7)+1),COUNTIF($AC$8:AC60,AC60))),"")</f>
        <v>4*1(1)</v>
      </c>
      <c r="AJ60" s="108">
        <f t="shared" si="5"/>
        <v>24.82</v>
      </c>
      <c r="AK60" s="108" t="str">
        <f t="array" ref="AK60">IF(ISNUMBER(AC60),INDEX('All Player Data Store'!$M$8:$M$594,SMALL(IF('All Player Data Store'!$Y$7:$Y$594=AC60,ROW('All Player Data Store'!$Y$7:$Y$594)-ROW('All Player Data Store'!$Y$7)+1),COUNTIF($AC$8:AC60,AC60))),"")</f>
        <v>4*0</v>
      </c>
      <c r="AL60" s="108">
        <f t="shared" si="6"/>
        <v>20.46</v>
      </c>
      <c r="AM60" s="108" t="str">
        <f t="array" ref="AM60">IF(ISNUMBER(AC60),INDEX('All Player Data Store'!$N$8:$N$594,SMALL(IF('All Player Data Store'!$Y$7:$Y$594=AC60,ROW('All Player Data Store'!$Y$7:$Y$594)-ROW('All Player Data Store'!$Y$7)+1),COUNTIF($AC$8:AC60,AC60))),"")</f>
        <v>4*2</v>
      </c>
      <c r="AN60" s="108">
        <f t="shared" si="7"/>
        <v>20.14</v>
      </c>
      <c r="AO60" s="108" t="str">
        <f t="array" ref="AO60">IF(ISNUMBER(AC60),INDEX('All Player Data Store'!$O$8:$O$594,SMALL(IF('All Player Data Store'!$Y$7:$Y$594=AC60,ROW('All Player Data Store'!$Y$7:$Y$594)-ROW('All Player Data Store'!$Y$7)+1),COUNTIF($AC$8:AC60,AC60))),"")</f>
        <v>1*4(1)</v>
      </c>
      <c r="AP60" s="108">
        <f t="shared" si="8"/>
        <v>22.39</v>
      </c>
      <c r="AQ60" s="108" t="str">
        <f t="array" ref="AQ60">IF(ISNUMBER(AC60),INDEX('All Player Data Store'!$P$8:$P$594,SMALL(IF('All Player Data Store'!$Y$7:$Y$594=AC60,ROW('All Player Data Store'!$Y$7:$Y$594)-ROW('All Player Data Store'!$Y$7)+1),COUNTIF($AC$8:AC60,AC60))),"")</f>
        <v>3*4</v>
      </c>
      <c r="AR60" s="108">
        <f t="shared" si="9"/>
        <v>22.74</v>
      </c>
      <c r="AS60" s="108" t="str">
        <f t="array" ref="AS60">IF(ISNUMBER(AC60),INDEX('All Player Data Store'!$Q$8:$Q$594,SMALL(IF('All Player Data Store'!$Y$7:$Y$594=AC60,ROW('All Player Data Store'!$Y$7:$Y$594)-ROW('All Player Data Store'!$Y$7)+1),COUNTIF($AC$8:AC60,AC60))),"")</f>
        <v>4*0</v>
      </c>
      <c r="AT60" s="108">
        <f t="shared" si="10"/>
        <v>29.63</v>
      </c>
      <c r="AU60" s="108" t="str">
        <f t="array" ref="AU60">IF(ISNUMBER(AC60),INDEX('All Player Data Store'!$R$8:$R$594,SMALL(IF('All Player Data Store'!$Y$7:$Y$594=AC60,ROW('All Player Data Store'!$Y$7:$Y$594)-ROW('All Player Data Store'!$Y$7)+1),COUNTIF($AC$8:AC60,AC60))),"")</f>
        <v>1*4</v>
      </c>
      <c r="AV60" s="108">
        <f t="shared" si="11"/>
        <v>21.59</v>
      </c>
      <c r="AW60" s="108" t="str">
        <f t="array" ref="AW60">IF(ISNUMBER(AC60),INDEX('All Player Data Store'!$S$8:$S$594,SMALL(IF('All Player Data Store'!$Y$7:$Y$594=AC60,ROW('All Player Data Store'!$Y$7:$Y$594)-ROW('All Player Data Store'!$Y$7)+1),COUNTIF($AC$8:AC60,AC60))),"")</f>
        <v>4*3(1)</v>
      </c>
      <c r="AX60" s="108">
        <f t="shared" si="12"/>
        <v>26.6</v>
      </c>
      <c r="AY60" s="108" t="str">
        <f t="array" ref="AY60">IF(ISNUMBER(AC60),INDEX('All Player Data Store'!$T$8:$T$594,SMALL(IF('All Player Data Store'!$Y$7:$Y$594=AC60,ROW('All Player Data Store'!$Y$7:$Y$594)-ROW('All Player Data Store'!$Y$7)+1),COUNTIF($AC$8:AC60,AC60))),"")</f>
        <v>3*4</v>
      </c>
      <c r="AZ60" s="108">
        <f t="shared" si="13"/>
        <v>21.05</v>
      </c>
      <c r="BA60" s="108" t="str">
        <f t="array" ref="BA60">IF(ISNUMBER(AC60),INDEX('All Player Data Store'!$U$8:$U$594,SMALL(IF('All Player Data Store'!$Y$7:$Y$594=AC60,ROW('All Player Data Store'!$Y$7:$Y$594)-ROW('All Player Data Store'!$Y$7)+1),COUNTIF($AC$8:AC60,AC60))),"")</f>
        <v>0*4</v>
      </c>
      <c r="BB60" s="108">
        <f t="shared" si="14"/>
        <v>17.809999999999999</v>
      </c>
      <c r="BC60" s="108" t="str">
        <f t="array" ref="BC60">IF(ISNUMBER(AC60),INDEX('All Player Data Store'!$V$8:$V$594,SMALL(IF('All Player Data Store'!$Y$7:$Y$594=AC60,ROW('All Player Data Store'!$Y$7:$Y$594)-ROW('All Player Data Store'!$Y$7)+1),COUNTIF($AC$8:AC60,AC60))),"")</f>
        <v>1*4</v>
      </c>
      <c r="BD60" s="108">
        <f t="shared" si="15"/>
        <v>17.93</v>
      </c>
      <c r="BE60" s="1"/>
    </row>
    <row r="61" spans="2:57" ht="12" customHeight="1" x14ac:dyDescent="0.2">
      <c r="B61" s="98" t="str">
        <f t="shared" si="0"/>
        <v>Y</v>
      </c>
      <c r="C61" s="1"/>
      <c r="D61" s="68">
        <f t="shared" si="1"/>
        <v>54</v>
      </c>
      <c r="E61" s="2"/>
      <c r="F61" s="78">
        <v>54</v>
      </c>
      <c r="G61" s="110" t="str">
        <f t="array" ref="G61">IF(ISNUMBER(AC61),INDEX('All Player Data Store'!$C$7:$C$594,SMALL(IF('All Player Data Store'!$Y$7:$Y$594=AC61,ROW('All Player Data Store'!$Y$7:$Y$594)-ROW('All Player Data Store'!$Y$7)+1),COUNTIF($AC$8:AC61,AC61))),"")</f>
        <v>Graham Churchill</v>
      </c>
      <c r="H61" s="111" t="str">
        <f t="array" ref="H61">IF(ISNUMBER(AC61),INDEX('All Player Data Store'!$D$7:$D$594,SMALL(IF('All Player Data Store'!$Y$7:$Y$594=AC61,ROW('All Player Data Store'!$Y$7:$Y$594)-ROW('All Player Data Store'!$Y$7)+1),COUNTIF($AC$8:AC61,AC61))),"")</f>
        <v>Swa</v>
      </c>
      <c r="I61" s="69">
        <f t="array" ref="I61">IF(ISNUMBER(AC61),INDEX('All Player Data Store'!$E$7:$E$594,SMALL(IF('All Player Data Store'!$Y$7:$Y$594=AC61,ROW('All Player Data Store'!$Y$7:$Y$594)-ROW('All Player Data Store'!$Y$7)+1),COUNTIF($AC$8:AC61,AC61))),"")</f>
        <v>11</v>
      </c>
      <c r="J61" s="70">
        <f t="array" ref="J61">IF(ISNUMBER(AC61),INDEX('All Player Data Store'!$F$7:$F$594,SMALL(IF('All Player Data Store'!$Y$7:$Y$594=AC61,ROW('All Player Data Store'!$Y$7:$Y$594)-ROW('All Player Data Store'!$Y$7)+1),COUNTIF($AC$8:AC61,AC61))),"")</f>
        <v>7</v>
      </c>
      <c r="K61" s="112">
        <f t="array" ref="K61">IF(ISNUMBER(AC61),INDEX('All Player Data Store'!$G$7:$G$594,SMALL(IF('All Player Data Store'!$Y$7:$Y$594=AC61,ROW('All Player Data Store'!$Y$7:$Y$594)-ROW('All Player Data Store'!$Y$7)+1),COUNTIF($AC$8:AC61,AC61))),"")</f>
        <v>4</v>
      </c>
      <c r="L61" s="112">
        <f t="array" ref="L61">IF(ISNUMBER(AC61),INDEX('All Player Data Store'!$H$7:$H$594,SMALL(IF('All Player Data Store'!$Y$7:$Y$594=AC61,ROW('All Player Data Store'!$Y$7:$Y$594)-ROW('All Player Data Store'!$Y$7)+1),COUNTIF($AC$8:AC61,AC61))),"")</f>
        <v>36</v>
      </c>
      <c r="M61" s="113">
        <f t="array" ref="M61">IF(ISNUMBER(AC61),INDEX('All Player Data Store'!$I$7:$I$594,SMALL(IF('All Player Data Store'!$Y$7:$Y$594=AC61,ROW('All Player Data Store'!$Y$7:$Y$594)-ROW('All Player Data Store'!$Y$7)+1),COUNTIF($AC$8:AC61,AC61))),"")</f>
        <v>29</v>
      </c>
      <c r="N61" s="114" t="str">
        <f t="array" ref="N61">IF(ISNUMBER(AC61),INDEX('All Player Data Store'!$J$7:$J$594,SMALL(IF('All Player Data Store'!$Y$7:$Y$594=AC61,ROW('All Player Data Store'!$Y$7:$Y$594)-ROW('All Player Data Store'!$Y$7)+1),COUNTIF($AC$8:AC61,AC61))),"")</f>
        <v/>
      </c>
      <c r="O61" s="108">
        <f t="array" ref="O61">IF(ISNUMBER(AC61),INDEX('All Player Data Store'!$K$7:$K$594,SMALL(IF('All Player Data Store'!$Y$7:$Y$594=AC61,ROW('All Player Data Store'!$Y$7:$Y$594)-ROW('All Player Data Store'!$Y$7)+1),COUNTIF($AC$8:AC61,AC61))),"")</f>
        <v>26.24</v>
      </c>
      <c r="P61" s="108">
        <f t="array" ref="P61">IF(ISNUMBER(AC61),INDEX('All Player Data Store'!$L$7:$L$594,SMALL(IF('All Player Data Store'!$Y$7:$Y$594=AC61,ROW('All Player Data Store'!$Y$7:$Y$594)-ROW('All Player Data Store'!$Y$7)+1),COUNTIF($AC$8:AC61,AC61))),"")</f>
        <v>20.94</v>
      </c>
      <c r="Q61" s="108">
        <f t="array" ref="Q61">IF(ISNUMBER(AC61),INDEX('All Player Data Store'!$M$7:$M$594,SMALL(IF('All Player Data Store'!$Y$7:$Y$594=AC61,ROW('All Player Data Store'!$Y$7:$Y$594)-ROW('All Player Data Store'!$Y$7)+1),COUNTIF($AC$8:AC61,AC61))),"")</f>
        <v>20.74</v>
      </c>
      <c r="R61" s="108">
        <f t="array" ref="R61">IF(ISNUMBER(AC61),INDEX('All Player Data Store'!$N$7:$N$594,SMALL(IF('All Player Data Store'!$Y$7:$Y$594=AC61,ROW('All Player Data Store'!$Y$7:$Y$594)-ROW('All Player Data Store'!$Y$7)+1),COUNTIF($AC$8:AC61,AC61))),"")</f>
        <v>20.04</v>
      </c>
      <c r="S61" s="108">
        <f t="array" ref="S61">IF(ISNUMBER(AC61),INDEX('All Player Data Store'!$O$7:$O$594,SMALL(IF('All Player Data Store'!$Y$7:$Y$594=AC61,ROW('All Player Data Store'!$Y$7:$Y$594)-ROW('All Player Data Store'!$Y$7)+1),COUNTIF($AC$8:AC61,AC61))),"")</f>
        <v>18.579999999999998</v>
      </c>
      <c r="T61" s="108">
        <f t="array" ref="T61">IF(ISNUMBER(AC61),INDEX('All Player Data Store'!$P$7:$P$594,SMALL(IF('All Player Data Store'!$Y$7:$Y$594=AC61,ROW('All Player Data Store'!$Y$7:$Y$594)-ROW('All Player Data Store'!$Y$7)+1),COUNTIF($AC$8:AC61,AC61))),"")</f>
        <v>20.92</v>
      </c>
      <c r="U61" s="108" t="str">
        <f t="array" ref="U61">IF(ISNUMBER(AC61),INDEX('All Player Data Store'!$Q$7:$Q$594,SMALL(IF('All Player Data Store'!$Y$7:$Y$594=AC61,ROW('All Player Data Store'!$Y$7:$Y$594)-ROW('All Player Data Store'!$Y$7)+1),COUNTIF($AC$8:AC61,AC61))),"")</f>
        <v/>
      </c>
      <c r="V61" s="108">
        <f t="array" ref="V61">IF(ISNUMBER(AC61),INDEX('All Player Data Store'!$R$7:$R$594,SMALL(IF('All Player Data Store'!$Y$7:$Y$594=AC61,ROW('All Player Data Store'!$Y$7:$Y$594)-ROW('All Player Data Store'!$Y$7)+1),COUNTIF($AC$8:AC61,AC61))),"")</f>
        <v>22.48</v>
      </c>
      <c r="W61" s="108">
        <f t="array" ref="W61">IF(ISNUMBER(AC61),INDEX('All Player Data Store'!$S$7:$S$594,SMALL(IF('All Player Data Store'!$Y$7:$Y$594=AC61,ROW('All Player Data Store'!$Y$7:$Y$594)-ROW('All Player Data Store'!$Y$7)+1),COUNTIF($AC$8:AC61,AC61))),"")</f>
        <v>19.190000000000001</v>
      </c>
      <c r="X61" s="108">
        <f t="array" ref="X61">IF(ISNUMBER(AC61),INDEX('All Player Data Store'!$T$7:$T$594,SMALL(IF('All Player Data Store'!$Y$7:$Y$594=AC61,ROW('All Player Data Store'!$Y$7:$Y$594)-ROW('All Player Data Store'!$Y$7)+1),COUNTIF($AC$8:AC61,AC61))),"")</f>
        <v>20.46</v>
      </c>
      <c r="Y61" s="108">
        <f t="array" ref="Y61">IF(ISNUMBER(AC61),INDEX('All Player Data Store'!$U$7:$U$594,SMALL(IF('All Player Data Store'!$Y$7:$Y$594=AC61,ROW('All Player Data Store'!$Y$7:$Y$594)-ROW('All Player Data Store'!$Y$7)+1),COUNTIF($AC$8:AC61,AC61))),"")</f>
        <v>18.77</v>
      </c>
      <c r="Z61" s="108">
        <f t="array" ref="Z61">IF(ISNUMBER(AC61),INDEX('All Player Data Store'!$V$7:$V$594,SMALL(IF('All Player Data Store'!$Y$7:$Y$594=AC61,ROW('All Player Data Store'!$Y$7:$Y$594)-ROW('All Player Data Store'!$Y$7)+1),COUNTIF($AC$8:AC61,AC61))),"")</f>
        <v>20.93</v>
      </c>
      <c r="AA61" s="112">
        <f t="array" ref="AA61">IF(ISNUMBER(AC61),INDEX('All Player Data Store'!$W$7:$W$594,SMALL(IF('All Player Data Store'!$Y$7:$Y$594=AC61,ROW('All Player Data Store'!$Y$7:$Y$594)-ROW('All Player Data Store'!$Y$7)+1),COUNTIF($AC$8:AC61,AC61))),"")</f>
        <v>4</v>
      </c>
      <c r="AB61" s="108">
        <f t="array" ref="AB61">IF(ISNUMBER(AC61),INDEX('All Player Data Store'!$X$7:$X$594,SMALL(IF('All Player Data Store'!$Y$7:$Y$594=AC61,ROW('All Player Data Store'!$Y$7:$Y$594)-ROW('All Player Data Store'!$Y$7)+1),COUNTIF($AC$8:AC61,AC61))),"")</f>
        <v>20.844545454545457</v>
      </c>
      <c r="AC61" s="115">
        <f>IF(ISERROR(IF(ISERROR(LARGE('All Player Data Store'!$Y$7:$Y$594,54)),"",(LARGE('All Player Data Store'!$Y$7:$Y$594,54)))),"",(IF(ISERROR(LARGE('All Player Data Store'!$Y$7:$Y$594,54)),"",(LARGE('All Player Data Store'!$Y$7:$Y$594,54)))))</f>
        <v>27.844545454545457</v>
      </c>
      <c r="AD61" s="106">
        <f t="shared" si="2"/>
        <v>3</v>
      </c>
      <c r="AE61" s="107" t="str">
        <f t="array" ref="AE61">IF(ISNUMBER(AC61),INDEX('All Player Data Store'!$J$8:$J$594,SMALL(IF('All Player Data Store'!$Y$7:$Y$594=AC61,ROW('All Player Data Store'!$Y$7:$Y$594)-ROW('All Player Data Store'!$Y$7)+1),COUNTIF($AC$8:AC61,AC61))),"")</f>
        <v/>
      </c>
      <c r="AF61" s="108" t="str">
        <f t="shared" si="3"/>
        <v/>
      </c>
      <c r="AG61" s="108" t="str">
        <f t="array" ref="AG61">IF(ISNUMBER(AC61),INDEX('All Player Data Store'!$K$8:$K$594,SMALL(IF('All Player Data Store'!$Y$7:$Y$594=AC61,ROW('All Player Data Store'!$Y$7:$Y$594)-ROW('All Player Data Store'!$Y$7)+1),COUNTIF($AC$8:AC61,AC61))),"")</f>
        <v>0*4(2)</v>
      </c>
      <c r="AH61" s="108">
        <f t="shared" si="4"/>
        <v>26.24</v>
      </c>
      <c r="AI61" s="108" t="str">
        <f t="array" ref="AI61">IF(ISNUMBER(AC61),INDEX('All Player Data Store'!$L$8:$L$594,SMALL(IF('All Player Data Store'!$Y$7:$Y$594=AC61,ROW('All Player Data Store'!$Y$7:$Y$594)-ROW('All Player Data Store'!$Y$7)+1),COUNTIF($AC$8:AC61,AC61))),"")</f>
        <v>4*3</v>
      </c>
      <c r="AJ61" s="108">
        <f t="shared" si="5"/>
        <v>21.94</v>
      </c>
      <c r="AK61" s="108" t="str">
        <f t="array" ref="AK61">IF(ISNUMBER(AC61),INDEX('All Player Data Store'!$M$8:$M$594,SMALL(IF('All Player Data Store'!$Y$7:$Y$594=AC61,ROW('All Player Data Store'!$Y$7:$Y$594)-ROW('All Player Data Store'!$Y$7)+1),COUNTIF($AC$8:AC61,AC61))),"")</f>
        <v>3*4</v>
      </c>
      <c r="AL61" s="108">
        <f t="shared" si="6"/>
        <v>20.74</v>
      </c>
      <c r="AM61" s="108" t="str">
        <f t="array" ref="AM61">IF(ISNUMBER(AC61),INDEX('All Player Data Store'!$N$8:$N$594,SMALL(IF('All Player Data Store'!$Y$7:$Y$594=AC61,ROW('All Player Data Store'!$Y$7:$Y$594)-ROW('All Player Data Store'!$Y$7)+1),COUNTIF($AC$8:AC61,AC61))),"")</f>
        <v>4*0</v>
      </c>
      <c r="AN61" s="108">
        <f t="shared" si="7"/>
        <v>21.04</v>
      </c>
      <c r="AO61" s="108" t="str">
        <f t="array" ref="AO61">IF(ISNUMBER(AC61),INDEX('All Player Data Store'!$O$8:$O$594,SMALL(IF('All Player Data Store'!$Y$7:$Y$594=AC61,ROW('All Player Data Store'!$Y$7:$Y$594)-ROW('All Player Data Store'!$Y$7)+1),COUNTIF($AC$8:AC61,AC61))),"")</f>
        <v>4*2</v>
      </c>
      <c r="AP61" s="108">
        <f t="shared" si="8"/>
        <v>19.579999999999998</v>
      </c>
      <c r="AQ61" s="108" t="str">
        <f t="array" ref="AQ61">IF(ISNUMBER(AC61),INDEX('All Player Data Store'!$P$8:$P$594,SMALL(IF('All Player Data Store'!$Y$7:$Y$594=AC61,ROW('All Player Data Store'!$Y$7:$Y$594)-ROW('All Player Data Store'!$Y$7)+1),COUNTIF($AC$8:AC61,AC61))),"")</f>
        <v>4*1(1)</v>
      </c>
      <c r="AR61" s="108">
        <f t="shared" si="9"/>
        <v>21.92</v>
      </c>
      <c r="AS61" s="108" t="str">
        <f t="array" ref="AS61">IF(ISNUMBER(AC61),INDEX('All Player Data Store'!$Q$8:$Q$594,SMALL(IF('All Player Data Store'!$Y$7:$Y$594=AC61,ROW('All Player Data Store'!$Y$7:$Y$594)-ROW('All Player Data Store'!$Y$7)+1),COUNTIF($AC$8:AC61,AC61))),"")</f>
        <v/>
      </c>
      <c r="AT61" s="108" t="str">
        <f t="shared" si="10"/>
        <v/>
      </c>
      <c r="AU61" s="108" t="str">
        <f t="array" ref="AU61">IF(ISNUMBER(AC61),INDEX('All Player Data Store'!$R$8:$R$594,SMALL(IF('All Player Data Store'!$Y$7:$Y$594=AC61,ROW('All Player Data Store'!$Y$7:$Y$594)-ROW('All Player Data Store'!$Y$7)+1),COUNTIF($AC$8:AC61,AC61))),"")</f>
        <v>4*1</v>
      </c>
      <c r="AV61" s="108">
        <f t="shared" si="11"/>
        <v>23.48</v>
      </c>
      <c r="AW61" s="108" t="str">
        <f t="array" ref="AW61">IF(ISNUMBER(AC61),INDEX('All Player Data Store'!$S$8:$S$594,SMALL(IF('All Player Data Store'!$Y$7:$Y$594=AC61,ROW('All Player Data Store'!$Y$7:$Y$594)-ROW('All Player Data Store'!$Y$7)+1),COUNTIF($AC$8:AC61,AC61))),"")</f>
        <v>2*4</v>
      </c>
      <c r="AX61" s="108">
        <f t="shared" si="12"/>
        <v>19.190000000000001</v>
      </c>
      <c r="AY61" s="108" t="str">
        <f t="array" ref="AY61">IF(ISNUMBER(AC61),INDEX('All Player Data Store'!$T$8:$T$594,SMALL(IF('All Player Data Store'!$Y$7:$Y$594=AC61,ROW('All Player Data Store'!$Y$7:$Y$594)-ROW('All Player Data Store'!$Y$7)+1),COUNTIF($AC$8:AC61,AC61))),"")</f>
        <v>4*3</v>
      </c>
      <c r="AZ61" s="108">
        <f t="shared" si="13"/>
        <v>21.46</v>
      </c>
      <c r="BA61" s="108" t="str">
        <f t="array" ref="BA61">IF(ISNUMBER(AC61),INDEX('All Player Data Store'!$U$8:$U$594,SMALL(IF('All Player Data Store'!$Y$7:$Y$594=AC61,ROW('All Player Data Store'!$Y$7:$Y$594)-ROW('All Player Data Store'!$Y$7)+1),COUNTIF($AC$8:AC61,AC61))),"")</f>
        <v>3*4</v>
      </c>
      <c r="BB61" s="108">
        <f t="shared" si="14"/>
        <v>18.77</v>
      </c>
      <c r="BC61" s="108" t="str">
        <f t="array" ref="BC61">IF(ISNUMBER(AC61),INDEX('All Player Data Store'!$V$8:$V$594,SMALL(IF('All Player Data Store'!$Y$7:$Y$594=AC61,ROW('All Player Data Store'!$Y$7:$Y$594)-ROW('All Player Data Store'!$Y$7)+1),COUNTIF($AC$8:AC61,AC61))),"")</f>
        <v>4*3(1)</v>
      </c>
      <c r="BD61" s="108">
        <f t="shared" si="15"/>
        <v>21.93</v>
      </c>
      <c r="BE61" s="1"/>
    </row>
    <row r="62" spans="2:57" ht="12" customHeight="1" x14ac:dyDescent="0.2">
      <c r="B62" s="98" t="str">
        <f t="shared" si="0"/>
        <v>Y</v>
      </c>
      <c r="C62" s="1"/>
      <c r="D62" s="68">
        <f t="shared" si="1"/>
        <v>55</v>
      </c>
      <c r="E62" s="2"/>
      <c r="F62" s="78">
        <v>55</v>
      </c>
      <c r="G62" s="110" t="str">
        <f t="array" ref="G62">IF(ISNUMBER(AC62),INDEX('All Player Data Store'!$C$7:$C$594,SMALL(IF('All Player Data Store'!$Y$7:$Y$594=AC62,ROW('All Player Data Store'!$Y$7:$Y$594)-ROW('All Player Data Store'!$Y$7)+1),COUNTIF($AC$8:AC62,AC62))),"")</f>
        <v>Colin Littlecott</v>
      </c>
      <c r="H62" s="111" t="str">
        <f t="array" ref="H62">IF(ISNUMBER(AC62),INDEX('All Player Data Store'!$D$7:$D$594,SMALL(IF('All Player Data Store'!$Y$7:$Y$594=AC62,ROW('All Player Data Store'!$Y$7:$Y$594)-ROW('All Player Data Store'!$Y$7)+1),COUNTIF($AC$8:AC62,AC62))),"")</f>
        <v>Swa</v>
      </c>
      <c r="I62" s="69">
        <f t="array" ref="I62">IF(ISNUMBER(AC62),INDEX('All Player Data Store'!$E$7:$E$594,SMALL(IF('All Player Data Store'!$Y$7:$Y$594=AC62,ROW('All Player Data Store'!$Y$7:$Y$594)-ROW('All Player Data Store'!$Y$7)+1),COUNTIF($AC$8:AC62,AC62))),"")</f>
        <v>11</v>
      </c>
      <c r="J62" s="70">
        <f t="array" ref="J62">IF(ISNUMBER(AC62),INDEX('All Player Data Store'!$F$7:$F$594,SMALL(IF('All Player Data Store'!$Y$7:$Y$594=AC62,ROW('All Player Data Store'!$Y$7:$Y$594)-ROW('All Player Data Store'!$Y$7)+1),COUNTIF($AC$8:AC62,AC62))),"")</f>
        <v>6</v>
      </c>
      <c r="K62" s="112">
        <f t="array" ref="K62">IF(ISNUMBER(AC62),INDEX('All Player Data Store'!$G$7:$G$594,SMALL(IF('All Player Data Store'!$Y$7:$Y$594=AC62,ROW('All Player Data Store'!$Y$7:$Y$594)-ROW('All Player Data Store'!$Y$7)+1),COUNTIF($AC$8:AC62,AC62))),"")</f>
        <v>5</v>
      </c>
      <c r="L62" s="112">
        <f t="array" ref="L62">IF(ISNUMBER(AC62),INDEX('All Player Data Store'!$H$7:$H$594,SMALL(IF('All Player Data Store'!$Y$7:$Y$594=AC62,ROW('All Player Data Store'!$Y$7:$Y$594)-ROW('All Player Data Store'!$Y$7)+1),COUNTIF($AC$8:AC62,AC62))),"")</f>
        <v>38</v>
      </c>
      <c r="M62" s="113">
        <f t="array" ref="M62">IF(ISNUMBER(AC62),INDEX('All Player Data Store'!$I$7:$I$594,SMALL(IF('All Player Data Store'!$Y$7:$Y$594=AC62,ROW('All Player Data Store'!$Y$7:$Y$594)-ROW('All Player Data Store'!$Y$7)+1),COUNTIF($AC$8:AC62,AC62))),"")</f>
        <v>30</v>
      </c>
      <c r="N62" s="114">
        <f t="array" ref="N62">IF(ISNUMBER(AC62),INDEX('All Player Data Store'!$J$7:$J$594,SMALL(IF('All Player Data Store'!$Y$7:$Y$594=AC62,ROW('All Player Data Store'!$Y$7:$Y$594)-ROW('All Player Data Store'!$Y$7)+1),COUNTIF($AC$8:AC62,AC62))),"")</f>
        <v>21.83</v>
      </c>
      <c r="O62" s="108">
        <f t="array" ref="O62">IF(ISNUMBER(AC62),INDEX('All Player Data Store'!$K$7:$K$594,SMALL(IF('All Player Data Store'!$Y$7:$Y$594=AC62,ROW('All Player Data Store'!$Y$7:$Y$594)-ROW('All Player Data Store'!$Y$7)+1),COUNTIF($AC$8:AC62,AC62))),"")</f>
        <v>20.309999999999999</v>
      </c>
      <c r="P62" s="108">
        <f t="array" ref="P62">IF(ISNUMBER(AC62),INDEX('All Player Data Store'!$L$7:$L$594,SMALL(IF('All Player Data Store'!$Y$7:$Y$594=AC62,ROW('All Player Data Store'!$Y$7:$Y$594)-ROW('All Player Data Store'!$Y$7)+1),COUNTIF($AC$8:AC62,AC62))),"")</f>
        <v>22.05</v>
      </c>
      <c r="Q62" s="108">
        <f t="array" ref="Q62">IF(ISNUMBER(AC62),INDEX('All Player Data Store'!$M$7:$M$594,SMALL(IF('All Player Data Store'!$Y$7:$Y$594=AC62,ROW('All Player Data Store'!$Y$7:$Y$594)-ROW('All Player Data Store'!$Y$7)+1),COUNTIF($AC$8:AC62,AC62))),"")</f>
        <v>21.19</v>
      </c>
      <c r="R62" s="108">
        <f t="array" ref="R62">IF(ISNUMBER(AC62),INDEX('All Player Data Store'!$N$7:$N$594,SMALL(IF('All Player Data Store'!$Y$7:$Y$594=AC62,ROW('All Player Data Store'!$Y$7:$Y$594)-ROW('All Player Data Store'!$Y$7)+1),COUNTIF($AC$8:AC62,AC62))),"")</f>
        <v>21.58</v>
      </c>
      <c r="S62" s="108">
        <f t="array" ref="S62">IF(ISNUMBER(AC62),INDEX('All Player Data Store'!$O$7:$O$594,SMALL(IF('All Player Data Store'!$Y$7:$Y$594=AC62,ROW('All Player Data Store'!$Y$7:$Y$594)-ROW('All Player Data Store'!$Y$7)+1),COUNTIF($AC$8:AC62,AC62))),"")</f>
        <v>21.86</v>
      </c>
      <c r="T62" s="108">
        <f t="array" ref="T62">IF(ISNUMBER(AC62),INDEX('All Player Data Store'!$P$7:$P$594,SMALL(IF('All Player Data Store'!$Y$7:$Y$594=AC62,ROW('All Player Data Store'!$Y$7:$Y$594)-ROW('All Player Data Store'!$Y$7)+1),COUNTIF($AC$8:AC62,AC62))),"")</f>
        <v>22.18</v>
      </c>
      <c r="U62" s="108">
        <f t="array" ref="U62">IF(ISNUMBER(AC62),INDEX('All Player Data Store'!$Q$7:$Q$594,SMALL(IF('All Player Data Store'!$Y$7:$Y$594=AC62,ROW('All Player Data Store'!$Y$7:$Y$594)-ROW('All Player Data Store'!$Y$7)+1),COUNTIF($AC$8:AC62,AC62))),"")</f>
        <v>24.48</v>
      </c>
      <c r="V62" s="108">
        <f t="array" ref="V62">IF(ISNUMBER(AC62),INDEX('All Player Data Store'!$R$7:$R$594,SMALL(IF('All Player Data Store'!$Y$7:$Y$594=AC62,ROW('All Player Data Store'!$Y$7:$Y$594)-ROW('All Player Data Store'!$Y$7)+1),COUNTIF($AC$8:AC62,AC62))),"")</f>
        <v>22.41</v>
      </c>
      <c r="W62" s="108" t="str">
        <f t="array" ref="W62">IF(ISNUMBER(AC62),INDEX('All Player Data Store'!$S$7:$S$594,SMALL(IF('All Player Data Store'!$Y$7:$Y$594=AC62,ROW('All Player Data Store'!$Y$7:$Y$594)-ROW('All Player Data Store'!$Y$7)+1),COUNTIF($AC$8:AC62,AC62))),"")</f>
        <v/>
      </c>
      <c r="X62" s="108">
        <f t="array" ref="X62">IF(ISNUMBER(AC62),INDEX('All Player Data Store'!$T$7:$T$594,SMALL(IF('All Player Data Store'!$Y$7:$Y$594=AC62,ROW('All Player Data Store'!$Y$7:$Y$594)-ROW('All Player Data Store'!$Y$7)+1),COUNTIF($AC$8:AC62,AC62))),"")</f>
        <v>21.14</v>
      </c>
      <c r="Y62" s="108">
        <f t="array" ref="Y62">IF(ISNUMBER(AC62),INDEX('All Player Data Store'!$U$7:$U$594,SMALL(IF('All Player Data Store'!$Y$7:$Y$594=AC62,ROW('All Player Data Store'!$Y$7:$Y$594)-ROW('All Player Data Store'!$Y$7)+1),COUNTIF($AC$8:AC62,AC62))),"")</f>
        <v>21.16</v>
      </c>
      <c r="Z62" s="108" t="str">
        <f t="array" ref="Z62">IF(ISNUMBER(AC62),INDEX('All Player Data Store'!$V$7:$V$594,SMALL(IF('All Player Data Store'!$Y$7:$Y$594=AC62,ROW('All Player Data Store'!$Y$7:$Y$594)-ROW('All Player Data Store'!$Y$7)+1),COUNTIF($AC$8:AC62,AC62))),"")</f>
        <v/>
      </c>
      <c r="AA62" s="112">
        <f t="array" ref="AA62">IF(ISNUMBER(AC62),INDEX('All Player Data Store'!$W$7:$W$594,SMALL(IF('All Player Data Store'!$Y$7:$Y$594=AC62,ROW('All Player Data Store'!$Y$7:$Y$594)-ROW('All Player Data Store'!$Y$7)+1),COUNTIF($AC$8:AC62,AC62))),"")</f>
        <v>2</v>
      </c>
      <c r="AB62" s="108">
        <f t="array" ref="AB62">IF(ISNUMBER(AC62),INDEX('All Player Data Store'!$X$7:$X$594,SMALL(IF('All Player Data Store'!$Y$7:$Y$594=AC62,ROW('All Player Data Store'!$Y$7:$Y$594)-ROW('All Player Data Store'!$Y$7)+1),COUNTIF($AC$8:AC62,AC62))),"")</f>
        <v>21.835454545454542</v>
      </c>
      <c r="AC62" s="115">
        <f>IF(ISERROR(IF(ISERROR(LARGE('All Player Data Store'!$Y$7:$Y$594,55)),"",(LARGE('All Player Data Store'!$Y$7:$Y$594,55)))),"",(IF(ISERROR(LARGE('All Player Data Store'!$Y$7:$Y$594,55)),"",(LARGE('All Player Data Store'!$Y$7:$Y$594,55)))))</f>
        <v>27.835454545454542</v>
      </c>
      <c r="AD62" s="106">
        <f t="shared" si="2"/>
        <v>3</v>
      </c>
      <c r="AE62" s="107" t="str">
        <f t="array" ref="AE62">IF(ISNUMBER(AC62),INDEX('All Player Data Store'!$J$8:$J$594,SMALL(IF('All Player Data Store'!$Y$7:$Y$594=AC62,ROW('All Player Data Store'!$Y$7:$Y$594)-ROW('All Player Data Store'!$Y$7)+1),COUNTIF($AC$8:AC62,AC62))),"")</f>
        <v>3*4(1)</v>
      </c>
      <c r="AF62" s="108">
        <f t="shared" si="3"/>
        <v>21.83</v>
      </c>
      <c r="AG62" s="108" t="str">
        <f t="array" ref="AG62">IF(ISNUMBER(AC62),INDEX('All Player Data Store'!$K$8:$K$594,SMALL(IF('All Player Data Store'!$Y$7:$Y$594=AC62,ROW('All Player Data Store'!$Y$7:$Y$594)-ROW('All Player Data Store'!$Y$7)+1),COUNTIF($AC$8:AC62,AC62))),"")</f>
        <v>4*2</v>
      </c>
      <c r="AH62" s="108">
        <f t="shared" si="4"/>
        <v>21.31</v>
      </c>
      <c r="AI62" s="108" t="str">
        <f t="array" ref="AI62">IF(ISNUMBER(AC62),INDEX('All Player Data Store'!$L$8:$L$594,SMALL(IF('All Player Data Store'!$Y$7:$Y$594=AC62,ROW('All Player Data Store'!$Y$7:$Y$594)-ROW('All Player Data Store'!$Y$7)+1),COUNTIF($AC$8:AC62,AC62))),"")</f>
        <v>3*4</v>
      </c>
      <c r="AJ62" s="108">
        <f t="shared" si="5"/>
        <v>22.05</v>
      </c>
      <c r="AK62" s="108" t="str">
        <f t="array" ref="AK62">IF(ISNUMBER(AC62),INDEX('All Player Data Store'!$M$8:$M$594,SMALL(IF('All Player Data Store'!$Y$7:$Y$594=AC62,ROW('All Player Data Store'!$Y$7:$Y$594)-ROW('All Player Data Store'!$Y$7)+1),COUNTIF($AC$8:AC62,AC62))),"")</f>
        <v>4*1</v>
      </c>
      <c r="AL62" s="108">
        <f t="shared" si="6"/>
        <v>22.19</v>
      </c>
      <c r="AM62" s="108" t="str">
        <f t="array" ref="AM62">IF(ISNUMBER(AC62),INDEX('All Player Data Store'!$N$8:$N$594,SMALL(IF('All Player Data Store'!$Y$7:$Y$594=AC62,ROW('All Player Data Store'!$Y$7:$Y$594)-ROW('All Player Data Store'!$Y$7)+1),COUNTIF($AC$8:AC62,AC62))),"")</f>
        <v>4*3</v>
      </c>
      <c r="AN62" s="108">
        <f t="shared" si="7"/>
        <v>22.58</v>
      </c>
      <c r="AO62" s="108" t="str">
        <f t="array" ref="AO62">IF(ISNUMBER(AC62),INDEX('All Player Data Store'!$O$8:$O$594,SMALL(IF('All Player Data Store'!$Y$7:$Y$594=AC62,ROW('All Player Data Store'!$Y$7:$Y$594)-ROW('All Player Data Store'!$Y$7)+1),COUNTIF($AC$8:AC62,AC62))),"")</f>
        <v>2*4</v>
      </c>
      <c r="AP62" s="108">
        <f t="shared" si="8"/>
        <v>21.86</v>
      </c>
      <c r="AQ62" s="108" t="str">
        <f t="array" ref="AQ62">IF(ISNUMBER(AC62),INDEX('All Player Data Store'!$P$8:$P$594,SMALL(IF('All Player Data Store'!$Y$7:$Y$594=AC62,ROW('All Player Data Store'!$Y$7:$Y$594)-ROW('All Player Data Store'!$Y$7)+1),COUNTIF($AC$8:AC62,AC62))),"")</f>
        <v>4*2</v>
      </c>
      <c r="AR62" s="108">
        <f t="shared" si="9"/>
        <v>23.18</v>
      </c>
      <c r="AS62" s="108" t="str">
        <f t="array" ref="AS62">IF(ISNUMBER(AC62),INDEX('All Player Data Store'!$Q$8:$Q$594,SMALL(IF('All Player Data Store'!$Y$7:$Y$594=AC62,ROW('All Player Data Store'!$Y$7:$Y$594)-ROW('All Player Data Store'!$Y$7)+1),COUNTIF($AC$8:AC62,AC62))),"")</f>
        <v>4*1(1)</v>
      </c>
      <c r="AT62" s="108">
        <f t="shared" si="10"/>
        <v>25.48</v>
      </c>
      <c r="AU62" s="108" t="str">
        <f t="array" ref="AU62">IF(ISNUMBER(AC62),INDEX('All Player Data Store'!$R$8:$R$594,SMALL(IF('All Player Data Store'!$Y$7:$Y$594=AC62,ROW('All Player Data Store'!$Y$7:$Y$594)-ROW('All Player Data Store'!$Y$7)+1),COUNTIF($AC$8:AC62,AC62))),"")</f>
        <v>4*1</v>
      </c>
      <c r="AV62" s="108">
        <f t="shared" si="11"/>
        <v>23.41</v>
      </c>
      <c r="AW62" s="108" t="str">
        <f t="array" ref="AW62">IF(ISNUMBER(AC62),INDEX('All Player Data Store'!$S$8:$S$594,SMALL(IF('All Player Data Store'!$Y$7:$Y$594=AC62,ROW('All Player Data Store'!$Y$7:$Y$594)-ROW('All Player Data Store'!$Y$7)+1),COUNTIF($AC$8:AC62,AC62))),"")</f>
        <v/>
      </c>
      <c r="AX62" s="108" t="str">
        <f t="shared" si="12"/>
        <v/>
      </c>
      <c r="AY62" s="108" t="str">
        <f t="array" ref="AY62">IF(ISNUMBER(AC62),INDEX('All Player Data Store'!$T$8:$T$594,SMALL(IF('All Player Data Store'!$Y$7:$Y$594=AC62,ROW('All Player Data Store'!$Y$7:$Y$594)-ROW('All Player Data Store'!$Y$7)+1),COUNTIF($AC$8:AC62,AC62))),"")</f>
        <v>3*4</v>
      </c>
      <c r="AZ62" s="108">
        <f t="shared" si="13"/>
        <v>21.14</v>
      </c>
      <c r="BA62" s="108" t="str">
        <f t="array" ref="BA62">IF(ISNUMBER(AC62),INDEX('All Player Data Store'!$U$8:$U$594,SMALL(IF('All Player Data Store'!$Y$7:$Y$594=AC62,ROW('All Player Data Store'!$Y$7:$Y$594)-ROW('All Player Data Store'!$Y$7)+1),COUNTIF($AC$8:AC62,AC62))),"")</f>
        <v>3*4</v>
      </c>
      <c r="BB62" s="108">
        <f t="shared" si="14"/>
        <v>21.16</v>
      </c>
      <c r="BC62" s="108" t="str">
        <f t="array" ref="BC62">IF(ISNUMBER(AC62),INDEX('All Player Data Store'!$V$8:$V$594,SMALL(IF('All Player Data Store'!$Y$7:$Y$594=AC62,ROW('All Player Data Store'!$Y$7:$Y$594)-ROW('All Player Data Store'!$Y$7)+1),COUNTIF($AC$8:AC62,AC62))),"")</f>
        <v/>
      </c>
      <c r="BD62" s="108" t="str">
        <f t="shared" si="15"/>
        <v/>
      </c>
      <c r="BE62" s="1"/>
    </row>
    <row r="63" spans="2:57" ht="12" customHeight="1" x14ac:dyDescent="0.2">
      <c r="B63" s="98" t="str">
        <f t="shared" si="0"/>
        <v>Y</v>
      </c>
      <c r="C63" s="1"/>
      <c r="D63" s="68">
        <f t="shared" si="1"/>
        <v>56</v>
      </c>
      <c r="E63" s="2"/>
      <c r="F63" s="78">
        <v>56</v>
      </c>
      <c r="G63" s="110" t="str">
        <f t="array" ref="G63">IF(ISNUMBER(AC63),INDEX('All Player Data Store'!$C$7:$C$594,SMALL(IF('All Player Data Store'!$Y$7:$Y$594=AC63,ROW('All Player Data Store'!$Y$7:$Y$594)-ROW('All Player Data Store'!$Y$7)+1),COUNTIF($AC$8:AC63,AC63))),"")</f>
        <v xml:space="preserve">Matt Goodier </v>
      </c>
      <c r="H63" s="111" t="str">
        <f t="array" ref="H63">IF(ISNUMBER(AC63),INDEX('All Player Data Store'!$D$7:$D$594,SMALL(IF('All Player Data Store'!$Y$7:$Y$594=AC63,ROW('All Player Data Store'!$Y$7:$Y$594)-ROW('All Player Data Store'!$Y$7)+1),COUNTIF($AC$8:AC63,AC63))),"")</f>
        <v>Bri</v>
      </c>
      <c r="I63" s="69">
        <f t="array" ref="I63">IF(ISNUMBER(AC63),INDEX('All Player Data Store'!$E$7:$E$594,SMALL(IF('All Player Data Store'!$Y$7:$Y$594=AC63,ROW('All Player Data Store'!$Y$7:$Y$594)-ROW('All Player Data Store'!$Y$7)+1),COUNTIF($AC$8:AC63,AC63))),"")</f>
        <v>11</v>
      </c>
      <c r="J63" s="70">
        <f t="array" ref="J63">IF(ISNUMBER(AC63),INDEX('All Player Data Store'!$F$7:$F$594,SMALL(IF('All Player Data Store'!$Y$7:$Y$594=AC63,ROW('All Player Data Store'!$Y$7:$Y$594)-ROW('All Player Data Store'!$Y$7)+1),COUNTIF($AC$8:AC63,AC63))),"")</f>
        <v>6</v>
      </c>
      <c r="K63" s="112">
        <f t="array" ref="K63">IF(ISNUMBER(AC63),INDEX('All Player Data Store'!$G$7:$G$594,SMALL(IF('All Player Data Store'!$Y$7:$Y$594=AC63,ROW('All Player Data Store'!$Y$7:$Y$594)-ROW('All Player Data Store'!$Y$7)+1),COUNTIF($AC$8:AC63,AC63))),"")</f>
        <v>5</v>
      </c>
      <c r="L63" s="112">
        <f t="array" ref="L63">IF(ISNUMBER(AC63),INDEX('All Player Data Store'!$H$7:$H$594,SMALL(IF('All Player Data Store'!$Y$7:$Y$594=AC63,ROW('All Player Data Store'!$Y$7:$Y$594)-ROW('All Player Data Store'!$Y$7)+1),COUNTIF($AC$8:AC63,AC63))),"")</f>
        <v>30</v>
      </c>
      <c r="M63" s="113">
        <f t="array" ref="M63">IF(ISNUMBER(AC63),INDEX('All Player Data Store'!$I$7:$I$594,SMALL(IF('All Player Data Store'!$Y$7:$Y$594=AC63,ROW('All Player Data Store'!$Y$7:$Y$594)-ROW('All Player Data Store'!$Y$7)+1),COUNTIF($AC$8:AC63,AC63))),"")</f>
        <v>32</v>
      </c>
      <c r="N63" s="114">
        <f t="array" ref="N63">IF(ISNUMBER(AC63),INDEX('All Player Data Store'!$J$7:$J$594,SMALL(IF('All Player Data Store'!$Y$7:$Y$594=AC63,ROW('All Player Data Store'!$Y$7:$Y$594)-ROW('All Player Data Store'!$Y$7)+1),COUNTIF($AC$8:AC63,AC63))),"")</f>
        <v>21.09</v>
      </c>
      <c r="O63" s="108" t="str">
        <f t="array" ref="O63">IF(ISNUMBER(AC63),INDEX('All Player Data Store'!$K$7:$K$594,SMALL(IF('All Player Data Store'!$Y$7:$Y$594=AC63,ROW('All Player Data Store'!$Y$7:$Y$594)-ROW('All Player Data Store'!$Y$7)+1),COUNTIF($AC$8:AC63,AC63))),"")</f>
        <v/>
      </c>
      <c r="P63" s="108">
        <f t="array" ref="P63">IF(ISNUMBER(AC63),INDEX('All Player Data Store'!$L$7:$L$594,SMALL(IF('All Player Data Store'!$Y$7:$Y$594=AC63,ROW('All Player Data Store'!$Y$7:$Y$594)-ROW('All Player Data Store'!$Y$7)+1),COUNTIF($AC$8:AC63,AC63))),"")</f>
        <v>21.77</v>
      </c>
      <c r="Q63" s="108">
        <f t="array" ref="Q63">IF(ISNUMBER(AC63),INDEX('All Player Data Store'!$M$7:$M$594,SMALL(IF('All Player Data Store'!$Y$7:$Y$594=AC63,ROW('All Player Data Store'!$Y$7:$Y$594)-ROW('All Player Data Store'!$Y$7)+1),COUNTIF($AC$8:AC63,AC63))),"")</f>
        <v>21.98</v>
      </c>
      <c r="R63" s="108">
        <f t="array" ref="R63">IF(ISNUMBER(AC63),INDEX('All Player Data Store'!$N$7:$N$594,SMALL(IF('All Player Data Store'!$Y$7:$Y$594=AC63,ROW('All Player Data Store'!$Y$7:$Y$594)-ROW('All Player Data Store'!$Y$7)+1),COUNTIF($AC$8:AC63,AC63))),"")</f>
        <v>23.3</v>
      </c>
      <c r="S63" s="108" t="str">
        <f t="array" ref="S63">IF(ISNUMBER(AC63),INDEX('All Player Data Store'!$O$7:$O$594,SMALL(IF('All Player Data Store'!$Y$7:$Y$594=AC63,ROW('All Player Data Store'!$Y$7:$Y$594)-ROW('All Player Data Store'!$Y$7)+1),COUNTIF($AC$8:AC63,AC63))),"")</f>
        <v/>
      </c>
      <c r="T63" s="108">
        <f t="array" ref="T63">IF(ISNUMBER(AC63),INDEX('All Player Data Store'!$P$7:$P$594,SMALL(IF('All Player Data Store'!$Y$7:$Y$594=AC63,ROW('All Player Data Store'!$Y$7:$Y$594)-ROW('All Player Data Store'!$Y$7)+1),COUNTIF($AC$8:AC63,AC63))),"")</f>
        <v>19.87</v>
      </c>
      <c r="U63" s="108">
        <f t="array" ref="U63">IF(ISNUMBER(AC63),INDEX('All Player Data Store'!$Q$7:$Q$594,SMALL(IF('All Player Data Store'!$Y$7:$Y$594=AC63,ROW('All Player Data Store'!$Y$7:$Y$594)-ROW('All Player Data Store'!$Y$7)+1),COUNTIF($AC$8:AC63,AC63))),"")</f>
        <v>21.34</v>
      </c>
      <c r="V63" s="108">
        <f t="array" ref="V63">IF(ISNUMBER(AC63),INDEX('All Player Data Store'!$R$7:$R$594,SMALL(IF('All Player Data Store'!$Y$7:$Y$594=AC63,ROW('All Player Data Store'!$Y$7:$Y$594)-ROW('All Player Data Store'!$Y$7)+1),COUNTIF($AC$8:AC63,AC63))),"")</f>
        <v>21.93</v>
      </c>
      <c r="W63" s="108">
        <f t="array" ref="W63">IF(ISNUMBER(AC63),INDEX('All Player Data Store'!$S$7:$S$594,SMALL(IF('All Player Data Store'!$Y$7:$Y$594=AC63,ROW('All Player Data Store'!$Y$7:$Y$594)-ROW('All Player Data Store'!$Y$7)+1),COUNTIF($AC$8:AC63,AC63))),"")</f>
        <v>21.98</v>
      </c>
      <c r="X63" s="108">
        <f t="array" ref="X63">IF(ISNUMBER(AC63),INDEX('All Player Data Store'!$T$7:$T$594,SMALL(IF('All Player Data Store'!$Y$7:$Y$594=AC63,ROW('All Player Data Store'!$Y$7:$Y$594)-ROW('All Player Data Store'!$Y$7)+1),COUNTIF($AC$8:AC63,AC63))),"")</f>
        <v>21.73</v>
      </c>
      <c r="Y63" s="108">
        <f t="array" ref="Y63">IF(ISNUMBER(AC63),INDEX('All Player Data Store'!$U$7:$U$594,SMALL(IF('All Player Data Store'!$Y$7:$Y$594=AC63,ROW('All Player Data Store'!$Y$7:$Y$594)-ROW('All Player Data Store'!$Y$7)+1),COUNTIF($AC$8:AC63,AC63))),"")</f>
        <v>22.16</v>
      </c>
      <c r="Z63" s="108">
        <f t="array" ref="Z63">IF(ISNUMBER(AC63),INDEX('All Player Data Store'!$V$7:$V$594,SMALL(IF('All Player Data Store'!$Y$7:$Y$594=AC63,ROW('All Player Data Store'!$Y$7:$Y$594)-ROW('All Player Data Store'!$Y$7)+1),COUNTIF($AC$8:AC63,AC63))),"")</f>
        <v>20.9</v>
      </c>
      <c r="AA63" s="112">
        <f t="array" ref="AA63">IF(ISNUMBER(AC63),INDEX('All Player Data Store'!$W$7:$W$594,SMALL(IF('All Player Data Store'!$Y$7:$Y$594=AC63,ROW('All Player Data Store'!$Y$7:$Y$594)-ROW('All Player Data Store'!$Y$7)+1),COUNTIF($AC$8:AC63,AC63))),"")</f>
        <v>3</v>
      </c>
      <c r="AB63" s="108">
        <f t="array" ref="AB63">IF(ISNUMBER(AC63),INDEX('All Player Data Store'!$X$7:$X$594,SMALL(IF('All Player Data Store'!$Y$7:$Y$594=AC63,ROW('All Player Data Store'!$Y$7:$Y$594)-ROW('All Player Data Store'!$Y$7)+1),COUNTIF($AC$8:AC63,AC63))),"")</f>
        <v>21.640909090909091</v>
      </c>
      <c r="AC63" s="115">
        <f>IF(ISERROR(IF(ISERROR(LARGE('All Player Data Store'!$Y$7:$Y$594,56)),"",(LARGE('All Player Data Store'!$Y$7:$Y$594,56)))),"",(IF(ISERROR(LARGE('All Player Data Store'!$Y$7:$Y$594,56)),"",(LARGE('All Player Data Store'!$Y$7:$Y$594,56)))))</f>
        <v>27.640909090909091</v>
      </c>
      <c r="AD63" s="106">
        <f t="shared" si="2"/>
        <v>3</v>
      </c>
      <c r="AE63" s="107" t="str">
        <f t="array" ref="AE63">IF(ISNUMBER(AC63),INDEX('All Player Data Store'!$J$8:$J$594,SMALL(IF('All Player Data Store'!$Y$7:$Y$594=AC63,ROW('All Player Data Store'!$Y$7:$Y$594)-ROW('All Player Data Store'!$Y$7)+1),COUNTIF($AC$8:AC63,AC63))),"")</f>
        <v>4*3</v>
      </c>
      <c r="AF63" s="108">
        <f t="shared" si="3"/>
        <v>22.09</v>
      </c>
      <c r="AG63" s="108" t="str">
        <f t="array" ref="AG63">IF(ISNUMBER(AC63),INDEX('All Player Data Store'!$K$8:$K$594,SMALL(IF('All Player Data Store'!$Y$7:$Y$594=AC63,ROW('All Player Data Store'!$Y$7:$Y$594)-ROW('All Player Data Store'!$Y$7)+1),COUNTIF($AC$8:AC63,AC63))),"")</f>
        <v/>
      </c>
      <c r="AH63" s="108" t="str">
        <f t="shared" si="4"/>
        <v/>
      </c>
      <c r="AI63" s="108" t="str">
        <f t="array" ref="AI63">IF(ISNUMBER(AC63),INDEX('All Player Data Store'!$L$8:$L$594,SMALL(IF('All Player Data Store'!$Y$7:$Y$594=AC63,ROW('All Player Data Store'!$Y$7:$Y$594)-ROW('All Player Data Store'!$Y$7)+1),COUNTIF($AC$8:AC63,AC63))),"")</f>
        <v>4*2</v>
      </c>
      <c r="AJ63" s="108">
        <f t="shared" si="5"/>
        <v>22.77</v>
      </c>
      <c r="AK63" s="108" t="str">
        <f t="array" ref="AK63">IF(ISNUMBER(AC63),INDEX('All Player Data Store'!$M$8:$M$594,SMALL(IF('All Player Data Store'!$Y$7:$Y$594=AC63,ROW('All Player Data Store'!$Y$7:$Y$594)-ROW('All Player Data Store'!$Y$7)+1),COUNTIF($AC$8:AC63,AC63))),"")</f>
        <v>2*4</v>
      </c>
      <c r="AL63" s="108">
        <f t="shared" si="6"/>
        <v>21.98</v>
      </c>
      <c r="AM63" s="108" t="str">
        <f t="array" ref="AM63">IF(ISNUMBER(AC63),INDEX('All Player Data Store'!$N$8:$N$594,SMALL(IF('All Player Data Store'!$Y$7:$Y$594=AC63,ROW('All Player Data Store'!$Y$7:$Y$594)-ROW('All Player Data Store'!$Y$7)+1),COUNTIF($AC$8:AC63,AC63))),"")</f>
        <v>4*0(1)</v>
      </c>
      <c r="AN63" s="108">
        <f t="shared" si="7"/>
        <v>24.3</v>
      </c>
      <c r="AO63" s="108" t="str">
        <f t="array" ref="AO63">IF(ISNUMBER(AC63),INDEX('All Player Data Store'!$O$8:$O$594,SMALL(IF('All Player Data Store'!$Y$7:$Y$594=AC63,ROW('All Player Data Store'!$Y$7:$Y$594)-ROW('All Player Data Store'!$Y$7)+1),COUNTIF($AC$8:AC63,AC63))),"")</f>
        <v/>
      </c>
      <c r="AP63" s="108" t="str">
        <f t="shared" si="8"/>
        <v/>
      </c>
      <c r="AQ63" s="108" t="str">
        <f t="array" ref="AQ63">IF(ISNUMBER(AC63),INDEX('All Player Data Store'!$P$8:$P$594,SMALL(IF('All Player Data Store'!$Y$7:$Y$594=AC63,ROW('All Player Data Store'!$Y$7:$Y$594)-ROW('All Player Data Store'!$Y$7)+1),COUNTIF($AC$8:AC63,AC63))),"")</f>
        <v>2*4(1)</v>
      </c>
      <c r="AR63" s="108">
        <f t="shared" si="9"/>
        <v>19.87</v>
      </c>
      <c r="AS63" s="108" t="str">
        <f t="array" ref="AS63">IF(ISNUMBER(AC63),INDEX('All Player Data Store'!$Q$8:$Q$594,SMALL(IF('All Player Data Store'!$Y$7:$Y$594=AC63,ROW('All Player Data Store'!$Y$7:$Y$594)-ROW('All Player Data Store'!$Y$7)+1),COUNTIF($AC$8:AC63,AC63))),"")</f>
        <v>4*2</v>
      </c>
      <c r="AT63" s="108">
        <f t="shared" si="10"/>
        <v>22.34</v>
      </c>
      <c r="AU63" s="108" t="str">
        <f t="array" ref="AU63">IF(ISNUMBER(AC63),INDEX('All Player Data Store'!$R$8:$R$594,SMALL(IF('All Player Data Store'!$Y$7:$Y$594=AC63,ROW('All Player Data Store'!$Y$7:$Y$594)-ROW('All Player Data Store'!$Y$7)+1),COUNTIF($AC$8:AC63,AC63))),"")</f>
        <v>0*4(1)</v>
      </c>
      <c r="AV63" s="108">
        <f t="shared" si="11"/>
        <v>21.93</v>
      </c>
      <c r="AW63" s="108" t="str">
        <f t="array" ref="AW63">IF(ISNUMBER(AC63),INDEX('All Player Data Store'!$S$8:$S$594,SMALL(IF('All Player Data Store'!$Y$7:$Y$594=AC63,ROW('All Player Data Store'!$Y$7:$Y$594)-ROW('All Player Data Store'!$Y$7)+1),COUNTIF($AC$8:AC63,AC63))),"")</f>
        <v>4*3</v>
      </c>
      <c r="AX63" s="108">
        <f t="shared" si="12"/>
        <v>22.98</v>
      </c>
      <c r="AY63" s="108" t="str">
        <f t="array" ref="AY63">IF(ISNUMBER(AC63),INDEX('All Player Data Store'!$T$8:$T$594,SMALL(IF('All Player Data Store'!$Y$7:$Y$594=AC63,ROW('All Player Data Store'!$Y$7:$Y$594)-ROW('All Player Data Store'!$Y$7)+1),COUNTIF($AC$8:AC63,AC63))),"")</f>
        <v>0*4</v>
      </c>
      <c r="AZ63" s="108">
        <f t="shared" si="13"/>
        <v>21.73</v>
      </c>
      <c r="BA63" s="108" t="str">
        <f t="array" ref="BA63">IF(ISNUMBER(AC63),INDEX('All Player Data Store'!$U$8:$U$594,SMALL(IF('All Player Data Store'!$Y$7:$Y$594=AC63,ROW('All Player Data Store'!$Y$7:$Y$594)-ROW('All Player Data Store'!$Y$7)+1),COUNTIF($AC$8:AC63,AC63))),"")</f>
        <v>4*2</v>
      </c>
      <c r="BB63" s="108">
        <f t="shared" si="14"/>
        <v>23.16</v>
      </c>
      <c r="BC63" s="108" t="str">
        <f t="array" ref="BC63">IF(ISNUMBER(AC63),INDEX('All Player Data Store'!$V$8:$V$594,SMALL(IF('All Player Data Store'!$Y$7:$Y$594=AC63,ROW('All Player Data Store'!$Y$7:$Y$594)-ROW('All Player Data Store'!$Y$7)+1),COUNTIF($AC$8:AC63,AC63))),"")</f>
        <v>2*4</v>
      </c>
      <c r="BD63" s="108">
        <f t="shared" si="15"/>
        <v>20.9</v>
      </c>
      <c r="BE63" s="1"/>
    </row>
    <row r="64" spans="2:57" ht="12" customHeight="1" x14ac:dyDescent="0.2">
      <c r="B64" s="98" t="str">
        <f t="shared" si="0"/>
        <v>N</v>
      </c>
      <c r="C64" s="1"/>
      <c r="D64" s="68">
        <f t="shared" si="1"/>
        <v>57</v>
      </c>
      <c r="E64" s="2"/>
      <c r="F64" s="78">
        <v>57</v>
      </c>
      <c r="G64" s="110" t="str">
        <f t="array" ref="G64">IF(ISNUMBER(AC64),INDEX('All Player Data Store'!$C$7:$C$594,SMALL(IF('All Player Data Store'!$Y$7:$Y$594=AC64,ROW('All Player Data Store'!$Y$7:$Y$594)-ROW('All Player Data Store'!$Y$7)+1),COUNTIF($AC$8:AC64,AC64))),"")</f>
        <v>Rob Channing</v>
      </c>
      <c r="H64" s="111" t="str">
        <f t="array" ref="H64">IF(ISNUMBER(AC64),INDEX('All Player Data Store'!$D$7:$D$594,SMALL(IF('All Player Data Store'!$Y$7:$Y$594=AC64,ROW('All Player Data Store'!$Y$7:$Y$594)-ROW('All Player Data Store'!$Y$7)+1),COUNTIF($AC$8:AC64,AC64))),"")</f>
        <v>Bos</v>
      </c>
      <c r="I64" s="69">
        <f t="array" ref="I64">IF(ISNUMBER(AC64),INDEX('All Player Data Store'!$E$7:$E$594,SMALL(IF('All Player Data Store'!$Y$7:$Y$594=AC64,ROW('All Player Data Store'!$Y$7:$Y$594)-ROW('All Player Data Store'!$Y$7)+1),COUNTIF($AC$8:AC64,AC64))),"")</f>
        <v>8</v>
      </c>
      <c r="J64" s="70">
        <f t="array" ref="J64">IF(ISNUMBER(AC64),INDEX('All Player Data Store'!$F$7:$F$594,SMALL(IF('All Player Data Store'!$Y$7:$Y$594=AC64,ROW('All Player Data Store'!$Y$7:$Y$594)-ROW('All Player Data Store'!$Y$7)+1),COUNTIF($AC$8:AC64,AC64))),"")</f>
        <v>4</v>
      </c>
      <c r="K64" s="112">
        <f t="array" ref="K64">IF(ISNUMBER(AC64),INDEX('All Player Data Store'!$G$7:$G$594,SMALL(IF('All Player Data Store'!$Y$7:$Y$594=AC64,ROW('All Player Data Store'!$Y$7:$Y$594)-ROW('All Player Data Store'!$Y$7)+1),COUNTIF($AC$8:AC64,AC64))),"")</f>
        <v>4</v>
      </c>
      <c r="L64" s="112">
        <f t="array" ref="L64">IF(ISNUMBER(AC64),INDEX('All Player Data Store'!$H$7:$H$594,SMALL(IF('All Player Data Store'!$Y$7:$Y$594=AC64,ROW('All Player Data Store'!$Y$7:$Y$594)-ROW('All Player Data Store'!$Y$7)+1),COUNTIF($AC$8:AC64,AC64))),"")</f>
        <v>26</v>
      </c>
      <c r="M64" s="113">
        <f t="array" ref="M64">IF(ISNUMBER(AC64),INDEX('All Player Data Store'!$I$7:$I$594,SMALL(IF('All Player Data Store'!$Y$7:$Y$594=AC64,ROW('All Player Data Store'!$Y$7:$Y$594)-ROW('All Player Data Store'!$Y$7)+1),COUNTIF($AC$8:AC64,AC64))),"")</f>
        <v>20</v>
      </c>
      <c r="N64" s="114">
        <f t="array" ref="N64">IF(ISNUMBER(AC64),INDEX('All Player Data Store'!$J$7:$J$594,SMALL(IF('All Player Data Store'!$Y$7:$Y$594=AC64,ROW('All Player Data Store'!$Y$7:$Y$594)-ROW('All Player Data Store'!$Y$7)+1),COUNTIF($AC$8:AC64,AC64))),"")</f>
        <v>23.05</v>
      </c>
      <c r="O64" s="108">
        <f t="array" ref="O64">IF(ISNUMBER(AC64),INDEX('All Player Data Store'!$K$7:$K$594,SMALL(IF('All Player Data Store'!$Y$7:$Y$594=AC64,ROW('All Player Data Store'!$Y$7:$Y$594)-ROW('All Player Data Store'!$Y$7)+1),COUNTIF($AC$8:AC64,AC64))),"")</f>
        <v>23.7</v>
      </c>
      <c r="P64" s="108" t="str">
        <f t="array" ref="P64">IF(ISNUMBER(AC64),INDEX('All Player Data Store'!$L$7:$L$594,SMALL(IF('All Player Data Store'!$Y$7:$Y$594=AC64,ROW('All Player Data Store'!$Y$7:$Y$594)-ROW('All Player Data Store'!$Y$7)+1),COUNTIF($AC$8:AC64,AC64))),"")</f>
        <v/>
      </c>
      <c r="Q64" s="108" t="str">
        <f t="array" ref="Q64">IF(ISNUMBER(AC64),INDEX('All Player Data Store'!$M$7:$M$594,SMALL(IF('All Player Data Store'!$Y$7:$Y$594=AC64,ROW('All Player Data Store'!$Y$7:$Y$594)-ROW('All Player Data Store'!$Y$7)+1),COUNTIF($AC$8:AC64,AC64))),"")</f>
        <v/>
      </c>
      <c r="R64" s="108" t="str">
        <f t="array" ref="R64">IF(ISNUMBER(AC64),INDEX('All Player Data Store'!$N$7:$N$594,SMALL(IF('All Player Data Store'!$Y$7:$Y$594=AC64,ROW('All Player Data Store'!$Y$7:$Y$594)-ROW('All Player Data Store'!$Y$7)+1),COUNTIF($AC$8:AC64,AC64))),"")</f>
        <v/>
      </c>
      <c r="S64" s="108">
        <f t="array" ref="S64">IF(ISNUMBER(AC64),INDEX('All Player Data Store'!$O$7:$O$594,SMALL(IF('All Player Data Store'!$Y$7:$Y$594=AC64,ROW('All Player Data Store'!$Y$7:$Y$594)-ROW('All Player Data Store'!$Y$7)+1),COUNTIF($AC$8:AC64,AC64))),"")</f>
        <v>21.49</v>
      </c>
      <c r="T64" s="108">
        <f t="array" ref="T64">IF(ISNUMBER(AC64),INDEX('All Player Data Store'!$P$7:$P$594,SMALL(IF('All Player Data Store'!$Y$7:$Y$594=AC64,ROW('All Player Data Store'!$Y$7:$Y$594)-ROW('All Player Data Store'!$Y$7)+1),COUNTIF($AC$8:AC64,AC64))),"")</f>
        <v>23.3</v>
      </c>
      <c r="U64" s="108">
        <f t="array" ref="U64">IF(ISNUMBER(AC64),INDEX('All Player Data Store'!$Q$7:$Q$594,SMALL(IF('All Player Data Store'!$Y$7:$Y$594=AC64,ROW('All Player Data Store'!$Y$7:$Y$594)-ROW('All Player Data Store'!$Y$7)+1),COUNTIF($AC$8:AC64,AC64))),"")</f>
        <v>27.07</v>
      </c>
      <c r="V64" s="108">
        <f t="array" ref="V64">IF(ISNUMBER(AC64),INDEX('All Player Data Store'!$R$7:$R$594,SMALL(IF('All Player Data Store'!$Y$7:$Y$594=AC64,ROW('All Player Data Store'!$Y$7:$Y$594)-ROW('All Player Data Store'!$Y$7)+1),COUNTIF($AC$8:AC64,AC64))),"")</f>
        <v>24.43</v>
      </c>
      <c r="W64" s="108">
        <f t="array" ref="W64">IF(ISNUMBER(AC64),INDEX('All Player Data Store'!$S$7:$S$594,SMALL(IF('All Player Data Store'!$Y$7:$Y$594=AC64,ROW('All Player Data Store'!$Y$7:$Y$594)-ROW('All Player Data Store'!$Y$7)+1),COUNTIF($AC$8:AC64,AC64))),"")</f>
        <v>20.09</v>
      </c>
      <c r="X64" s="108" t="str">
        <f t="array" ref="X64">IF(ISNUMBER(AC64),INDEX('All Player Data Store'!$T$7:$T$594,SMALL(IF('All Player Data Store'!$Y$7:$Y$594=AC64,ROW('All Player Data Store'!$Y$7:$Y$594)-ROW('All Player Data Store'!$Y$7)+1),COUNTIF($AC$8:AC64,AC64))),"")</f>
        <v/>
      </c>
      <c r="Y64" s="108">
        <f t="array" ref="Y64">IF(ISNUMBER(AC64),INDEX('All Player Data Store'!$U$7:$U$594,SMALL(IF('All Player Data Store'!$Y$7:$Y$594=AC64,ROW('All Player Data Store'!$Y$7:$Y$594)-ROW('All Player Data Store'!$Y$7)+1),COUNTIF($AC$8:AC64,AC64))),"")</f>
        <v>25.05</v>
      </c>
      <c r="Z64" s="108" t="str">
        <f t="array" ref="Z64">IF(ISNUMBER(AC64),INDEX('All Player Data Store'!$V$7:$V$594,SMALL(IF('All Player Data Store'!$Y$7:$Y$594=AC64,ROW('All Player Data Store'!$Y$7:$Y$594)-ROW('All Player Data Store'!$Y$7)+1),COUNTIF($AC$8:AC64,AC64))),"")</f>
        <v/>
      </c>
      <c r="AA64" s="112">
        <f t="array" ref="AA64">IF(ISNUMBER(AC64),INDEX('All Player Data Store'!$W$7:$W$594,SMALL(IF('All Player Data Store'!$Y$7:$Y$594=AC64,ROW('All Player Data Store'!$Y$7:$Y$594)-ROW('All Player Data Store'!$Y$7)+1),COUNTIF($AC$8:AC64,AC64))),"")</f>
        <v>3</v>
      </c>
      <c r="AB64" s="108">
        <f t="array" ref="AB64">IF(ISNUMBER(AC64),INDEX('All Player Data Store'!$X$7:$X$594,SMALL(IF('All Player Data Store'!$Y$7:$Y$594=AC64,ROW('All Player Data Store'!$Y$7:$Y$594)-ROW('All Player Data Store'!$Y$7)+1),COUNTIF($AC$8:AC64,AC64))),"")</f>
        <v>23.522500000000001</v>
      </c>
      <c r="AC64" s="115">
        <f>IF(ISERROR(IF(ISERROR(LARGE('All Player Data Store'!$Y$7:$Y$594,57)),"",(LARGE('All Player Data Store'!$Y$7:$Y$594,57)))),"",(IF(ISERROR(LARGE('All Player Data Store'!$Y$7:$Y$594,57)),"",(LARGE('All Player Data Store'!$Y$7:$Y$594,57)))))</f>
        <v>27.522500000000001</v>
      </c>
      <c r="AD64" s="106">
        <f t="shared" si="2"/>
        <v>3</v>
      </c>
      <c r="AE64" s="107" t="str">
        <f t="array" ref="AE64">IF(ISNUMBER(AC64),INDEX('All Player Data Store'!$J$8:$J$594,SMALL(IF('All Player Data Store'!$Y$7:$Y$594=AC64,ROW('All Player Data Store'!$Y$7:$Y$594)-ROW('All Player Data Store'!$Y$7)+1),COUNTIF($AC$8:AC64,AC64))),"")</f>
        <v>3*4</v>
      </c>
      <c r="AF64" s="108">
        <f t="shared" si="3"/>
        <v>23.05</v>
      </c>
      <c r="AG64" s="108" t="str">
        <f t="array" ref="AG64">IF(ISNUMBER(AC64),INDEX('All Player Data Store'!$K$8:$K$594,SMALL(IF('All Player Data Store'!$Y$7:$Y$594=AC64,ROW('All Player Data Store'!$Y$7:$Y$594)-ROW('All Player Data Store'!$Y$7)+1),COUNTIF($AC$8:AC64,AC64))),"")</f>
        <v>4*3</v>
      </c>
      <c r="AH64" s="108">
        <f t="shared" si="4"/>
        <v>24.7</v>
      </c>
      <c r="AI64" s="108" t="str">
        <f t="array" ref="AI64">IF(ISNUMBER(AC64),INDEX('All Player Data Store'!$L$8:$L$594,SMALL(IF('All Player Data Store'!$Y$7:$Y$594=AC64,ROW('All Player Data Store'!$Y$7:$Y$594)-ROW('All Player Data Store'!$Y$7)+1),COUNTIF($AC$8:AC64,AC64))),"")</f>
        <v/>
      </c>
      <c r="AJ64" s="108" t="str">
        <f t="shared" si="5"/>
        <v/>
      </c>
      <c r="AK64" s="108" t="str">
        <f t="array" ref="AK64">IF(ISNUMBER(AC64),INDEX('All Player Data Store'!$M$8:$M$594,SMALL(IF('All Player Data Store'!$Y$7:$Y$594=AC64,ROW('All Player Data Store'!$Y$7:$Y$594)-ROW('All Player Data Store'!$Y$7)+1),COUNTIF($AC$8:AC64,AC64))),"")</f>
        <v/>
      </c>
      <c r="AL64" s="108" t="str">
        <f t="shared" si="6"/>
        <v/>
      </c>
      <c r="AM64" s="108" t="str">
        <f t="array" ref="AM64">IF(ISNUMBER(AC64),INDEX('All Player Data Store'!$N$8:$N$594,SMALL(IF('All Player Data Store'!$Y$7:$Y$594=AC64,ROW('All Player Data Store'!$Y$7:$Y$594)-ROW('All Player Data Store'!$Y$7)+1),COUNTIF($AC$8:AC64,AC64))),"")</f>
        <v/>
      </c>
      <c r="AN64" s="108" t="str">
        <f t="shared" si="7"/>
        <v/>
      </c>
      <c r="AO64" s="108" t="str">
        <f t="array" ref="AO64">IF(ISNUMBER(AC64),INDEX('All Player Data Store'!$O$8:$O$594,SMALL(IF('All Player Data Store'!$Y$7:$Y$594=AC64,ROW('All Player Data Store'!$Y$7:$Y$594)-ROW('All Player Data Store'!$Y$7)+1),COUNTIF($AC$8:AC64,AC64))),"")</f>
        <v>2*4(2)</v>
      </c>
      <c r="AP64" s="108">
        <f t="shared" si="8"/>
        <v>21.49</v>
      </c>
      <c r="AQ64" s="108" t="str">
        <f t="array" ref="AQ64">IF(ISNUMBER(AC64),INDEX('All Player Data Store'!$P$8:$P$594,SMALL(IF('All Player Data Store'!$Y$7:$Y$594=AC64,ROW('All Player Data Store'!$Y$7:$Y$594)-ROW('All Player Data Store'!$Y$7)+1),COUNTIF($AC$8:AC64,AC64))),"")</f>
        <v>4*0</v>
      </c>
      <c r="AR64" s="108">
        <f t="shared" si="9"/>
        <v>24.3</v>
      </c>
      <c r="AS64" s="108" t="str">
        <f t="array" ref="AS64">IF(ISNUMBER(AC64),INDEX('All Player Data Store'!$Q$8:$Q$594,SMALL(IF('All Player Data Store'!$Y$7:$Y$594=AC64,ROW('All Player Data Store'!$Y$7:$Y$594)-ROW('All Player Data Store'!$Y$7)+1),COUNTIF($AC$8:AC64,AC64))),"")</f>
        <v>3*4</v>
      </c>
      <c r="AT64" s="108">
        <f t="shared" si="10"/>
        <v>27.07</v>
      </c>
      <c r="AU64" s="108" t="str">
        <f t="array" ref="AU64">IF(ISNUMBER(AC64),INDEX('All Player Data Store'!$R$8:$R$594,SMALL(IF('All Player Data Store'!$Y$7:$Y$594=AC64,ROW('All Player Data Store'!$Y$7:$Y$594)-ROW('All Player Data Store'!$Y$7)+1),COUNTIF($AC$8:AC64,AC64))),"")</f>
        <v>4*1(1)</v>
      </c>
      <c r="AV64" s="108">
        <f t="shared" si="11"/>
        <v>25.43</v>
      </c>
      <c r="AW64" s="108" t="str">
        <f t="array" ref="AW64">IF(ISNUMBER(AC64),INDEX('All Player Data Store'!$S$8:$S$594,SMALL(IF('All Player Data Store'!$Y$7:$Y$594=AC64,ROW('All Player Data Store'!$Y$7:$Y$594)-ROW('All Player Data Store'!$Y$7)+1),COUNTIF($AC$8:AC64,AC64))),"")</f>
        <v>2*4</v>
      </c>
      <c r="AX64" s="108">
        <f t="shared" si="12"/>
        <v>20.09</v>
      </c>
      <c r="AY64" s="108" t="str">
        <f t="array" ref="AY64">IF(ISNUMBER(AC64),INDEX('All Player Data Store'!$T$8:$T$594,SMALL(IF('All Player Data Store'!$Y$7:$Y$594=AC64,ROW('All Player Data Store'!$Y$7:$Y$594)-ROW('All Player Data Store'!$Y$7)+1),COUNTIF($AC$8:AC64,AC64))),"")</f>
        <v/>
      </c>
      <c r="AZ64" s="108" t="str">
        <f t="shared" si="13"/>
        <v/>
      </c>
      <c r="BA64" s="108" t="str">
        <f t="array" ref="BA64">IF(ISNUMBER(AC64),INDEX('All Player Data Store'!$U$8:$U$594,SMALL(IF('All Player Data Store'!$Y$7:$Y$594=AC64,ROW('All Player Data Store'!$Y$7:$Y$594)-ROW('All Player Data Store'!$Y$7)+1),COUNTIF($AC$8:AC64,AC64))),"")</f>
        <v>4*0</v>
      </c>
      <c r="BB64" s="108">
        <f t="shared" si="14"/>
        <v>26.05</v>
      </c>
      <c r="BC64" s="108" t="str">
        <f t="array" ref="BC64">IF(ISNUMBER(AC64),INDEX('All Player Data Store'!$V$8:$V$594,SMALL(IF('All Player Data Store'!$Y$7:$Y$594=AC64,ROW('All Player Data Store'!$Y$7:$Y$594)-ROW('All Player Data Store'!$Y$7)+1),COUNTIF($AC$8:AC64,AC64))),"")</f>
        <v/>
      </c>
      <c r="BD64" s="108" t="str">
        <f t="shared" si="15"/>
        <v/>
      </c>
      <c r="BE64" s="1"/>
    </row>
    <row r="65" spans="2:57" ht="12" customHeight="1" x14ac:dyDescent="0.2">
      <c r="B65" s="98" t="str">
        <f t="shared" si="0"/>
        <v>Y</v>
      </c>
      <c r="C65" s="1"/>
      <c r="D65" s="68">
        <f t="shared" si="1"/>
        <v>58</v>
      </c>
      <c r="E65" s="2"/>
      <c r="F65" s="78">
        <v>58</v>
      </c>
      <c r="G65" s="110" t="str">
        <f t="array" ref="G65">IF(ISNUMBER(AC65),INDEX('All Player Data Store'!$C$7:$C$594,SMALL(IF('All Player Data Store'!$Y$7:$Y$594=AC65,ROW('All Player Data Store'!$Y$7:$Y$594)-ROW('All Player Data Store'!$Y$7)+1),COUNTIF($AC$8:AC65,AC65))),"")</f>
        <v>Simon Coles</v>
      </c>
      <c r="H65" s="111" t="str">
        <f t="array" ref="H65">IF(ISNUMBER(AC65),INDEX('All Player Data Store'!$D$7:$D$594,SMALL(IF('All Player Data Store'!$Y$7:$Y$594=AC65,ROW('All Player Data Store'!$Y$7:$Y$594)-ROW('All Player Data Store'!$Y$7)+1),COUNTIF($AC$8:AC65,AC65))),"")</f>
        <v>Dor</v>
      </c>
      <c r="I65" s="69">
        <f t="array" ref="I65">IF(ISNUMBER(AC65),INDEX('All Player Data Store'!$E$7:$E$594,SMALL(IF('All Player Data Store'!$Y$7:$Y$594=AC65,ROW('All Player Data Store'!$Y$7:$Y$594)-ROW('All Player Data Store'!$Y$7)+1),COUNTIF($AC$8:AC65,AC65))),"")</f>
        <v>10</v>
      </c>
      <c r="J65" s="70">
        <f t="array" ref="J65">IF(ISNUMBER(AC65),INDEX('All Player Data Store'!$F$7:$F$594,SMALL(IF('All Player Data Store'!$Y$7:$Y$594=AC65,ROW('All Player Data Store'!$Y$7:$Y$594)-ROW('All Player Data Store'!$Y$7)+1),COUNTIF($AC$8:AC65,AC65))),"")</f>
        <v>5</v>
      </c>
      <c r="K65" s="112">
        <f t="array" ref="K65">IF(ISNUMBER(AC65),INDEX('All Player Data Store'!$G$7:$G$594,SMALL(IF('All Player Data Store'!$Y$7:$Y$594=AC65,ROW('All Player Data Store'!$Y$7:$Y$594)-ROW('All Player Data Store'!$Y$7)+1),COUNTIF($AC$8:AC65,AC65))),"")</f>
        <v>5</v>
      </c>
      <c r="L65" s="112">
        <f t="array" ref="L65">IF(ISNUMBER(AC65),INDEX('All Player Data Store'!$H$7:$H$594,SMALL(IF('All Player Data Store'!$Y$7:$Y$594=AC65,ROW('All Player Data Store'!$Y$7:$Y$594)-ROW('All Player Data Store'!$Y$7)+1),COUNTIF($AC$8:AC65,AC65))),"")</f>
        <v>28</v>
      </c>
      <c r="M65" s="113">
        <f t="array" ref="M65">IF(ISNUMBER(AC65),INDEX('All Player Data Store'!$I$7:$I$594,SMALL(IF('All Player Data Store'!$Y$7:$Y$594=AC65,ROW('All Player Data Store'!$Y$7:$Y$594)-ROW('All Player Data Store'!$Y$7)+1),COUNTIF($AC$8:AC65,AC65))),"")</f>
        <v>28</v>
      </c>
      <c r="N65" s="114">
        <f t="array" ref="N65">IF(ISNUMBER(AC65),INDEX('All Player Data Store'!$J$7:$J$594,SMALL(IF('All Player Data Store'!$Y$7:$Y$594=AC65,ROW('All Player Data Store'!$Y$7:$Y$594)-ROW('All Player Data Store'!$Y$7)+1),COUNTIF($AC$8:AC65,AC65))),"")</f>
        <v>21.05</v>
      </c>
      <c r="O65" s="108">
        <f t="array" ref="O65">IF(ISNUMBER(AC65),INDEX('All Player Data Store'!$K$7:$K$594,SMALL(IF('All Player Data Store'!$Y$7:$Y$594=AC65,ROW('All Player Data Store'!$Y$7:$Y$594)-ROW('All Player Data Store'!$Y$7)+1),COUNTIF($AC$8:AC65,AC65))),"")</f>
        <v>21.62</v>
      </c>
      <c r="P65" s="108">
        <f t="array" ref="P65">IF(ISNUMBER(AC65),INDEX('All Player Data Store'!$L$7:$L$594,SMALL(IF('All Player Data Store'!$Y$7:$Y$594=AC65,ROW('All Player Data Store'!$Y$7:$Y$594)-ROW('All Player Data Store'!$Y$7)+1),COUNTIF($AC$8:AC65,AC65))),"")</f>
        <v>22.25</v>
      </c>
      <c r="Q65" s="108">
        <f t="array" ref="Q65">IF(ISNUMBER(AC65),INDEX('All Player Data Store'!$M$7:$M$594,SMALL(IF('All Player Data Store'!$Y$7:$Y$594=AC65,ROW('All Player Data Store'!$Y$7:$Y$594)-ROW('All Player Data Store'!$Y$7)+1),COUNTIF($AC$8:AC65,AC65))),"")</f>
        <v>19.64</v>
      </c>
      <c r="R65" s="108">
        <f t="array" ref="R65">IF(ISNUMBER(AC65),INDEX('All Player Data Store'!$N$7:$N$594,SMALL(IF('All Player Data Store'!$Y$7:$Y$594=AC65,ROW('All Player Data Store'!$Y$7:$Y$594)-ROW('All Player Data Store'!$Y$7)+1),COUNTIF($AC$8:AC65,AC65))),"")</f>
        <v>25.53</v>
      </c>
      <c r="S65" s="108" t="str">
        <f t="array" ref="S65">IF(ISNUMBER(AC65),INDEX('All Player Data Store'!$O$7:$O$594,SMALL(IF('All Player Data Store'!$Y$7:$Y$594=AC65,ROW('All Player Data Store'!$Y$7:$Y$594)-ROW('All Player Data Store'!$Y$7)+1),COUNTIF($AC$8:AC65,AC65))),"")</f>
        <v/>
      </c>
      <c r="T65" s="108" t="str">
        <f t="array" ref="T65">IF(ISNUMBER(AC65),INDEX('All Player Data Store'!$P$7:$P$594,SMALL(IF('All Player Data Store'!$Y$7:$Y$594=AC65,ROW('All Player Data Store'!$Y$7:$Y$594)-ROW('All Player Data Store'!$Y$7)+1),COUNTIF($AC$8:AC65,AC65))),"")</f>
        <v/>
      </c>
      <c r="U65" s="108" t="str">
        <f t="array" ref="U65">IF(ISNUMBER(AC65),INDEX('All Player Data Store'!$Q$7:$Q$594,SMALL(IF('All Player Data Store'!$Y$7:$Y$594=AC65,ROW('All Player Data Store'!$Y$7:$Y$594)-ROW('All Player Data Store'!$Y$7)+1),COUNTIF($AC$8:AC65,AC65))),"")</f>
        <v/>
      </c>
      <c r="V65" s="108">
        <f t="array" ref="V65">IF(ISNUMBER(AC65),INDEX('All Player Data Store'!$R$7:$R$594,SMALL(IF('All Player Data Store'!$Y$7:$Y$594=AC65,ROW('All Player Data Store'!$Y$7:$Y$594)-ROW('All Player Data Store'!$Y$7)+1),COUNTIF($AC$8:AC65,AC65))),"")</f>
        <v>22.76</v>
      </c>
      <c r="W65" s="108">
        <f t="array" ref="W65">IF(ISNUMBER(AC65),INDEX('All Player Data Store'!$S$7:$S$594,SMALL(IF('All Player Data Store'!$Y$7:$Y$594=AC65,ROW('All Player Data Store'!$Y$7:$Y$594)-ROW('All Player Data Store'!$Y$7)+1),COUNTIF($AC$8:AC65,AC65))),"")</f>
        <v>19.87</v>
      </c>
      <c r="X65" s="108">
        <f t="array" ref="X65">IF(ISNUMBER(AC65),INDEX('All Player Data Store'!$T$7:$T$594,SMALL(IF('All Player Data Store'!$Y$7:$Y$594=AC65,ROW('All Player Data Store'!$Y$7:$Y$594)-ROW('All Player Data Store'!$Y$7)+1),COUNTIF($AC$8:AC65,AC65))),"")</f>
        <v>24.46</v>
      </c>
      <c r="Y65" s="108">
        <f t="array" ref="Y65">IF(ISNUMBER(AC65),INDEX('All Player Data Store'!$U$7:$U$594,SMALL(IF('All Player Data Store'!$Y$7:$Y$594=AC65,ROW('All Player Data Store'!$Y$7:$Y$594)-ROW('All Player Data Store'!$Y$7)+1),COUNTIF($AC$8:AC65,AC65))),"")</f>
        <v>24.52</v>
      </c>
      <c r="Z65" s="108">
        <f t="array" ref="Z65">IF(ISNUMBER(AC65),INDEX('All Player Data Store'!$V$7:$V$594,SMALL(IF('All Player Data Store'!$Y$7:$Y$594=AC65,ROW('All Player Data Store'!$Y$7:$Y$594)-ROW('All Player Data Store'!$Y$7)+1),COUNTIF($AC$8:AC65,AC65))),"")</f>
        <v>21.6</v>
      </c>
      <c r="AA65" s="112">
        <f t="array" ref="AA65">IF(ISNUMBER(AC65),INDEX('All Player Data Store'!$W$7:$W$594,SMALL(IF('All Player Data Store'!$Y$7:$Y$594=AC65,ROW('All Player Data Store'!$Y$7:$Y$594)-ROW('All Player Data Store'!$Y$7)+1),COUNTIF($AC$8:AC65,AC65))),"")</f>
        <v>1</v>
      </c>
      <c r="AB65" s="108">
        <f t="array" ref="AB65">IF(ISNUMBER(AC65),INDEX('All Player Data Store'!$X$7:$X$594,SMALL(IF('All Player Data Store'!$Y$7:$Y$594=AC65,ROW('All Player Data Store'!$Y$7:$Y$594)-ROW('All Player Data Store'!$Y$7)+1),COUNTIF($AC$8:AC65,AC65))),"")</f>
        <v>22.330000000000002</v>
      </c>
      <c r="AC65" s="115">
        <f>IF(ISERROR(IF(ISERROR(LARGE('All Player Data Store'!$Y$7:$Y$594,58)),"",(LARGE('All Player Data Store'!$Y$7:$Y$594,58)))),"",(IF(ISERROR(LARGE('All Player Data Store'!$Y$7:$Y$594,58)),"",(LARGE('All Player Data Store'!$Y$7:$Y$594,58)))))</f>
        <v>27.330000000000002</v>
      </c>
      <c r="AD65" s="106">
        <f t="shared" si="2"/>
        <v>3</v>
      </c>
      <c r="AE65" s="107" t="str">
        <f t="array" ref="AE65">IF(ISNUMBER(AC65),INDEX('All Player Data Store'!$J$8:$J$594,SMALL(IF('All Player Data Store'!$Y$7:$Y$594=AC65,ROW('All Player Data Store'!$Y$7:$Y$594)-ROW('All Player Data Store'!$Y$7)+1),COUNTIF($AC$8:AC65,AC65))),"")</f>
        <v>4*1</v>
      </c>
      <c r="AF65" s="108">
        <f t="shared" si="3"/>
        <v>22.05</v>
      </c>
      <c r="AG65" s="108" t="str">
        <f t="array" ref="AG65">IF(ISNUMBER(AC65),INDEX('All Player Data Store'!$K$8:$K$594,SMALL(IF('All Player Data Store'!$Y$7:$Y$594=AC65,ROW('All Player Data Store'!$Y$7:$Y$594)-ROW('All Player Data Store'!$Y$7)+1),COUNTIF($AC$8:AC65,AC65))),"")</f>
        <v>2*4</v>
      </c>
      <c r="AH65" s="108">
        <f t="shared" si="4"/>
        <v>21.62</v>
      </c>
      <c r="AI65" s="108" t="str">
        <f t="array" ref="AI65">IF(ISNUMBER(AC65),INDEX('All Player Data Store'!$L$8:$L$594,SMALL(IF('All Player Data Store'!$Y$7:$Y$594=AC65,ROW('All Player Data Store'!$Y$7:$Y$594)-ROW('All Player Data Store'!$Y$7)+1),COUNTIF($AC$8:AC65,AC65))),"")</f>
        <v>4*3</v>
      </c>
      <c r="AJ65" s="108">
        <f t="shared" si="5"/>
        <v>23.25</v>
      </c>
      <c r="AK65" s="108" t="str">
        <f t="array" ref="AK65">IF(ISNUMBER(AC65),INDEX('All Player Data Store'!$M$8:$M$594,SMALL(IF('All Player Data Store'!$Y$7:$Y$594=AC65,ROW('All Player Data Store'!$Y$7:$Y$594)-ROW('All Player Data Store'!$Y$7)+1),COUNTIF($AC$8:AC65,AC65))),"")</f>
        <v>2*4</v>
      </c>
      <c r="AL65" s="108">
        <f t="shared" si="6"/>
        <v>19.64</v>
      </c>
      <c r="AM65" s="108" t="str">
        <f t="array" ref="AM65">IF(ISNUMBER(AC65),INDEX('All Player Data Store'!$N$8:$N$594,SMALL(IF('All Player Data Store'!$Y$7:$Y$594=AC65,ROW('All Player Data Store'!$Y$7:$Y$594)-ROW('All Player Data Store'!$Y$7)+1),COUNTIF($AC$8:AC65,AC65))),"")</f>
        <v>1*4</v>
      </c>
      <c r="AN65" s="108">
        <f t="shared" si="7"/>
        <v>25.53</v>
      </c>
      <c r="AO65" s="108" t="str">
        <f t="array" ref="AO65">IF(ISNUMBER(AC65),INDEX('All Player Data Store'!$O$8:$O$594,SMALL(IF('All Player Data Store'!$Y$7:$Y$594=AC65,ROW('All Player Data Store'!$Y$7:$Y$594)-ROW('All Player Data Store'!$Y$7)+1),COUNTIF($AC$8:AC65,AC65))),"")</f>
        <v/>
      </c>
      <c r="AP65" s="108" t="str">
        <f t="shared" si="8"/>
        <v/>
      </c>
      <c r="AQ65" s="108" t="str">
        <f t="array" ref="AQ65">IF(ISNUMBER(AC65),INDEX('All Player Data Store'!$P$8:$P$594,SMALL(IF('All Player Data Store'!$Y$7:$Y$594=AC65,ROW('All Player Data Store'!$Y$7:$Y$594)-ROW('All Player Data Store'!$Y$7)+1),COUNTIF($AC$8:AC65,AC65))),"")</f>
        <v/>
      </c>
      <c r="AR65" s="108" t="str">
        <f t="shared" si="9"/>
        <v/>
      </c>
      <c r="AS65" s="108" t="str">
        <f t="array" ref="AS65">IF(ISNUMBER(AC65),INDEX('All Player Data Store'!$Q$8:$Q$594,SMALL(IF('All Player Data Store'!$Y$7:$Y$594=AC65,ROW('All Player Data Store'!$Y$7:$Y$594)-ROW('All Player Data Store'!$Y$7)+1),COUNTIF($AC$8:AC65,AC65))),"")</f>
        <v/>
      </c>
      <c r="AT65" s="108" t="str">
        <f t="shared" si="10"/>
        <v/>
      </c>
      <c r="AU65" s="108" t="str">
        <f t="array" ref="AU65">IF(ISNUMBER(AC65),INDEX('All Player Data Store'!$R$8:$R$594,SMALL(IF('All Player Data Store'!$Y$7:$Y$594=AC65,ROW('All Player Data Store'!$Y$7:$Y$594)-ROW('All Player Data Store'!$Y$7)+1),COUNTIF($AC$8:AC65,AC65))),"")</f>
        <v>4*2</v>
      </c>
      <c r="AV65" s="108">
        <f t="shared" si="11"/>
        <v>23.76</v>
      </c>
      <c r="AW65" s="108" t="str">
        <f t="array" ref="AW65">IF(ISNUMBER(AC65),INDEX('All Player Data Store'!$S$8:$S$594,SMALL(IF('All Player Data Store'!$Y$7:$Y$594=AC65,ROW('All Player Data Store'!$Y$7:$Y$594)-ROW('All Player Data Store'!$Y$7)+1),COUNTIF($AC$8:AC65,AC65))),"")</f>
        <v>4*1</v>
      </c>
      <c r="AX65" s="108">
        <f t="shared" si="12"/>
        <v>20.87</v>
      </c>
      <c r="AY65" s="108" t="str">
        <f t="array" ref="AY65">IF(ISNUMBER(AC65),INDEX('All Player Data Store'!$T$8:$T$594,SMALL(IF('All Player Data Store'!$Y$7:$Y$594=AC65,ROW('All Player Data Store'!$Y$7:$Y$594)-ROW('All Player Data Store'!$Y$7)+1),COUNTIF($AC$8:AC65,AC65))),"")</f>
        <v>4*1(1)</v>
      </c>
      <c r="AZ65" s="108">
        <f t="shared" si="13"/>
        <v>25.46</v>
      </c>
      <c r="BA65" s="108" t="str">
        <f t="array" ref="BA65">IF(ISNUMBER(AC65),INDEX('All Player Data Store'!$U$8:$U$594,SMALL(IF('All Player Data Store'!$Y$7:$Y$594=AC65,ROW('All Player Data Store'!$Y$7:$Y$594)-ROW('All Player Data Store'!$Y$7)+1),COUNTIF($AC$8:AC65,AC65))),"")</f>
        <v>2*4</v>
      </c>
      <c r="BB65" s="108">
        <f t="shared" si="14"/>
        <v>24.52</v>
      </c>
      <c r="BC65" s="108" t="str">
        <f t="array" ref="BC65">IF(ISNUMBER(AC65),INDEX('All Player Data Store'!$V$8:$V$594,SMALL(IF('All Player Data Store'!$Y$7:$Y$594=AC65,ROW('All Player Data Store'!$Y$7:$Y$594)-ROW('All Player Data Store'!$Y$7)+1),COUNTIF($AC$8:AC65,AC65))),"")</f>
        <v>1*4</v>
      </c>
      <c r="BD65" s="108">
        <f t="shared" si="15"/>
        <v>21.6</v>
      </c>
      <c r="BE65" s="1"/>
    </row>
    <row r="66" spans="2:57" ht="12" customHeight="1" x14ac:dyDescent="0.2">
      <c r="B66" s="98" t="str">
        <f t="shared" si="0"/>
        <v>N</v>
      </c>
      <c r="C66" s="1"/>
      <c r="D66" s="68">
        <f t="shared" si="1"/>
        <v>59</v>
      </c>
      <c r="E66" s="2"/>
      <c r="F66" s="78">
        <v>59</v>
      </c>
      <c r="G66" s="110" t="str">
        <f t="array" ref="G66">IF(ISNUMBER(AC66),INDEX('All Player Data Store'!$C$7:$C$594,SMALL(IF('All Player Data Store'!$Y$7:$Y$594=AC66,ROW('All Player Data Store'!$Y$7:$Y$594)-ROW('All Player Data Store'!$Y$7)+1),COUNTIF($AC$8:AC66,AC66))),"")</f>
        <v xml:space="preserve">Chris Topp </v>
      </c>
      <c r="H66" s="111" t="str">
        <f t="array" ref="H66">IF(ISNUMBER(AC66),INDEX('All Player Data Store'!$D$7:$D$594,SMALL(IF('All Player Data Store'!$Y$7:$Y$594=AC66,ROW('All Player Data Store'!$Y$7:$Y$594)-ROW('All Player Data Store'!$Y$7)+1),COUNTIF($AC$8:AC66,AC66))),"")</f>
        <v>Bri</v>
      </c>
      <c r="I66" s="69">
        <f t="array" ref="I66">IF(ISNUMBER(AC66),INDEX('All Player Data Store'!$E$7:$E$594,SMALL(IF('All Player Data Store'!$Y$7:$Y$594=AC66,ROW('All Player Data Store'!$Y$7:$Y$594)-ROW('All Player Data Store'!$Y$7)+1),COUNTIF($AC$8:AC66,AC66))),"")</f>
        <v>7</v>
      </c>
      <c r="J66" s="70">
        <f t="array" ref="J66">IF(ISNUMBER(AC66),INDEX('All Player Data Store'!$F$7:$F$594,SMALL(IF('All Player Data Store'!$Y$7:$Y$594=AC66,ROW('All Player Data Store'!$Y$7:$Y$594)-ROW('All Player Data Store'!$Y$7)+1),COUNTIF($AC$8:AC66,AC66))),"")</f>
        <v>6</v>
      </c>
      <c r="K66" s="112">
        <f t="array" ref="K66">IF(ISNUMBER(AC66),INDEX('All Player Data Store'!$G$7:$G$594,SMALL(IF('All Player Data Store'!$Y$7:$Y$594=AC66,ROW('All Player Data Store'!$Y$7:$Y$594)-ROW('All Player Data Store'!$Y$7)+1),COUNTIF($AC$8:AC66,AC66))),"")</f>
        <v>1</v>
      </c>
      <c r="L66" s="112">
        <f t="array" ref="L66">IF(ISNUMBER(AC66),INDEX('All Player Data Store'!$H$7:$H$594,SMALL(IF('All Player Data Store'!$Y$7:$Y$594=AC66,ROW('All Player Data Store'!$Y$7:$Y$594)-ROW('All Player Data Store'!$Y$7)+1),COUNTIF($AC$8:AC66,AC66))),"")</f>
        <v>25</v>
      </c>
      <c r="M66" s="113">
        <f t="array" ref="M66">IF(ISNUMBER(AC66),INDEX('All Player Data Store'!$I$7:$I$594,SMALL(IF('All Player Data Store'!$Y$7:$Y$594=AC66,ROW('All Player Data Store'!$Y$7:$Y$594)-ROW('All Player Data Store'!$Y$7)+1),COUNTIF($AC$8:AC66,AC66))),"")</f>
        <v>10</v>
      </c>
      <c r="N66" s="114">
        <f t="array" ref="N66">IF(ISNUMBER(AC66),INDEX('All Player Data Store'!$J$7:$J$594,SMALL(IF('All Player Data Store'!$Y$7:$Y$594=AC66,ROW('All Player Data Store'!$Y$7:$Y$594)-ROW('All Player Data Store'!$Y$7)+1),COUNTIF($AC$8:AC66,AC66))),"")</f>
        <v>20.02</v>
      </c>
      <c r="O66" s="108">
        <f t="array" ref="O66">IF(ISNUMBER(AC66),INDEX('All Player Data Store'!$K$7:$K$594,SMALL(IF('All Player Data Store'!$Y$7:$Y$594=AC66,ROW('All Player Data Store'!$Y$7:$Y$594)-ROW('All Player Data Store'!$Y$7)+1),COUNTIF($AC$8:AC66,AC66))),"")</f>
        <v>21.02</v>
      </c>
      <c r="P66" s="108">
        <f t="array" ref="P66">IF(ISNUMBER(AC66),INDEX('All Player Data Store'!$L$7:$L$594,SMALL(IF('All Player Data Store'!$Y$7:$Y$594=AC66,ROW('All Player Data Store'!$Y$7:$Y$594)-ROW('All Player Data Store'!$Y$7)+1),COUNTIF($AC$8:AC66,AC66))),"")</f>
        <v>20.9</v>
      </c>
      <c r="Q66" s="108" t="str">
        <f t="array" ref="Q66">IF(ISNUMBER(AC66),INDEX('All Player Data Store'!$M$7:$M$594,SMALL(IF('All Player Data Store'!$Y$7:$Y$594=AC66,ROW('All Player Data Store'!$Y$7:$Y$594)-ROW('All Player Data Store'!$Y$7)+1),COUNTIF($AC$8:AC66,AC66))),"")</f>
        <v/>
      </c>
      <c r="R66" s="108">
        <f t="array" ref="R66">IF(ISNUMBER(AC66),INDEX('All Player Data Store'!$N$7:$N$594,SMALL(IF('All Player Data Store'!$Y$7:$Y$594=AC66,ROW('All Player Data Store'!$Y$7:$Y$594)-ROW('All Player Data Store'!$Y$7)+1),COUNTIF($AC$8:AC66,AC66))),"")</f>
        <v>21.36</v>
      </c>
      <c r="S66" s="108">
        <f t="array" ref="S66">IF(ISNUMBER(AC66),INDEX('All Player Data Store'!$O$7:$O$594,SMALL(IF('All Player Data Store'!$Y$7:$Y$594=AC66,ROW('All Player Data Store'!$Y$7:$Y$594)-ROW('All Player Data Store'!$Y$7)+1),COUNTIF($AC$8:AC66,AC66))),"")</f>
        <v>22.9</v>
      </c>
      <c r="T66" s="108" t="str">
        <f t="array" ref="T66">IF(ISNUMBER(AC66),INDEX('All Player Data Store'!$P$7:$P$594,SMALL(IF('All Player Data Store'!$Y$7:$Y$594=AC66,ROW('All Player Data Store'!$Y$7:$Y$594)-ROW('All Player Data Store'!$Y$7)+1),COUNTIF($AC$8:AC66,AC66))),"")</f>
        <v/>
      </c>
      <c r="U66" s="108" t="str">
        <f t="array" ref="U66">IF(ISNUMBER(AC66),INDEX('All Player Data Store'!$Q$7:$Q$594,SMALL(IF('All Player Data Store'!$Y$7:$Y$594=AC66,ROW('All Player Data Store'!$Y$7:$Y$594)-ROW('All Player Data Store'!$Y$7)+1),COUNTIF($AC$8:AC66,AC66))),"")</f>
        <v/>
      </c>
      <c r="V66" s="108" t="str">
        <f t="array" ref="V66">IF(ISNUMBER(AC66),INDEX('All Player Data Store'!$R$7:$R$594,SMALL(IF('All Player Data Store'!$Y$7:$Y$594=AC66,ROW('All Player Data Store'!$Y$7:$Y$594)-ROW('All Player Data Store'!$Y$7)+1),COUNTIF($AC$8:AC66,AC66))),"")</f>
        <v/>
      </c>
      <c r="W66" s="108" t="str">
        <f t="array" ref="W66">IF(ISNUMBER(AC66),INDEX('All Player Data Store'!$S$7:$S$594,SMALL(IF('All Player Data Store'!$Y$7:$Y$594=AC66,ROW('All Player Data Store'!$Y$7:$Y$594)-ROW('All Player Data Store'!$Y$7)+1),COUNTIF($AC$8:AC66,AC66))),"")</f>
        <v/>
      </c>
      <c r="X66" s="108">
        <f t="array" ref="X66">IF(ISNUMBER(AC66),INDEX('All Player Data Store'!$T$7:$T$594,SMALL(IF('All Player Data Store'!$Y$7:$Y$594=AC66,ROW('All Player Data Store'!$Y$7:$Y$594)-ROW('All Player Data Store'!$Y$7)+1),COUNTIF($AC$8:AC66,AC66))),"")</f>
        <v>23.58</v>
      </c>
      <c r="Y66" s="108" t="str">
        <f t="array" ref="Y66">IF(ISNUMBER(AC66),INDEX('All Player Data Store'!$U$7:$U$594,SMALL(IF('All Player Data Store'!$Y$7:$Y$594=AC66,ROW('All Player Data Store'!$Y$7:$Y$594)-ROW('All Player Data Store'!$Y$7)+1),COUNTIF($AC$8:AC66,AC66))),"")</f>
        <v/>
      </c>
      <c r="Z66" s="108">
        <f t="array" ref="Z66">IF(ISNUMBER(AC66),INDEX('All Player Data Store'!$V$7:$V$594,SMALL(IF('All Player Data Store'!$Y$7:$Y$594=AC66,ROW('All Player Data Store'!$Y$7:$Y$594)-ROW('All Player Data Store'!$Y$7)+1),COUNTIF($AC$8:AC66,AC66))),"")</f>
        <v>18.75</v>
      </c>
      <c r="AA66" s="112">
        <f t="array" ref="AA66">IF(ISNUMBER(AC66),INDEX('All Player Data Store'!$W$7:$W$594,SMALL(IF('All Player Data Store'!$Y$7:$Y$594=AC66,ROW('All Player Data Store'!$Y$7:$Y$594)-ROW('All Player Data Store'!$Y$7)+1),COUNTIF($AC$8:AC66,AC66))),"")</f>
        <v>1</v>
      </c>
      <c r="AB66" s="108">
        <f t="array" ref="AB66">IF(ISNUMBER(AC66),INDEX('All Player Data Store'!$X$7:$X$594,SMALL(IF('All Player Data Store'!$Y$7:$Y$594=AC66,ROW('All Player Data Store'!$Y$7:$Y$594)-ROW('All Player Data Store'!$Y$7)+1),COUNTIF($AC$8:AC66,AC66))),"")</f>
        <v>21.218571428571426</v>
      </c>
      <c r="AC66" s="115">
        <f>IF(ISERROR(IF(ISERROR(LARGE('All Player Data Store'!$Y$7:$Y$594,59)),"",(LARGE('All Player Data Store'!$Y$7:$Y$594,59)))),"",(IF(ISERROR(LARGE('All Player Data Store'!$Y$7:$Y$594,59)),"",(LARGE('All Player Data Store'!$Y$7:$Y$594,59)))))</f>
        <v>27.218571428571426</v>
      </c>
      <c r="AD66" s="106">
        <f t="shared" si="2"/>
        <v>3</v>
      </c>
      <c r="AE66" s="107" t="str">
        <f t="array" ref="AE66">IF(ISNUMBER(AC66),INDEX('All Player Data Store'!$J$8:$J$594,SMALL(IF('All Player Data Store'!$Y$7:$Y$594=AC66,ROW('All Player Data Store'!$Y$7:$Y$594)-ROW('All Player Data Store'!$Y$7)+1),COUNTIF($AC$8:AC66,AC66))),"")</f>
        <v>1*4</v>
      </c>
      <c r="AF66" s="108">
        <f t="shared" si="3"/>
        <v>20.02</v>
      </c>
      <c r="AG66" s="108" t="str">
        <f t="array" ref="AG66">IF(ISNUMBER(AC66),INDEX('All Player Data Store'!$K$8:$K$594,SMALL(IF('All Player Data Store'!$Y$7:$Y$594=AC66,ROW('All Player Data Store'!$Y$7:$Y$594)-ROW('All Player Data Store'!$Y$7)+1),COUNTIF($AC$8:AC66,AC66))),"")</f>
        <v>4*1</v>
      </c>
      <c r="AH66" s="108">
        <f t="shared" si="4"/>
        <v>22.02</v>
      </c>
      <c r="AI66" s="108" t="str">
        <f t="array" ref="AI66">IF(ISNUMBER(AC66),INDEX('All Player Data Store'!$L$8:$L$594,SMALL(IF('All Player Data Store'!$Y$7:$Y$594=AC66,ROW('All Player Data Store'!$Y$7:$Y$594)-ROW('All Player Data Store'!$Y$7)+1),COUNTIF($AC$8:AC66,AC66))),"")</f>
        <v>4*0</v>
      </c>
      <c r="AJ66" s="108">
        <f t="shared" si="5"/>
        <v>21.9</v>
      </c>
      <c r="AK66" s="108" t="str">
        <f t="array" ref="AK66">IF(ISNUMBER(AC66),INDEX('All Player Data Store'!$M$8:$M$594,SMALL(IF('All Player Data Store'!$Y$7:$Y$594=AC66,ROW('All Player Data Store'!$Y$7:$Y$594)-ROW('All Player Data Store'!$Y$7)+1),COUNTIF($AC$8:AC66,AC66))),"")</f>
        <v/>
      </c>
      <c r="AL66" s="108" t="str">
        <f t="shared" si="6"/>
        <v/>
      </c>
      <c r="AM66" s="108" t="str">
        <f t="array" ref="AM66">IF(ISNUMBER(AC66),INDEX('All Player Data Store'!$N$8:$N$594,SMALL(IF('All Player Data Store'!$Y$7:$Y$594=AC66,ROW('All Player Data Store'!$Y$7:$Y$594)-ROW('All Player Data Store'!$Y$7)+1),COUNTIF($AC$8:AC66,AC66))),"")</f>
        <v>4*3</v>
      </c>
      <c r="AN66" s="108">
        <f t="shared" si="7"/>
        <v>22.36</v>
      </c>
      <c r="AO66" s="108" t="str">
        <f t="array" ref="AO66">IF(ISNUMBER(AC66),INDEX('All Player Data Store'!$O$8:$O$594,SMALL(IF('All Player Data Store'!$Y$7:$Y$594=AC66,ROW('All Player Data Store'!$Y$7:$Y$594)-ROW('All Player Data Store'!$Y$7)+1),COUNTIF($AC$8:AC66,AC66))),"")</f>
        <v>4*1</v>
      </c>
      <c r="AP66" s="108">
        <f t="shared" si="8"/>
        <v>23.9</v>
      </c>
      <c r="AQ66" s="108" t="str">
        <f t="array" ref="AQ66">IF(ISNUMBER(AC66),INDEX('All Player Data Store'!$P$8:$P$594,SMALL(IF('All Player Data Store'!$Y$7:$Y$594=AC66,ROW('All Player Data Store'!$Y$7:$Y$594)-ROW('All Player Data Store'!$Y$7)+1),COUNTIF($AC$8:AC66,AC66))),"")</f>
        <v/>
      </c>
      <c r="AR66" s="108" t="str">
        <f t="shared" si="9"/>
        <v/>
      </c>
      <c r="AS66" s="108" t="str">
        <f t="array" ref="AS66">IF(ISNUMBER(AC66),INDEX('All Player Data Store'!$Q$8:$Q$594,SMALL(IF('All Player Data Store'!$Y$7:$Y$594=AC66,ROW('All Player Data Store'!$Y$7:$Y$594)-ROW('All Player Data Store'!$Y$7)+1),COUNTIF($AC$8:AC66,AC66))),"")</f>
        <v/>
      </c>
      <c r="AT66" s="108" t="str">
        <f t="shared" si="10"/>
        <v/>
      </c>
      <c r="AU66" s="108" t="str">
        <f t="array" ref="AU66">IF(ISNUMBER(AC66),INDEX('All Player Data Store'!$R$8:$R$594,SMALL(IF('All Player Data Store'!$Y$7:$Y$594=AC66,ROW('All Player Data Store'!$Y$7:$Y$594)-ROW('All Player Data Store'!$Y$7)+1),COUNTIF($AC$8:AC66,AC66))),"")</f>
        <v/>
      </c>
      <c r="AV66" s="108" t="str">
        <f t="shared" si="11"/>
        <v/>
      </c>
      <c r="AW66" s="108" t="str">
        <f t="array" ref="AW66">IF(ISNUMBER(AC66),INDEX('All Player Data Store'!$S$8:$S$594,SMALL(IF('All Player Data Store'!$Y$7:$Y$594=AC66,ROW('All Player Data Store'!$Y$7:$Y$594)-ROW('All Player Data Store'!$Y$7)+1),COUNTIF($AC$8:AC66,AC66))),"")</f>
        <v/>
      </c>
      <c r="AX66" s="108" t="str">
        <f t="shared" si="12"/>
        <v/>
      </c>
      <c r="AY66" s="108" t="str">
        <f t="array" ref="AY66">IF(ISNUMBER(AC66),INDEX('All Player Data Store'!$T$8:$T$594,SMALL(IF('All Player Data Store'!$Y$7:$Y$594=AC66,ROW('All Player Data Store'!$Y$7:$Y$594)-ROW('All Player Data Store'!$Y$7)+1),COUNTIF($AC$8:AC66,AC66))),"")</f>
        <v>4*0</v>
      </c>
      <c r="AZ66" s="108">
        <f t="shared" si="13"/>
        <v>24.58</v>
      </c>
      <c r="BA66" s="108" t="str">
        <f t="array" ref="BA66">IF(ISNUMBER(AC66),INDEX('All Player Data Store'!$U$8:$U$594,SMALL(IF('All Player Data Store'!$Y$7:$Y$594=AC66,ROW('All Player Data Store'!$Y$7:$Y$594)-ROW('All Player Data Store'!$Y$7)+1),COUNTIF($AC$8:AC66,AC66))),"")</f>
        <v/>
      </c>
      <c r="BB66" s="108" t="str">
        <f t="shared" si="14"/>
        <v/>
      </c>
      <c r="BC66" s="108" t="str">
        <f t="array" ref="BC66">IF(ISNUMBER(AC66),INDEX('All Player Data Store'!$V$8:$V$594,SMALL(IF('All Player Data Store'!$Y$7:$Y$594=AC66,ROW('All Player Data Store'!$Y$7:$Y$594)-ROW('All Player Data Store'!$Y$7)+1),COUNTIF($AC$8:AC66,AC66))),"")</f>
        <v>4*1(1)</v>
      </c>
      <c r="BD66" s="108">
        <f t="shared" si="15"/>
        <v>19.75</v>
      </c>
      <c r="BE66" s="1"/>
    </row>
    <row r="67" spans="2:57" ht="12" customHeight="1" x14ac:dyDescent="0.2">
      <c r="B67" s="98" t="str">
        <f t="shared" si="0"/>
        <v>N</v>
      </c>
      <c r="C67" s="1"/>
      <c r="D67" s="68">
        <f t="shared" si="1"/>
        <v>60</v>
      </c>
      <c r="E67" s="2"/>
      <c r="F67" s="78">
        <v>60</v>
      </c>
      <c r="G67" s="110" t="str">
        <f t="array" ref="G67">IF(ISNUMBER(AC67),INDEX('All Player Data Store'!$C$7:$C$594,SMALL(IF('All Player Data Store'!$Y$7:$Y$594=AC67,ROW('All Player Data Store'!$Y$7:$Y$594)-ROW('All Player Data Store'!$Y$7)+1),COUNTIF($AC$8:AC67,AC67))),"")</f>
        <v>Jordan Sharpe</v>
      </c>
      <c r="H67" s="111" t="str">
        <f t="array" ref="H67">IF(ISNUMBER(AC67),INDEX('All Player Data Store'!$D$7:$D$594,SMALL(IF('All Player Data Store'!$Y$7:$Y$594=AC67,ROW('All Player Data Store'!$Y$7:$Y$594)-ROW('All Player Data Store'!$Y$7)+1),COUNTIF($AC$8:AC67,AC67))),"")</f>
        <v>Wey</v>
      </c>
      <c r="I67" s="69">
        <f t="array" ref="I67">IF(ISNUMBER(AC67),INDEX('All Player Data Store'!$E$7:$E$594,SMALL(IF('All Player Data Store'!$Y$7:$Y$594=AC67,ROW('All Player Data Store'!$Y$7:$Y$594)-ROW('All Player Data Store'!$Y$7)+1),COUNTIF($AC$8:AC67,AC67))),"")</f>
        <v>5</v>
      </c>
      <c r="J67" s="70">
        <f t="array" ref="J67">IF(ISNUMBER(AC67),INDEX('All Player Data Store'!$F$7:$F$594,SMALL(IF('All Player Data Store'!$Y$7:$Y$594=AC67,ROW('All Player Data Store'!$Y$7:$Y$594)-ROW('All Player Data Store'!$Y$7)+1),COUNTIF($AC$8:AC67,AC67))),"")</f>
        <v>3</v>
      </c>
      <c r="K67" s="112">
        <f t="array" ref="K67">IF(ISNUMBER(AC67),INDEX('All Player Data Store'!$G$7:$G$594,SMALL(IF('All Player Data Store'!$Y$7:$Y$594=AC67,ROW('All Player Data Store'!$Y$7:$Y$594)-ROW('All Player Data Store'!$Y$7)+1),COUNTIF($AC$8:AC67,AC67))),"")</f>
        <v>2</v>
      </c>
      <c r="L67" s="112">
        <f t="array" ref="L67">IF(ISNUMBER(AC67),INDEX('All Player Data Store'!$H$7:$H$594,SMALL(IF('All Player Data Store'!$Y$7:$Y$594=AC67,ROW('All Player Data Store'!$Y$7:$Y$594)-ROW('All Player Data Store'!$Y$7)+1),COUNTIF($AC$8:AC67,AC67))),"")</f>
        <v>12</v>
      </c>
      <c r="M67" s="113">
        <f t="array" ref="M67">IF(ISNUMBER(AC67),INDEX('All Player Data Store'!$I$7:$I$594,SMALL(IF('All Player Data Store'!$Y$7:$Y$594=AC67,ROW('All Player Data Store'!$Y$7:$Y$594)-ROW('All Player Data Store'!$Y$7)+1),COUNTIF($AC$8:AC67,AC67))),"")</f>
        <v>13</v>
      </c>
      <c r="N67" s="114" t="str">
        <f t="array" ref="N67">IF(ISNUMBER(AC67),INDEX('All Player Data Store'!$J$7:$J$594,SMALL(IF('All Player Data Store'!$Y$7:$Y$594=AC67,ROW('All Player Data Store'!$Y$7:$Y$594)-ROW('All Player Data Store'!$Y$7)+1),COUNTIF($AC$8:AC67,AC67))),"")</f>
        <v/>
      </c>
      <c r="O67" s="108" t="str">
        <f t="array" ref="O67">IF(ISNUMBER(AC67),INDEX('All Player Data Store'!$K$7:$K$594,SMALL(IF('All Player Data Store'!$Y$7:$Y$594=AC67,ROW('All Player Data Store'!$Y$7:$Y$594)-ROW('All Player Data Store'!$Y$7)+1),COUNTIF($AC$8:AC67,AC67))),"")</f>
        <v/>
      </c>
      <c r="P67" s="108" t="str">
        <f t="array" ref="P67">IF(ISNUMBER(AC67),INDEX('All Player Data Store'!$L$7:$L$594,SMALL(IF('All Player Data Store'!$Y$7:$Y$594=AC67,ROW('All Player Data Store'!$Y$7:$Y$594)-ROW('All Player Data Store'!$Y$7)+1),COUNTIF($AC$8:AC67,AC67))),"")</f>
        <v/>
      </c>
      <c r="Q67" s="108" t="str">
        <f t="array" ref="Q67">IF(ISNUMBER(AC67),INDEX('All Player Data Store'!$M$7:$M$594,SMALL(IF('All Player Data Store'!$Y$7:$Y$594=AC67,ROW('All Player Data Store'!$Y$7:$Y$594)-ROW('All Player Data Store'!$Y$7)+1),COUNTIF($AC$8:AC67,AC67))),"")</f>
        <v/>
      </c>
      <c r="R67" s="108" t="str">
        <f t="array" ref="R67">IF(ISNUMBER(AC67),INDEX('All Player Data Store'!$N$7:$N$594,SMALL(IF('All Player Data Store'!$Y$7:$Y$594=AC67,ROW('All Player Data Store'!$Y$7:$Y$594)-ROW('All Player Data Store'!$Y$7)+1),COUNTIF($AC$8:AC67,AC67))),"")</f>
        <v/>
      </c>
      <c r="S67" s="108">
        <f t="array" ref="S67">IF(ISNUMBER(AC67),INDEX('All Player Data Store'!$O$7:$O$594,SMALL(IF('All Player Data Store'!$Y$7:$Y$594=AC67,ROW('All Player Data Store'!$Y$7:$Y$594)-ROW('All Player Data Store'!$Y$7)+1),COUNTIF($AC$8:AC67,AC67))),"")</f>
        <v>25.22</v>
      </c>
      <c r="T67" s="108" t="str">
        <f t="array" ref="T67">IF(ISNUMBER(AC67),INDEX('All Player Data Store'!$P$7:$P$594,SMALL(IF('All Player Data Store'!$Y$7:$Y$594=AC67,ROW('All Player Data Store'!$Y$7:$Y$594)-ROW('All Player Data Store'!$Y$7)+1),COUNTIF($AC$8:AC67,AC67))),"")</f>
        <v/>
      </c>
      <c r="U67" s="108" t="str">
        <f t="array" ref="U67">IF(ISNUMBER(AC67),INDEX('All Player Data Store'!$Q$7:$Q$594,SMALL(IF('All Player Data Store'!$Y$7:$Y$594=AC67,ROW('All Player Data Store'!$Y$7:$Y$594)-ROW('All Player Data Store'!$Y$7)+1),COUNTIF($AC$8:AC67,AC67))),"")</f>
        <v/>
      </c>
      <c r="V67" s="108">
        <f t="array" ref="V67">IF(ISNUMBER(AC67),INDEX('All Player Data Store'!$R$7:$R$594,SMALL(IF('All Player Data Store'!$Y$7:$Y$594=AC67,ROW('All Player Data Store'!$Y$7:$Y$594)-ROW('All Player Data Store'!$Y$7)+1),COUNTIF($AC$8:AC67,AC67))),"")</f>
        <v>23.58</v>
      </c>
      <c r="W67" s="108" t="str">
        <f t="array" ref="W67">IF(ISNUMBER(AC67),INDEX('All Player Data Store'!$S$7:$S$594,SMALL(IF('All Player Data Store'!$Y$7:$Y$594=AC67,ROW('All Player Data Store'!$Y$7:$Y$594)-ROW('All Player Data Store'!$Y$7)+1),COUNTIF($AC$8:AC67,AC67))),"")</f>
        <v/>
      </c>
      <c r="X67" s="108">
        <f t="array" ref="X67">IF(ISNUMBER(AC67),INDEX('All Player Data Store'!$T$7:$T$594,SMALL(IF('All Player Data Store'!$Y$7:$Y$594=AC67,ROW('All Player Data Store'!$Y$7:$Y$594)-ROW('All Player Data Store'!$Y$7)+1),COUNTIF($AC$8:AC67,AC67))),"")</f>
        <v>23.86</v>
      </c>
      <c r="Y67" s="108">
        <f t="array" ref="Y67">IF(ISNUMBER(AC67),INDEX('All Player Data Store'!$U$7:$U$594,SMALL(IF('All Player Data Store'!$Y$7:$Y$594=AC67,ROW('All Player Data Store'!$Y$7:$Y$594)-ROW('All Player Data Store'!$Y$7)+1),COUNTIF($AC$8:AC67,AC67))),"")</f>
        <v>25.22</v>
      </c>
      <c r="Z67" s="108">
        <f t="array" ref="Z67">IF(ISNUMBER(AC67),INDEX('All Player Data Store'!$V$7:$V$594,SMALL(IF('All Player Data Store'!$Y$7:$Y$594=AC67,ROW('All Player Data Store'!$Y$7:$Y$594)-ROW('All Player Data Store'!$Y$7)+1),COUNTIF($AC$8:AC67,AC67))),"")</f>
        <v>23.14</v>
      </c>
      <c r="AA67" s="112">
        <f t="array" ref="AA67">IF(ISNUMBER(AC67),INDEX('All Player Data Store'!$W$7:$W$594,SMALL(IF('All Player Data Store'!$Y$7:$Y$594=AC67,ROW('All Player Data Store'!$Y$7:$Y$594)-ROW('All Player Data Store'!$Y$7)+1),COUNTIF($AC$8:AC67,AC67))),"")</f>
        <v>1</v>
      </c>
      <c r="AB67" s="108">
        <f t="array" ref="AB67">IF(ISNUMBER(AC67),INDEX('All Player Data Store'!$X$7:$X$594,SMALL(IF('All Player Data Store'!$Y$7:$Y$594=AC67,ROW('All Player Data Store'!$Y$7:$Y$594)-ROW('All Player Data Store'!$Y$7)+1),COUNTIF($AC$8:AC67,AC67))),"")</f>
        <v>24.204000000000001</v>
      </c>
      <c r="AC67" s="115">
        <f>IF(ISERROR(IF(ISERROR(LARGE('All Player Data Store'!$Y$7:$Y$594,60)),"",(LARGE('All Player Data Store'!$Y$7:$Y$594,60)))),"",(IF(ISERROR(LARGE('All Player Data Store'!$Y$7:$Y$594,60)),"",(LARGE('All Player Data Store'!$Y$7:$Y$594,60)))))</f>
        <v>27.204000000000001</v>
      </c>
      <c r="AD67" s="106">
        <f t="shared" si="2"/>
        <v>3</v>
      </c>
      <c r="AE67" s="107" t="str">
        <f t="array" ref="AE67">IF(ISNUMBER(AC67),INDEX('All Player Data Store'!$J$8:$J$594,SMALL(IF('All Player Data Store'!$Y$7:$Y$594=AC67,ROW('All Player Data Store'!$Y$7:$Y$594)-ROW('All Player Data Store'!$Y$7)+1),COUNTIF($AC$8:AC67,AC67))),"")</f>
        <v/>
      </c>
      <c r="AF67" s="108" t="str">
        <f t="shared" si="3"/>
        <v/>
      </c>
      <c r="AG67" s="108" t="str">
        <f t="array" ref="AG67">IF(ISNUMBER(AC67),INDEX('All Player Data Store'!$K$8:$K$594,SMALL(IF('All Player Data Store'!$Y$7:$Y$594=AC67,ROW('All Player Data Store'!$Y$7:$Y$594)-ROW('All Player Data Store'!$Y$7)+1),COUNTIF($AC$8:AC67,AC67))),"")</f>
        <v/>
      </c>
      <c r="AH67" s="108" t="str">
        <f t="shared" si="4"/>
        <v/>
      </c>
      <c r="AI67" s="108" t="str">
        <f t="array" ref="AI67">IF(ISNUMBER(AC67),INDEX('All Player Data Store'!$L$8:$L$594,SMALL(IF('All Player Data Store'!$Y$7:$Y$594=AC67,ROW('All Player Data Store'!$Y$7:$Y$594)-ROW('All Player Data Store'!$Y$7)+1),COUNTIF($AC$8:AC67,AC67))),"")</f>
        <v/>
      </c>
      <c r="AJ67" s="108" t="str">
        <f t="shared" si="5"/>
        <v/>
      </c>
      <c r="AK67" s="108" t="str">
        <f t="array" ref="AK67">IF(ISNUMBER(AC67),INDEX('All Player Data Store'!$M$8:$M$594,SMALL(IF('All Player Data Store'!$Y$7:$Y$594=AC67,ROW('All Player Data Store'!$Y$7:$Y$594)-ROW('All Player Data Store'!$Y$7)+1),COUNTIF($AC$8:AC67,AC67))),"")</f>
        <v/>
      </c>
      <c r="AL67" s="108" t="str">
        <f t="shared" si="6"/>
        <v/>
      </c>
      <c r="AM67" s="108" t="str">
        <f t="array" ref="AM67">IF(ISNUMBER(AC67),INDEX('All Player Data Store'!$N$8:$N$594,SMALL(IF('All Player Data Store'!$Y$7:$Y$594=AC67,ROW('All Player Data Store'!$Y$7:$Y$594)-ROW('All Player Data Store'!$Y$7)+1),COUNTIF($AC$8:AC67,AC67))),"")</f>
        <v/>
      </c>
      <c r="AN67" s="108" t="str">
        <f t="shared" si="7"/>
        <v/>
      </c>
      <c r="AO67" s="108" t="str">
        <f t="array" ref="AO67">IF(ISNUMBER(AC67),INDEX('All Player Data Store'!$O$8:$O$594,SMALL(IF('All Player Data Store'!$Y$7:$Y$594=AC67,ROW('All Player Data Store'!$Y$7:$Y$594)-ROW('All Player Data Store'!$Y$7)+1),COUNTIF($AC$8:AC67,AC67))),"")</f>
        <v>0*4</v>
      </c>
      <c r="AP67" s="108">
        <f t="shared" si="8"/>
        <v>25.22</v>
      </c>
      <c r="AQ67" s="108" t="str">
        <f t="array" ref="AQ67">IF(ISNUMBER(AC67),INDEX('All Player Data Store'!$P$8:$P$594,SMALL(IF('All Player Data Store'!$Y$7:$Y$594=AC67,ROW('All Player Data Store'!$Y$7:$Y$594)-ROW('All Player Data Store'!$Y$7)+1),COUNTIF($AC$8:AC67,AC67))),"")</f>
        <v/>
      </c>
      <c r="AR67" s="108" t="str">
        <f t="shared" si="9"/>
        <v/>
      </c>
      <c r="AS67" s="108" t="str">
        <f t="array" ref="AS67">IF(ISNUMBER(AC67),INDEX('All Player Data Store'!$Q$8:$Q$594,SMALL(IF('All Player Data Store'!$Y$7:$Y$594=AC67,ROW('All Player Data Store'!$Y$7:$Y$594)-ROW('All Player Data Store'!$Y$7)+1),COUNTIF($AC$8:AC67,AC67))),"")</f>
        <v/>
      </c>
      <c r="AT67" s="108" t="str">
        <f t="shared" si="10"/>
        <v/>
      </c>
      <c r="AU67" s="108" t="str">
        <f t="array" ref="AU67">IF(ISNUMBER(AC67),INDEX('All Player Data Store'!$R$8:$R$594,SMALL(IF('All Player Data Store'!$Y$7:$Y$594=AC67,ROW('All Player Data Store'!$Y$7:$Y$594)-ROW('All Player Data Store'!$Y$7)+1),COUNTIF($AC$8:AC67,AC67))),"")</f>
        <v>4*0(1)</v>
      </c>
      <c r="AV67" s="108">
        <f t="shared" si="11"/>
        <v>24.58</v>
      </c>
      <c r="AW67" s="108" t="str">
        <f t="array" ref="AW67">IF(ISNUMBER(AC67),INDEX('All Player Data Store'!$S$8:$S$594,SMALL(IF('All Player Data Store'!$Y$7:$Y$594=AC67,ROW('All Player Data Store'!$Y$7:$Y$594)-ROW('All Player Data Store'!$Y$7)+1),COUNTIF($AC$8:AC67,AC67))),"")</f>
        <v/>
      </c>
      <c r="AX67" s="108" t="str">
        <f t="shared" si="12"/>
        <v/>
      </c>
      <c r="AY67" s="108" t="str">
        <f t="array" ref="AY67">IF(ISNUMBER(AC67),INDEX('All Player Data Store'!$T$8:$T$594,SMALL(IF('All Player Data Store'!$Y$7:$Y$594=AC67,ROW('All Player Data Store'!$Y$7:$Y$594)-ROW('All Player Data Store'!$Y$7)+1),COUNTIF($AC$8:AC67,AC67))),"")</f>
        <v>4*3</v>
      </c>
      <c r="AZ67" s="108">
        <f t="shared" si="13"/>
        <v>24.86</v>
      </c>
      <c r="BA67" s="108" t="str">
        <f t="array" ref="BA67">IF(ISNUMBER(AC67),INDEX('All Player Data Store'!$U$8:$U$594,SMALL(IF('All Player Data Store'!$Y$7:$Y$594=AC67,ROW('All Player Data Store'!$Y$7:$Y$594)-ROW('All Player Data Store'!$Y$7)+1),COUNTIF($AC$8:AC67,AC67))),"")</f>
        <v>0*4</v>
      </c>
      <c r="BB67" s="108">
        <f t="shared" si="14"/>
        <v>25.22</v>
      </c>
      <c r="BC67" s="108" t="str">
        <f t="array" ref="BC67">IF(ISNUMBER(AC67),INDEX('All Player Data Store'!$V$8:$V$594,SMALL(IF('All Player Data Store'!$Y$7:$Y$594=AC67,ROW('All Player Data Store'!$Y$7:$Y$594)-ROW('All Player Data Store'!$Y$7)+1),COUNTIF($AC$8:AC67,AC67))),"")</f>
        <v>4*2</v>
      </c>
      <c r="BD67" s="108">
        <f t="shared" si="15"/>
        <v>24.14</v>
      </c>
      <c r="BE67" s="1"/>
    </row>
    <row r="68" spans="2:57" ht="12" customHeight="1" x14ac:dyDescent="0.2">
      <c r="B68" s="98" t="str">
        <f t="shared" si="0"/>
        <v>Y</v>
      </c>
      <c r="C68" s="1"/>
      <c r="D68" s="68">
        <f t="shared" si="1"/>
        <v>61</v>
      </c>
      <c r="E68" s="2"/>
      <c r="F68" s="78">
        <v>61</v>
      </c>
      <c r="G68" s="110" t="str">
        <f t="array" ref="G68">IF(ISNUMBER(AC68),INDEX('All Player Data Store'!$C$7:$C$594,SMALL(IF('All Player Data Store'!$Y$7:$Y$594=AC68,ROW('All Player Data Store'!$Y$7:$Y$594)-ROW('All Player Data Store'!$Y$7)+1),COUNTIF($AC$8:AC68,AC68))),"")</f>
        <v>Mark Samways</v>
      </c>
      <c r="H68" s="111" t="str">
        <f t="array" ref="H68">IF(ISNUMBER(AC68),INDEX('All Player Data Store'!$D$7:$D$594,SMALL(IF('All Player Data Store'!$Y$7:$Y$594=AC68,ROW('All Player Data Store'!$Y$7:$Y$594)-ROW('All Player Data Store'!$Y$7)+1),COUNTIF($AC$8:AC68,AC68))),"")</f>
        <v>Por</v>
      </c>
      <c r="I68" s="69">
        <f t="array" ref="I68">IF(ISNUMBER(AC68),INDEX('All Player Data Store'!$E$7:$E$594,SMALL(IF('All Player Data Store'!$Y$7:$Y$594=AC68,ROW('All Player Data Store'!$Y$7:$Y$594)-ROW('All Player Data Store'!$Y$7)+1),COUNTIF($AC$8:AC68,AC68))),"")</f>
        <v>12</v>
      </c>
      <c r="J68" s="70">
        <f t="array" ref="J68">IF(ISNUMBER(AC68),INDEX('All Player Data Store'!$F$7:$F$594,SMALL(IF('All Player Data Store'!$Y$7:$Y$594=AC68,ROW('All Player Data Store'!$Y$7:$Y$594)-ROW('All Player Data Store'!$Y$7)+1),COUNTIF($AC$8:AC68,AC68))),"")</f>
        <v>6</v>
      </c>
      <c r="K68" s="112">
        <f t="array" ref="K68">IF(ISNUMBER(AC68),INDEX('All Player Data Store'!$G$7:$G$594,SMALL(IF('All Player Data Store'!$Y$7:$Y$594=AC68,ROW('All Player Data Store'!$Y$7:$Y$594)-ROW('All Player Data Store'!$Y$7)+1),COUNTIF($AC$8:AC68,AC68))),"")</f>
        <v>6</v>
      </c>
      <c r="L68" s="112">
        <f t="array" ref="L68">IF(ISNUMBER(AC68),INDEX('All Player Data Store'!$H$7:$H$594,SMALL(IF('All Player Data Store'!$Y$7:$Y$594=AC68,ROW('All Player Data Store'!$Y$7:$Y$594)-ROW('All Player Data Store'!$Y$7)+1),COUNTIF($AC$8:AC68,AC68))),"")</f>
        <v>35</v>
      </c>
      <c r="M68" s="113">
        <f t="array" ref="M68">IF(ISNUMBER(AC68),INDEX('All Player Data Store'!$I$7:$I$594,SMALL(IF('All Player Data Store'!$Y$7:$Y$594=AC68,ROW('All Player Data Store'!$Y$7:$Y$594)-ROW('All Player Data Store'!$Y$7)+1),COUNTIF($AC$8:AC68,AC68))),"")</f>
        <v>36</v>
      </c>
      <c r="N68" s="114">
        <f t="array" ref="N68">IF(ISNUMBER(AC68),INDEX('All Player Data Store'!$J$7:$J$594,SMALL(IF('All Player Data Store'!$Y$7:$Y$594=AC68,ROW('All Player Data Store'!$Y$7:$Y$594)-ROW('All Player Data Store'!$Y$7)+1),COUNTIF($AC$8:AC68,AC68))),"")</f>
        <v>21.56</v>
      </c>
      <c r="O68" s="108">
        <f t="array" ref="O68">IF(ISNUMBER(AC68),INDEX('All Player Data Store'!$K$7:$K$594,SMALL(IF('All Player Data Store'!$Y$7:$Y$594=AC68,ROW('All Player Data Store'!$Y$7:$Y$594)-ROW('All Player Data Store'!$Y$7)+1),COUNTIF($AC$8:AC68,AC68))),"")</f>
        <v>19.260000000000002</v>
      </c>
      <c r="P68" s="108">
        <f t="array" ref="P68">IF(ISNUMBER(AC68),INDEX('All Player Data Store'!$L$7:$L$594,SMALL(IF('All Player Data Store'!$Y$7:$Y$594=AC68,ROW('All Player Data Store'!$Y$7:$Y$594)-ROW('All Player Data Store'!$Y$7)+1),COUNTIF($AC$8:AC68,AC68))),"")</f>
        <v>19.91</v>
      </c>
      <c r="Q68" s="108">
        <f t="array" ref="Q68">IF(ISNUMBER(AC68),INDEX('All Player Data Store'!$M$7:$M$594,SMALL(IF('All Player Data Store'!$Y$7:$Y$594=AC68,ROW('All Player Data Store'!$Y$7:$Y$594)-ROW('All Player Data Store'!$Y$7)+1),COUNTIF($AC$8:AC68,AC68))),"")</f>
        <v>23.28</v>
      </c>
      <c r="R68" s="108">
        <f t="array" ref="R68">IF(ISNUMBER(AC68),INDEX('All Player Data Store'!$N$7:$N$594,SMALL(IF('All Player Data Store'!$Y$7:$Y$594=AC68,ROW('All Player Data Store'!$Y$7:$Y$594)-ROW('All Player Data Store'!$Y$7)+1),COUNTIF($AC$8:AC68,AC68))),"")</f>
        <v>21.13</v>
      </c>
      <c r="S68" s="108" t="str">
        <f t="array" ref="S68">IF(ISNUMBER(AC68),INDEX('All Player Data Store'!$O$7:$O$594,SMALL(IF('All Player Data Store'!$Y$7:$Y$594=AC68,ROW('All Player Data Store'!$Y$7:$Y$594)-ROW('All Player Data Store'!$Y$7)+1),COUNTIF($AC$8:AC68,AC68))),"")</f>
        <v/>
      </c>
      <c r="T68" s="108">
        <f t="array" ref="T68">IF(ISNUMBER(AC68),INDEX('All Player Data Store'!$P$7:$P$594,SMALL(IF('All Player Data Store'!$Y$7:$Y$594=AC68,ROW('All Player Data Store'!$Y$7:$Y$594)-ROW('All Player Data Store'!$Y$7)+1),COUNTIF($AC$8:AC68,AC68))),"")</f>
        <v>22.22</v>
      </c>
      <c r="U68" s="108">
        <f t="array" ref="U68">IF(ISNUMBER(AC68),INDEX('All Player Data Store'!$Q$7:$Q$594,SMALL(IF('All Player Data Store'!$Y$7:$Y$594=AC68,ROW('All Player Data Store'!$Y$7:$Y$594)-ROW('All Player Data Store'!$Y$7)+1),COUNTIF($AC$8:AC68,AC68))),"")</f>
        <v>20.34</v>
      </c>
      <c r="V68" s="108">
        <f t="array" ref="V68">IF(ISNUMBER(AC68),INDEX('All Player Data Store'!$R$7:$R$594,SMALL(IF('All Player Data Store'!$Y$7:$Y$594=AC68,ROW('All Player Data Store'!$Y$7:$Y$594)-ROW('All Player Data Store'!$Y$7)+1),COUNTIF($AC$8:AC68,AC68))),"")</f>
        <v>22.48</v>
      </c>
      <c r="W68" s="108">
        <f t="array" ref="W68">IF(ISNUMBER(AC68),INDEX('All Player Data Store'!$S$7:$S$594,SMALL(IF('All Player Data Store'!$Y$7:$Y$594=AC68,ROW('All Player Data Store'!$Y$7:$Y$594)-ROW('All Player Data Store'!$Y$7)+1),COUNTIF($AC$8:AC68,AC68))),"")</f>
        <v>19.43</v>
      </c>
      <c r="X68" s="108">
        <f t="array" ref="X68">IF(ISNUMBER(AC68),INDEX('All Player Data Store'!$T$7:$T$594,SMALL(IF('All Player Data Store'!$Y$7:$Y$594=AC68,ROW('All Player Data Store'!$Y$7:$Y$594)-ROW('All Player Data Store'!$Y$7)+1),COUNTIF($AC$8:AC68,AC68))),"")</f>
        <v>18.97</v>
      </c>
      <c r="Y68" s="108">
        <f t="array" ref="Y68">IF(ISNUMBER(AC68),INDEX('All Player Data Store'!$U$7:$U$594,SMALL(IF('All Player Data Store'!$Y$7:$Y$594=AC68,ROW('All Player Data Store'!$Y$7:$Y$594)-ROW('All Player Data Store'!$Y$7)+1),COUNTIF($AC$8:AC68,AC68))),"")</f>
        <v>21.46</v>
      </c>
      <c r="Z68" s="108">
        <f t="array" ref="Z68">IF(ISNUMBER(AC68),INDEX('All Player Data Store'!$V$7:$V$594,SMALL(IF('All Player Data Store'!$Y$7:$Y$594=AC68,ROW('All Player Data Store'!$Y$7:$Y$594)-ROW('All Player Data Store'!$Y$7)+1),COUNTIF($AC$8:AC68,AC68))),"")</f>
        <v>21.19</v>
      </c>
      <c r="AA68" s="112">
        <f t="array" ref="AA68">IF(ISNUMBER(AC68),INDEX('All Player Data Store'!$W$7:$W$594,SMALL(IF('All Player Data Store'!$Y$7:$Y$594=AC68,ROW('All Player Data Store'!$Y$7:$Y$594)-ROW('All Player Data Store'!$Y$7)+1),COUNTIF($AC$8:AC68,AC68))),"")</f>
        <v>2</v>
      </c>
      <c r="AB68" s="108">
        <f t="array" ref="AB68">IF(ISNUMBER(AC68),INDEX('All Player Data Store'!$X$7:$X$594,SMALL(IF('All Player Data Store'!$Y$7:$Y$594=AC68,ROW('All Player Data Store'!$Y$7:$Y$594)-ROW('All Player Data Store'!$Y$7)+1),COUNTIF($AC$8:AC68,AC68))),"")</f>
        <v>20.935833333333331</v>
      </c>
      <c r="AC68" s="115">
        <f>IF(ISERROR(IF(ISERROR(LARGE('All Player Data Store'!$Y$7:$Y$594,61)),"",(LARGE('All Player Data Store'!$Y$7:$Y$594,61)))),"",(IF(ISERROR(LARGE('All Player Data Store'!$Y$7:$Y$594,61)),"",(LARGE('All Player Data Store'!$Y$7:$Y$594,61)))))</f>
        <v>26.935833333333331</v>
      </c>
      <c r="AD68" s="106">
        <f t="shared" si="2"/>
        <v>3</v>
      </c>
      <c r="AE68" s="107" t="str">
        <f t="array" ref="AE68">IF(ISNUMBER(AC68),INDEX('All Player Data Store'!$J$8:$J$594,SMALL(IF('All Player Data Store'!$Y$7:$Y$594=AC68,ROW('All Player Data Store'!$Y$7:$Y$594)-ROW('All Player Data Store'!$Y$7)+1),COUNTIF($AC$8:AC68,AC68))),"")</f>
        <v>3*4</v>
      </c>
      <c r="AF68" s="108">
        <f t="shared" si="3"/>
        <v>21.56</v>
      </c>
      <c r="AG68" s="108" t="str">
        <f t="array" ref="AG68">IF(ISNUMBER(AC68),INDEX('All Player Data Store'!$K$8:$K$594,SMALL(IF('All Player Data Store'!$Y$7:$Y$594=AC68,ROW('All Player Data Store'!$Y$7:$Y$594)-ROW('All Player Data Store'!$Y$7)+1),COUNTIF($AC$8:AC68,AC68))),"")</f>
        <v>4*1</v>
      </c>
      <c r="AH68" s="108">
        <f t="shared" si="4"/>
        <v>20.260000000000002</v>
      </c>
      <c r="AI68" s="108" t="str">
        <f t="array" ref="AI68">IF(ISNUMBER(AC68),INDEX('All Player Data Store'!$L$8:$L$594,SMALL(IF('All Player Data Store'!$Y$7:$Y$594=AC68,ROW('All Player Data Store'!$Y$7:$Y$594)-ROW('All Player Data Store'!$Y$7)+1),COUNTIF($AC$8:AC68,AC68))),"")</f>
        <v>2*4</v>
      </c>
      <c r="AJ68" s="108">
        <f t="shared" si="5"/>
        <v>19.91</v>
      </c>
      <c r="AK68" s="108" t="str">
        <f t="array" ref="AK68">IF(ISNUMBER(AC68),INDEX('All Player Data Store'!$M$8:$M$594,SMALL(IF('All Player Data Store'!$Y$7:$Y$594=AC68,ROW('All Player Data Store'!$Y$7:$Y$594)-ROW('All Player Data Store'!$Y$7)+1),COUNTIF($AC$8:AC68,AC68))),"")</f>
        <v>3*4</v>
      </c>
      <c r="AL68" s="108">
        <f t="shared" si="6"/>
        <v>23.28</v>
      </c>
      <c r="AM68" s="108" t="str">
        <f t="array" ref="AM68">IF(ISNUMBER(AC68),INDEX('All Player Data Store'!$N$8:$N$594,SMALL(IF('All Player Data Store'!$Y$7:$Y$594=AC68,ROW('All Player Data Store'!$Y$7:$Y$594)-ROW('All Player Data Store'!$Y$7)+1),COUNTIF($AC$8:AC68,AC68))),"")</f>
        <v>2*4(1)</v>
      </c>
      <c r="AN68" s="108">
        <f t="shared" si="7"/>
        <v>21.13</v>
      </c>
      <c r="AO68" s="108" t="str">
        <f t="array" ref="AO68">IF(ISNUMBER(AC68),INDEX('All Player Data Store'!$O$8:$O$594,SMALL(IF('All Player Data Store'!$Y$7:$Y$594=AC68,ROW('All Player Data Store'!$Y$7:$Y$594)-ROW('All Player Data Store'!$Y$7)+1),COUNTIF($AC$8:AC68,AC68))),"")</f>
        <v/>
      </c>
      <c r="AP68" s="108" t="str">
        <f t="shared" si="8"/>
        <v/>
      </c>
      <c r="AQ68" s="108" t="str">
        <f t="array" ref="AQ68">IF(ISNUMBER(AC68),INDEX('All Player Data Store'!$P$8:$P$594,SMALL(IF('All Player Data Store'!$Y$7:$Y$594=AC68,ROW('All Player Data Store'!$Y$7:$Y$594)-ROW('All Player Data Store'!$Y$7)+1),COUNTIF($AC$8:AC68,AC68))),"")</f>
        <v>0*4</v>
      </c>
      <c r="AR68" s="108">
        <f t="shared" si="9"/>
        <v>22.22</v>
      </c>
      <c r="AS68" s="108" t="str">
        <f t="array" ref="AS68">IF(ISNUMBER(AC68),INDEX('All Player Data Store'!$Q$8:$Q$594,SMALL(IF('All Player Data Store'!$Y$7:$Y$594=AC68,ROW('All Player Data Store'!$Y$7:$Y$594)-ROW('All Player Data Store'!$Y$7)+1),COUNTIF($AC$8:AC68,AC68))),"")</f>
        <v>1*4</v>
      </c>
      <c r="AT68" s="108">
        <f t="shared" si="10"/>
        <v>20.34</v>
      </c>
      <c r="AU68" s="108" t="str">
        <f t="array" ref="AU68">IF(ISNUMBER(AC68),INDEX('All Player Data Store'!$R$8:$R$594,SMALL(IF('All Player Data Store'!$Y$7:$Y$594=AC68,ROW('All Player Data Store'!$Y$7:$Y$594)-ROW('All Player Data Store'!$Y$7)+1),COUNTIF($AC$8:AC68,AC68))),"")</f>
        <v>4*1</v>
      </c>
      <c r="AV68" s="108">
        <f t="shared" si="11"/>
        <v>23.48</v>
      </c>
      <c r="AW68" s="108" t="str">
        <f t="array" ref="AW68">IF(ISNUMBER(AC68),INDEX('All Player Data Store'!$S$8:$S$594,SMALL(IF('All Player Data Store'!$Y$7:$Y$594=AC68,ROW('All Player Data Store'!$Y$7:$Y$594)-ROW('All Player Data Store'!$Y$7)+1),COUNTIF($AC$8:AC68,AC68))),"")</f>
        <v>4*3</v>
      </c>
      <c r="AX68" s="108">
        <f t="shared" si="12"/>
        <v>20.43</v>
      </c>
      <c r="AY68" s="108" t="str">
        <f t="array" ref="AY68">IF(ISNUMBER(AC68),INDEX('All Player Data Store'!$T$8:$T$594,SMALL(IF('All Player Data Store'!$Y$7:$Y$594=AC68,ROW('All Player Data Store'!$Y$7:$Y$594)-ROW('All Player Data Store'!$Y$7)+1),COUNTIF($AC$8:AC68,AC68))),"")</f>
        <v>4*3(1)</v>
      </c>
      <c r="AZ68" s="108">
        <f t="shared" si="13"/>
        <v>19.97</v>
      </c>
      <c r="BA68" s="108" t="str">
        <f t="array" ref="BA68">IF(ISNUMBER(AC68),INDEX('All Player Data Store'!$U$8:$U$594,SMALL(IF('All Player Data Store'!$Y$7:$Y$594=AC68,ROW('All Player Data Store'!$Y$7:$Y$594)-ROW('All Player Data Store'!$Y$7)+1),COUNTIF($AC$8:AC68,AC68))),"")</f>
        <v>4*1</v>
      </c>
      <c r="BB68" s="108">
        <f t="shared" si="14"/>
        <v>22.46</v>
      </c>
      <c r="BC68" s="108" t="str">
        <f t="array" ref="BC68">IF(ISNUMBER(AC68),INDEX('All Player Data Store'!$V$8:$V$594,SMALL(IF('All Player Data Store'!$Y$7:$Y$594=AC68,ROW('All Player Data Store'!$Y$7:$Y$594)-ROW('All Player Data Store'!$Y$7)+1),COUNTIF($AC$8:AC68,AC68))),"")</f>
        <v>4*3</v>
      </c>
      <c r="BD68" s="108">
        <f t="shared" si="15"/>
        <v>22.19</v>
      </c>
      <c r="BE68" s="1"/>
    </row>
    <row r="69" spans="2:57" ht="12" customHeight="1" x14ac:dyDescent="0.2">
      <c r="B69" s="98" t="str">
        <f t="shared" si="0"/>
        <v>Y</v>
      </c>
      <c r="C69" s="1"/>
      <c r="D69" s="68">
        <f t="shared" si="1"/>
        <v>62</v>
      </c>
      <c r="E69" s="2"/>
      <c r="F69" s="78">
        <v>62</v>
      </c>
      <c r="G69" s="110" t="str">
        <f t="array" ref="G69">IF(ISNUMBER(AC69),INDEX('All Player Data Store'!$C$7:$C$594,SMALL(IF('All Player Data Store'!$Y$7:$Y$594=AC69,ROW('All Player Data Store'!$Y$7:$Y$594)-ROW('All Player Data Store'!$Y$7)+1),COUNTIF($AC$8:AC69,AC69))),"")</f>
        <v>Steve Alden</v>
      </c>
      <c r="H69" s="111" t="str">
        <f t="array" ref="H69">IF(ISNUMBER(AC69),INDEX('All Player Data Store'!$D$7:$D$594,SMALL(IF('All Player Data Store'!$Y$7:$Y$594=AC69,ROW('All Player Data Store'!$Y$7:$Y$594)-ROW('All Player Data Store'!$Y$7)+1),COUNTIF($AC$8:AC69,AC69))),"")</f>
        <v>Ald</v>
      </c>
      <c r="I69" s="69">
        <f t="array" ref="I69">IF(ISNUMBER(AC69),INDEX('All Player Data Store'!$E$7:$E$594,SMALL(IF('All Player Data Store'!$Y$7:$Y$594=AC69,ROW('All Player Data Store'!$Y$7:$Y$594)-ROW('All Player Data Store'!$Y$7)+1),COUNTIF($AC$8:AC69,AC69))),"")</f>
        <v>13</v>
      </c>
      <c r="J69" s="70">
        <f t="array" ref="J69">IF(ISNUMBER(AC69),INDEX('All Player Data Store'!$F$7:$F$594,SMALL(IF('All Player Data Store'!$Y$7:$Y$594=AC69,ROW('All Player Data Store'!$Y$7:$Y$594)-ROW('All Player Data Store'!$Y$7)+1),COUNTIF($AC$8:AC69,AC69))),"")</f>
        <v>6</v>
      </c>
      <c r="K69" s="112">
        <f t="array" ref="K69">IF(ISNUMBER(AC69),INDEX('All Player Data Store'!$G$7:$G$594,SMALL(IF('All Player Data Store'!$Y$7:$Y$594=AC69,ROW('All Player Data Store'!$Y$7:$Y$594)-ROW('All Player Data Store'!$Y$7)+1),COUNTIF($AC$8:AC69,AC69))),"")</f>
        <v>7</v>
      </c>
      <c r="L69" s="112">
        <f t="array" ref="L69">IF(ISNUMBER(AC69),INDEX('All Player Data Store'!$H$7:$H$594,SMALL(IF('All Player Data Store'!$Y$7:$Y$594=AC69,ROW('All Player Data Store'!$Y$7:$Y$594)-ROW('All Player Data Store'!$Y$7)+1),COUNTIF($AC$8:AC69,AC69))),"")</f>
        <v>33</v>
      </c>
      <c r="M69" s="113">
        <f t="array" ref="M69">IF(ISNUMBER(AC69),INDEX('All Player Data Store'!$I$7:$I$594,SMALL(IF('All Player Data Store'!$Y$7:$Y$594=AC69,ROW('All Player Data Store'!$Y$7:$Y$594)-ROW('All Player Data Store'!$Y$7)+1),COUNTIF($AC$8:AC69,AC69))),"")</f>
        <v>33</v>
      </c>
      <c r="N69" s="114">
        <f t="array" ref="N69">IF(ISNUMBER(AC69),INDEX('All Player Data Store'!$J$7:$J$594,SMALL(IF('All Player Data Store'!$Y$7:$Y$594=AC69,ROW('All Player Data Store'!$Y$7:$Y$594)-ROW('All Player Data Store'!$Y$7)+1),COUNTIF($AC$8:AC69,AC69))),"")</f>
        <v>12.73</v>
      </c>
      <c r="O69" s="108">
        <f t="array" ref="O69">IF(ISNUMBER(AC69),INDEX('All Player Data Store'!$K$7:$K$594,SMALL(IF('All Player Data Store'!$Y$7:$Y$594=AC69,ROW('All Player Data Store'!$Y$7:$Y$594)-ROW('All Player Data Store'!$Y$7)+1),COUNTIF($AC$8:AC69,AC69))),"")</f>
        <v>17.62</v>
      </c>
      <c r="P69" s="108">
        <f t="array" ref="P69">IF(ISNUMBER(AC69),INDEX('All Player Data Store'!$L$7:$L$594,SMALL(IF('All Player Data Store'!$Y$7:$Y$594=AC69,ROW('All Player Data Store'!$Y$7:$Y$594)-ROW('All Player Data Store'!$Y$7)+1),COUNTIF($AC$8:AC69,AC69))),"")</f>
        <v>25.33</v>
      </c>
      <c r="Q69" s="108">
        <f t="array" ref="Q69">IF(ISNUMBER(AC69),INDEX('All Player Data Store'!$M$7:$M$594,SMALL(IF('All Player Data Store'!$Y$7:$Y$594=AC69,ROW('All Player Data Store'!$Y$7:$Y$594)-ROW('All Player Data Store'!$Y$7)+1),COUNTIF($AC$8:AC69,AC69))),"")</f>
        <v>19.899999999999999</v>
      </c>
      <c r="R69" s="108">
        <f t="array" ref="R69">IF(ISNUMBER(AC69),INDEX('All Player Data Store'!$N$7:$N$594,SMALL(IF('All Player Data Store'!$Y$7:$Y$594=AC69,ROW('All Player Data Store'!$Y$7:$Y$594)-ROW('All Player Data Store'!$Y$7)+1),COUNTIF($AC$8:AC69,AC69))),"")</f>
        <v>21.44</v>
      </c>
      <c r="S69" s="108">
        <f t="array" ref="S69">IF(ISNUMBER(AC69),INDEX('All Player Data Store'!$O$7:$O$594,SMALL(IF('All Player Data Store'!$Y$7:$Y$594=AC69,ROW('All Player Data Store'!$Y$7:$Y$594)-ROW('All Player Data Store'!$Y$7)+1),COUNTIF($AC$8:AC69,AC69))),"")</f>
        <v>23.25</v>
      </c>
      <c r="T69" s="108">
        <f t="array" ref="T69">IF(ISNUMBER(AC69),INDEX('All Player Data Store'!$P$7:$P$594,SMALL(IF('All Player Data Store'!$Y$7:$Y$594=AC69,ROW('All Player Data Store'!$Y$7:$Y$594)-ROW('All Player Data Store'!$Y$7)+1),COUNTIF($AC$8:AC69,AC69))),"")</f>
        <v>23.19</v>
      </c>
      <c r="U69" s="108">
        <f t="array" ref="U69">IF(ISNUMBER(AC69),INDEX('All Player Data Store'!$Q$7:$Q$594,SMALL(IF('All Player Data Store'!$Y$7:$Y$594=AC69,ROW('All Player Data Store'!$Y$7:$Y$594)-ROW('All Player Data Store'!$Y$7)+1),COUNTIF($AC$8:AC69,AC69))),"")</f>
        <v>22.15</v>
      </c>
      <c r="V69" s="108">
        <f t="array" ref="V69">IF(ISNUMBER(AC69),INDEX('All Player Data Store'!$R$7:$R$594,SMALL(IF('All Player Data Store'!$Y$7:$Y$594=AC69,ROW('All Player Data Store'!$Y$7:$Y$594)-ROW('All Player Data Store'!$Y$7)+1),COUNTIF($AC$8:AC69,AC69))),"")</f>
        <v>24.14</v>
      </c>
      <c r="W69" s="108">
        <f t="array" ref="W69">IF(ISNUMBER(AC69),INDEX('All Player Data Store'!$S$7:$S$594,SMALL(IF('All Player Data Store'!$Y$7:$Y$594=AC69,ROW('All Player Data Store'!$Y$7:$Y$594)-ROW('All Player Data Store'!$Y$7)+1),COUNTIF($AC$8:AC69,AC69))),"")</f>
        <v>18.41</v>
      </c>
      <c r="X69" s="108">
        <f t="array" ref="X69">IF(ISNUMBER(AC69),INDEX('All Player Data Store'!$T$7:$T$594,SMALL(IF('All Player Data Store'!$Y$7:$Y$594=AC69,ROW('All Player Data Store'!$Y$7:$Y$594)-ROW('All Player Data Store'!$Y$7)+1),COUNTIF($AC$8:AC69,AC69))),"")</f>
        <v>21.89</v>
      </c>
      <c r="Y69" s="108">
        <f t="array" ref="Y69">IF(ISNUMBER(AC69),INDEX('All Player Data Store'!$U$7:$U$594,SMALL(IF('All Player Data Store'!$Y$7:$Y$594=AC69,ROW('All Player Data Store'!$Y$7:$Y$594)-ROW('All Player Data Store'!$Y$7)+1),COUNTIF($AC$8:AC69,AC69))),"")</f>
        <v>21.54</v>
      </c>
      <c r="Z69" s="108">
        <f t="array" ref="Z69">IF(ISNUMBER(AC69),INDEX('All Player Data Store'!$V$7:$V$594,SMALL(IF('All Player Data Store'!$Y$7:$Y$594=AC69,ROW('All Player Data Store'!$Y$7:$Y$594)-ROW('All Player Data Store'!$Y$7)+1),COUNTIF($AC$8:AC69,AC69))),"")</f>
        <v>19.84</v>
      </c>
      <c r="AA69" s="112">
        <f t="array" ref="AA69">IF(ISNUMBER(AC69),INDEX('All Player Data Store'!$W$7:$W$594,SMALL(IF('All Player Data Store'!$Y$7:$Y$594=AC69,ROW('All Player Data Store'!$Y$7:$Y$594)-ROW('All Player Data Store'!$Y$7)+1),COUNTIF($AC$8:AC69,AC69))),"")</f>
        <v>3</v>
      </c>
      <c r="AB69" s="108">
        <f t="array" ref="AB69">IF(ISNUMBER(AC69),INDEX('All Player Data Store'!$X$7:$X$594,SMALL(IF('All Player Data Store'!$Y$7:$Y$594=AC69,ROW('All Player Data Store'!$Y$7:$Y$594)-ROW('All Player Data Store'!$Y$7)+1),COUNTIF($AC$8:AC69,AC69))),"")</f>
        <v>20.879230769230769</v>
      </c>
      <c r="AC69" s="115">
        <f>IF(ISERROR(IF(ISERROR(LARGE('All Player Data Store'!$Y$7:$Y$594,62)),"",(LARGE('All Player Data Store'!$Y$7:$Y$594,62)))),"",(IF(ISERROR(LARGE('All Player Data Store'!$Y$7:$Y$594,62)),"",(LARGE('All Player Data Store'!$Y$7:$Y$594,62)))))</f>
        <v>26.879230769230769</v>
      </c>
      <c r="AD69" s="106">
        <f t="shared" si="2"/>
        <v>3</v>
      </c>
      <c r="AE69" s="107" t="str">
        <f t="array" ref="AE69">IF(ISNUMBER(AC69),INDEX('All Player Data Store'!$J$8:$J$594,SMALL(IF('All Player Data Store'!$Y$7:$Y$594=AC69,ROW('All Player Data Store'!$Y$7:$Y$594)-ROW('All Player Data Store'!$Y$7)+1),COUNTIF($AC$8:AC69,AC69))),"")</f>
        <v>1*4</v>
      </c>
      <c r="AF69" s="108">
        <f t="shared" si="3"/>
        <v>12.73</v>
      </c>
      <c r="AG69" s="108" t="str">
        <f t="array" ref="AG69">IF(ISNUMBER(AC69),INDEX('All Player Data Store'!$K$8:$K$594,SMALL(IF('All Player Data Store'!$Y$7:$Y$594=AC69,ROW('All Player Data Store'!$Y$7:$Y$594)-ROW('All Player Data Store'!$Y$7)+1),COUNTIF($AC$8:AC69,AC69))),"")</f>
        <v>0*4</v>
      </c>
      <c r="AH69" s="108">
        <f t="shared" si="4"/>
        <v>17.62</v>
      </c>
      <c r="AI69" s="108" t="str">
        <f t="array" ref="AI69">IF(ISNUMBER(AC69),INDEX('All Player Data Store'!$L$8:$L$594,SMALL(IF('All Player Data Store'!$Y$7:$Y$594=AC69,ROW('All Player Data Store'!$Y$7:$Y$594)-ROW('All Player Data Store'!$Y$7)+1),COUNTIF($AC$8:AC69,AC69))),"")</f>
        <v>1*4</v>
      </c>
      <c r="AJ69" s="108">
        <f t="shared" si="5"/>
        <v>25.33</v>
      </c>
      <c r="AK69" s="108" t="str">
        <f t="array" ref="AK69">IF(ISNUMBER(AC69),INDEX('All Player Data Store'!$M$8:$M$594,SMALL(IF('All Player Data Store'!$Y$7:$Y$594=AC69,ROW('All Player Data Store'!$Y$7:$Y$594)-ROW('All Player Data Store'!$Y$7)+1),COUNTIF($AC$8:AC69,AC69))),"")</f>
        <v>1*4(1)</v>
      </c>
      <c r="AL69" s="108">
        <f t="shared" si="6"/>
        <v>19.899999999999999</v>
      </c>
      <c r="AM69" s="108" t="str">
        <f t="array" ref="AM69">IF(ISNUMBER(AC69),INDEX('All Player Data Store'!$N$8:$N$594,SMALL(IF('All Player Data Store'!$Y$7:$Y$594=AC69,ROW('All Player Data Store'!$Y$7:$Y$594)-ROW('All Player Data Store'!$Y$7)+1),COUNTIF($AC$8:AC69,AC69))),"")</f>
        <v>4*1</v>
      </c>
      <c r="AN69" s="108">
        <f t="shared" si="7"/>
        <v>22.44</v>
      </c>
      <c r="AO69" s="108" t="str">
        <f t="array" ref="AO69">IF(ISNUMBER(AC69),INDEX('All Player Data Store'!$O$8:$O$594,SMALL(IF('All Player Data Store'!$Y$7:$Y$594=AC69,ROW('All Player Data Store'!$Y$7:$Y$594)-ROW('All Player Data Store'!$Y$7)+1),COUNTIF($AC$8:AC69,AC69))),"")</f>
        <v>3*4(1)</v>
      </c>
      <c r="AP69" s="108">
        <f t="shared" si="8"/>
        <v>23.25</v>
      </c>
      <c r="AQ69" s="108" t="str">
        <f t="array" ref="AQ69">IF(ISNUMBER(AC69),INDEX('All Player Data Store'!$P$8:$P$594,SMALL(IF('All Player Data Store'!$Y$7:$Y$594=AC69,ROW('All Player Data Store'!$Y$7:$Y$594)-ROW('All Player Data Store'!$Y$7)+1),COUNTIF($AC$8:AC69,AC69))),"")</f>
        <v>0*4</v>
      </c>
      <c r="AR69" s="108">
        <f t="shared" si="9"/>
        <v>23.19</v>
      </c>
      <c r="AS69" s="108" t="str">
        <f t="array" ref="AS69">IF(ISNUMBER(AC69),INDEX('All Player Data Store'!$Q$8:$Q$594,SMALL(IF('All Player Data Store'!$Y$7:$Y$594=AC69,ROW('All Player Data Store'!$Y$7:$Y$594)-ROW('All Player Data Store'!$Y$7)+1),COUNTIF($AC$8:AC69,AC69))),"")</f>
        <v>4*2</v>
      </c>
      <c r="AT69" s="108">
        <f t="shared" si="10"/>
        <v>23.15</v>
      </c>
      <c r="AU69" s="108" t="str">
        <f t="array" ref="AU69">IF(ISNUMBER(AC69),INDEX('All Player Data Store'!$R$8:$R$594,SMALL(IF('All Player Data Store'!$Y$7:$Y$594=AC69,ROW('All Player Data Store'!$Y$7:$Y$594)-ROW('All Player Data Store'!$Y$7)+1),COUNTIF($AC$8:AC69,AC69))),"")</f>
        <v>4*0(1)</v>
      </c>
      <c r="AV69" s="108">
        <f t="shared" si="11"/>
        <v>25.14</v>
      </c>
      <c r="AW69" s="108" t="str">
        <f t="array" ref="AW69">IF(ISNUMBER(AC69),INDEX('All Player Data Store'!$S$8:$S$594,SMALL(IF('All Player Data Store'!$Y$7:$Y$594=AC69,ROW('All Player Data Store'!$Y$7:$Y$594)-ROW('All Player Data Store'!$Y$7)+1),COUNTIF($AC$8:AC69,AC69))),"")</f>
        <v>4*0</v>
      </c>
      <c r="AX69" s="108">
        <f t="shared" si="12"/>
        <v>19.41</v>
      </c>
      <c r="AY69" s="108" t="str">
        <f t="array" ref="AY69">IF(ISNUMBER(AC69),INDEX('All Player Data Store'!$T$8:$T$594,SMALL(IF('All Player Data Store'!$Y$7:$Y$594=AC69,ROW('All Player Data Store'!$Y$7:$Y$594)-ROW('All Player Data Store'!$Y$7)+1),COUNTIF($AC$8:AC69,AC69))),"")</f>
        <v>3*4</v>
      </c>
      <c r="AZ69" s="108">
        <f t="shared" si="13"/>
        <v>21.89</v>
      </c>
      <c r="BA69" s="108" t="str">
        <f t="array" ref="BA69">IF(ISNUMBER(AC69),INDEX('All Player Data Store'!$U$8:$U$594,SMALL(IF('All Player Data Store'!$Y$7:$Y$594=AC69,ROW('All Player Data Store'!$Y$7:$Y$594)-ROW('All Player Data Store'!$Y$7)+1),COUNTIF($AC$8:AC69,AC69))),"")</f>
        <v>4*2</v>
      </c>
      <c r="BB69" s="108">
        <f t="shared" si="14"/>
        <v>22.54</v>
      </c>
      <c r="BC69" s="108" t="str">
        <f t="array" ref="BC69">IF(ISNUMBER(AC69),INDEX('All Player Data Store'!$V$8:$V$594,SMALL(IF('All Player Data Store'!$Y$7:$Y$594=AC69,ROW('All Player Data Store'!$Y$7:$Y$594)-ROW('All Player Data Store'!$Y$7)+1),COUNTIF($AC$8:AC69,AC69))),"")</f>
        <v>4*0</v>
      </c>
      <c r="BD69" s="108">
        <f t="shared" si="15"/>
        <v>20.84</v>
      </c>
      <c r="BE69" s="1"/>
    </row>
    <row r="70" spans="2:57" ht="12" customHeight="1" x14ac:dyDescent="0.2">
      <c r="B70" s="98" t="str">
        <f t="shared" si="0"/>
        <v>N</v>
      </c>
      <c r="C70" s="1"/>
      <c r="D70" s="68">
        <f t="shared" si="1"/>
        <v>63</v>
      </c>
      <c r="E70" s="2"/>
      <c r="F70" s="78">
        <v>63</v>
      </c>
      <c r="G70" s="110" t="str">
        <f t="array" ref="G70">IF(ISNUMBER(AC70),INDEX('All Player Data Store'!$C$7:$C$594,SMALL(IF('All Player Data Store'!$Y$7:$Y$594=AC70,ROW('All Player Data Store'!$Y$7:$Y$594)-ROW('All Player Data Store'!$Y$7)+1),COUNTIF($AC$8:AC70,AC70))),"")</f>
        <v>Steve Penney</v>
      </c>
      <c r="H70" s="111" t="str">
        <f t="array" ref="H70">IF(ISNUMBER(AC70),INDEX('All Player Data Store'!$D$7:$D$594,SMALL(IF('All Player Data Store'!$Y$7:$Y$594=AC70,ROW('All Player Data Store'!$Y$7:$Y$594)-ROW('All Player Data Store'!$Y$7)+1),COUNTIF($AC$8:AC70,AC70))),"")</f>
        <v>Lyt</v>
      </c>
      <c r="I70" s="69">
        <f t="array" ref="I70">IF(ISNUMBER(AC70),INDEX('All Player Data Store'!$E$7:$E$594,SMALL(IF('All Player Data Store'!$Y$7:$Y$594=AC70,ROW('All Player Data Store'!$Y$7:$Y$594)-ROW('All Player Data Store'!$Y$7)+1),COUNTIF($AC$8:AC70,AC70))),"")</f>
        <v>4</v>
      </c>
      <c r="J70" s="70">
        <f t="array" ref="J70">IF(ISNUMBER(AC70),INDEX('All Player Data Store'!$F$7:$F$594,SMALL(IF('All Player Data Store'!$Y$7:$Y$594=AC70,ROW('All Player Data Store'!$Y$7:$Y$594)-ROW('All Player Data Store'!$Y$7)+1),COUNTIF($AC$8:AC70,AC70))),"")</f>
        <v>3</v>
      </c>
      <c r="K70" s="112">
        <f t="array" ref="K70">IF(ISNUMBER(AC70),INDEX('All Player Data Store'!$G$7:$G$594,SMALL(IF('All Player Data Store'!$Y$7:$Y$594=AC70,ROW('All Player Data Store'!$Y$7:$Y$594)-ROW('All Player Data Store'!$Y$7)+1),COUNTIF($AC$8:AC70,AC70))),"")</f>
        <v>1</v>
      </c>
      <c r="L70" s="112">
        <f t="array" ref="L70">IF(ISNUMBER(AC70),INDEX('All Player Data Store'!$H$7:$H$594,SMALL(IF('All Player Data Store'!$Y$7:$Y$594=AC70,ROW('All Player Data Store'!$Y$7:$Y$594)-ROW('All Player Data Store'!$Y$7)+1),COUNTIF($AC$8:AC70,AC70))),"")</f>
        <v>15</v>
      </c>
      <c r="M70" s="113">
        <f t="array" ref="M70">IF(ISNUMBER(AC70),INDEX('All Player Data Store'!$I$7:$I$594,SMALL(IF('All Player Data Store'!$Y$7:$Y$594=AC70,ROW('All Player Data Store'!$Y$7:$Y$594)-ROW('All Player Data Store'!$Y$7)+1),COUNTIF($AC$8:AC70,AC70))),"")</f>
        <v>6</v>
      </c>
      <c r="N70" s="114">
        <f t="array" ref="N70">IF(ISNUMBER(AC70),INDEX('All Player Data Store'!$J$7:$J$594,SMALL(IF('All Player Data Store'!$Y$7:$Y$594=AC70,ROW('All Player Data Store'!$Y$7:$Y$594)-ROW('All Player Data Store'!$Y$7)+1),COUNTIF($AC$8:AC70,AC70))),"")</f>
        <v>22.02</v>
      </c>
      <c r="O70" s="108">
        <f t="array" ref="O70">IF(ISNUMBER(AC70),INDEX('All Player Data Store'!$K$7:$K$594,SMALL(IF('All Player Data Store'!$Y$7:$Y$594=AC70,ROW('All Player Data Store'!$Y$7:$Y$594)-ROW('All Player Data Store'!$Y$7)+1),COUNTIF($AC$8:AC70,AC70))),"")</f>
        <v>25.14</v>
      </c>
      <c r="P70" s="108">
        <f t="array" ref="P70">IF(ISNUMBER(AC70),INDEX('All Player Data Store'!$L$7:$L$594,SMALL(IF('All Player Data Store'!$Y$7:$Y$594=AC70,ROW('All Player Data Store'!$Y$7:$Y$594)-ROW('All Player Data Store'!$Y$7)+1),COUNTIF($AC$8:AC70,AC70))),"")</f>
        <v>25.72</v>
      </c>
      <c r="Q70" s="108" t="str">
        <f t="array" ref="Q70">IF(ISNUMBER(AC70),INDEX('All Player Data Store'!$M$7:$M$594,SMALL(IF('All Player Data Store'!$Y$7:$Y$594=AC70,ROW('All Player Data Store'!$Y$7:$Y$594)-ROW('All Player Data Store'!$Y$7)+1),COUNTIF($AC$8:AC70,AC70))),"")</f>
        <v/>
      </c>
      <c r="R70" s="108" t="str">
        <f t="array" ref="R70">IF(ISNUMBER(AC70),INDEX('All Player Data Store'!$N$7:$N$594,SMALL(IF('All Player Data Store'!$Y$7:$Y$594=AC70,ROW('All Player Data Store'!$Y$7:$Y$594)-ROW('All Player Data Store'!$Y$7)+1),COUNTIF($AC$8:AC70,AC70))),"")</f>
        <v/>
      </c>
      <c r="S70" s="108" t="str">
        <f t="array" ref="S70">IF(ISNUMBER(AC70),INDEX('All Player Data Store'!$O$7:$O$594,SMALL(IF('All Player Data Store'!$Y$7:$Y$594=AC70,ROW('All Player Data Store'!$Y$7:$Y$594)-ROW('All Player Data Store'!$Y$7)+1),COUNTIF($AC$8:AC70,AC70))),"")</f>
        <v/>
      </c>
      <c r="T70" s="108" t="str">
        <f t="array" ref="T70">IF(ISNUMBER(AC70),INDEX('All Player Data Store'!$P$7:$P$594,SMALL(IF('All Player Data Store'!$Y$7:$Y$594=AC70,ROW('All Player Data Store'!$Y$7:$Y$594)-ROW('All Player Data Store'!$Y$7)+1),COUNTIF($AC$8:AC70,AC70))),"")</f>
        <v/>
      </c>
      <c r="U70" s="108" t="str">
        <f t="array" ref="U70">IF(ISNUMBER(AC70),INDEX('All Player Data Store'!$Q$7:$Q$594,SMALL(IF('All Player Data Store'!$Y$7:$Y$594=AC70,ROW('All Player Data Store'!$Y$7:$Y$594)-ROW('All Player Data Store'!$Y$7)+1),COUNTIF($AC$8:AC70,AC70))),"")</f>
        <v/>
      </c>
      <c r="V70" s="108" t="str">
        <f t="array" ref="V70">IF(ISNUMBER(AC70),INDEX('All Player Data Store'!$R$7:$R$594,SMALL(IF('All Player Data Store'!$Y$7:$Y$594=AC70,ROW('All Player Data Store'!$Y$7:$Y$594)-ROW('All Player Data Store'!$Y$7)+1),COUNTIF($AC$8:AC70,AC70))),"")</f>
        <v/>
      </c>
      <c r="W70" s="108" t="str">
        <f t="array" ref="W70">IF(ISNUMBER(AC70),INDEX('All Player Data Store'!$S$7:$S$594,SMALL(IF('All Player Data Store'!$Y$7:$Y$594=AC70,ROW('All Player Data Store'!$Y$7:$Y$594)-ROW('All Player Data Store'!$Y$7)+1),COUNTIF($AC$8:AC70,AC70))),"")</f>
        <v/>
      </c>
      <c r="X70" s="108" t="str">
        <f t="array" ref="X70">IF(ISNUMBER(AC70),INDEX('All Player Data Store'!$T$7:$T$594,SMALL(IF('All Player Data Store'!$Y$7:$Y$594=AC70,ROW('All Player Data Store'!$Y$7:$Y$594)-ROW('All Player Data Store'!$Y$7)+1),COUNTIF($AC$8:AC70,AC70))),"")</f>
        <v/>
      </c>
      <c r="Y70" s="108" t="str">
        <f t="array" ref="Y70">IF(ISNUMBER(AC70),INDEX('All Player Data Store'!$U$7:$U$594,SMALL(IF('All Player Data Store'!$Y$7:$Y$594=AC70,ROW('All Player Data Store'!$Y$7:$Y$594)-ROW('All Player Data Store'!$Y$7)+1),COUNTIF($AC$8:AC70,AC70))),"")</f>
        <v/>
      </c>
      <c r="Z70" s="108">
        <f t="array" ref="Z70">IF(ISNUMBER(AC70),INDEX('All Player Data Store'!$V$7:$V$594,SMALL(IF('All Player Data Store'!$Y$7:$Y$594=AC70,ROW('All Player Data Store'!$Y$7:$Y$594)-ROW('All Player Data Store'!$Y$7)+1),COUNTIF($AC$8:AC70,AC70))),"")</f>
        <v>21.93</v>
      </c>
      <c r="AA70" s="112">
        <f t="array" ref="AA70">IF(ISNUMBER(AC70),INDEX('All Player Data Store'!$W$7:$W$594,SMALL(IF('All Player Data Store'!$Y$7:$Y$594=AC70,ROW('All Player Data Store'!$Y$7:$Y$594)-ROW('All Player Data Store'!$Y$7)+1),COUNTIF($AC$8:AC70,AC70))),"")</f>
        <v>2</v>
      </c>
      <c r="AB70" s="108">
        <f t="array" ref="AB70">IF(ISNUMBER(AC70),INDEX('All Player Data Store'!$X$7:$X$594,SMALL(IF('All Player Data Store'!$Y$7:$Y$594=AC70,ROW('All Player Data Store'!$Y$7:$Y$594)-ROW('All Player Data Store'!$Y$7)+1),COUNTIF($AC$8:AC70,AC70))),"")</f>
        <v>23.702500000000001</v>
      </c>
      <c r="AC70" s="115">
        <f>IF(ISERROR(IF(ISERROR(LARGE('All Player Data Store'!$Y$7:$Y$594,63)),"",(LARGE('All Player Data Store'!$Y$7:$Y$594,63)))),"",(IF(ISERROR(LARGE('All Player Data Store'!$Y$7:$Y$594,63)),"",(LARGE('All Player Data Store'!$Y$7:$Y$594,63)))))</f>
        <v>26.702500000000001</v>
      </c>
      <c r="AD70" s="106">
        <f t="shared" si="2"/>
        <v>3</v>
      </c>
      <c r="AE70" s="107" t="str">
        <f t="array" ref="AE70">IF(ISNUMBER(AC70),INDEX('All Player Data Store'!$J$8:$J$594,SMALL(IF('All Player Data Store'!$Y$7:$Y$594=AC70,ROW('All Player Data Store'!$Y$7:$Y$594)-ROW('All Player Data Store'!$Y$7)+1),COUNTIF($AC$8:AC70,AC70))),"")</f>
        <v>4*0</v>
      </c>
      <c r="AF70" s="108">
        <f t="shared" si="3"/>
        <v>23.02</v>
      </c>
      <c r="AG70" s="108" t="str">
        <f t="array" ref="AG70">IF(ISNUMBER(AC70),INDEX('All Player Data Store'!$K$8:$K$594,SMALL(IF('All Player Data Store'!$Y$7:$Y$594=AC70,ROW('All Player Data Store'!$Y$7:$Y$594)-ROW('All Player Data Store'!$Y$7)+1),COUNTIF($AC$8:AC70,AC70))),"")</f>
        <v>4*1(1)</v>
      </c>
      <c r="AH70" s="108">
        <f t="shared" si="4"/>
        <v>26.14</v>
      </c>
      <c r="AI70" s="108" t="str">
        <f t="array" ref="AI70">IF(ISNUMBER(AC70),INDEX('All Player Data Store'!$L$8:$L$594,SMALL(IF('All Player Data Store'!$Y$7:$Y$594=AC70,ROW('All Player Data Store'!$Y$7:$Y$594)-ROW('All Player Data Store'!$Y$7)+1),COUNTIF($AC$8:AC70,AC70))),"")</f>
        <v>4*1(1)</v>
      </c>
      <c r="AJ70" s="108">
        <f t="shared" si="5"/>
        <v>26.72</v>
      </c>
      <c r="AK70" s="108" t="str">
        <f t="array" ref="AK70">IF(ISNUMBER(AC70),INDEX('All Player Data Store'!$M$8:$M$594,SMALL(IF('All Player Data Store'!$Y$7:$Y$594=AC70,ROW('All Player Data Store'!$Y$7:$Y$594)-ROW('All Player Data Store'!$Y$7)+1),COUNTIF($AC$8:AC70,AC70))),"")</f>
        <v/>
      </c>
      <c r="AL70" s="108" t="str">
        <f t="shared" si="6"/>
        <v/>
      </c>
      <c r="AM70" s="108" t="str">
        <f t="array" ref="AM70">IF(ISNUMBER(AC70),INDEX('All Player Data Store'!$N$8:$N$594,SMALL(IF('All Player Data Store'!$Y$7:$Y$594=AC70,ROW('All Player Data Store'!$Y$7:$Y$594)-ROW('All Player Data Store'!$Y$7)+1),COUNTIF($AC$8:AC70,AC70))),"")</f>
        <v/>
      </c>
      <c r="AN70" s="108" t="str">
        <f t="shared" si="7"/>
        <v/>
      </c>
      <c r="AO70" s="108" t="str">
        <f t="array" ref="AO70">IF(ISNUMBER(AC70),INDEX('All Player Data Store'!$O$8:$O$594,SMALL(IF('All Player Data Store'!$Y$7:$Y$594=AC70,ROW('All Player Data Store'!$Y$7:$Y$594)-ROW('All Player Data Store'!$Y$7)+1),COUNTIF($AC$8:AC70,AC70))),"")</f>
        <v/>
      </c>
      <c r="AP70" s="108" t="str">
        <f t="shared" si="8"/>
        <v/>
      </c>
      <c r="AQ70" s="108" t="str">
        <f t="array" ref="AQ70">IF(ISNUMBER(AC70),INDEX('All Player Data Store'!$P$8:$P$594,SMALL(IF('All Player Data Store'!$Y$7:$Y$594=AC70,ROW('All Player Data Store'!$Y$7:$Y$594)-ROW('All Player Data Store'!$Y$7)+1),COUNTIF($AC$8:AC70,AC70))),"")</f>
        <v/>
      </c>
      <c r="AR70" s="108" t="str">
        <f t="shared" si="9"/>
        <v/>
      </c>
      <c r="AS70" s="108" t="str">
        <f t="array" ref="AS70">IF(ISNUMBER(AC70),INDEX('All Player Data Store'!$Q$8:$Q$594,SMALL(IF('All Player Data Store'!$Y$7:$Y$594=AC70,ROW('All Player Data Store'!$Y$7:$Y$594)-ROW('All Player Data Store'!$Y$7)+1),COUNTIF($AC$8:AC70,AC70))),"")</f>
        <v/>
      </c>
      <c r="AT70" s="108" t="str">
        <f t="shared" si="10"/>
        <v/>
      </c>
      <c r="AU70" s="108" t="str">
        <f t="array" ref="AU70">IF(ISNUMBER(AC70),INDEX('All Player Data Store'!$R$8:$R$594,SMALL(IF('All Player Data Store'!$Y$7:$Y$594=AC70,ROW('All Player Data Store'!$Y$7:$Y$594)-ROW('All Player Data Store'!$Y$7)+1),COUNTIF($AC$8:AC70,AC70))),"")</f>
        <v/>
      </c>
      <c r="AV70" s="108" t="str">
        <f t="shared" si="11"/>
        <v/>
      </c>
      <c r="AW70" s="108" t="str">
        <f t="array" ref="AW70">IF(ISNUMBER(AC70),INDEX('All Player Data Store'!$S$8:$S$594,SMALL(IF('All Player Data Store'!$Y$7:$Y$594=AC70,ROW('All Player Data Store'!$Y$7:$Y$594)-ROW('All Player Data Store'!$Y$7)+1),COUNTIF($AC$8:AC70,AC70))),"")</f>
        <v/>
      </c>
      <c r="AX70" s="108" t="str">
        <f t="shared" si="12"/>
        <v/>
      </c>
      <c r="AY70" s="108" t="str">
        <f t="array" ref="AY70">IF(ISNUMBER(AC70),INDEX('All Player Data Store'!$T$8:$T$594,SMALL(IF('All Player Data Store'!$Y$7:$Y$594=AC70,ROW('All Player Data Store'!$Y$7:$Y$594)-ROW('All Player Data Store'!$Y$7)+1),COUNTIF($AC$8:AC70,AC70))),"")</f>
        <v/>
      </c>
      <c r="AZ70" s="108" t="str">
        <f t="shared" si="13"/>
        <v/>
      </c>
      <c r="BA70" s="108" t="str">
        <f t="array" ref="BA70">IF(ISNUMBER(AC70),INDEX('All Player Data Store'!$U$8:$U$594,SMALL(IF('All Player Data Store'!$Y$7:$Y$594=AC70,ROW('All Player Data Store'!$Y$7:$Y$594)-ROW('All Player Data Store'!$Y$7)+1),COUNTIF($AC$8:AC70,AC70))),"")</f>
        <v/>
      </c>
      <c r="BB70" s="108" t="str">
        <f t="shared" si="14"/>
        <v/>
      </c>
      <c r="BC70" s="108" t="str">
        <f t="array" ref="BC70">IF(ISNUMBER(AC70),INDEX('All Player Data Store'!$V$8:$V$594,SMALL(IF('All Player Data Store'!$Y$7:$Y$594=AC70,ROW('All Player Data Store'!$Y$7:$Y$594)-ROW('All Player Data Store'!$Y$7)+1),COUNTIF($AC$8:AC70,AC70))),"")</f>
        <v>3*4</v>
      </c>
      <c r="BD70" s="108">
        <f t="shared" si="15"/>
        <v>21.93</v>
      </c>
      <c r="BE70" s="1"/>
    </row>
    <row r="71" spans="2:57" ht="12" customHeight="1" x14ac:dyDescent="0.2">
      <c r="B71" s="98" t="str">
        <f t="shared" si="0"/>
        <v>Y</v>
      </c>
      <c r="C71" s="1"/>
      <c r="D71" s="68">
        <f t="shared" si="1"/>
        <v>64</v>
      </c>
      <c r="E71" s="2"/>
      <c r="F71" s="78">
        <v>64</v>
      </c>
      <c r="G71" s="110" t="str">
        <f t="array" ref="G71">IF(ISNUMBER(AC71),INDEX('All Player Data Store'!$C$7:$C$594,SMALL(IF('All Player Data Store'!$Y$7:$Y$594=AC71,ROW('All Player Data Store'!$Y$7:$Y$594)-ROW('All Player Data Store'!$Y$7)+1),COUNTIF($AC$8:AC71,AC71))),"")</f>
        <v>Craig Morris</v>
      </c>
      <c r="H71" s="111" t="str">
        <f t="array" ref="H71">IF(ISNUMBER(AC71),INDEX('All Player Data Store'!$D$7:$D$594,SMALL(IF('All Player Data Store'!$Y$7:$Y$594=AC71,ROW('All Player Data Store'!$Y$7:$Y$594)-ROW('All Player Data Store'!$Y$7)+1),COUNTIF($AC$8:AC71,AC71))),"")</f>
        <v>Par</v>
      </c>
      <c r="I71" s="69">
        <f t="array" ref="I71">IF(ISNUMBER(AC71),INDEX('All Player Data Store'!$E$7:$E$594,SMALL(IF('All Player Data Store'!$Y$7:$Y$594=AC71,ROW('All Player Data Store'!$Y$7:$Y$594)-ROW('All Player Data Store'!$Y$7)+1),COUNTIF($AC$8:AC71,AC71))),"")</f>
        <v>10</v>
      </c>
      <c r="J71" s="70">
        <f t="array" ref="J71">IF(ISNUMBER(AC71),INDEX('All Player Data Store'!$F$7:$F$594,SMALL(IF('All Player Data Store'!$Y$7:$Y$594=AC71,ROW('All Player Data Store'!$Y$7:$Y$594)-ROW('All Player Data Store'!$Y$7)+1),COUNTIF($AC$8:AC71,AC71))),"")</f>
        <v>6</v>
      </c>
      <c r="K71" s="112">
        <f t="array" ref="K71">IF(ISNUMBER(AC71),INDEX('All Player Data Store'!$G$7:$G$594,SMALL(IF('All Player Data Store'!$Y$7:$Y$594=AC71,ROW('All Player Data Store'!$Y$7:$Y$594)-ROW('All Player Data Store'!$Y$7)+1),COUNTIF($AC$8:AC71,AC71))),"")</f>
        <v>4</v>
      </c>
      <c r="L71" s="112">
        <f t="array" ref="L71">IF(ISNUMBER(AC71),INDEX('All Player Data Store'!$H$7:$H$594,SMALL(IF('All Player Data Store'!$Y$7:$Y$594=AC71,ROW('All Player Data Store'!$Y$7:$Y$594)-ROW('All Player Data Store'!$Y$7)+1),COUNTIF($AC$8:AC71,AC71))),"")</f>
        <v>26</v>
      </c>
      <c r="M71" s="113">
        <f t="array" ref="M71">IF(ISNUMBER(AC71),INDEX('All Player Data Store'!$I$7:$I$594,SMALL(IF('All Player Data Store'!$Y$7:$Y$594=AC71,ROW('All Player Data Store'!$Y$7:$Y$594)-ROW('All Player Data Store'!$Y$7)+1),COUNTIF($AC$8:AC71,AC71))),"")</f>
        <v>25</v>
      </c>
      <c r="N71" s="114">
        <f t="array" ref="N71">IF(ISNUMBER(AC71),INDEX('All Player Data Store'!$J$7:$J$594,SMALL(IF('All Player Data Store'!$Y$7:$Y$594=AC71,ROW('All Player Data Store'!$Y$7:$Y$594)-ROW('All Player Data Store'!$Y$7)+1),COUNTIF($AC$8:AC71,AC71))),"")</f>
        <v>21.48</v>
      </c>
      <c r="O71" s="108">
        <f t="array" ref="O71">IF(ISNUMBER(AC71),INDEX('All Player Data Store'!$K$7:$K$594,SMALL(IF('All Player Data Store'!$Y$7:$Y$594=AC71,ROW('All Player Data Store'!$Y$7:$Y$594)-ROW('All Player Data Store'!$Y$7)+1),COUNTIF($AC$8:AC71,AC71))),"")</f>
        <v>19.39</v>
      </c>
      <c r="P71" s="108">
        <f t="array" ref="P71">IF(ISNUMBER(AC71),INDEX('All Player Data Store'!$L$7:$L$594,SMALL(IF('All Player Data Store'!$Y$7:$Y$594=AC71,ROW('All Player Data Store'!$Y$7:$Y$594)-ROW('All Player Data Store'!$Y$7)+1),COUNTIF($AC$8:AC71,AC71))),"")</f>
        <v>19.170000000000002</v>
      </c>
      <c r="Q71" s="108">
        <f t="array" ref="Q71">IF(ISNUMBER(AC71),INDEX('All Player Data Store'!$M$7:$M$594,SMALL(IF('All Player Data Store'!$Y$7:$Y$594=AC71,ROW('All Player Data Store'!$Y$7:$Y$594)-ROW('All Player Data Store'!$Y$7)+1),COUNTIF($AC$8:AC71,AC71))),"")</f>
        <v>23.95</v>
      </c>
      <c r="R71" s="108" t="str">
        <f t="array" ref="R71">IF(ISNUMBER(AC71),INDEX('All Player Data Store'!$N$7:$N$594,SMALL(IF('All Player Data Store'!$Y$7:$Y$594=AC71,ROW('All Player Data Store'!$Y$7:$Y$594)-ROW('All Player Data Store'!$Y$7)+1),COUNTIF($AC$8:AC71,AC71))),"")</f>
        <v/>
      </c>
      <c r="S71" s="108">
        <f t="array" ref="S71">IF(ISNUMBER(AC71),INDEX('All Player Data Store'!$O$7:$O$594,SMALL(IF('All Player Data Store'!$Y$7:$Y$594=AC71,ROW('All Player Data Store'!$Y$7:$Y$594)-ROW('All Player Data Store'!$Y$7)+1),COUNTIF($AC$8:AC71,AC71))),"")</f>
        <v>20.05</v>
      </c>
      <c r="T71" s="108">
        <f t="array" ref="T71">IF(ISNUMBER(AC71),INDEX('All Player Data Store'!$P$7:$P$594,SMALL(IF('All Player Data Store'!$Y$7:$Y$594=AC71,ROW('All Player Data Store'!$Y$7:$Y$594)-ROW('All Player Data Store'!$Y$7)+1),COUNTIF($AC$8:AC71,AC71))),"")</f>
        <v>21.09</v>
      </c>
      <c r="U71" s="108">
        <f t="array" ref="U71">IF(ISNUMBER(AC71),INDEX('All Player Data Store'!$Q$7:$Q$594,SMALL(IF('All Player Data Store'!$Y$7:$Y$594=AC71,ROW('All Player Data Store'!$Y$7:$Y$594)-ROW('All Player Data Store'!$Y$7)+1),COUNTIF($AC$8:AC71,AC71))),"")</f>
        <v>20.62</v>
      </c>
      <c r="V71" s="108" t="str">
        <f t="array" ref="V71">IF(ISNUMBER(AC71),INDEX('All Player Data Store'!$R$7:$R$594,SMALL(IF('All Player Data Store'!$Y$7:$Y$594=AC71,ROW('All Player Data Store'!$Y$7:$Y$594)-ROW('All Player Data Store'!$Y$7)+1),COUNTIF($AC$8:AC71,AC71))),"")</f>
        <v/>
      </c>
      <c r="W71" s="108" t="str">
        <f t="array" ref="W71">IF(ISNUMBER(AC71),INDEX('All Player Data Store'!$S$7:$S$594,SMALL(IF('All Player Data Store'!$Y$7:$Y$594=AC71,ROW('All Player Data Store'!$Y$7:$Y$594)-ROW('All Player Data Store'!$Y$7)+1),COUNTIF($AC$8:AC71,AC71))),"")</f>
        <v/>
      </c>
      <c r="X71" s="108">
        <f t="array" ref="X71">IF(ISNUMBER(AC71),INDEX('All Player Data Store'!$T$7:$T$594,SMALL(IF('All Player Data Store'!$Y$7:$Y$594=AC71,ROW('All Player Data Store'!$Y$7:$Y$594)-ROW('All Player Data Store'!$Y$7)+1),COUNTIF($AC$8:AC71,AC71))),"")</f>
        <v>23.44</v>
      </c>
      <c r="Y71" s="108">
        <f t="array" ref="Y71">IF(ISNUMBER(AC71),INDEX('All Player Data Store'!$U$7:$U$594,SMALL(IF('All Player Data Store'!$Y$7:$Y$594=AC71,ROW('All Player Data Store'!$Y$7:$Y$594)-ROW('All Player Data Store'!$Y$7)+1),COUNTIF($AC$8:AC71,AC71))),"")</f>
        <v>16.91</v>
      </c>
      <c r="Z71" s="108">
        <f t="array" ref="Z71">IF(ISNUMBER(AC71),INDEX('All Player Data Store'!$V$7:$V$594,SMALL(IF('All Player Data Store'!$Y$7:$Y$594=AC71,ROW('All Player Data Store'!$Y$7:$Y$594)-ROW('All Player Data Store'!$Y$7)+1),COUNTIF($AC$8:AC71,AC71))),"")</f>
        <v>20.170000000000002</v>
      </c>
      <c r="AA71" s="112">
        <f t="array" ref="AA71">IF(ISNUMBER(AC71),INDEX('All Player Data Store'!$W$7:$W$594,SMALL(IF('All Player Data Store'!$Y$7:$Y$594=AC71,ROW('All Player Data Store'!$Y$7:$Y$594)-ROW('All Player Data Store'!$Y$7)+1),COUNTIF($AC$8:AC71,AC71))),"")</f>
        <v>1</v>
      </c>
      <c r="AB71" s="108">
        <f t="array" ref="AB71">IF(ISNUMBER(AC71),INDEX('All Player Data Store'!$X$7:$X$594,SMALL(IF('All Player Data Store'!$Y$7:$Y$594=AC71,ROW('All Player Data Store'!$Y$7:$Y$594)-ROW('All Player Data Store'!$Y$7)+1),COUNTIF($AC$8:AC71,AC71))),"")</f>
        <v>20.626999999999999</v>
      </c>
      <c r="AC71" s="115">
        <f>IF(ISERROR(IF(ISERROR(LARGE('All Player Data Store'!$Y$7:$Y$594,64)),"",(LARGE('All Player Data Store'!$Y$7:$Y$594,64)))),"",(IF(ISERROR(LARGE('All Player Data Store'!$Y$7:$Y$594,64)),"",(LARGE('All Player Data Store'!$Y$7:$Y$594,64)))))</f>
        <v>26.626999999999999</v>
      </c>
      <c r="AD71" s="106">
        <f t="shared" si="2"/>
        <v>3</v>
      </c>
      <c r="AE71" s="107" t="str">
        <f t="array" ref="AE71">IF(ISNUMBER(AC71),INDEX('All Player Data Store'!$J$8:$J$594,SMALL(IF('All Player Data Store'!$Y$7:$Y$594=AC71,ROW('All Player Data Store'!$Y$7:$Y$594)-ROW('All Player Data Store'!$Y$7)+1),COUNTIF($AC$8:AC71,AC71))),"")</f>
        <v>0*4</v>
      </c>
      <c r="AF71" s="108">
        <f t="shared" si="3"/>
        <v>21.48</v>
      </c>
      <c r="AG71" s="108" t="str">
        <f t="array" ref="AG71">IF(ISNUMBER(AC71),INDEX('All Player Data Store'!$K$8:$K$594,SMALL(IF('All Player Data Store'!$Y$7:$Y$594=AC71,ROW('All Player Data Store'!$Y$7:$Y$594)-ROW('All Player Data Store'!$Y$7)+1),COUNTIF($AC$8:AC71,AC71))),"")</f>
        <v>4*1</v>
      </c>
      <c r="AH71" s="108">
        <f t="shared" si="4"/>
        <v>20.39</v>
      </c>
      <c r="AI71" s="108" t="str">
        <f t="array" ref="AI71">IF(ISNUMBER(AC71),INDEX('All Player Data Store'!$L$8:$L$594,SMALL(IF('All Player Data Store'!$Y$7:$Y$594=AC71,ROW('All Player Data Store'!$Y$7:$Y$594)-ROW('All Player Data Store'!$Y$7)+1),COUNTIF($AC$8:AC71,AC71))),"")</f>
        <v>4*2</v>
      </c>
      <c r="AJ71" s="108">
        <f t="shared" si="5"/>
        <v>20.170000000000002</v>
      </c>
      <c r="AK71" s="108" t="str">
        <f t="array" ref="AK71">IF(ISNUMBER(AC71),INDEX('All Player Data Store'!$M$8:$M$594,SMALL(IF('All Player Data Store'!$Y$7:$Y$594=AC71,ROW('All Player Data Store'!$Y$7:$Y$594)-ROW('All Player Data Store'!$Y$7)+1),COUNTIF($AC$8:AC71,AC71))),"")</f>
        <v>1*4</v>
      </c>
      <c r="AL71" s="108">
        <f t="shared" si="6"/>
        <v>23.95</v>
      </c>
      <c r="AM71" s="108" t="str">
        <f t="array" ref="AM71">IF(ISNUMBER(AC71),INDEX('All Player Data Store'!$N$8:$N$594,SMALL(IF('All Player Data Store'!$Y$7:$Y$594=AC71,ROW('All Player Data Store'!$Y$7:$Y$594)-ROW('All Player Data Store'!$Y$7)+1),COUNTIF($AC$8:AC71,AC71))),"")</f>
        <v/>
      </c>
      <c r="AN71" s="108" t="str">
        <f t="shared" si="7"/>
        <v/>
      </c>
      <c r="AO71" s="108" t="str">
        <f t="array" ref="AO71">IF(ISNUMBER(AC71),INDEX('All Player Data Store'!$O$8:$O$594,SMALL(IF('All Player Data Store'!$Y$7:$Y$594=AC71,ROW('All Player Data Store'!$Y$7:$Y$594)-ROW('All Player Data Store'!$Y$7)+1),COUNTIF($AC$8:AC71,AC71))),"")</f>
        <v>4*2</v>
      </c>
      <c r="AP71" s="108">
        <f t="shared" si="8"/>
        <v>21.05</v>
      </c>
      <c r="AQ71" s="108" t="str">
        <f t="array" ref="AQ71">IF(ISNUMBER(AC71),INDEX('All Player Data Store'!$P$8:$P$594,SMALL(IF('All Player Data Store'!$Y$7:$Y$594=AC71,ROW('All Player Data Store'!$Y$7:$Y$594)-ROW('All Player Data Store'!$Y$7)+1),COUNTIF($AC$8:AC71,AC71))),"")</f>
        <v>4*2</v>
      </c>
      <c r="AR71" s="108">
        <f t="shared" si="9"/>
        <v>22.09</v>
      </c>
      <c r="AS71" s="108" t="str">
        <f t="array" ref="AS71">IF(ISNUMBER(AC71),INDEX('All Player Data Store'!$Q$8:$Q$594,SMALL(IF('All Player Data Store'!$Y$7:$Y$594=AC71,ROW('All Player Data Store'!$Y$7:$Y$594)-ROW('All Player Data Store'!$Y$7)+1),COUNTIF($AC$8:AC71,AC71))),"")</f>
        <v>1*4(1)</v>
      </c>
      <c r="AT71" s="108">
        <f t="shared" si="10"/>
        <v>20.62</v>
      </c>
      <c r="AU71" s="108" t="str">
        <f t="array" ref="AU71">IF(ISNUMBER(AC71),INDEX('All Player Data Store'!$R$8:$R$594,SMALL(IF('All Player Data Store'!$Y$7:$Y$594=AC71,ROW('All Player Data Store'!$Y$7:$Y$594)-ROW('All Player Data Store'!$Y$7)+1),COUNTIF($AC$8:AC71,AC71))),"")</f>
        <v/>
      </c>
      <c r="AV71" s="108" t="str">
        <f t="shared" si="11"/>
        <v/>
      </c>
      <c r="AW71" s="108" t="str">
        <f t="array" ref="AW71">IF(ISNUMBER(AC71),INDEX('All Player Data Store'!$S$8:$S$594,SMALL(IF('All Player Data Store'!$Y$7:$Y$594=AC71,ROW('All Player Data Store'!$Y$7:$Y$594)-ROW('All Player Data Store'!$Y$7)+1),COUNTIF($AC$8:AC71,AC71))),"")</f>
        <v/>
      </c>
      <c r="AX71" s="108" t="str">
        <f t="shared" si="12"/>
        <v/>
      </c>
      <c r="AY71" s="108" t="str">
        <f t="array" ref="AY71">IF(ISNUMBER(AC71),INDEX('All Player Data Store'!$T$8:$T$594,SMALL(IF('All Player Data Store'!$Y$7:$Y$594=AC71,ROW('All Player Data Store'!$Y$7:$Y$594)-ROW('All Player Data Store'!$Y$7)+1),COUNTIF($AC$8:AC71,AC71))),"")</f>
        <v>4*1</v>
      </c>
      <c r="AZ71" s="108">
        <f t="shared" si="13"/>
        <v>24.44</v>
      </c>
      <c r="BA71" s="108" t="str">
        <f t="array" ref="BA71">IF(ISNUMBER(AC71),INDEX('All Player Data Store'!$U$8:$U$594,SMALL(IF('All Player Data Store'!$Y$7:$Y$594=AC71,ROW('All Player Data Store'!$Y$7:$Y$594)-ROW('All Player Data Store'!$Y$7)+1),COUNTIF($AC$8:AC71,AC71))),"")</f>
        <v>0*4</v>
      </c>
      <c r="BB71" s="108">
        <f t="shared" si="14"/>
        <v>16.91</v>
      </c>
      <c r="BC71" s="108" t="str">
        <f t="array" ref="BC71">IF(ISNUMBER(AC71),INDEX('All Player Data Store'!$V$8:$V$594,SMALL(IF('All Player Data Store'!$Y$7:$Y$594=AC71,ROW('All Player Data Store'!$Y$7:$Y$594)-ROW('All Player Data Store'!$Y$7)+1),COUNTIF($AC$8:AC71,AC71))),"")</f>
        <v>4*1</v>
      </c>
      <c r="BD71" s="108">
        <f t="shared" si="15"/>
        <v>21.17</v>
      </c>
      <c r="BE71" s="1"/>
    </row>
    <row r="72" spans="2:57" ht="12" customHeight="1" x14ac:dyDescent="0.2">
      <c r="B72" s="98" t="str">
        <f t="shared" si="0"/>
        <v>Y</v>
      </c>
      <c r="C72" s="1"/>
      <c r="D72" s="68">
        <f t="shared" si="1"/>
        <v>65</v>
      </c>
      <c r="E72" s="2"/>
      <c r="F72" s="78">
        <v>65</v>
      </c>
      <c r="G72" s="110" t="str">
        <f t="array" ref="G72">IF(ISNUMBER(AC72),INDEX('All Player Data Store'!$C$7:$C$594,SMALL(IF('All Player Data Store'!$Y$7:$Y$594=AC72,ROW('All Player Data Store'!$Y$7:$Y$594)-ROW('All Player Data Store'!$Y$7)+1),COUNTIF($AC$8:AC72,AC72))),"")</f>
        <v>Damian Mudge</v>
      </c>
      <c r="H72" s="111" t="str">
        <f t="array" ref="H72">IF(ISNUMBER(AC72),INDEX('All Player Data Store'!$D$7:$D$594,SMALL(IF('All Player Data Store'!$Y$7:$Y$594=AC72,ROW('All Player Data Store'!$Y$7:$Y$594)-ROW('All Player Data Store'!$Y$7)+1),COUNTIF($AC$8:AC72,AC72))),"")</f>
        <v>Poo</v>
      </c>
      <c r="I72" s="69">
        <f t="array" ref="I72">IF(ISNUMBER(AC72),INDEX('All Player Data Store'!$E$7:$E$594,SMALL(IF('All Player Data Store'!$Y$7:$Y$594=AC72,ROW('All Player Data Store'!$Y$7:$Y$594)-ROW('All Player Data Store'!$Y$7)+1),COUNTIF($AC$8:AC72,AC72))),"")</f>
        <v>12</v>
      </c>
      <c r="J72" s="70">
        <f t="array" ref="J72">IF(ISNUMBER(AC72),INDEX('All Player Data Store'!$F$7:$F$594,SMALL(IF('All Player Data Store'!$Y$7:$Y$594=AC72,ROW('All Player Data Store'!$Y$7:$Y$594)-ROW('All Player Data Store'!$Y$7)+1),COUNTIF($AC$8:AC72,AC72))),"")</f>
        <v>4</v>
      </c>
      <c r="K72" s="112">
        <f t="array" ref="K72">IF(ISNUMBER(AC72),INDEX('All Player Data Store'!$G$7:$G$594,SMALL(IF('All Player Data Store'!$Y$7:$Y$594=AC72,ROW('All Player Data Store'!$Y$7:$Y$594)-ROW('All Player Data Store'!$Y$7)+1),COUNTIF($AC$8:AC72,AC72))),"")</f>
        <v>8</v>
      </c>
      <c r="L72" s="112">
        <f t="array" ref="L72">IF(ISNUMBER(AC72),INDEX('All Player Data Store'!$H$7:$H$594,SMALL(IF('All Player Data Store'!$Y$7:$Y$594=AC72,ROW('All Player Data Store'!$Y$7:$Y$594)-ROW('All Player Data Store'!$Y$7)+1),COUNTIF($AC$8:AC72,AC72))),"")</f>
        <v>32</v>
      </c>
      <c r="M72" s="113">
        <f t="array" ref="M72">IF(ISNUMBER(AC72),INDEX('All Player Data Store'!$I$7:$I$594,SMALL(IF('All Player Data Store'!$Y$7:$Y$594=AC72,ROW('All Player Data Store'!$Y$7:$Y$594)-ROW('All Player Data Store'!$Y$7)+1),COUNTIF($AC$8:AC72,AC72))),"")</f>
        <v>36</v>
      </c>
      <c r="N72" s="114" t="str">
        <f t="array" ref="N72">IF(ISNUMBER(AC72),INDEX('All Player Data Store'!$J$7:$J$594,SMALL(IF('All Player Data Store'!$Y$7:$Y$594=AC72,ROW('All Player Data Store'!$Y$7:$Y$594)-ROW('All Player Data Store'!$Y$7)+1),COUNTIF($AC$8:AC72,AC72))),"")</f>
        <v/>
      </c>
      <c r="O72" s="108">
        <f t="array" ref="O72">IF(ISNUMBER(AC72),INDEX('All Player Data Store'!$K$7:$K$594,SMALL(IF('All Player Data Store'!$Y$7:$Y$594=AC72,ROW('All Player Data Store'!$Y$7:$Y$594)-ROW('All Player Data Store'!$Y$7)+1),COUNTIF($AC$8:AC72,AC72))),"")</f>
        <v>23.6</v>
      </c>
      <c r="P72" s="108">
        <f t="array" ref="P72">IF(ISNUMBER(AC72),INDEX('All Player Data Store'!$L$7:$L$594,SMALL(IF('All Player Data Store'!$Y$7:$Y$594=AC72,ROW('All Player Data Store'!$Y$7:$Y$594)-ROW('All Player Data Store'!$Y$7)+1),COUNTIF($AC$8:AC72,AC72))),"")</f>
        <v>21.74</v>
      </c>
      <c r="Q72" s="108">
        <f t="array" ref="Q72">IF(ISNUMBER(AC72),INDEX('All Player Data Store'!$M$7:$M$594,SMALL(IF('All Player Data Store'!$Y$7:$Y$594=AC72,ROW('All Player Data Store'!$Y$7:$Y$594)-ROW('All Player Data Store'!$Y$7)+1),COUNTIF($AC$8:AC72,AC72))),"")</f>
        <v>24.35</v>
      </c>
      <c r="R72" s="108">
        <f t="array" ref="R72">IF(ISNUMBER(AC72),INDEX('All Player Data Store'!$N$7:$N$594,SMALL(IF('All Player Data Store'!$Y$7:$Y$594=AC72,ROW('All Player Data Store'!$Y$7:$Y$594)-ROW('All Player Data Store'!$Y$7)+1),COUNTIF($AC$8:AC72,AC72))),"")</f>
        <v>23.88</v>
      </c>
      <c r="S72" s="108">
        <f t="array" ref="S72">IF(ISNUMBER(AC72),INDEX('All Player Data Store'!$O$7:$O$594,SMALL(IF('All Player Data Store'!$Y$7:$Y$594=AC72,ROW('All Player Data Store'!$Y$7:$Y$594)-ROW('All Player Data Store'!$Y$7)+1),COUNTIF($AC$8:AC72,AC72))),"")</f>
        <v>21.3</v>
      </c>
      <c r="T72" s="108">
        <f t="array" ref="T72">IF(ISNUMBER(AC72),INDEX('All Player Data Store'!$P$7:$P$594,SMALL(IF('All Player Data Store'!$Y$7:$Y$594=AC72,ROW('All Player Data Store'!$Y$7:$Y$594)-ROW('All Player Data Store'!$Y$7)+1),COUNTIF($AC$8:AC72,AC72))),"")</f>
        <v>22.28</v>
      </c>
      <c r="U72" s="108">
        <f t="array" ref="U72">IF(ISNUMBER(AC72),INDEX('All Player Data Store'!$Q$7:$Q$594,SMALL(IF('All Player Data Store'!$Y$7:$Y$594=AC72,ROW('All Player Data Store'!$Y$7:$Y$594)-ROW('All Player Data Store'!$Y$7)+1),COUNTIF($AC$8:AC72,AC72))),"")</f>
        <v>20.05</v>
      </c>
      <c r="V72" s="108">
        <f t="array" ref="V72">IF(ISNUMBER(AC72),INDEX('All Player Data Store'!$R$7:$R$594,SMALL(IF('All Player Data Store'!$Y$7:$Y$594=AC72,ROW('All Player Data Store'!$Y$7:$Y$594)-ROW('All Player Data Store'!$Y$7)+1),COUNTIF($AC$8:AC72,AC72))),"")</f>
        <v>26.02</v>
      </c>
      <c r="W72" s="108">
        <f t="array" ref="W72">IF(ISNUMBER(AC72),INDEX('All Player Data Store'!$S$7:$S$594,SMALL(IF('All Player Data Store'!$Y$7:$Y$594=AC72,ROW('All Player Data Store'!$Y$7:$Y$594)-ROW('All Player Data Store'!$Y$7)+1),COUNTIF($AC$8:AC72,AC72))),"")</f>
        <v>20.66</v>
      </c>
      <c r="X72" s="108">
        <f t="array" ref="X72">IF(ISNUMBER(AC72),INDEX('All Player Data Store'!$T$7:$T$594,SMALL(IF('All Player Data Store'!$Y$7:$Y$594=AC72,ROW('All Player Data Store'!$Y$7:$Y$594)-ROW('All Player Data Store'!$Y$7)+1),COUNTIF($AC$8:AC72,AC72))),"")</f>
        <v>23.98</v>
      </c>
      <c r="Y72" s="108">
        <f t="array" ref="Y72">IF(ISNUMBER(AC72),INDEX('All Player Data Store'!$U$7:$U$594,SMALL(IF('All Player Data Store'!$Y$7:$Y$594=AC72,ROW('All Player Data Store'!$Y$7:$Y$594)-ROW('All Player Data Store'!$Y$7)+1),COUNTIF($AC$8:AC72,AC72))),"")</f>
        <v>21.66</v>
      </c>
      <c r="Z72" s="108">
        <f t="array" ref="Z72">IF(ISNUMBER(AC72),INDEX('All Player Data Store'!$V$7:$V$594,SMALL(IF('All Player Data Store'!$Y$7:$Y$594=AC72,ROW('All Player Data Store'!$Y$7:$Y$594)-ROW('All Player Data Store'!$Y$7)+1),COUNTIF($AC$8:AC72,AC72))),"")</f>
        <v>21.09</v>
      </c>
      <c r="AA72" s="112">
        <f t="array" ref="AA72">IF(ISNUMBER(AC72),INDEX('All Player Data Store'!$W$7:$W$594,SMALL(IF('All Player Data Store'!$Y$7:$Y$594=AC72,ROW('All Player Data Store'!$Y$7:$Y$594)-ROW('All Player Data Store'!$Y$7)+1),COUNTIF($AC$8:AC72,AC72))),"")</f>
        <v>1</v>
      </c>
      <c r="AB72" s="108">
        <f t="array" ref="AB72">IF(ISNUMBER(AC72),INDEX('All Player Data Store'!$X$7:$X$594,SMALL(IF('All Player Data Store'!$Y$7:$Y$594=AC72,ROW('All Player Data Store'!$Y$7:$Y$594)-ROW('All Player Data Store'!$Y$7)+1),COUNTIF($AC$8:AC72,AC72))),"")</f>
        <v>22.55083333333333</v>
      </c>
      <c r="AC72" s="115">
        <f>IF(ISERROR(IF(ISERROR(LARGE('All Player Data Store'!$Y$7:$Y$594,65)),"",(LARGE('All Player Data Store'!$Y$7:$Y$594,65)))),"",(IF(ISERROR(LARGE('All Player Data Store'!$Y$7:$Y$594,65)),"",(LARGE('All Player Data Store'!$Y$7:$Y$594,65)))))</f>
        <v>26.55083333333333</v>
      </c>
      <c r="AD72" s="106">
        <f t="shared" si="2"/>
        <v>3</v>
      </c>
      <c r="AE72" s="107" t="str">
        <f t="array" ref="AE72">IF(ISNUMBER(AC72),INDEX('All Player Data Store'!$J$8:$J$594,SMALL(IF('All Player Data Store'!$Y$7:$Y$594=AC72,ROW('All Player Data Store'!$Y$7:$Y$594)-ROW('All Player Data Store'!$Y$7)+1),COUNTIF($AC$8:AC72,AC72))),"")</f>
        <v/>
      </c>
      <c r="AF72" s="108" t="str">
        <f t="shared" si="3"/>
        <v/>
      </c>
      <c r="AG72" s="108" t="str">
        <f t="array" ref="AG72">IF(ISNUMBER(AC72),INDEX('All Player Data Store'!$K$8:$K$594,SMALL(IF('All Player Data Store'!$Y$7:$Y$594=AC72,ROW('All Player Data Store'!$Y$7:$Y$594)-ROW('All Player Data Store'!$Y$7)+1),COUNTIF($AC$8:AC72,AC72))),"")</f>
        <v>4*2</v>
      </c>
      <c r="AH72" s="108">
        <f t="shared" si="4"/>
        <v>24.6</v>
      </c>
      <c r="AI72" s="108" t="str">
        <f t="array" ref="AI72">IF(ISNUMBER(AC72),INDEX('All Player Data Store'!$L$8:$L$594,SMALL(IF('All Player Data Store'!$Y$7:$Y$594=AC72,ROW('All Player Data Store'!$Y$7:$Y$594)-ROW('All Player Data Store'!$Y$7)+1),COUNTIF($AC$8:AC72,AC72))),"")</f>
        <v>3*4</v>
      </c>
      <c r="AJ72" s="108">
        <f t="shared" si="5"/>
        <v>21.74</v>
      </c>
      <c r="AK72" s="108" t="str">
        <f t="array" ref="AK72">IF(ISNUMBER(AC72),INDEX('All Player Data Store'!$M$8:$M$594,SMALL(IF('All Player Data Store'!$Y$7:$Y$594=AC72,ROW('All Player Data Store'!$Y$7:$Y$594)-ROW('All Player Data Store'!$Y$7)+1),COUNTIF($AC$8:AC72,AC72))),"")</f>
        <v>2*4</v>
      </c>
      <c r="AL72" s="108">
        <f t="shared" si="6"/>
        <v>24.35</v>
      </c>
      <c r="AM72" s="108" t="str">
        <f t="array" ref="AM72">IF(ISNUMBER(AC72),INDEX('All Player Data Store'!$N$8:$N$594,SMALL(IF('All Player Data Store'!$Y$7:$Y$594=AC72,ROW('All Player Data Store'!$Y$7:$Y$594)-ROW('All Player Data Store'!$Y$7)+1),COUNTIF($AC$8:AC72,AC72))),"")</f>
        <v>1*4</v>
      </c>
      <c r="AN72" s="108">
        <f t="shared" si="7"/>
        <v>23.88</v>
      </c>
      <c r="AO72" s="108" t="str">
        <f t="array" ref="AO72">IF(ISNUMBER(AC72),INDEX('All Player Data Store'!$O$8:$O$594,SMALL(IF('All Player Data Store'!$Y$7:$Y$594=AC72,ROW('All Player Data Store'!$Y$7:$Y$594)-ROW('All Player Data Store'!$Y$7)+1),COUNTIF($AC$8:AC72,AC72))),"")</f>
        <v>3*4</v>
      </c>
      <c r="AP72" s="108">
        <f t="shared" si="8"/>
        <v>21.3</v>
      </c>
      <c r="AQ72" s="108" t="str">
        <f t="array" ref="AQ72">IF(ISNUMBER(AC72),INDEX('All Player Data Store'!$P$8:$P$594,SMALL(IF('All Player Data Store'!$Y$7:$Y$594=AC72,ROW('All Player Data Store'!$Y$7:$Y$594)-ROW('All Player Data Store'!$Y$7)+1),COUNTIF($AC$8:AC72,AC72))),"")</f>
        <v>3*4</v>
      </c>
      <c r="AR72" s="108">
        <f t="shared" si="9"/>
        <v>22.28</v>
      </c>
      <c r="AS72" s="108" t="str">
        <f t="array" ref="AS72">IF(ISNUMBER(AC72),INDEX('All Player Data Store'!$Q$8:$Q$594,SMALL(IF('All Player Data Store'!$Y$7:$Y$594=AC72,ROW('All Player Data Store'!$Y$7:$Y$594)-ROW('All Player Data Store'!$Y$7)+1),COUNTIF($AC$8:AC72,AC72))),"")</f>
        <v>3*4</v>
      </c>
      <c r="AT72" s="108">
        <f t="shared" si="10"/>
        <v>20.05</v>
      </c>
      <c r="AU72" s="108" t="str">
        <f t="array" ref="AU72">IF(ISNUMBER(AC72),INDEX('All Player Data Store'!$R$8:$R$594,SMALL(IF('All Player Data Store'!$Y$7:$Y$594=AC72,ROW('All Player Data Store'!$Y$7:$Y$594)-ROW('All Player Data Store'!$Y$7)+1),COUNTIF($AC$8:AC72,AC72))),"")</f>
        <v>4*0</v>
      </c>
      <c r="AV72" s="108">
        <f t="shared" si="11"/>
        <v>27.02</v>
      </c>
      <c r="AW72" s="108" t="str">
        <f t="array" ref="AW72">IF(ISNUMBER(AC72),INDEX('All Player Data Store'!$S$8:$S$594,SMALL(IF('All Player Data Store'!$Y$7:$Y$594=AC72,ROW('All Player Data Store'!$Y$7:$Y$594)-ROW('All Player Data Store'!$Y$7)+1),COUNTIF($AC$8:AC72,AC72))),"")</f>
        <v>4*0</v>
      </c>
      <c r="AX72" s="108">
        <f t="shared" si="12"/>
        <v>21.66</v>
      </c>
      <c r="AY72" s="108" t="str">
        <f t="array" ref="AY72">IF(ISNUMBER(AC72),INDEX('All Player Data Store'!$T$8:$T$594,SMALL(IF('All Player Data Store'!$Y$7:$Y$594=AC72,ROW('All Player Data Store'!$Y$7:$Y$594)-ROW('All Player Data Store'!$Y$7)+1),COUNTIF($AC$8:AC72,AC72))),"")</f>
        <v>4*2(1)</v>
      </c>
      <c r="AZ72" s="108">
        <f t="shared" si="13"/>
        <v>24.98</v>
      </c>
      <c r="BA72" s="108" t="str">
        <f t="array" ref="BA72">IF(ISNUMBER(AC72),INDEX('All Player Data Store'!$U$8:$U$594,SMALL(IF('All Player Data Store'!$Y$7:$Y$594=AC72,ROW('All Player Data Store'!$Y$7:$Y$594)-ROW('All Player Data Store'!$Y$7)+1),COUNTIF($AC$8:AC72,AC72))),"")</f>
        <v>1*4</v>
      </c>
      <c r="BB72" s="108">
        <f t="shared" si="14"/>
        <v>21.66</v>
      </c>
      <c r="BC72" s="108" t="str">
        <f t="array" ref="BC72">IF(ISNUMBER(AC72),INDEX('All Player Data Store'!$V$8:$V$594,SMALL(IF('All Player Data Store'!$Y$7:$Y$594=AC72,ROW('All Player Data Store'!$Y$7:$Y$594)-ROW('All Player Data Store'!$Y$7)+1),COUNTIF($AC$8:AC72,AC72))),"")</f>
        <v>0*4</v>
      </c>
      <c r="BD72" s="108">
        <f t="shared" si="15"/>
        <v>21.09</v>
      </c>
      <c r="BE72" s="1"/>
    </row>
    <row r="73" spans="2:57" ht="12" customHeight="1" x14ac:dyDescent="0.2">
      <c r="B73" s="98" t="str">
        <f t="shared" si="0"/>
        <v>N</v>
      </c>
      <c r="C73" s="1"/>
      <c r="D73" s="68">
        <f t="shared" si="1"/>
        <v>66</v>
      </c>
      <c r="E73" s="2"/>
      <c r="F73" s="78">
        <v>66</v>
      </c>
      <c r="G73" s="110" t="str">
        <f t="array" ref="G73">IF(ISNUMBER(AC73),INDEX('All Player Data Store'!$C$7:$C$594,SMALL(IF('All Player Data Store'!$Y$7:$Y$594=AC73,ROW('All Player Data Store'!$Y$7:$Y$594)-ROW('All Player Data Store'!$Y$7)+1),COUNTIF($AC$8:AC73,AC73))),"")</f>
        <v>Richard Perry</v>
      </c>
      <c r="H73" s="111" t="str">
        <f t="array" ref="H73">IF(ISNUMBER(AC73),INDEX('All Player Data Store'!$D$7:$D$594,SMALL(IF('All Player Data Store'!$Y$7:$Y$594=AC73,ROW('All Player Data Store'!$Y$7:$Y$594)-ROW('All Player Data Store'!$Y$7)+1),COUNTIF($AC$8:AC73,AC73))),"")</f>
        <v>Lyt</v>
      </c>
      <c r="I73" s="69">
        <f t="array" ref="I73">IF(ISNUMBER(AC73),INDEX('All Player Data Store'!$E$7:$E$594,SMALL(IF('All Player Data Store'!$Y$7:$Y$594=AC73,ROW('All Player Data Store'!$Y$7:$Y$594)-ROW('All Player Data Store'!$Y$7)+1),COUNTIF($AC$8:AC73,AC73))),"")</f>
        <v>9</v>
      </c>
      <c r="J73" s="70">
        <f t="array" ref="J73">IF(ISNUMBER(AC73),INDEX('All Player Data Store'!$F$7:$F$594,SMALL(IF('All Player Data Store'!$Y$7:$Y$594=AC73,ROW('All Player Data Store'!$Y$7:$Y$594)-ROW('All Player Data Store'!$Y$7)+1),COUNTIF($AC$8:AC73,AC73))),"")</f>
        <v>5</v>
      </c>
      <c r="K73" s="112">
        <f t="array" ref="K73">IF(ISNUMBER(AC73),INDEX('All Player Data Store'!$G$7:$G$594,SMALL(IF('All Player Data Store'!$Y$7:$Y$594=AC73,ROW('All Player Data Store'!$Y$7:$Y$594)-ROW('All Player Data Store'!$Y$7)+1),COUNTIF($AC$8:AC73,AC73))),"")</f>
        <v>4</v>
      </c>
      <c r="L73" s="112">
        <f t="array" ref="L73">IF(ISNUMBER(AC73),INDEX('All Player Data Store'!$H$7:$H$594,SMALL(IF('All Player Data Store'!$Y$7:$Y$594=AC73,ROW('All Player Data Store'!$Y$7:$Y$594)-ROW('All Player Data Store'!$Y$7)+1),COUNTIF($AC$8:AC73,AC73))),"")</f>
        <v>28</v>
      </c>
      <c r="M73" s="113">
        <f t="array" ref="M73">IF(ISNUMBER(AC73),INDEX('All Player Data Store'!$I$7:$I$594,SMALL(IF('All Player Data Store'!$Y$7:$Y$594=AC73,ROW('All Player Data Store'!$Y$7:$Y$594)-ROW('All Player Data Store'!$Y$7)+1),COUNTIF($AC$8:AC73,AC73))),"")</f>
        <v>23</v>
      </c>
      <c r="N73" s="114">
        <f t="array" ref="N73">IF(ISNUMBER(AC73),INDEX('All Player Data Store'!$J$7:$J$594,SMALL(IF('All Player Data Store'!$Y$7:$Y$594=AC73,ROW('All Player Data Store'!$Y$7:$Y$594)-ROW('All Player Data Store'!$Y$7)+1),COUNTIF($AC$8:AC73,AC73))),"")</f>
        <v>19.920000000000002</v>
      </c>
      <c r="O73" s="108">
        <f t="array" ref="O73">IF(ISNUMBER(AC73),INDEX('All Player Data Store'!$K$7:$K$594,SMALL(IF('All Player Data Store'!$Y$7:$Y$594=AC73,ROW('All Player Data Store'!$Y$7:$Y$594)-ROW('All Player Data Store'!$Y$7)+1),COUNTIF($AC$8:AC73,AC73))),"")</f>
        <v>20.69</v>
      </c>
      <c r="P73" s="108">
        <f t="array" ref="P73">IF(ISNUMBER(AC73),INDEX('All Player Data Store'!$L$7:$L$594,SMALL(IF('All Player Data Store'!$Y$7:$Y$594=AC73,ROW('All Player Data Store'!$Y$7:$Y$594)-ROW('All Player Data Store'!$Y$7)+1),COUNTIF($AC$8:AC73,AC73))),"")</f>
        <v>21.02</v>
      </c>
      <c r="Q73" s="108" t="str">
        <f t="array" ref="Q73">IF(ISNUMBER(AC73),INDEX('All Player Data Store'!$M$7:$M$594,SMALL(IF('All Player Data Store'!$Y$7:$Y$594=AC73,ROW('All Player Data Store'!$Y$7:$Y$594)-ROW('All Player Data Store'!$Y$7)+1),COUNTIF($AC$8:AC73,AC73))),"")</f>
        <v/>
      </c>
      <c r="R73" s="108">
        <f t="array" ref="R73">IF(ISNUMBER(AC73),INDEX('All Player Data Store'!$N$7:$N$594,SMALL(IF('All Player Data Store'!$Y$7:$Y$594=AC73,ROW('All Player Data Store'!$Y$7:$Y$594)-ROW('All Player Data Store'!$Y$7)+1),COUNTIF($AC$8:AC73,AC73))),"")</f>
        <v>24.99</v>
      </c>
      <c r="S73" s="108" t="str">
        <f t="array" ref="S73">IF(ISNUMBER(AC73),INDEX('All Player Data Store'!$O$7:$O$594,SMALL(IF('All Player Data Store'!$Y$7:$Y$594=AC73,ROW('All Player Data Store'!$Y$7:$Y$594)-ROW('All Player Data Store'!$Y$7)+1),COUNTIF($AC$8:AC73,AC73))),"")</f>
        <v/>
      </c>
      <c r="T73" s="108" t="str">
        <f t="array" ref="T73">IF(ISNUMBER(AC73),INDEX('All Player Data Store'!$P$7:$P$594,SMALL(IF('All Player Data Store'!$Y$7:$Y$594=AC73,ROW('All Player Data Store'!$Y$7:$Y$594)-ROW('All Player Data Store'!$Y$7)+1),COUNTIF($AC$8:AC73,AC73))),"")</f>
        <v/>
      </c>
      <c r="U73" s="108">
        <f t="array" ref="U73">IF(ISNUMBER(AC73),INDEX('All Player Data Store'!$Q$7:$Q$594,SMALL(IF('All Player Data Store'!$Y$7:$Y$594=AC73,ROW('All Player Data Store'!$Y$7:$Y$594)-ROW('All Player Data Store'!$Y$7)+1),COUNTIF($AC$8:AC73,AC73))),"")</f>
        <v>21.4</v>
      </c>
      <c r="V73" s="108">
        <f t="array" ref="V73">IF(ISNUMBER(AC73),INDEX('All Player Data Store'!$R$7:$R$594,SMALL(IF('All Player Data Store'!$Y$7:$Y$594=AC73,ROW('All Player Data Store'!$Y$7:$Y$594)-ROW('All Player Data Store'!$Y$7)+1),COUNTIF($AC$8:AC73,AC73))),"")</f>
        <v>21.91</v>
      </c>
      <c r="W73" s="108">
        <f t="array" ref="W73">IF(ISNUMBER(AC73),INDEX('All Player Data Store'!$S$7:$S$594,SMALL(IF('All Player Data Store'!$Y$7:$Y$594=AC73,ROW('All Player Data Store'!$Y$7:$Y$594)-ROW('All Player Data Store'!$Y$7)+1),COUNTIF($AC$8:AC73,AC73))),"")</f>
        <v>19.95</v>
      </c>
      <c r="X73" s="108">
        <f t="array" ref="X73">IF(ISNUMBER(AC73),INDEX('All Player Data Store'!$T$7:$T$594,SMALL(IF('All Player Data Store'!$Y$7:$Y$594=AC73,ROW('All Player Data Store'!$Y$7:$Y$594)-ROW('All Player Data Store'!$Y$7)+1),COUNTIF($AC$8:AC73,AC73))),"")</f>
        <v>23.1</v>
      </c>
      <c r="Y73" s="108" t="str">
        <f t="array" ref="Y73">IF(ISNUMBER(AC73),INDEX('All Player Data Store'!$U$7:$U$594,SMALL(IF('All Player Data Store'!$Y$7:$Y$594=AC73,ROW('All Player Data Store'!$Y$7:$Y$594)-ROW('All Player Data Store'!$Y$7)+1),COUNTIF($AC$8:AC73,AC73))),"")</f>
        <v/>
      </c>
      <c r="Z73" s="108">
        <f t="array" ref="Z73">IF(ISNUMBER(AC73),INDEX('All Player Data Store'!$V$7:$V$594,SMALL(IF('All Player Data Store'!$Y$7:$Y$594=AC73,ROW('All Player Data Store'!$Y$7:$Y$594)-ROW('All Player Data Store'!$Y$7)+1),COUNTIF($AC$8:AC73,AC73))),"")</f>
        <v>20.69</v>
      </c>
      <c r="AA73" s="112">
        <f t="array" ref="AA73">IF(ISNUMBER(AC73),INDEX('All Player Data Store'!$W$7:$W$594,SMALL(IF('All Player Data Store'!$Y$7:$Y$594=AC73,ROW('All Player Data Store'!$Y$7:$Y$594)-ROW('All Player Data Store'!$Y$7)+1),COUNTIF($AC$8:AC73,AC73))),"")</f>
        <v>1</v>
      </c>
      <c r="AB73" s="108">
        <f t="array" ref="AB73">IF(ISNUMBER(AC73),INDEX('All Player Data Store'!$X$7:$X$594,SMALL(IF('All Player Data Store'!$Y$7:$Y$594=AC73,ROW('All Player Data Store'!$Y$7:$Y$594)-ROW('All Player Data Store'!$Y$7)+1),COUNTIF($AC$8:AC73,AC73))),"")</f>
        <v>21.518888888888885</v>
      </c>
      <c r="AC73" s="115">
        <f>IF(ISERROR(IF(ISERROR(LARGE('All Player Data Store'!$Y$7:$Y$594,66)),"",(LARGE('All Player Data Store'!$Y$7:$Y$594,66)))),"",(IF(ISERROR(LARGE('All Player Data Store'!$Y$7:$Y$594,66)),"",(LARGE('All Player Data Store'!$Y$7:$Y$594,66)))))</f>
        <v>26.518888888888885</v>
      </c>
      <c r="AD73" s="106">
        <f t="shared" si="2"/>
        <v>3</v>
      </c>
      <c r="AE73" s="107" t="str">
        <f t="array" ref="AE73">IF(ISNUMBER(AC73),INDEX('All Player Data Store'!$J$8:$J$594,SMALL(IF('All Player Data Store'!$Y$7:$Y$594=AC73,ROW('All Player Data Store'!$Y$7:$Y$594)-ROW('All Player Data Store'!$Y$7)+1),COUNTIF($AC$8:AC73,AC73))),"")</f>
        <v>4*2</v>
      </c>
      <c r="AF73" s="108">
        <f t="shared" si="3"/>
        <v>20.92</v>
      </c>
      <c r="AG73" s="108" t="str">
        <f t="array" ref="AG73">IF(ISNUMBER(AC73),INDEX('All Player Data Store'!$K$8:$K$594,SMALL(IF('All Player Data Store'!$Y$7:$Y$594=AC73,ROW('All Player Data Store'!$Y$7:$Y$594)-ROW('All Player Data Store'!$Y$7)+1),COUNTIF($AC$8:AC73,AC73))),"")</f>
        <v>4*2</v>
      </c>
      <c r="AH73" s="108">
        <f t="shared" si="4"/>
        <v>21.69</v>
      </c>
      <c r="AI73" s="108" t="str">
        <f t="array" ref="AI73">IF(ISNUMBER(AC73),INDEX('All Player Data Store'!$L$8:$L$594,SMALL(IF('All Player Data Store'!$Y$7:$Y$594=AC73,ROW('All Player Data Store'!$Y$7:$Y$594)-ROW('All Player Data Store'!$Y$7)+1),COUNTIF($AC$8:AC73,AC73))),"")</f>
        <v>4*1</v>
      </c>
      <c r="AJ73" s="108">
        <f t="shared" si="5"/>
        <v>22.02</v>
      </c>
      <c r="AK73" s="108" t="str">
        <f t="array" ref="AK73">IF(ISNUMBER(AC73),INDEX('All Player Data Store'!$M$8:$M$594,SMALL(IF('All Player Data Store'!$Y$7:$Y$594=AC73,ROW('All Player Data Store'!$Y$7:$Y$594)-ROW('All Player Data Store'!$Y$7)+1),COUNTIF($AC$8:AC73,AC73))),"")</f>
        <v/>
      </c>
      <c r="AL73" s="108" t="str">
        <f t="shared" si="6"/>
        <v/>
      </c>
      <c r="AM73" s="108" t="str">
        <f t="array" ref="AM73">IF(ISNUMBER(AC73),INDEX('All Player Data Store'!$N$8:$N$594,SMALL(IF('All Player Data Store'!$Y$7:$Y$594=AC73,ROW('All Player Data Store'!$Y$7:$Y$594)-ROW('All Player Data Store'!$Y$7)+1),COUNTIF($AC$8:AC73,AC73))),"")</f>
        <v>1*4</v>
      </c>
      <c r="AN73" s="108">
        <f t="shared" si="7"/>
        <v>24.99</v>
      </c>
      <c r="AO73" s="108" t="str">
        <f t="array" ref="AO73">IF(ISNUMBER(AC73),INDEX('All Player Data Store'!$O$8:$O$594,SMALL(IF('All Player Data Store'!$Y$7:$Y$594=AC73,ROW('All Player Data Store'!$Y$7:$Y$594)-ROW('All Player Data Store'!$Y$7)+1),COUNTIF($AC$8:AC73,AC73))),"")</f>
        <v/>
      </c>
      <c r="AP73" s="108" t="str">
        <f t="shared" si="8"/>
        <v/>
      </c>
      <c r="AQ73" s="108" t="str">
        <f t="array" ref="AQ73">IF(ISNUMBER(AC73),INDEX('All Player Data Store'!$P$8:$P$594,SMALL(IF('All Player Data Store'!$Y$7:$Y$594=AC73,ROW('All Player Data Store'!$Y$7:$Y$594)-ROW('All Player Data Store'!$Y$7)+1),COUNTIF($AC$8:AC73,AC73))),"")</f>
        <v/>
      </c>
      <c r="AR73" s="108" t="str">
        <f t="shared" si="9"/>
        <v/>
      </c>
      <c r="AS73" s="108" t="str">
        <f t="array" ref="AS73">IF(ISNUMBER(AC73),INDEX('All Player Data Store'!$Q$8:$Q$594,SMALL(IF('All Player Data Store'!$Y$7:$Y$594=AC73,ROW('All Player Data Store'!$Y$7:$Y$594)-ROW('All Player Data Store'!$Y$7)+1),COUNTIF($AC$8:AC73,AC73))),"")</f>
        <v>1*4</v>
      </c>
      <c r="AT73" s="108">
        <f t="shared" si="10"/>
        <v>21.4</v>
      </c>
      <c r="AU73" s="108" t="str">
        <f t="array" ref="AU73">IF(ISNUMBER(AC73),INDEX('All Player Data Store'!$R$8:$R$594,SMALL(IF('All Player Data Store'!$Y$7:$Y$594=AC73,ROW('All Player Data Store'!$Y$7:$Y$594)-ROW('All Player Data Store'!$Y$7)+1),COUNTIF($AC$8:AC73,AC73))),"")</f>
        <v>4*1</v>
      </c>
      <c r="AV73" s="108">
        <f t="shared" si="11"/>
        <v>22.91</v>
      </c>
      <c r="AW73" s="108" t="str">
        <f t="array" ref="AW73">IF(ISNUMBER(AC73),INDEX('All Player Data Store'!$S$8:$S$594,SMALL(IF('All Player Data Store'!$Y$7:$Y$594=AC73,ROW('All Player Data Store'!$Y$7:$Y$594)-ROW('All Player Data Store'!$Y$7)+1),COUNTIF($AC$8:AC73,AC73))),"")</f>
        <v>3*4(1)</v>
      </c>
      <c r="AX73" s="108">
        <f t="shared" si="12"/>
        <v>19.95</v>
      </c>
      <c r="AY73" s="108" t="str">
        <f t="array" ref="AY73">IF(ISNUMBER(AC73),INDEX('All Player Data Store'!$T$8:$T$594,SMALL(IF('All Player Data Store'!$Y$7:$Y$594=AC73,ROW('All Player Data Store'!$Y$7:$Y$594)-ROW('All Player Data Store'!$Y$7)+1),COUNTIF($AC$8:AC73,AC73))),"")</f>
        <v>4*1</v>
      </c>
      <c r="AZ73" s="108">
        <f t="shared" si="13"/>
        <v>24.1</v>
      </c>
      <c r="BA73" s="108" t="str">
        <f t="array" ref="BA73">IF(ISNUMBER(AC73),INDEX('All Player Data Store'!$U$8:$U$594,SMALL(IF('All Player Data Store'!$Y$7:$Y$594=AC73,ROW('All Player Data Store'!$Y$7:$Y$594)-ROW('All Player Data Store'!$Y$7)+1),COUNTIF($AC$8:AC73,AC73))),"")</f>
        <v/>
      </c>
      <c r="BB73" s="108" t="str">
        <f t="shared" si="14"/>
        <v/>
      </c>
      <c r="BC73" s="108" t="str">
        <f t="array" ref="BC73">IF(ISNUMBER(AC73),INDEX('All Player Data Store'!$V$8:$V$594,SMALL(IF('All Player Data Store'!$Y$7:$Y$594=AC73,ROW('All Player Data Store'!$Y$7:$Y$594)-ROW('All Player Data Store'!$Y$7)+1),COUNTIF($AC$8:AC73,AC73))),"")</f>
        <v>3*4</v>
      </c>
      <c r="BD73" s="108">
        <f t="shared" si="15"/>
        <v>20.69</v>
      </c>
      <c r="BE73" s="1"/>
    </row>
    <row r="74" spans="2:57" ht="12" customHeight="1" x14ac:dyDescent="0.2">
      <c r="B74" s="98" t="str">
        <f t="shared" si="0"/>
        <v>Y</v>
      </c>
      <c r="C74" s="1"/>
      <c r="D74" s="68">
        <f t="shared" si="1"/>
        <v>67</v>
      </c>
      <c r="E74" s="2"/>
      <c r="F74" s="78">
        <v>67</v>
      </c>
      <c r="G74" s="110" t="str">
        <f t="array" ref="G74">IF(ISNUMBER(AC74),INDEX('All Player Data Store'!$C$7:$C$594,SMALL(IF('All Player Data Store'!$Y$7:$Y$594=AC74,ROW('All Player Data Store'!$Y$7:$Y$594)-ROW('All Player Data Store'!$Y$7)+1),COUNTIF($AC$8:AC74,AC74))),"")</f>
        <v>Andy Masters</v>
      </c>
      <c r="H74" s="111" t="str">
        <f t="array" ref="H74">IF(ISNUMBER(AC74),INDEX('All Player Data Store'!$D$7:$D$594,SMALL(IF('All Player Data Store'!$Y$7:$Y$594=AC74,ROW('All Player Data Store'!$Y$7:$Y$594)-ROW('All Player Data Store'!$Y$7)+1),COUNTIF($AC$8:AC74,AC74))),"")</f>
        <v>Por</v>
      </c>
      <c r="I74" s="69">
        <f t="array" ref="I74">IF(ISNUMBER(AC74),INDEX('All Player Data Store'!$E$7:$E$594,SMALL(IF('All Player Data Store'!$Y$7:$Y$594=AC74,ROW('All Player Data Store'!$Y$7:$Y$594)-ROW('All Player Data Store'!$Y$7)+1),COUNTIF($AC$8:AC74,AC74))),"")</f>
        <v>13</v>
      </c>
      <c r="J74" s="70">
        <f t="array" ref="J74">IF(ISNUMBER(AC74),INDEX('All Player Data Store'!$F$7:$F$594,SMALL(IF('All Player Data Store'!$Y$7:$Y$594=AC74,ROW('All Player Data Store'!$Y$7:$Y$594)-ROW('All Player Data Store'!$Y$7)+1),COUNTIF($AC$8:AC74,AC74))),"")</f>
        <v>6</v>
      </c>
      <c r="K74" s="112">
        <f t="array" ref="K74">IF(ISNUMBER(AC74),INDEX('All Player Data Store'!$G$7:$G$594,SMALL(IF('All Player Data Store'!$Y$7:$Y$594=AC74,ROW('All Player Data Store'!$Y$7:$Y$594)-ROW('All Player Data Store'!$Y$7)+1),COUNTIF($AC$8:AC74,AC74))),"")</f>
        <v>7</v>
      </c>
      <c r="L74" s="112">
        <f t="array" ref="L74">IF(ISNUMBER(AC74),INDEX('All Player Data Store'!$H$7:$H$594,SMALL(IF('All Player Data Store'!$Y$7:$Y$594=AC74,ROW('All Player Data Store'!$Y$7:$Y$594)-ROW('All Player Data Store'!$Y$7)+1),COUNTIF($AC$8:AC74,AC74))),"")</f>
        <v>33</v>
      </c>
      <c r="M74" s="113">
        <f t="array" ref="M74">IF(ISNUMBER(AC74),INDEX('All Player Data Store'!$I$7:$I$594,SMALL(IF('All Player Data Store'!$Y$7:$Y$594=AC74,ROW('All Player Data Store'!$Y$7:$Y$594)-ROW('All Player Data Store'!$Y$7)+1),COUNTIF($AC$8:AC74,AC74))),"")</f>
        <v>33</v>
      </c>
      <c r="N74" s="114">
        <f t="array" ref="N74">IF(ISNUMBER(AC74),INDEX('All Player Data Store'!$J$7:$J$594,SMALL(IF('All Player Data Store'!$Y$7:$Y$594=AC74,ROW('All Player Data Store'!$Y$7:$Y$594)-ROW('All Player Data Store'!$Y$7)+1),COUNTIF($AC$8:AC74,AC74))),"")</f>
        <v>20.11</v>
      </c>
      <c r="O74" s="108">
        <f t="array" ref="O74">IF(ISNUMBER(AC74),INDEX('All Player Data Store'!$K$7:$K$594,SMALL(IF('All Player Data Store'!$Y$7:$Y$594=AC74,ROW('All Player Data Store'!$Y$7:$Y$594)-ROW('All Player Data Store'!$Y$7)+1),COUNTIF($AC$8:AC74,AC74))),"")</f>
        <v>16.64</v>
      </c>
      <c r="P74" s="108">
        <f t="array" ref="P74">IF(ISNUMBER(AC74),INDEX('All Player Data Store'!$L$7:$L$594,SMALL(IF('All Player Data Store'!$Y$7:$Y$594=AC74,ROW('All Player Data Store'!$Y$7:$Y$594)-ROW('All Player Data Store'!$Y$7)+1),COUNTIF($AC$8:AC74,AC74))),"")</f>
        <v>20.96</v>
      </c>
      <c r="Q74" s="108">
        <f t="array" ref="Q74">IF(ISNUMBER(AC74),INDEX('All Player Data Store'!$M$7:$M$594,SMALL(IF('All Player Data Store'!$Y$7:$Y$594=AC74,ROW('All Player Data Store'!$Y$7:$Y$594)-ROW('All Player Data Store'!$Y$7)+1),COUNTIF($AC$8:AC74,AC74))),"")</f>
        <v>21.42</v>
      </c>
      <c r="R74" s="108">
        <f t="array" ref="R74">IF(ISNUMBER(AC74),INDEX('All Player Data Store'!$N$7:$N$594,SMALL(IF('All Player Data Store'!$Y$7:$Y$594=AC74,ROW('All Player Data Store'!$Y$7:$Y$594)-ROW('All Player Data Store'!$Y$7)+1),COUNTIF($AC$8:AC74,AC74))),"")</f>
        <v>21.2</v>
      </c>
      <c r="S74" s="108">
        <f t="array" ref="S74">IF(ISNUMBER(AC74),INDEX('All Player Data Store'!$O$7:$O$594,SMALL(IF('All Player Data Store'!$Y$7:$Y$594=AC74,ROW('All Player Data Store'!$Y$7:$Y$594)-ROW('All Player Data Store'!$Y$7)+1),COUNTIF($AC$8:AC74,AC74))),"")</f>
        <v>19.760000000000002</v>
      </c>
      <c r="T74" s="108">
        <f t="array" ref="T74">IF(ISNUMBER(AC74),INDEX('All Player Data Store'!$P$7:$P$594,SMALL(IF('All Player Data Store'!$Y$7:$Y$594=AC74,ROW('All Player Data Store'!$Y$7:$Y$594)-ROW('All Player Data Store'!$Y$7)+1),COUNTIF($AC$8:AC74,AC74))),"")</f>
        <v>20.22</v>
      </c>
      <c r="U74" s="108">
        <f t="array" ref="U74">IF(ISNUMBER(AC74),INDEX('All Player Data Store'!$Q$7:$Q$594,SMALL(IF('All Player Data Store'!$Y$7:$Y$594=AC74,ROW('All Player Data Store'!$Y$7:$Y$594)-ROW('All Player Data Store'!$Y$7)+1),COUNTIF($AC$8:AC74,AC74))),"")</f>
        <v>22.03</v>
      </c>
      <c r="V74" s="108">
        <f t="array" ref="V74">IF(ISNUMBER(AC74),INDEX('All Player Data Store'!$R$7:$R$594,SMALL(IF('All Player Data Store'!$Y$7:$Y$594=AC74,ROW('All Player Data Store'!$Y$7:$Y$594)-ROW('All Player Data Store'!$Y$7)+1),COUNTIF($AC$8:AC74,AC74))),"")</f>
        <v>17.52</v>
      </c>
      <c r="W74" s="108">
        <f t="array" ref="W74">IF(ISNUMBER(AC74),INDEX('All Player Data Store'!$S$7:$S$594,SMALL(IF('All Player Data Store'!$Y$7:$Y$594=AC74,ROW('All Player Data Store'!$Y$7:$Y$594)-ROW('All Player Data Store'!$Y$7)+1),COUNTIF($AC$8:AC74,AC74))),"")</f>
        <v>20.45</v>
      </c>
      <c r="X74" s="108">
        <f t="array" ref="X74">IF(ISNUMBER(AC74),INDEX('All Player Data Store'!$T$7:$T$594,SMALL(IF('All Player Data Store'!$Y$7:$Y$594=AC74,ROW('All Player Data Store'!$Y$7:$Y$594)-ROW('All Player Data Store'!$Y$7)+1),COUNTIF($AC$8:AC74,AC74))),"")</f>
        <v>21.75</v>
      </c>
      <c r="Y74" s="108">
        <f t="array" ref="Y74">IF(ISNUMBER(AC74),INDEX('All Player Data Store'!$U$7:$U$594,SMALL(IF('All Player Data Store'!$Y$7:$Y$594=AC74,ROW('All Player Data Store'!$Y$7:$Y$594)-ROW('All Player Data Store'!$Y$7)+1),COUNTIF($AC$8:AC74,AC74))),"")</f>
        <v>24.44</v>
      </c>
      <c r="Z74" s="108">
        <f t="array" ref="Z74">IF(ISNUMBER(AC74),INDEX('All Player Data Store'!$V$7:$V$594,SMALL(IF('All Player Data Store'!$Y$7:$Y$594=AC74,ROW('All Player Data Store'!$Y$7:$Y$594)-ROW('All Player Data Store'!$Y$7)+1),COUNTIF($AC$8:AC74,AC74))),"")</f>
        <v>19.84</v>
      </c>
      <c r="AA74" s="112">
        <f t="array" ref="AA74">IF(ISNUMBER(AC74),INDEX('All Player Data Store'!$W$7:$W$594,SMALL(IF('All Player Data Store'!$Y$7:$Y$594=AC74,ROW('All Player Data Store'!$Y$7:$Y$594)-ROW('All Player Data Store'!$Y$7)+1),COUNTIF($AC$8:AC74,AC74))),"")</f>
        <v>1</v>
      </c>
      <c r="AB74" s="108">
        <f t="array" ref="AB74">IF(ISNUMBER(AC74),INDEX('All Player Data Store'!$X$7:$X$594,SMALL(IF('All Player Data Store'!$Y$7:$Y$594=AC74,ROW('All Player Data Store'!$Y$7:$Y$594)-ROW('All Player Data Store'!$Y$7)+1),COUNTIF($AC$8:AC74,AC74))),"")</f>
        <v>20.487692307692306</v>
      </c>
      <c r="AC74" s="115">
        <f>IF(ISERROR(IF(ISERROR(LARGE('All Player Data Store'!$Y$7:$Y$594,67)),"",(LARGE('All Player Data Store'!$Y$7:$Y$594,67)))),"",(IF(ISERROR(LARGE('All Player Data Store'!$Y$7:$Y$594,67)),"",(LARGE('All Player Data Store'!$Y$7:$Y$594,67)))))</f>
        <v>26.487692307692306</v>
      </c>
      <c r="AD74" s="106">
        <f t="shared" si="2"/>
        <v>3</v>
      </c>
      <c r="AE74" s="107" t="str">
        <f t="array" ref="AE74">IF(ISNUMBER(AC74),INDEX('All Player Data Store'!$J$8:$J$594,SMALL(IF('All Player Data Store'!$Y$7:$Y$594=AC74,ROW('All Player Data Store'!$Y$7:$Y$594)-ROW('All Player Data Store'!$Y$7)+1),COUNTIF($AC$8:AC74,AC74))),"")</f>
        <v>1*4(1)</v>
      </c>
      <c r="AF74" s="108">
        <f t="shared" si="3"/>
        <v>20.11</v>
      </c>
      <c r="AG74" s="108" t="str">
        <f t="array" ref="AG74">IF(ISNUMBER(AC74),INDEX('All Player Data Store'!$K$8:$K$594,SMALL(IF('All Player Data Store'!$Y$7:$Y$594=AC74,ROW('All Player Data Store'!$Y$7:$Y$594)-ROW('All Player Data Store'!$Y$7)+1),COUNTIF($AC$8:AC74,AC74))),"")</f>
        <v>0*4</v>
      </c>
      <c r="AH74" s="108">
        <f t="shared" si="4"/>
        <v>16.64</v>
      </c>
      <c r="AI74" s="108" t="str">
        <f t="array" ref="AI74">IF(ISNUMBER(AC74),INDEX('All Player Data Store'!$L$8:$L$594,SMALL(IF('All Player Data Store'!$Y$7:$Y$594=AC74,ROW('All Player Data Store'!$Y$7:$Y$594)-ROW('All Player Data Store'!$Y$7)+1),COUNTIF($AC$8:AC74,AC74))),"")</f>
        <v>2*4</v>
      </c>
      <c r="AJ74" s="108">
        <f t="shared" si="5"/>
        <v>20.96</v>
      </c>
      <c r="AK74" s="108" t="str">
        <f t="array" ref="AK74">IF(ISNUMBER(AC74),INDEX('All Player Data Store'!$M$8:$M$594,SMALL(IF('All Player Data Store'!$Y$7:$Y$594=AC74,ROW('All Player Data Store'!$Y$7:$Y$594)-ROW('All Player Data Store'!$Y$7)+1),COUNTIF($AC$8:AC74,AC74))),"")</f>
        <v>4*1</v>
      </c>
      <c r="AL74" s="108">
        <f t="shared" si="6"/>
        <v>22.42</v>
      </c>
      <c r="AM74" s="108" t="str">
        <f t="array" ref="AM74">IF(ISNUMBER(AC74),INDEX('All Player Data Store'!$N$8:$N$594,SMALL(IF('All Player Data Store'!$Y$7:$Y$594=AC74,ROW('All Player Data Store'!$Y$7:$Y$594)-ROW('All Player Data Store'!$Y$7)+1),COUNTIF($AC$8:AC74,AC74))),"")</f>
        <v>2*4</v>
      </c>
      <c r="AN74" s="108">
        <f t="shared" si="7"/>
        <v>21.2</v>
      </c>
      <c r="AO74" s="108" t="str">
        <f t="array" ref="AO74">IF(ISNUMBER(AC74),INDEX('All Player Data Store'!$O$8:$O$594,SMALL(IF('All Player Data Store'!$Y$7:$Y$594=AC74,ROW('All Player Data Store'!$Y$7:$Y$594)-ROW('All Player Data Store'!$Y$7)+1),COUNTIF($AC$8:AC74,AC74))),"")</f>
        <v>4*3</v>
      </c>
      <c r="AP74" s="108">
        <f t="shared" si="8"/>
        <v>20.76</v>
      </c>
      <c r="AQ74" s="108" t="str">
        <f t="array" ref="AQ74">IF(ISNUMBER(AC74),INDEX('All Player Data Store'!$P$8:$P$594,SMALL(IF('All Player Data Store'!$Y$7:$Y$594=AC74,ROW('All Player Data Store'!$Y$7:$Y$594)-ROW('All Player Data Store'!$Y$7)+1),COUNTIF($AC$8:AC74,AC74))),"")</f>
        <v>3*4</v>
      </c>
      <c r="AR74" s="108">
        <f t="shared" si="9"/>
        <v>20.22</v>
      </c>
      <c r="AS74" s="108" t="str">
        <f t="array" ref="AS74">IF(ISNUMBER(AC74),INDEX('All Player Data Store'!$Q$8:$Q$594,SMALL(IF('All Player Data Store'!$Y$7:$Y$594=AC74,ROW('All Player Data Store'!$Y$7:$Y$594)-ROW('All Player Data Store'!$Y$7)+1),COUNTIF($AC$8:AC74,AC74))),"")</f>
        <v>1*4</v>
      </c>
      <c r="AT74" s="108">
        <f t="shared" si="10"/>
        <v>22.03</v>
      </c>
      <c r="AU74" s="108" t="str">
        <f t="array" ref="AU74">IF(ISNUMBER(AC74),INDEX('All Player Data Store'!$R$8:$R$594,SMALL(IF('All Player Data Store'!$Y$7:$Y$594=AC74,ROW('All Player Data Store'!$Y$7:$Y$594)-ROW('All Player Data Store'!$Y$7)+1),COUNTIF($AC$8:AC74,AC74))),"")</f>
        <v>0*4</v>
      </c>
      <c r="AV74" s="108">
        <f t="shared" si="11"/>
        <v>17.52</v>
      </c>
      <c r="AW74" s="108" t="str">
        <f t="array" ref="AW74">IF(ISNUMBER(AC74),INDEX('All Player Data Store'!$S$8:$S$594,SMALL(IF('All Player Data Store'!$Y$7:$Y$594=AC74,ROW('All Player Data Store'!$Y$7:$Y$594)-ROW('All Player Data Store'!$Y$7)+1),COUNTIF($AC$8:AC74,AC74))),"")</f>
        <v>4*0</v>
      </c>
      <c r="AX74" s="108">
        <f t="shared" si="12"/>
        <v>21.45</v>
      </c>
      <c r="AY74" s="108" t="str">
        <f t="array" ref="AY74">IF(ISNUMBER(AC74),INDEX('All Player Data Store'!$T$8:$T$594,SMALL(IF('All Player Data Store'!$Y$7:$Y$594=AC74,ROW('All Player Data Store'!$Y$7:$Y$594)-ROW('All Player Data Store'!$Y$7)+1),COUNTIF($AC$8:AC74,AC74))),"")</f>
        <v>4*1</v>
      </c>
      <c r="AZ74" s="108">
        <f t="shared" si="13"/>
        <v>22.75</v>
      </c>
      <c r="BA74" s="108" t="str">
        <f t="array" ref="BA74">IF(ISNUMBER(AC74),INDEX('All Player Data Store'!$U$8:$U$594,SMALL(IF('All Player Data Store'!$Y$7:$Y$594=AC74,ROW('All Player Data Store'!$Y$7:$Y$594)-ROW('All Player Data Store'!$Y$7)+1),COUNTIF($AC$8:AC74,AC74))),"")</f>
        <v>4*0</v>
      </c>
      <c r="BB74" s="108">
        <f t="shared" si="14"/>
        <v>25.44</v>
      </c>
      <c r="BC74" s="108" t="str">
        <f t="array" ref="BC74">IF(ISNUMBER(AC74),INDEX('All Player Data Store'!$V$8:$V$594,SMALL(IF('All Player Data Store'!$Y$7:$Y$594=AC74,ROW('All Player Data Store'!$Y$7:$Y$594)-ROW('All Player Data Store'!$Y$7)+1),COUNTIF($AC$8:AC74,AC74))),"")</f>
        <v>4*0</v>
      </c>
      <c r="BD74" s="108">
        <f t="shared" si="15"/>
        <v>20.84</v>
      </c>
      <c r="BE74" s="1"/>
    </row>
    <row r="75" spans="2:57" ht="12" customHeight="1" x14ac:dyDescent="0.2">
      <c r="B75" s="98" t="str">
        <f t="shared" si="0"/>
        <v>Y</v>
      </c>
      <c r="C75" s="1"/>
      <c r="D75" s="68">
        <f t="shared" si="1"/>
        <v>68</v>
      </c>
      <c r="E75" s="2"/>
      <c r="F75" s="78">
        <v>68</v>
      </c>
      <c r="G75" s="110" t="str">
        <f t="array" ref="G75">IF(ISNUMBER(AC75),INDEX('All Player Data Store'!$C$7:$C$594,SMALL(IF('All Player Data Store'!$Y$7:$Y$594=AC75,ROW('All Player Data Store'!$Y$7:$Y$594)-ROW('All Player Data Store'!$Y$7)+1),COUNTIF($AC$8:AC75,AC75))),"")</f>
        <v>Nigel Edwards</v>
      </c>
      <c r="H75" s="111" t="str">
        <f t="array" ref="H75">IF(ISNUMBER(AC75),INDEX('All Player Data Store'!$D$7:$D$594,SMALL(IF('All Player Data Store'!$Y$7:$Y$594=AC75,ROW('All Player Data Store'!$Y$7:$Y$594)-ROW('All Player Data Store'!$Y$7)+1),COUNTIF($AC$8:AC75,AC75))),"")</f>
        <v>Sha</v>
      </c>
      <c r="I75" s="69">
        <f t="array" ref="I75">IF(ISNUMBER(AC75),INDEX('All Player Data Store'!$E$7:$E$594,SMALL(IF('All Player Data Store'!$Y$7:$Y$594=AC75,ROW('All Player Data Store'!$Y$7:$Y$594)-ROW('All Player Data Store'!$Y$7)+1),COUNTIF($AC$8:AC75,AC75))),"")</f>
        <v>12</v>
      </c>
      <c r="J75" s="70">
        <f t="array" ref="J75">IF(ISNUMBER(AC75),INDEX('All Player Data Store'!$F$7:$F$594,SMALL(IF('All Player Data Store'!$Y$7:$Y$594=AC75,ROW('All Player Data Store'!$Y$7:$Y$594)-ROW('All Player Data Store'!$Y$7)+1),COUNTIF($AC$8:AC75,AC75))),"")</f>
        <v>5</v>
      </c>
      <c r="K75" s="112">
        <f t="array" ref="K75">IF(ISNUMBER(AC75),INDEX('All Player Data Store'!$G$7:$G$594,SMALL(IF('All Player Data Store'!$Y$7:$Y$594=AC75,ROW('All Player Data Store'!$Y$7:$Y$594)-ROW('All Player Data Store'!$Y$7)+1),COUNTIF($AC$8:AC75,AC75))),"")</f>
        <v>7</v>
      </c>
      <c r="L75" s="112">
        <f t="array" ref="L75">IF(ISNUMBER(AC75),INDEX('All Player Data Store'!$H$7:$H$594,SMALL(IF('All Player Data Store'!$Y$7:$Y$594=AC75,ROW('All Player Data Store'!$Y$7:$Y$594)-ROW('All Player Data Store'!$Y$7)+1),COUNTIF($AC$8:AC75,AC75))),"")</f>
        <v>31</v>
      </c>
      <c r="M75" s="113">
        <f t="array" ref="M75">IF(ISNUMBER(AC75),INDEX('All Player Data Store'!$I$7:$I$594,SMALL(IF('All Player Data Store'!$Y$7:$Y$594=AC75,ROW('All Player Data Store'!$Y$7:$Y$594)-ROW('All Player Data Store'!$Y$7)+1),COUNTIF($AC$8:AC75,AC75))),"")</f>
        <v>37</v>
      </c>
      <c r="N75" s="114">
        <f t="array" ref="N75">IF(ISNUMBER(AC75),INDEX('All Player Data Store'!$J$7:$J$594,SMALL(IF('All Player Data Store'!$Y$7:$Y$594=AC75,ROW('All Player Data Store'!$Y$7:$Y$594)-ROW('All Player Data Store'!$Y$7)+1),COUNTIF($AC$8:AC75,AC75))),"")</f>
        <v>20.23</v>
      </c>
      <c r="O75" s="108">
        <f t="array" ref="O75">IF(ISNUMBER(AC75),INDEX('All Player Data Store'!$K$7:$K$594,SMALL(IF('All Player Data Store'!$Y$7:$Y$594=AC75,ROW('All Player Data Store'!$Y$7:$Y$594)-ROW('All Player Data Store'!$Y$7)+1),COUNTIF($AC$8:AC75,AC75))),"")</f>
        <v>21.29</v>
      </c>
      <c r="P75" s="108">
        <f t="array" ref="P75">IF(ISNUMBER(AC75),INDEX('All Player Data Store'!$L$7:$L$594,SMALL(IF('All Player Data Store'!$Y$7:$Y$594=AC75,ROW('All Player Data Store'!$Y$7:$Y$594)-ROW('All Player Data Store'!$Y$7)+1),COUNTIF($AC$8:AC75,AC75))),"")</f>
        <v>19.93</v>
      </c>
      <c r="Q75" s="108">
        <f t="array" ref="Q75">IF(ISNUMBER(AC75),INDEX('All Player Data Store'!$M$7:$M$594,SMALL(IF('All Player Data Store'!$Y$7:$Y$594=AC75,ROW('All Player Data Store'!$Y$7:$Y$594)-ROW('All Player Data Store'!$Y$7)+1),COUNTIF($AC$8:AC75,AC75))),"")</f>
        <v>19.02</v>
      </c>
      <c r="R75" s="108" t="str">
        <f t="array" ref="R75">IF(ISNUMBER(AC75),INDEX('All Player Data Store'!$N$7:$N$594,SMALL(IF('All Player Data Store'!$Y$7:$Y$594=AC75,ROW('All Player Data Store'!$Y$7:$Y$594)-ROW('All Player Data Store'!$Y$7)+1),COUNTIF($AC$8:AC75,AC75))),"")</f>
        <v/>
      </c>
      <c r="S75" s="108">
        <f t="array" ref="S75">IF(ISNUMBER(AC75),INDEX('All Player Data Store'!$O$7:$O$594,SMALL(IF('All Player Data Store'!$Y$7:$Y$594=AC75,ROW('All Player Data Store'!$Y$7:$Y$594)-ROW('All Player Data Store'!$Y$7)+1),COUNTIF($AC$8:AC75,AC75))),"")</f>
        <v>21.98</v>
      </c>
      <c r="T75" s="108">
        <f t="array" ref="T75">IF(ISNUMBER(AC75),INDEX('All Player Data Store'!$P$7:$P$594,SMALL(IF('All Player Data Store'!$Y$7:$Y$594=AC75,ROW('All Player Data Store'!$Y$7:$Y$594)-ROW('All Player Data Store'!$Y$7)+1),COUNTIF($AC$8:AC75,AC75))),"")</f>
        <v>21.88</v>
      </c>
      <c r="U75" s="108">
        <f t="array" ref="U75">IF(ISNUMBER(AC75),INDEX('All Player Data Store'!$Q$7:$Q$594,SMALL(IF('All Player Data Store'!$Y$7:$Y$594=AC75,ROW('All Player Data Store'!$Y$7:$Y$594)-ROW('All Player Data Store'!$Y$7)+1),COUNTIF($AC$8:AC75,AC75))),"")</f>
        <v>23.41</v>
      </c>
      <c r="V75" s="108">
        <f t="array" ref="V75">IF(ISNUMBER(AC75),INDEX('All Player Data Store'!$R$7:$R$594,SMALL(IF('All Player Data Store'!$Y$7:$Y$594=AC75,ROW('All Player Data Store'!$Y$7:$Y$594)-ROW('All Player Data Store'!$Y$7)+1),COUNTIF($AC$8:AC75,AC75))),"")</f>
        <v>22.24</v>
      </c>
      <c r="W75" s="108">
        <f t="array" ref="W75">IF(ISNUMBER(AC75),INDEX('All Player Data Store'!$S$7:$S$594,SMALL(IF('All Player Data Store'!$Y$7:$Y$594=AC75,ROW('All Player Data Store'!$Y$7:$Y$594)-ROW('All Player Data Store'!$Y$7)+1),COUNTIF($AC$8:AC75,AC75))),"")</f>
        <v>21.48</v>
      </c>
      <c r="X75" s="108">
        <f t="array" ref="X75">IF(ISNUMBER(AC75),INDEX('All Player Data Store'!$T$7:$T$594,SMALL(IF('All Player Data Store'!$Y$7:$Y$594=AC75,ROW('All Player Data Store'!$Y$7:$Y$594)-ROW('All Player Data Store'!$Y$7)+1),COUNTIF($AC$8:AC75,AC75))),"")</f>
        <v>17.95</v>
      </c>
      <c r="Y75" s="108">
        <f t="array" ref="Y75">IF(ISNUMBER(AC75),INDEX('All Player Data Store'!$U$7:$U$594,SMALL(IF('All Player Data Store'!$Y$7:$Y$594=AC75,ROW('All Player Data Store'!$Y$7:$Y$594)-ROW('All Player Data Store'!$Y$7)+1),COUNTIF($AC$8:AC75,AC75))),"")</f>
        <v>21.11</v>
      </c>
      <c r="Z75" s="108">
        <f t="array" ref="Z75">IF(ISNUMBER(AC75),INDEX('All Player Data Store'!$V$7:$V$594,SMALL(IF('All Player Data Store'!$Y$7:$Y$594=AC75,ROW('All Player Data Store'!$Y$7:$Y$594)-ROW('All Player Data Store'!$Y$7)+1),COUNTIF($AC$8:AC75,AC75))),"")</f>
        <v>24.35</v>
      </c>
      <c r="AA75" s="112">
        <f t="array" ref="AA75">IF(ISNUMBER(AC75),INDEX('All Player Data Store'!$W$7:$W$594,SMALL(IF('All Player Data Store'!$Y$7:$Y$594=AC75,ROW('All Player Data Store'!$Y$7:$Y$594)-ROW('All Player Data Store'!$Y$7)+1),COUNTIF($AC$8:AC75,AC75))),"")</f>
        <v>8</v>
      </c>
      <c r="AB75" s="108">
        <f t="array" ref="AB75">IF(ISNUMBER(AC75),INDEX('All Player Data Store'!$X$7:$X$594,SMALL(IF('All Player Data Store'!$Y$7:$Y$594=AC75,ROW('All Player Data Store'!$Y$7:$Y$594)-ROW('All Player Data Store'!$Y$7)+1),COUNTIF($AC$8:AC75,AC75))),"")</f>
        <v>21.239166666666666</v>
      </c>
      <c r="AC75" s="115">
        <f>IF(ISERROR(IF(ISERROR(LARGE('All Player Data Store'!$Y$7:$Y$594,68)),"",(LARGE('All Player Data Store'!$Y$7:$Y$594,68)))),"",(IF(ISERROR(LARGE('All Player Data Store'!$Y$7:$Y$594,68)),"",(LARGE('All Player Data Store'!$Y$7:$Y$594,68)))))</f>
        <v>26.239166666666666</v>
      </c>
      <c r="AD75" s="106">
        <f t="shared" si="2"/>
        <v>3</v>
      </c>
      <c r="AE75" s="107" t="str">
        <f t="array" ref="AE75">IF(ISNUMBER(AC75),INDEX('All Player Data Store'!$J$8:$J$594,SMALL(IF('All Player Data Store'!$Y$7:$Y$594=AC75,ROW('All Player Data Store'!$Y$7:$Y$594)-ROW('All Player Data Store'!$Y$7)+1),COUNTIF($AC$8:AC75,AC75))),"")</f>
        <v>0*4(1)</v>
      </c>
      <c r="AF75" s="108">
        <f t="shared" si="3"/>
        <v>20.23</v>
      </c>
      <c r="AG75" s="108" t="str">
        <f t="array" ref="AG75">IF(ISNUMBER(AC75),INDEX('All Player Data Store'!$K$8:$K$594,SMALL(IF('All Player Data Store'!$Y$7:$Y$594=AC75,ROW('All Player Data Store'!$Y$7:$Y$594)-ROW('All Player Data Store'!$Y$7)+1),COUNTIF($AC$8:AC75,AC75))),"")</f>
        <v>1*4</v>
      </c>
      <c r="AH75" s="108">
        <f t="shared" si="4"/>
        <v>21.29</v>
      </c>
      <c r="AI75" s="108" t="str">
        <f t="array" ref="AI75">IF(ISNUMBER(AC75),INDEX('All Player Data Store'!$L$8:$L$594,SMALL(IF('All Player Data Store'!$Y$7:$Y$594=AC75,ROW('All Player Data Store'!$Y$7:$Y$594)-ROW('All Player Data Store'!$Y$7)+1),COUNTIF($AC$8:AC75,AC75))),"")</f>
        <v>1*4</v>
      </c>
      <c r="AJ75" s="108">
        <f t="shared" si="5"/>
        <v>19.93</v>
      </c>
      <c r="AK75" s="108" t="str">
        <f t="array" ref="AK75">IF(ISNUMBER(AC75),INDEX('All Player Data Store'!$M$8:$M$594,SMALL(IF('All Player Data Store'!$Y$7:$Y$594=AC75,ROW('All Player Data Store'!$Y$7:$Y$594)-ROW('All Player Data Store'!$Y$7)+1),COUNTIF($AC$8:AC75,AC75))),"")</f>
        <v>4*1(1)</v>
      </c>
      <c r="AL75" s="108">
        <f t="shared" si="6"/>
        <v>20.02</v>
      </c>
      <c r="AM75" s="108" t="str">
        <f t="array" ref="AM75">IF(ISNUMBER(AC75),INDEX('All Player Data Store'!$N$8:$N$594,SMALL(IF('All Player Data Store'!$Y$7:$Y$594=AC75,ROW('All Player Data Store'!$Y$7:$Y$594)-ROW('All Player Data Store'!$Y$7)+1),COUNTIF($AC$8:AC75,AC75))),"")</f>
        <v/>
      </c>
      <c r="AN75" s="108" t="str">
        <f t="shared" si="7"/>
        <v/>
      </c>
      <c r="AO75" s="108" t="str">
        <f t="array" ref="AO75">IF(ISNUMBER(AC75),INDEX('All Player Data Store'!$O$8:$O$594,SMALL(IF('All Player Data Store'!$Y$7:$Y$594=AC75,ROW('All Player Data Store'!$Y$7:$Y$594)-ROW('All Player Data Store'!$Y$7)+1),COUNTIF($AC$8:AC75,AC75))),"")</f>
        <v>4*2(1)</v>
      </c>
      <c r="AP75" s="108">
        <f t="shared" si="8"/>
        <v>22.98</v>
      </c>
      <c r="AQ75" s="108" t="str">
        <f t="array" ref="AQ75">IF(ISNUMBER(AC75),INDEX('All Player Data Store'!$P$8:$P$594,SMALL(IF('All Player Data Store'!$Y$7:$Y$594=AC75,ROW('All Player Data Store'!$Y$7:$Y$594)-ROW('All Player Data Store'!$Y$7)+1),COUNTIF($AC$8:AC75,AC75))),"")</f>
        <v>3*4(1)</v>
      </c>
      <c r="AR75" s="108">
        <f t="shared" si="9"/>
        <v>21.88</v>
      </c>
      <c r="AS75" s="108" t="str">
        <f t="array" ref="AS75">IF(ISNUMBER(AC75),INDEX('All Player Data Store'!$Q$8:$Q$594,SMALL(IF('All Player Data Store'!$Y$7:$Y$594=AC75,ROW('All Player Data Store'!$Y$7:$Y$594)-ROW('All Player Data Store'!$Y$7)+1),COUNTIF($AC$8:AC75,AC75))),"")</f>
        <v>4*1(1)</v>
      </c>
      <c r="AT75" s="108">
        <f t="shared" si="10"/>
        <v>24.41</v>
      </c>
      <c r="AU75" s="108" t="str">
        <f t="array" ref="AU75">IF(ISNUMBER(AC75),INDEX('All Player Data Store'!$R$8:$R$594,SMALL(IF('All Player Data Store'!$Y$7:$Y$594=AC75,ROW('All Player Data Store'!$Y$7:$Y$594)-ROW('All Player Data Store'!$Y$7)+1),COUNTIF($AC$8:AC75,AC75))),"")</f>
        <v>4*2(1)</v>
      </c>
      <c r="AV75" s="108">
        <f t="shared" si="11"/>
        <v>23.24</v>
      </c>
      <c r="AW75" s="108" t="str">
        <f t="array" ref="AW75">IF(ISNUMBER(AC75),INDEX('All Player Data Store'!$S$8:$S$594,SMALL(IF('All Player Data Store'!$Y$7:$Y$594=AC75,ROW('All Player Data Store'!$Y$7:$Y$594)-ROW('All Player Data Store'!$Y$7)+1),COUNTIF($AC$8:AC75,AC75))),"")</f>
        <v>3*4</v>
      </c>
      <c r="AX75" s="108">
        <f t="shared" si="12"/>
        <v>21.48</v>
      </c>
      <c r="AY75" s="108" t="str">
        <f t="array" ref="AY75">IF(ISNUMBER(AC75),INDEX('All Player Data Store'!$T$8:$T$594,SMALL(IF('All Player Data Store'!$Y$7:$Y$594=AC75,ROW('All Player Data Store'!$Y$7:$Y$594)-ROW('All Player Data Store'!$Y$7)+1),COUNTIF($AC$8:AC75,AC75))),"")</f>
        <v>0*4</v>
      </c>
      <c r="AZ75" s="108">
        <f t="shared" si="13"/>
        <v>17.95</v>
      </c>
      <c r="BA75" s="108" t="str">
        <f t="array" ref="BA75">IF(ISNUMBER(AC75),INDEX('All Player Data Store'!$U$8:$U$594,SMALL(IF('All Player Data Store'!$Y$7:$Y$594=AC75,ROW('All Player Data Store'!$Y$7:$Y$594)-ROW('All Player Data Store'!$Y$7)+1),COUNTIF($AC$8:AC75,AC75))),"")</f>
        <v>4*3(1)</v>
      </c>
      <c r="BB75" s="108">
        <f t="shared" si="14"/>
        <v>22.11</v>
      </c>
      <c r="BC75" s="108" t="str">
        <f t="array" ref="BC75">IF(ISNUMBER(AC75),INDEX('All Player Data Store'!$V$8:$V$594,SMALL(IF('All Player Data Store'!$Y$7:$Y$594=AC75,ROW('All Player Data Store'!$Y$7:$Y$594)-ROW('All Player Data Store'!$Y$7)+1),COUNTIF($AC$8:AC75,AC75))),"")</f>
        <v>3*4(1)</v>
      </c>
      <c r="BD75" s="108">
        <f t="shared" si="15"/>
        <v>24.35</v>
      </c>
      <c r="BE75" s="1"/>
    </row>
    <row r="76" spans="2:57" ht="12" customHeight="1" x14ac:dyDescent="0.2">
      <c r="B76" s="98" t="str">
        <f t="shared" si="0"/>
        <v>Y</v>
      </c>
      <c r="C76" s="1"/>
      <c r="D76" s="68">
        <f t="shared" si="1"/>
        <v>69</v>
      </c>
      <c r="E76" s="2"/>
      <c r="F76" s="78">
        <v>69</v>
      </c>
      <c r="G76" s="110" t="str">
        <f t="array" ref="G76">IF(ISNUMBER(AC76),INDEX('All Player Data Store'!$C$7:$C$594,SMALL(IF('All Player Data Store'!$Y$7:$Y$594=AC76,ROW('All Player Data Store'!$Y$7:$Y$594)-ROW('All Player Data Store'!$Y$7)+1),COUNTIF($AC$8:AC76,AC76))),"")</f>
        <v>Terry Gowans</v>
      </c>
      <c r="H76" s="111" t="str">
        <f t="array" ref="H76">IF(ISNUMBER(AC76),INDEX('All Player Data Store'!$D$7:$D$594,SMALL(IF('All Player Data Store'!$Y$7:$Y$594=AC76,ROW('All Player Data Store'!$Y$7:$Y$594)-ROW('All Player Data Store'!$Y$7)+1),COUNTIF($AC$8:AC76,AC76))),"")</f>
        <v>Wey</v>
      </c>
      <c r="I76" s="69">
        <f t="array" ref="I76">IF(ISNUMBER(AC76),INDEX('All Player Data Store'!$E$7:$E$594,SMALL(IF('All Player Data Store'!$Y$7:$Y$594=AC76,ROW('All Player Data Store'!$Y$7:$Y$594)-ROW('All Player Data Store'!$Y$7)+1),COUNTIF($AC$8:AC76,AC76))),"")</f>
        <v>13</v>
      </c>
      <c r="J76" s="70">
        <f t="array" ref="J76">IF(ISNUMBER(AC76),INDEX('All Player Data Store'!$F$7:$F$594,SMALL(IF('All Player Data Store'!$Y$7:$Y$594=AC76,ROW('All Player Data Store'!$Y$7:$Y$594)-ROW('All Player Data Store'!$Y$7)+1),COUNTIF($AC$8:AC76,AC76))),"")</f>
        <v>5</v>
      </c>
      <c r="K76" s="112">
        <f t="array" ref="K76">IF(ISNUMBER(AC76),INDEX('All Player Data Store'!$G$7:$G$594,SMALL(IF('All Player Data Store'!$Y$7:$Y$594=AC76,ROW('All Player Data Store'!$Y$7:$Y$594)-ROW('All Player Data Store'!$Y$7)+1),COUNTIF($AC$8:AC76,AC76))),"")</f>
        <v>8</v>
      </c>
      <c r="L76" s="112">
        <f t="array" ref="L76">IF(ISNUMBER(AC76),INDEX('All Player Data Store'!$H$7:$H$594,SMALL(IF('All Player Data Store'!$Y$7:$Y$594=AC76,ROW('All Player Data Store'!$Y$7:$Y$594)-ROW('All Player Data Store'!$Y$7)+1),COUNTIF($AC$8:AC76,AC76))),"")</f>
        <v>34</v>
      </c>
      <c r="M76" s="113">
        <f t="array" ref="M76">IF(ISNUMBER(AC76),INDEX('All Player Data Store'!$I$7:$I$594,SMALL(IF('All Player Data Store'!$Y$7:$Y$594=AC76,ROW('All Player Data Store'!$Y$7:$Y$594)-ROW('All Player Data Store'!$Y$7)+1),COUNTIF($AC$8:AC76,AC76))),"")</f>
        <v>37</v>
      </c>
      <c r="N76" s="114">
        <f t="array" ref="N76">IF(ISNUMBER(AC76),INDEX('All Player Data Store'!$J$7:$J$594,SMALL(IF('All Player Data Store'!$Y$7:$Y$594=AC76,ROW('All Player Data Store'!$Y$7:$Y$594)-ROW('All Player Data Store'!$Y$7)+1),COUNTIF($AC$8:AC76,AC76))),"")</f>
        <v>20.75</v>
      </c>
      <c r="O76" s="108">
        <f t="array" ref="O76">IF(ISNUMBER(AC76),INDEX('All Player Data Store'!$K$7:$K$594,SMALL(IF('All Player Data Store'!$Y$7:$Y$594=AC76,ROW('All Player Data Store'!$Y$7:$Y$594)-ROW('All Player Data Store'!$Y$7)+1),COUNTIF($AC$8:AC76,AC76))),"")</f>
        <v>20.83</v>
      </c>
      <c r="P76" s="108">
        <f t="array" ref="P76">IF(ISNUMBER(AC76),INDEX('All Player Data Store'!$L$7:$L$594,SMALL(IF('All Player Data Store'!$Y$7:$Y$594=AC76,ROW('All Player Data Store'!$Y$7:$Y$594)-ROW('All Player Data Store'!$Y$7)+1),COUNTIF($AC$8:AC76,AC76))),"")</f>
        <v>22.08</v>
      </c>
      <c r="Q76" s="108">
        <f t="array" ref="Q76">IF(ISNUMBER(AC76),INDEX('All Player Data Store'!$M$7:$M$594,SMALL(IF('All Player Data Store'!$Y$7:$Y$594=AC76,ROW('All Player Data Store'!$Y$7:$Y$594)-ROW('All Player Data Store'!$Y$7)+1),COUNTIF($AC$8:AC76,AC76))),"")</f>
        <v>17.18</v>
      </c>
      <c r="R76" s="108">
        <f t="array" ref="R76">IF(ISNUMBER(AC76),INDEX('All Player Data Store'!$N$7:$N$594,SMALL(IF('All Player Data Store'!$Y$7:$Y$594=AC76,ROW('All Player Data Store'!$Y$7:$Y$594)-ROW('All Player Data Store'!$Y$7)+1),COUNTIF($AC$8:AC76,AC76))),"")</f>
        <v>20.5</v>
      </c>
      <c r="S76" s="108">
        <f t="array" ref="S76">IF(ISNUMBER(AC76),INDEX('All Player Data Store'!$O$7:$O$594,SMALL(IF('All Player Data Store'!$Y$7:$Y$594=AC76,ROW('All Player Data Store'!$Y$7:$Y$594)-ROW('All Player Data Store'!$Y$7)+1),COUNTIF($AC$8:AC76,AC76))),"")</f>
        <v>21.02</v>
      </c>
      <c r="T76" s="108">
        <f t="array" ref="T76">IF(ISNUMBER(AC76),INDEX('All Player Data Store'!$P$7:$P$594,SMALL(IF('All Player Data Store'!$Y$7:$Y$594=AC76,ROW('All Player Data Store'!$Y$7:$Y$594)-ROW('All Player Data Store'!$Y$7)+1),COUNTIF($AC$8:AC76,AC76))),"")</f>
        <v>20.3</v>
      </c>
      <c r="U76" s="108">
        <f t="array" ref="U76">IF(ISNUMBER(AC76),INDEX('All Player Data Store'!$Q$7:$Q$594,SMALL(IF('All Player Data Store'!$Y$7:$Y$594=AC76,ROW('All Player Data Store'!$Y$7:$Y$594)-ROW('All Player Data Store'!$Y$7)+1),COUNTIF($AC$8:AC76,AC76))),"")</f>
        <v>23.06</v>
      </c>
      <c r="V76" s="108">
        <f t="array" ref="V76">IF(ISNUMBER(AC76),INDEX('All Player Data Store'!$R$7:$R$594,SMALL(IF('All Player Data Store'!$Y$7:$Y$594=AC76,ROW('All Player Data Store'!$Y$7:$Y$594)-ROW('All Player Data Store'!$Y$7)+1),COUNTIF($AC$8:AC76,AC76))),"")</f>
        <v>23.86</v>
      </c>
      <c r="W76" s="108">
        <f t="array" ref="W76">IF(ISNUMBER(AC76),INDEX('All Player Data Store'!$S$7:$S$594,SMALL(IF('All Player Data Store'!$Y$7:$Y$594=AC76,ROW('All Player Data Store'!$Y$7:$Y$594)-ROW('All Player Data Store'!$Y$7)+1),COUNTIF($AC$8:AC76,AC76))),"")</f>
        <v>22.78</v>
      </c>
      <c r="X76" s="108">
        <f t="array" ref="X76">IF(ISNUMBER(AC76),INDEX('All Player Data Store'!$T$7:$T$594,SMALL(IF('All Player Data Store'!$Y$7:$Y$594=AC76,ROW('All Player Data Store'!$Y$7:$Y$594)-ROW('All Player Data Store'!$Y$7)+1),COUNTIF($AC$8:AC76,AC76))),"")</f>
        <v>20.51</v>
      </c>
      <c r="Y76" s="108">
        <f t="array" ref="Y76">IF(ISNUMBER(AC76),INDEX('All Player Data Store'!$U$7:$U$594,SMALL(IF('All Player Data Store'!$Y$7:$Y$594=AC76,ROW('All Player Data Store'!$Y$7:$Y$594)-ROW('All Player Data Store'!$Y$7)+1),COUNTIF($AC$8:AC76,AC76))),"")</f>
        <v>21.77</v>
      </c>
      <c r="Z76" s="108">
        <f t="array" ref="Z76">IF(ISNUMBER(AC76),INDEX('All Player Data Store'!$V$7:$V$594,SMALL(IF('All Player Data Store'!$Y$7:$Y$594=AC76,ROW('All Player Data Store'!$Y$7:$Y$594)-ROW('All Player Data Store'!$Y$7)+1),COUNTIF($AC$8:AC76,AC76))),"")</f>
        <v>21.32</v>
      </c>
      <c r="AA76" s="112">
        <f t="array" ref="AA76">IF(ISNUMBER(AC76),INDEX('All Player Data Store'!$W$7:$W$594,SMALL(IF('All Player Data Store'!$Y$7:$Y$594=AC76,ROW('All Player Data Store'!$Y$7:$Y$594)-ROW('All Player Data Store'!$Y$7)+1),COUNTIF($AC$8:AC76,AC76))),"")</f>
        <v>2</v>
      </c>
      <c r="AB76" s="108">
        <f t="array" ref="AB76">IF(ISNUMBER(AC76),INDEX('All Player Data Store'!$X$7:$X$594,SMALL(IF('All Player Data Store'!$Y$7:$Y$594=AC76,ROW('All Player Data Store'!$Y$7:$Y$594)-ROW('All Player Data Store'!$Y$7)+1),COUNTIF($AC$8:AC76,AC76))),"")</f>
        <v>21.227692307692305</v>
      </c>
      <c r="AC76" s="115">
        <f>IF(ISERROR(IF(ISERROR(LARGE('All Player Data Store'!$Y$7:$Y$594,69)),"",(LARGE('All Player Data Store'!$Y$7:$Y$594,69)))),"",(IF(ISERROR(LARGE('All Player Data Store'!$Y$7:$Y$594,69)),"",(LARGE('All Player Data Store'!$Y$7:$Y$594,69)))))</f>
        <v>26.227692307692305</v>
      </c>
      <c r="AD76" s="106">
        <f t="shared" si="2"/>
        <v>3</v>
      </c>
      <c r="AE76" s="107" t="str">
        <f t="array" ref="AE76">IF(ISNUMBER(AC76),INDEX('All Player Data Store'!$J$8:$J$594,SMALL(IF('All Player Data Store'!$Y$7:$Y$594=AC76,ROW('All Player Data Store'!$Y$7:$Y$594)-ROW('All Player Data Store'!$Y$7)+1),COUNTIF($AC$8:AC76,AC76))),"")</f>
        <v>0*4</v>
      </c>
      <c r="AF76" s="108">
        <f t="shared" si="3"/>
        <v>20.75</v>
      </c>
      <c r="AG76" s="108" t="str">
        <f t="array" ref="AG76">IF(ISNUMBER(AC76),INDEX('All Player Data Store'!$K$8:$K$594,SMALL(IF('All Player Data Store'!$Y$7:$Y$594=AC76,ROW('All Player Data Store'!$Y$7:$Y$594)-ROW('All Player Data Store'!$Y$7)+1),COUNTIF($AC$8:AC76,AC76))),"")</f>
        <v>2*4</v>
      </c>
      <c r="AH76" s="108">
        <f t="shared" si="4"/>
        <v>20.83</v>
      </c>
      <c r="AI76" s="108" t="str">
        <f t="array" ref="AI76">IF(ISNUMBER(AC76),INDEX('All Player Data Store'!$L$8:$L$594,SMALL(IF('All Player Data Store'!$Y$7:$Y$594=AC76,ROW('All Player Data Store'!$Y$7:$Y$594)-ROW('All Player Data Store'!$Y$7)+1),COUNTIF($AC$8:AC76,AC76))),"")</f>
        <v>4*1</v>
      </c>
      <c r="AJ76" s="108">
        <f t="shared" si="5"/>
        <v>23.08</v>
      </c>
      <c r="AK76" s="108" t="str">
        <f t="array" ref="AK76">IF(ISNUMBER(AC76),INDEX('All Player Data Store'!$M$8:$M$594,SMALL(IF('All Player Data Store'!$Y$7:$Y$594=AC76,ROW('All Player Data Store'!$Y$7:$Y$594)-ROW('All Player Data Store'!$Y$7)+1),COUNTIF($AC$8:AC76,AC76))),"")</f>
        <v>4*1</v>
      </c>
      <c r="AL76" s="108">
        <f t="shared" si="6"/>
        <v>18.18</v>
      </c>
      <c r="AM76" s="108" t="str">
        <f t="array" ref="AM76">IF(ISNUMBER(AC76),INDEX('All Player Data Store'!$N$8:$N$594,SMALL(IF('All Player Data Store'!$Y$7:$Y$594=AC76,ROW('All Player Data Store'!$Y$7:$Y$594)-ROW('All Player Data Store'!$Y$7)+1),COUNTIF($AC$8:AC76,AC76))),"")</f>
        <v>4*3(1)</v>
      </c>
      <c r="AN76" s="108">
        <f t="shared" si="7"/>
        <v>21.5</v>
      </c>
      <c r="AO76" s="108" t="str">
        <f t="array" ref="AO76">IF(ISNUMBER(AC76),INDEX('All Player Data Store'!$O$8:$O$594,SMALL(IF('All Player Data Store'!$Y$7:$Y$594=AC76,ROW('All Player Data Store'!$Y$7:$Y$594)-ROW('All Player Data Store'!$Y$7)+1),COUNTIF($AC$8:AC76,AC76))),"")</f>
        <v>2*4</v>
      </c>
      <c r="AP76" s="108">
        <f t="shared" si="8"/>
        <v>21.02</v>
      </c>
      <c r="AQ76" s="108" t="str">
        <f t="array" ref="AQ76">IF(ISNUMBER(AC76),INDEX('All Player Data Store'!$P$8:$P$594,SMALL(IF('All Player Data Store'!$Y$7:$Y$594=AC76,ROW('All Player Data Store'!$Y$7:$Y$594)-ROW('All Player Data Store'!$Y$7)+1),COUNTIF($AC$8:AC76,AC76))),"")</f>
        <v>2*4</v>
      </c>
      <c r="AR76" s="108">
        <f t="shared" si="9"/>
        <v>20.3</v>
      </c>
      <c r="AS76" s="108" t="str">
        <f t="array" ref="AS76">IF(ISNUMBER(AC76),INDEX('All Player Data Store'!$Q$8:$Q$594,SMALL(IF('All Player Data Store'!$Y$7:$Y$594=AC76,ROW('All Player Data Store'!$Y$7:$Y$594)-ROW('All Player Data Store'!$Y$7)+1),COUNTIF($AC$8:AC76,AC76))),"")</f>
        <v>2*4</v>
      </c>
      <c r="AT76" s="108">
        <f t="shared" si="10"/>
        <v>23.06</v>
      </c>
      <c r="AU76" s="108" t="str">
        <f t="array" ref="AU76">IF(ISNUMBER(AC76),INDEX('All Player Data Store'!$R$8:$R$594,SMALL(IF('All Player Data Store'!$Y$7:$Y$594=AC76,ROW('All Player Data Store'!$Y$7:$Y$594)-ROW('All Player Data Store'!$Y$7)+1),COUNTIF($AC$8:AC76,AC76))),"")</f>
        <v>4*0</v>
      </c>
      <c r="AV76" s="108">
        <f t="shared" si="11"/>
        <v>24.86</v>
      </c>
      <c r="AW76" s="108" t="str">
        <f t="array" ref="AW76">IF(ISNUMBER(AC76),INDEX('All Player Data Store'!$S$8:$S$594,SMALL(IF('All Player Data Store'!$Y$7:$Y$594=AC76,ROW('All Player Data Store'!$Y$7:$Y$594)-ROW('All Player Data Store'!$Y$7)+1),COUNTIF($AC$8:AC76,AC76))),"")</f>
        <v>2*4</v>
      </c>
      <c r="AX76" s="108">
        <f t="shared" si="12"/>
        <v>22.78</v>
      </c>
      <c r="AY76" s="108" t="str">
        <f t="array" ref="AY76">IF(ISNUMBER(AC76),INDEX('All Player Data Store'!$T$8:$T$594,SMALL(IF('All Player Data Store'!$Y$7:$Y$594=AC76,ROW('All Player Data Store'!$Y$7:$Y$594)-ROW('All Player Data Store'!$Y$7)+1),COUNTIF($AC$8:AC76,AC76))),"")</f>
        <v>2*4(1)</v>
      </c>
      <c r="AZ76" s="108">
        <f t="shared" si="13"/>
        <v>20.51</v>
      </c>
      <c r="BA76" s="108" t="str">
        <f t="array" ref="BA76">IF(ISNUMBER(AC76),INDEX('All Player Data Store'!$U$8:$U$594,SMALL(IF('All Player Data Store'!$Y$7:$Y$594=AC76,ROW('All Player Data Store'!$Y$7:$Y$594)-ROW('All Player Data Store'!$Y$7)+1),COUNTIF($AC$8:AC76,AC76))),"")</f>
        <v>2*4</v>
      </c>
      <c r="BB76" s="108">
        <f t="shared" si="14"/>
        <v>21.77</v>
      </c>
      <c r="BC76" s="108" t="str">
        <f t="array" ref="BC76">IF(ISNUMBER(AC76),INDEX('All Player Data Store'!$V$8:$V$594,SMALL(IF('All Player Data Store'!$Y$7:$Y$594=AC76,ROW('All Player Data Store'!$Y$7:$Y$594)-ROW('All Player Data Store'!$Y$7)+1),COUNTIF($AC$8:AC76,AC76))),"")</f>
        <v>4*0</v>
      </c>
      <c r="BD76" s="108">
        <f t="shared" si="15"/>
        <v>22.32</v>
      </c>
      <c r="BE76" s="1"/>
    </row>
    <row r="77" spans="2:57" ht="12" customHeight="1" x14ac:dyDescent="0.2">
      <c r="B77" s="98" t="str">
        <f t="shared" si="0"/>
        <v>Y</v>
      </c>
      <c r="C77" s="1"/>
      <c r="D77" s="68">
        <f t="shared" si="1"/>
        <v>70</v>
      </c>
      <c r="E77" s="2"/>
      <c r="F77" s="78">
        <v>70</v>
      </c>
      <c r="G77" s="110" t="str">
        <f t="array" ref="G77">IF(ISNUMBER(AC77),INDEX('All Player Data Store'!$C$7:$C$594,SMALL(IF('All Player Data Store'!$Y$7:$Y$594=AC77,ROW('All Player Data Store'!$Y$7:$Y$594)-ROW('All Player Data Store'!$Y$7)+1),COUNTIF($AC$8:AC77,AC77))),"")</f>
        <v>Steve Smith</v>
      </c>
      <c r="H77" s="111" t="str">
        <f t="array" ref="H77">IF(ISNUMBER(AC77),INDEX('All Player Data Store'!$D$7:$D$594,SMALL(IF('All Player Data Store'!$Y$7:$Y$594=AC77,ROW('All Player Data Store'!$Y$7:$Y$594)-ROW('All Player Data Store'!$Y$7)+1),COUNTIF($AC$8:AC77,AC77))),"")</f>
        <v>Bri</v>
      </c>
      <c r="I77" s="69">
        <f t="array" ref="I77">IF(ISNUMBER(AC77),INDEX('All Player Data Store'!$E$7:$E$594,SMALL(IF('All Player Data Store'!$Y$7:$Y$594=AC77,ROW('All Player Data Store'!$Y$7:$Y$594)-ROW('All Player Data Store'!$Y$7)+1),COUNTIF($AC$8:AC77,AC77))),"")</f>
        <v>10</v>
      </c>
      <c r="J77" s="70">
        <f t="array" ref="J77">IF(ISNUMBER(AC77),INDEX('All Player Data Store'!$F$7:$F$594,SMALL(IF('All Player Data Store'!$Y$7:$Y$594=AC77,ROW('All Player Data Store'!$Y$7:$Y$594)-ROW('All Player Data Store'!$Y$7)+1),COUNTIF($AC$8:AC77,AC77))),"")</f>
        <v>6</v>
      </c>
      <c r="K77" s="112">
        <f t="array" ref="K77">IF(ISNUMBER(AC77),INDEX('All Player Data Store'!$G$7:$G$594,SMALL(IF('All Player Data Store'!$Y$7:$Y$594=AC77,ROW('All Player Data Store'!$Y$7:$Y$594)-ROW('All Player Data Store'!$Y$7)+1),COUNTIF($AC$8:AC77,AC77))),"")</f>
        <v>4</v>
      </c>
      <c r="L77" s="112">
        <f t="array" ref="L77">IF(ISNUMBER(AC77),INDEX('All Player Data Store'!$H$7:$H$594,SMALL(IF('All Player Data Store'!$Y$7:$Y$594=AC77,ROW('All Player Data Store'!$Y$7:$Y$594)-ROW('All Player Data Store'!$Y$7)+1),COUNTIF($AC$8:AC77,AC77))),"")</f>
        <v>29</v>
      </c>
      <c r="M77" s="113">
        <f t="array" ref="M77">IF(ISNUMBER(AC77),INDEX('All Player Data Store'!$I$7:$I$594,SMALL(IF('All Player Data Store'!$Y$7:$Y$594=AC77,ROW('All Player Data Store'!$Y$7:$Y$594)-ROW('All Player Data Store'!$Y$7)+1),COUNTIF($AC$8:AC77,AC77))),"")</f>
        <v>26</v>
      </c>
      <c r="N77" s="114">
        <f t="array" ref="N77">IF(ISNUMBER(AC77),INDEX('All Player Data Store'!$J$7:$J$594,SMALL(IF('All Player Data Store'!$Y$7:$Y$594=AC77,ROW('All Player Data Store'!$Y$7:$Y$594)-ROW('All Player Data Store'!$Y$7)+1),COUNTIF($AC$8:AC77,AC77))),"")</f>
        <v>20.28</v>
      </c>
      <c r="O77" s="108">
        <f t="array" ref="O77">IF(ISNUMBER(AC77),INDEX('All Player Data Store'!$K$7:$K$594,SMALL(IF('All Player Data Store'!$Y$7:$Y$594=AC77,ROW('All Player Data Store'!$Y$7:$Y$594)-ROW('All Player Data Store'!$Y$7)+1),COUNTIF($AC$8:AC77,AC77))),"")</f>
        <v>20.49</v>
      </c>
      <c r="P77" s="108">
        <f t="array" ref="P77">IF(ISNUMBER(AC77),INDEX('All Player Data Store'!$L$7:$L$594,SMALL(IF('All Player Data Store'!$Y$7:$Y$594=AC77,ROW('All Player Data Store'!$Y$7:$Y$594)-ROW('All Player Data Store'!$Y$7)+1),COUNTIF($AC$8:AC77,AC77))),"")</f>
        <v>20.84</v>
      </c>
      <c r="Q77" s="108">
        <f t="array" ref="Q77">IF(ISNUMBER(AC77),INDEX('All Player Data Store'!$M$7:$M$594,SMALL(IF('All Player Data Store'!$Y$7:$Y$594=AC77,ROW('All Player Data Store'!$Y$7:$Y$594)-ROW('All Player Data Store'!$Y$7)+1),COUNTIF($AC$8:AC77,AC77))),"")</f>
        <v>21.5</v>
      </c>
      <c r="R77" s="108">
        <f t="array" ref="R77">IF(ISNUMBER(AC77),INDEX('All Player Data Store'!$N$7:$N$594,SMALL(IF('All Player Data Store'!$Y$7:$Y$594=AC77,ROW('All Player Data Store'!$Y$7:$Y$594)-ROW('All Player Data Store'!$Y$7)+1),COUNTIF($AC$8:AC77,AC77))),"")</f>
        <v>23.28</v>
      </c>
      <c r="S77" s="108">
        <f t="array" ref="S77">IF(ISNUMBER(AC77),INDEX('All Player Data Store'!$O$7:$O$594,SMALL(IF('All Player Data Store'!$Y$7:$Y$594=AC77,ROW('All Player Data Store'!$Y$7:$Y$594)-ROW('All Player Data Store'!$Y$7)+1),COUNTIF($AC$8:AC77,AC77))),"")</f>
        <v>19.68</v>
      </c>
      <c r="T77" s="108" t="str">
        <f t="array" ref="T77">IF(ISNUMBER(AC77),INDEX('All Player Data Store'!$P$7:$P$594,SMALL(IF('All Player Data Store'!$Y$7:$Y$594=AC77,ROW('All Player Data Store'!$Y$7:$Y$594)-ROW('All Player Data Store'!$Y$7)+1),COUNTIF($AC$8:AC77,AC77))),"")</f>
        <v/>
      </c>
      <c r="U77" s="108">
        <f t="array" ref="U77">IF(ISNUMBER(AC77),INDEX('All Player Data Store'!$Q$7:$Q$594,SMALL(IF('All Player Data Store'!$Y$7:$Y$594=AC77,ROW('All Player Data Store'!$Y$7:$Y$594)-ROW('All Player Data Store'!$Y$7)+1),COUNTIF($AC$8:AC77,AC77))),"")</f>
        <v>19.14</v>
      </c>
      <c r="V77" s="108" t="str">
        <f t="array" ref="V77">IF(ISNUMBER(AC77),INDEX('All Player Data Store'!$R$7:$R$594,SMALL(IF('All Player Data Store'!$Y$7:$Y$594=AC77,ROW('All Player Data Store'!$Y$7:$Y$594)-ROW('All Player Data Store'!$Y$7)+1),COUNTIF($AC$8:AC77,AC77))),"")</f>
        <v/>
      </c>
      <c r="W77" s="108" t="str">
        <f t="array" ref="W77">IF(ISNUMBER(AC77),INDEX('All Player Data Store'!$S$7:$S$594,SMALL(IF('All Player Data Store'!$Y$7:$Y$594=AC77,ROW('All Player Data Store'!$Y$7:$Y$594)-ROW('All Player Data Store'!$Y$7)+1),COUNTIF($AC$8:AC77,AC77))),"")</f>
        <v/>
      </c>
      <c r="X77" s="108">
        <f t="array" ref="X77">IF(ISNUMBER(AC77),INDEX('All Player Data Store'!$T$7:$T$594,SMALL(IF('All Player Data Store'!$Y$7:$Y$594=AC77,ROW('All Player Data Store'!$Y$7:$Y$594)-ROW('All Player Data Store'!$Y$7)+1),COUNTIF($AC$8:AC77,AC77))),"")</f>
        <v>22.02</v>
      </c>
      <c r="Y77" s="108">
        <f t="array" ref="Y77">IF(ISNUMBER(AC77),INDEX('All Player Data Store'!$U$7:$U$594,SMALL(IF('All Player Data Store'!$Y$7:$Y$594=AC77,ROW('All Player Data Store'!$Y$7:$Y$594)-ROW('All Player Data Store'!$Y$7)+1),COUNTIF($AC$8:AC77,AC77))),"")</f>
        <v>13.82</v>
      </c>
      <c r="Z77" s="108">
        <f t="array" ref="Z77">IF(ISNUMBER(AC77),INDEX('All Player Data Store'!$V$7:$V$594,SMALL(IF('All Player Data Store'!$Y$7:$Y$594=AC77,ROW('All Player Data Store'!$Y$7:$Y$594)-ROW('All Player Data Store'!$Y$7)+1),COUNTIF($AC$8:AC77,AC77))),"")</f>
        <v>21.19</v>
      </c>
      <c r="AA77" s="112">
        <f t="array" ref="AA77">IF(ISNUMBER(AC77),INDEX('All Player Data Store'!$W$7:$W$594,SMALL(IF('All Player Data Store'!$Y$7:$Y$594=AC77,ROW('All Player Data Store'!$Y$7:$Y$594)-ROW('All Player Data Store'!$Y$7)+1),COUNTIF($AC$8:AC77,AC77))),"")</f>
        <v>1</v>
      </c>
      <c r="AB77" s="108">
        <f t="array" ref="AB77">IF(ISNUMBER(AC77),INDEX('All Player Data Store'!$X$7:$X$594,SMALL(IF('All Player Data Store'!$Y$7:$Y$594=AC77,ROW('All Player Data Store'!$Y$7:$Y$594)-ROW('All Player Data Store'!$Y$7)+1),COUNTIF($AC$8:AC77,AC77))),"")</f>
        <v>20.223999999999997</v>
      </c>
      <c r="AC77" s="115">
        <f>IF(ISERROR(IF(ISERROR(LARGE('All Player Data Store'!$Y$7:$Y$594,70)),"",(LARGE('All Player Data Store'!$Y$7:$Y$594,70)))),"",(IF(ISERROR(LARGE('All Player Data Store'!$Y$7:$Y$594,70)),"",(LARGE('All Player Data Store'!$Y$7:$Y$594,70)))))</f>
        <v>26.223999999999997</v>
      </c>
      <c r="AD77" s="106">
        <f t="shared" si="2"/>
        <v>3</v>
      </c>
      <c r="AE77" s="107" t="str">
        <f t="array" ref="AE77">IF(ISNUMBER(AC77),INDEX('All Player Data Store'!$J$8:$J$594,SMALL(IF('All Player Data Store'!$Y$7:$Y$594=AC77,ROW('All Player Data Store'!$Y$7:$Y$594)-ROW('All Player Data Store'!$Y$7)+1),COUNTIF($AC$8:AC77,AC77))),"")</f>
        <v>3*4</v>
      </c>
      <c r="AF77" s="108">
        <f t="shared" si="3"/>
        <v>20.28</v>
      </c>
      <c r="AG77" s="108" t="str">
        <f t="array" ref="AG77">IF(ISNUMBER(AC77),INDEX('All Player Data Store'!$K$8:$K$594,SMALL(IF('All Player Data Store'!$Y$7:$Y$594=AC77,ROW('All Player Data Store'!$Y$7:$Y$594)-ROW('All Player Data Store'!$Y$7)+1),COUNTIF($AC$8:AC77,AC77))),"")</f>
        <v>1*4</v>
      </c>
      <c r="AH77" s="108">
        <f t="shared" si="4"/>
        <v>20.49</v>
      </c>
      <c r="AI77" s="108" t="str">
        <f t="array" ref="AI77">IF(ISNUMBER(AC77),INDEX('All Player Data Store'!$L$8:$L$594,SMALL(IF('All Player Data Store'!$Y$7:$Y$594=AC77,ROW('All Player Data Store'!$Y$7:$Y$594)-ROW('All Player Data Store'!$Y$7)+1),COUNTIF($AC$8:AC77,AC77))),"")</f>
        <v>4*2</v>
      </c>
      <c r="AJ77" s="108">
        <f t="shared" si="5"/>
        <v>21.84</v>
      </c>
      <c r="AK77" s="108" t="str">
        <f t="array" ref="AK77">IF(ISNUMBER(AC77),INDEX('All Player Data Store'!$M$8:$M$594,SMALL(IF('All Player Data Store'!$Y$7:$Y$594=AC77,ROW('All Player Data Store'!$Y$7:$Y$594)-ROW('All Player Data Store'!$Y$7)+1),COUNTIF($AC$8:AC77,AC77))),"")</f>
        <v>1*4</v>
      </c>
      <c r="AL77" s="108">
        <f t="shared" si="6"/>
        <v>21.5</v>
      </c>
      <c r="AM77" s="108" t="str">
        <f t="array" ref="AM77">IF(ISNUMBER(AC77),INDEX('All Player Data Store'!$N$8:$N$594,SMALL(IF('All Player Data Store'!$Y$7:$Y$594=AC77,ROW('All Player Data Store'!$Y$7:$Y$594)-ROW('All Player Data Store'!$Y$7)+1),COUNTIF($AC$8:AC77,AC77))),"")</f>
        <v>4*3</v>
      </c>
      <c r="AN77" s="108">
        <f t="shared" si="7"/>
        <v>24.28</v>
      </c>
      <c r="AO77" s="108" t="str">
        <f t="array" ref="AO77">IF(ISNUMBER(AC77),INDEX('All Player Data Store'!$O$8:$O$594,SMALL(IF('All Player Data Store'!$Y$7:$Y$594=AC77,ROW('All Player Data Store'!$Y$7:$Y$594)-ROW('All Player Data Store'!$Y$7)+1),COUNTIF($AC$8:AC77,AC77))),"")</f>
        <v>0*4</v>
      </c>
      <c r="AP77" s="108">
        <f t="shared" si="8"/>
        <v>19.68</v>
      </c>
      <c r="AQ77" s="108" t="str">
        <f t="array" ref="AQ77">IF(ISNUMBER(AC77),INDEX('All Player Data Store'!$P$8:$P$594,SMALL(IF('All Player Data Store'!$Y$7:$Y$594=AC77,ROW('All Player Data Store'!$Y$7:$Y$594)-ROW('All Player Data Store'!$Y$7)+1),COUNTIF($AC$8:AC77,AC77))),"")</f>
        <v/>
      </c>
      <c r="AR77" s="108" t="str">
        <f t="shared" si="9"/>
        <v/>
      </c>
      <c r="AS77" s="108" t="str">
        <f t="array" ref="AS77">IF(ISNUMBER(AC77),INDEX('All Player Data Store'!$Q$8:$Q$594,SMALL(IF('All Player Data Store'!$Y$7:$Y$594=AC77,ROW('All Player Data Store'!$Y$7:$Y$594)-ROW('All Player Data Store'!$Y$7)+1),COUNTIF($AC$8:AC77,AC77))),"")</f>
        <v>4*3</v>
      </c>
      <c r="AT77" s="108">
        <f t="shared" si="10"/>
        <v>20.14</v>
      </c>
      <c r="AU77" s="108" t="str">
        <f t="array" ref="AU77">IF(ISNUMBER(AC77),INDEX('All Player Data Store'!$R$8:$R$594,SMALL(IF('All Player Data Store'!$Y$7:$Y$594=AC77,ROW('All Player Data Store'!$Y$7:$Y$594)-ROW('All Player Data Store'!$Y$7)+1),COUNTIF($AC$8:AC77,AC77))),"")</f>
        <v/>
      </c>
      <c r="AV77" s="108" t="str">
        <f t="shared" si="11"/>
        <v/>
      </c>
      <c r="AW77" s="108" t="str">
        <f t="array" ref="AW77">IF(ISNUMBER(AC77),INDEX('All Player Data Store'!$S$8:$S$594,SMALL(IF('All Player Data Store'!$Y$7:$Y$594=AC77,ROW('All Player Data Store'!$Y$7:$Y$594)-ROW('All Player Data Store'!$Y$7)+1),COUNTIF($AC$8:AC77,AC77))),"")</f>
        <v/>
      </c>
      <c r="AX77" s="108" t="str">
        <f t="shared" si="12"/>
        <v/>
      </c>
      <c r="AY77" s="108" t="str">
        <f t="array" ref="AY77">IF(ISNUMBER(AC77),INDEX('All Player Data Store'!$T$8:$T$594,SMALL(IF('All Player Data Store'!$Y$7:$Y$594=AC77,ROW('All Player Data Store'!$Y$7:$Y$594)-ROW('All Player Data Store'!$Y$7)+1),COUNTIF($AC$8:AC77,AC77))),"")</f>
        <v>4*0</v>
      </c>
      <c r="AZ77" s="108">
        <f t="shared" si="13"/>
        <v>23.02</v>
      </c>
      <c r="BA77" s="108" t="str">
        <f t="array" ref="BA77">IF(ISNUMBER(AC77),INDEX('All Player Data Store'!$U$8:$U$594,SMALL(IF('All Player Data Store'!$Y$7:$Y$594=AC77,ROW('All Player Data Store'!$Y$7:$Y$594)-ROW('All Player Data Store'!$Y$7)+1),COUNTIF($AC$8:AC77,AC77))),"")</f>
        <v>4*1</v>
      </c>
      <c r="BB77" s="108">
        <f t="shared" si="14"/>
        <v>14.82</v>
      </c>
      <c r="BC77" s="108" t="str">
        <f t="array" ref="BC77">IF(ISNUMBER(AC77),INDEX('All Player Data Store'!$V$8:$V$594,SMALL(IF('All Player Data Store'!$Y$7:$Y$594=AC77,ROW('All Player Data Store'!$Y$7:$Y$594)-ROW('All Player Data Store'!$Y$7)+1),COUNTIF($AC$8:AC77,AC77))),"")</f>
        <v>4*1(1)</v>
      </c>
      <c r="BD77" s="108">
        <f t="shared" si="15"/>
        <v>22.19</v>
      </c>
      <c r="BE77" s="1"/>
    </row>
    <row r="78" spans="2:57" ht="12" customHeight="1" x14ac:dyDescent="0.2">
      <c r="B78" s="98" t="str">
        <f t="shared" si="0"/>
        <v>Y</v>
      </c>
      <c r="C78" s="1"/>
      <c r="D78" s="68">
        <f t="shared" si="1"/>
        <v>71</v>
      </c>
      <c r="E78" s="2"/>
      <c r="F78" s="78">
        <v>71</v>
      </c>
      <c r="G78" s="110" t="str">
        <f t="array" ref="G78">IF(ISNUMBER(AC78),INDEX('All Player Data Store'!$C$7:$C$594,SMALL(IF('All Player Data Store'!$Y$7:$Y$594=AC78,ROW('All Player Data Store'!$Y$7:$Y$594)-ROW('All Player Data Store'!$Y$7)+1),COUNTIF($AC$8:AC78,AC78))),"")</f>
        <v>Grant Barnett</v>
      </c>
      <c r="H78" s="111" t="str">
        <f t="array" ref="H78">IF(ISNUMBER(AC78),INDEX('All Player Data Store'!$D$7:$D$594,SMALL(IF('All Player Data Store'!$Y$7:$Y$594=AC78,ROW('All Player Data Store'!$Y$7:$Y$594)-ROW('All Player Data Store'!$Y$7)+1),COUNTIF($AC$8:AC78,AC78))),"")</f>
        <v>Bos</v>
      </c>
      <c r="I78" s="69">
        <f t="array" ref="I78">IF(ISNUMBER(AC78),INDEX('All Player Data Store'!$E$7:$E$594,SMALL(IF('All Player Data Store'!$Y$7:$Y$594=AC78,ROW('All Player Data Store'!$Y$7:$Y$594)-ROW('All Player Data Store'!$Y$7)+1),COUNTIF($AC$8:AC78,AC78))),"")</f>
        <v>13</v>
      </c>
      <c r="J78" s="70">
        <f t="array" ref="J78">IF(ISNUMBER(AC78),INDEX('All Player Data Store'!$F$7:$F$594,SMALL(IF('All Player Data Store'!$Y$7:$Y$594=AC78,ROW('All Player Data Store'!$Y$7:$Y$594)-ROW('All Player Data Store'!$Y$7)+1),COUNTIF($AC$8:AC78,AC78))),"")</f>
        <v>6</v>
      </c>
      <c r="K78" s="112">
        <f t="array" ref="K78">IF(ISNUMBER(AC78),INDEX('All Player Data Store'!$G$7:$G$594,SMALL(IF('All Player Data Store'!$Y$7:$Y$594=AC78,ROW('All Player Data Store'!$Y$7:$Y$594)-ROW('All Player Data Store'!$Y$7)+1),COUNTIF($AC$8:AC78,AC78))),"")</f>
        <v>7</v>
      </c>
      <c r="L78" s="112">
        <f t="array" ref="L78">IF(ISNUMBER(AC78),INDEX('All Player Data Store'!$H$7:$H$594,SMALL(IF('All Player Data Store'!$Y$7:$Y$594=AC78,ROW('All Player Data Store'!$Y$7:$Y$594)-ROW('All Player Data Store'!$Y$7)+1),COUNTIF($AC$8:AC78,AC78))),"")</f>
        <v>33</v>
      </c>
      <c r="M78" s="113">
        <f t="array" ref="M78">IF(ISNUMBER(AC78),INDEX('All Player Data Store'!$I$7:$I$594,SMALL(IF('All Player Data Store'!$Y$7:$Y$594=AC78,ROW('All Player Data Store'!$Y$7:$Y$594)-ROW('All Player Data Store'!$Y$7)+1),COUNTIF($AC$8:AC78,AC78))),"")</f>
        <v>41</v>
      </c>
      <c r="N78" s="114">
        <f t="array" ref="N78">IF(ISNUMBER(AC78),INDEX('All Player Data Store'!$J$7:$J$594,SMALL(IF('All Player Data Store'!$Y$7:$Y$594=AC78,ROW('All Player Data Store'!$Y$7:$Y$594)-ROW('All Player Data Store'!$Y$7)+1),COUNTIF($AC$8:AC78,AC78))),"")</f>
        <v>20.43</v>
      </c>
      <c r="O78" s="108">
        <f t="array" ref="O78">IF(ISNUMBER(AC78),INDEX('All Player Data Store'!$K$7:$K$594,SMALL(IF('All Player Data Store'!$Y$7:$Y$594=AC78,ROW('All Player Data Store'!$Y$7:$Y$594)-ROW('All Player Data Store'!$Y$7)+1),COUNTIF($AC$8:AC78,AC78))),"")</f>
        <v>21.68</v>
      </c>
      <c r="P78" s="108">
        <f t="array" ref="P78">IF(ISNUMBER(AC78),INDEX('All Player Data Store'!$L$7:$L$594,SMALL(IF('All Player Data Store'!$Y$7:$Y$594=AC78,ROW('All Player Data Store'!$Y$7:$Y$594)-ROW('All Player Data Store'!$Y$7)+1),COUNTIF($AC$8:AC78,AC78))),"")</f>
        <v>22.05</v>
      </c>
      <c r="Q78" s="108">
        <f t="array" ref="Q78">IF(ISNUMBER(AC78),INDEX('All Player Data Store'!$M$7:$M$594,SMALL(IF('All Player Data Store'!$Y$7:$Y$594=AC78,ROW('All Player Data Store'!$Y$7:$Y$594)-ROW('All Player Data Store'!$Y$7)+1),COUNTIF($AC$8:AC78,AC78))),"")</f>
        <v>22.21</v>
      </c>
      <c r="R78" s="108">
        <f t="array" ref="R78">IF(ISNUMBER(AC78),INDEX('All Player Data Store'!$N$7:$N$594,SMALL(IF('All Player Data Store'!$Y$7:$Y$594=AC78,ROW('All Player Data Store'!$Y$7:$Y$594)-ROW('All Player Data Store'!$Y$7)+1),COUNTIF($AC$8:AC78,AC78))),"")</f>
        <v>19.12</v>
      </c>
      <c r="S78" s="108">
        <f t="array" ref="S78">IF(ISNUMBER(AC78),INDEX('All Player Data Store'!$O$7:$O$594,SMALL(IF('All Player Data Store'!$Y$7:$Y$594=AC78,ROW('All Player Data Store'!$Y$7:$Y$594)-ROW('All Player Data Store'!$Y$7)+1),COUNTIF($AC$8:AC78,AC78))),"")</f>
        <v>19.600000000000001</v>
      </c>
      <c r="T78" s="108">
        <f t="array" ref="T78">IF(ISNUMBER(AC78),INDEX('All Player Data Store'!$P$7:$P$594,SMALL(IF('All Player Data Store'!$Y$7:$Y$594=AC78,ROW('All Player Data Store'!$Y$7:$Y$594)-ROW('All Player Data Store'!$Y$7)+1),COUNTIF($AC$8:AC78,AC78))),"")</f>
        <v>19.61</v>
      </c>
      <c r="U78" s="108">
        <f t="array" ref="U78">IF(ISNUMBER(AC78),INDEX('All Player Data Store'!$Q$7:$Q$594,SMALL(IF('All Player Data Store'!$Y$7:$Y$594=AC78,ROW('All Player Data Store'!$Y$7:$Y$594)-ROW('All Player Data Store'!$Y$7)+1),COUNTIF($AC$8:AC78,AC78))),"")</f>
        <v>22.31</v>
      </c>
      <c r="V78" s="108">
        <f t="array" ref="V78">IF(ISNUMBER(AC78),INDEX('All Player Data Store'!$R$7:$R$594,SMALL(IF('All Player Data Store'!$Y$7:$Y$594=AC78,ROW('All Player Data Store'!$Y$7:$Y$594)-ROW('All Player Data Store'!$Y$7)+1),COUNTIF($AC$8:AC78,AC78))),"")</f>
        <v>18.46</v>
      </c>
      <c r="W78" s="108">
        <f t="array" ref="W78">IF(ISNUMBER(AC78),INDEX('All Player Data Store'!$S$7:$S$594,SMALL(IF('All Player Data Store'!$Y$7:$Y$594=AC78,ROW('All Player Data Store'!$Y$7:$Y$594)-ROW('All Player Data Store'!$Y$7)+1),COUNTIF($AC$8:AC78,AC78))),"")</f>
        <v>20.79</v>
      </c>
      <c r="X78" s="108">
        <f t="array" ref="X78">IF(ISNUMBER(AC78),INDEX('All Player Data Store'!$T$7:$T$594,SMALL(IF('All Player Data Store'!$Y$7:$Y$594=AC78,ROW('All Player Data Store'!$Y$7:$Y$594)-ROW('All Player Data Store'!$Y$7)+1),COUNTIF($AC$8:AC78,AC78))),"")</f>
        <v>18.86</v>
      </c>
      <c r="Y78" s="108">
        <f t="array" ref="Y78">IF(ISNUMBER(AC78),INDEX('All Player Data Store'!$U$7:$U$594,SMALL(IF('All Player Data Store'!$Y$7:$Y$594=AC78,ROW('All Player Data Store'!$Y$7:$Y$594)-ROW('All Player Data Store'!$Y$7)+1),COUNTIF($AC$8:AC78,AC78))),"")</f>
        <v>16.05</v>
      </c>
      <c r="Z78" s="108">
        <f t="array" ref="Z78">IF(ISNUMBER(AC78),INDEX('All Player Data Store'!$V$7:$V$594,SMALL(IF('All Player Data Store'!$Y$7:$Y$594=AC78,ROW('All Player Data Store'!$Y$7:$Y$594)-ROW('All Player Data Store'!$Y$7)+1),COUNTIF($AC$8:AC78,AC78))),"")</f>
        <v>21.55</v>
      </c>
      <c r="AA78" s="112">
        <f t="array" ref="AA78">IF(ISNUMBER(AC78),INDEX('All Player Data Store'!$W$7:$W$594,SMALL(IF('All Player Data Store'!$Y$7:$Y$594=AC78,ROW('All Player Data Store'!$Y$7:$Y$594)-ROW('All Player Data Store'!$Y$7)+1),COUNTIF($AC$8:AC78,AC78))),"")</f>
        <v>1</v>
      </c>
      <c r="AB78" s="108">
        <f t="array" ref="AB78">IF(ISNUMBER(AC78),INDEX('All Player Data Store'!$X$7:$X$594,SMALL(IF('All Player Data Store'!$Y$7:$Y$594=AC78,ROW('All Player Data Store'!$Y$7:$Y$594)-ROW('All Player Data Store'!$Y$7)+1),COUNTIF($AC$8:AC78,AC78))),"")</f>
        <v>20.209230769230771</v>
      </c>
      <c r="AC78" s="115">
        <f>IF(ISERROR(IF(ISERROR(LARGE('All Player Data Store'!$Y$7:$Y$594,71)),"",(LARGE('All Player Data Store'!$Y$7:$Y$594,71)))),"",(IF(ISERROR(LARGE('All Player Data Store'!$Y$7:$Y$594,71)),"",(LARGE('All Player Data Store'!$Y$7:$Y$594,71)))))</f>
        <v>26.209230769230771</v>
      </c>
      <c r="AD78" s="106">
        <f t="shared" si="2"/>
        <v>3</v>
      </c>
      <c r="AE78" s="107" t="str">
        <f t="array" ref="AE78">IF(ISNUMBER(AC78),INDEX('All Player Data Store'!$J$8:$J$594,SMALL(IF('All Player Data Store'!$Y$7:$Y$594=AC78,ROW('All Player Data Store'!$Y$7:$Y$594)-ROW('All Player Data Store'!$Y$7)+1),COUNTIF($AC$8:AC78,AC78))),"")</f>
        <v>2*4</v>
      </c>
      <c r="AF78" s="108">
        <f t="shared" si="3"/>
        <v>20.43</v>
      </c>
      <c r="AG78" s="108" t="str">
        <f t="array" ref="AG78">IF(ISNUMBER(AC78),INDEX('All Player Data Store'!$K$8:$K$594,SMALL(IF('All Player Data Store'!$Y$7:$Y$594=AC78,ROW('All Player Data Store'!$Y$7:$Y$594)-ROW('All Player Data Store'!$Y$7)+1),COUNTIF($AC$8:AC78,AC78))),"")</f>
        <v>0*4</v>
      </c>
      <c r="AH78" s="108">
        <f t="shared" si="4"/>
        <v>21.68</v>
      </c>
      <c r="AI78" s="108" t="str">
        <f t="array" ref="AI78">IF(ISNUMBER(AC78),INDEX('All Player Data Store'!$L$8:$L$594,SMALL(IF('All Player Data Store'!$Y$7:$Y$594=AC78,ROW('All Player Data Store'!$Y$7:$Y$594)-ROW('All Player Data Store'!$Y$7)+1),COUNTIF($AC$8:AC78,AC78))),"")</f>
        <v>4*3</v>
      </c>
      <c r="AJ78" s="108">
        <f t="shared" si="5"/>
        <v>23.05</v>
      </c>
      <c r="AK78" s="108" t="str">
        <f t="array" ref="AK78">IF(ISNUMBER(AC78),INDEX('All Player Data Store'!$M$8:$M$594,SMALL(IF('All Player Data Store'!$Y$7:$Y$594=AC78,ROW('All Player Data Store'!$Y$7:$Y$594)-ROW('All Player Data Store'!$Y$7)+1),COUNTIF($AC$8:AC78,AC78))),"")</f>
        <v>4*2</v>
      </c>
      <c r="AL78" s="108">
        <f t="shared" si="6"/>
        <v>23.21</v>
      </c>
      <c r="AM78" s="108" t="str">
        <f t="array" ref="AM78">IF(ISNUMBER(AC78),INDEX('All Player Data Store'!$N$8:$N$594,SMALL(IF('All Player Data Store'!$Y$7:$Y$594=AC78,ROW('All Player Data Store'!$Y$7:$Y$594)-ROW('All Player Data Store'!$Y$7)+1),COUNTIF($AC$8:AC78,AC78))),"")</f>
        <v>3*4</v>
      </c>
      <c r="AN78" s="108">
        <f t="shared" si="7"/>
        <v>19.12</v>
      </c>
      <c r="AO78" s="108" t="str">
        <f t="array" ref="AO78">IF(ISNUMBER(AC78),INDEX('All Player Data Store'!$O$8:$O$594,SMALL(IF('All Player Data Store'!$Y$7:$Y$594=AC78,ROW('All Player Data Store'!$Y$7:$Y$594)-ROW('All Player Data Store'!$Y$7)+1),COUNTIF($AC$8:AC78,AC78))),"")</f>
        <v>4*3</v>
      </c>
      <c r="AP78" s="108">
        <f t="shared" si="8"/>
        <v>20.6</v>
      </c>
      <c r="AQ78" s="108" t="str">
        <f t="array" ref="AQ78">IF(ISNUMBER(AC78),INDEX('All Player Data Store'!$P$8:$P$594,SMALL(IF('All Player Data Store'!$Y$7:$Y$594=AC78,ROW('All Player Data Store'!$Y$7:$Y$594)-ROW('All Player Data Store'!$Y$7)+1),COUNTIF($AC$8:AC78,AC78))),"")</f>
        <v>4*3</v>
      </c>
      <c r="AR78" s="108">
        <f t="shared" si="9"/>
        <v>20.61</v>
      </c>
      <c r="AS78" s="108" t="str">
        <f t="array" ref="AS78">IF(ISNUMBER(AC78),INDEX('All Player Data Store'!$Q$8:$Q$594,SMALL(IF('All Player Data Store'!$Y$7:$Y$594=AC78,ROW('All Player Data Store'!$Y$7:$Y$594)-ROW('All Player Data Store'!$Y$7)+1),COUNTIF($AC$8:AC78,AC78))),"")</f>
        <v>3*4</v>
      </c>
      <c r="AT78" s="108">
        <f t="shared" si="10"/>
        <v>22.31</v>
      </c>
      <c r="AU78" s="108" t="str">
        <f t="array" ref="AU78">IF(ISNUMBER(AC78),INDEX('All Player Data Store'!$R$8:$R$594,SMALL(IF('All Player Data Store'!$Y$7:$Y$594=AC78,ROW('All Player Data Store'!$Y$7:$Y$594)-ROW('All Player Data Store'!$Y$7)+1),COUNTIF($AC$8:AC78,AC78))),"")</f>
        <v>0*4</v>
      </c>
      <c r="AV78" s="108">
        <f t="shared" si="11"/>
        <v>18.46</v>
      </c>
      <c r="AW78" s="108" t="str">
        <f t="array" ref="AW78">IF(ISNUMBER(AC78),INDEX('All Player Data Store'!$S$8:$S$594,SMALL(IF('All Player Data Store'!$Y$7:$Y$594=AC78,ROW('All Player Data Store'!$Y$7:$Y$594)-ROW('All Player Data Store'!$Y$7)+1),COUNTIF($AC$8:AC78,AC78))),"")</f>
        <v>4*2</v>
      </c>
      <c r="AX78" s="108">
        <f t="shared" si="12"/>
        <v>21.79</v>
      </c>
      <c r="AY78" s="108" t="str">
        <f t="array" ref="AY78">IF(ISNUMBER(AC78),INDEX('All Player Data Store'!$T$8:$T$594,SMALL(IF('All Player Data Store'!$Y$7:$Y$594=AC78,ROW('All Player Data Store'!$Y$7:$Y$594)-ROW('All Player Data Store'!$Y$7)+1),COUNTIF($AC$8:AC78,AC78))),"")</f>
        <v>0*4</v>
      </c>
      <c r="AZ78" s="108">
        <f t="shared" si="13"/>
        <v>18.86</v>
      </c>
      <c r="BA78" s="108" t="str">
        <f t="array" ref="BA78">IF(ISNUMBER(AC78),INDEX('All Player Data Store'!$U$8:$U$594,SMALL(IF('All Player Data Store'!$Y$7:$Y$594=AC78,ROW('All Player Data Store'!$Y$7:$Y$594)-ROW('All Player Data Store'!$Y$7)+1),COUNTIF($AC$8:AC78,AC78))),"")</f>
        <v>1*4</v>
      </c>
      <c r="BB78" s="108">
        <f t="shared" si="14"/>
        <v>16.05</v>
      </c>
      <c r="BC78" s="108" t="str">
        <f t="array" ref="BC78">IF(ISNUMBER(AC78),INDEX('All Player Data Store'!$V$8:$V$594,SMALL(IF('All Player Data Store'!$Y$7:$Y$594=AC78,ROW('All Player Data Store'!$Y$7:$Y$594)-ROW('All Player Data Store'!$Y$7)+1),COUNTIF($AC$8:AC78,AC78))),"")</f>
        <v>4*0(1)</v>
      </c>
      <c r="BD78" s="108">
        <f t="shared" si="15"/>
        <v>22.55</v>
      </c>
      <c r="BE78" s="1"/>
    </row>
    <row r="79" spans="2:57" ht="12" customHeight="1" x14ac:dyDescent="0.2">
      <c r="B79" s="98" t="str">
        <f t="shared" si="0"/>
        <v>Y</v>
      </c>
      <c r="C79" s="1"/>
      <c r="D79" s="68">
        <f t="shared" si="1"/>
        <v>72</v>
      </c>
      <c r="E79" s="2"/>
      <c r="F79" s="78">
        <v>72</v>
      </c>
      <c r="G79" s="110" t="str">
        <f t="array" ref="G79">IF(ISNUMBER(AC79),INDEX('All Player Data Store'!$C$7:$C$594,SMALL(IF('All Player Data Store'!$Y$7:$Y$594=AC79,ROW('All Player Data Store'!$Y$7:$Y$594)-ROW('All Player Data Store'!$Y$7)+1),COUNTIF($AC$8:AC79,AC79))),"")</f>
        <v>Steven Small</v>
      </c>
      <c r="H79" s="111" t="str">
        <f t="array" ref="H79">IF(ISNUMBER(AC79),INDEX('All Player Data Store'!$D$7:$D$594,SMALL(IF('All Player Data Store'!$Y$7:$Y$594=AC79,ROW('All Player Data Store'!$Y$7:$Y$594)-ROW('All Player Data Store'!$Y$7)+1),COUNTIF($AC$8:AC79,AC79))),"")</f>
        <v>Ald</v>
      </c>
      <c r="I79" s="69">
        <f t="array" ref="I79">IF(ISNUMBER(AC79),INDEX('All Player Data Store'!$E$7:$E$594,SMALL(IF('All Player Data Store'!$Y$7:$Y$594=AC79,ROW('All Player Data Store'!$Y$7:$Y$594)-ROW('All Player Data Store'!$Y$7)+1),COUNTIF($AC$8:AC79,AC79))),"")</f>
        <v>13</v>
      </c>
      <c r="J79" s="70">
        <f t="array" ref="J79">IF(ISNUMBER(AC79),INDEX('All Player Data Store'!$F$7:$F$594,SMALL(IF('All Player Data Store'!$Y$7:$Y$594=AC79,ROW('All Player Data Store'!$Y$7:$Y$594)-ROW('All Player Data Store'!$Y$7)+1),COUNTIF($AC$8:AC79,AC79))),"")</f>
        <v>5</v>
      </c>
      <c r="K79" s="112">
        <f t="array" ref="K79">IF(ISNUMBER(AC79),INDEX('All Player Data Store'!$G$7:$G$594,SMALL(IF('All Player Data Store'!$Y$7:$Y$594=AC79,ROW('All Player Data Store'!$Y$7:$Y$594)-ROW('All Player Data Store'!$Y$7)+1),COUNTIF($AC$8:AC79,AC79))),"")</f>
        <v>8</v>
      </c>
      <c r="L79" s="112">
        <f t="array" ref="L79">IF(ISNUMBER(AC79),INDEX('All Player Data Store'!$H$7:$H$594,SMALL(IF('All Player Data Store'!$Y$7:$Y$594=AC79,ROW('All Player Data Store'!$Y$7:$Y$594)-ROW('All Player Data Store'!$Y$7)+1),COUNTIF($AC$8:AC79,AC79))),"")</f>
        <v>30</v>
      </c>
      <c r="M79" s="113">
        <f t="array" ref="M79">IF(ISNUMBER(AC79),INDEX('All Player Data Store'!$I$7:$I$594,SMALL(IF('All Player Data Store'!$Y$7:$Y$594=AC79,ROW('All Player Data Store'!$Y$7:$Y$594)-ROW('All Player Data Store'!$Y$7)+1),COUNTIF($AC$8:AC79,AC79))),"")</f>
        <v>40</v>
      </c>
      <c r="N79" s="114">
        <f t="array" ref="N79">IF(ISNUMBER(AC79),INDEX('All Player Data Store'!$J$7:$J$594,SMALL(IF('All Player Data Store'!$Y$7:$Y$594=AC79,ROW('All Player Data Store'!$Y$7:$Y$594)-ROW('All Player Data Store'!$Y$7)+1),COUNTIF($AC$8:AC79,AC79))),"")</f>
        <v>21.97</v>
      </c>
      <c r="O79" s="108">
        <f t="array" ref="O79">IF(ISNUMBER(AC79),INDEX('All Player Data Store'!$K$7:$K$594,SMALL(IF('All Player Data Store'!$Y$7:$Y$594=AC79,ROW('All Player Data Store'!$Y$7:$Y$594)-ROW('All Player Data Store'!$Y$7)+1),COUNTIF($AC$8:AC79,AC79))),"")</f>
        <v>23.66</v>
      </c>
      <c r="P79" s="108">
        <f t="array" ref="P79">IF(ISNUMBER(AC79),INDEX('All Player Data Store'!$L$7:$L$594,SMALL(IF('All Player Data Store'!$Y$7:$Y$594=AC79,ROW('All Player Data Store'!$Y$7:$Y$594)-ROW('All Player Data Store'!$Y$7)+1),COUNTIF($AC$8:AC79,AC79))),"")</f>
        <v>21.32</v>
      </c>
      <c r="Q79" s="108">
        <f t="array" ref="Q79">IF(ISNUMBER(AC79),INDEX('All Player Data Store'!$M$7:$M$594,SMALL(IF('All Player Data Store'!$Y$7:$Y$594=AC79,ROW('All Player Data Store'!$Y$7:$Y$594)-ROW('All Player Data Store'!$Y$7)+1),COUNTIF($AC$8:AC79,AC79))),"")</f>
        <v>19.07</v>
      </c>
      <c r="R79" s="108">
        <f t="array" ref="R79">IF(ISNUMBER(AC79),INDEX('All Player Data Store'!$N$7:$N$594,SMALL(IF('All Player Data Store'!$Y$7:$Y$594=AC79,ROW('All Player Data Store'!$Y$7:$Y$594)-ROW('All Player Data Store'!$Y$7)+1),COUNTIF($AC$8:AC79,AC79))),"")</f>
        <v>21.73</v>
      </c>
      <c r="S79" s="108">
        <f t="array" ref="S79">IF(ISNUMBER(AC79),INDEX('All Player Data Store'!$O$7:$O$594,SMALL(IF('All Player Data Store'!$Y$7:$Y$594=AC79,ROW('All Player Data Store'!$Y$7:$Y$594)-ROW('All Player Data Store'!$Y$7)+1),COUNTIF($AC$8:AC79,AC79))),"")</f>
        <v>19.7</v>
      </c>
      <c r="T79" s="108">
        <f t="array" ref="T79">IF(ISNUMBER(AC79),INDEX('All Player Data Store'!$P$7:$P$594,SMALL(IF('All Player Data Store'!$Y$7:$Y$594=AC79,ROW('All Player Data Store'!$Y$7:$Y$594)-ROW('All Player Data Store'!$Y$7)+1),COUNTIF($AC$8:AC79,AC79))),"")</f>
        <v>21.55</v>
      </c>
      <c r="U79" s="108">
        <f t="array" ref="U79">IF(ISNUMBER(AC79),INDEX('All Player Data Store'!$Q$7:$Q$594,SMALL(IF('All Player Data Store'!$Y$7:$Y$594=AC79,ROW('All Player Data Store'!$Y$7:$Y$594)-ROW('All Player Data Store'!$Y$7)+1),COUNTIF($AC$8:AC79,AC79))),"")</f>
        <v>19.75</v>
      </c>
      <c r="V79" s="108">
        <f t="array" ref="V79">IF(ISNUMBER(AC79),INDEX('All Player Data Store'!$R$7:$R$594,SMALL(IF('All Player Data Store'!$Y$7:$Y$594=AC79,ROW('All Player Data Store'!$Y$7:$Y$594)-ROW('All Player Data Store'!$Y$7)+1),COUNTIF($AC$8:AC79,AC79))),"")</f>
        <v>20.72</v>
      </c>
      <c r="W79" s="108">
        <f t="array" ref="W79">IF(ISNUMBER(AC79),INDEX('All Player Data Store'!$S$7:$S$594,SMALL(IF('All Player Data Store'!$Y$7:$Y$594=AC79,ROW('All Player Data Store'!$Y$7:$Y$594)-ROW('All Player Data Store'!$Y$7)+1),COUNTIF($AC$8:AC79,AC79))),"")</f>
        <v>21.83</v>
      </c>
      <c r="X79" s="108">
        <f t="array" ref="X79">IF(ISNUMBER(AC79),INDEX('All Player Data Store'!$T$7:$T$594,SMALL(IF('All Player Data Store'!$Y$7:$Y$594=AC79,ROW('All Player Data Store'!$Y$7:$Y$594)-ROW('All Player Data Store'!$Y$7)+1),COUNTIF($AC$8:AC79,AC79))),"")</f>
        <v>26.14</v>
      </c>
      <c r="Y79" s="108">
        <f t="array" ref="Y79">IF(ISNUMBER(AC79),INDEX('All Player Data Store'!$U$7:$U$594,SMALL(IF('All Player Data Store'!$Y$7:$Y$594=AC79,ROW('All Player Data Store'!$Y$7:$Y$594)-ROW('All Player Data Store'!$Y$7)+1),COUNTIF($AC$8:AC79,AC79))),"")</f>
        <v>20.68</v>
      </c>
      <c r="Z79" s="108">
        <f t="array" ref="Z79">IF(ISNUMBER(AC79),INDEX('All Player Data Store'!$V$7:$V$594,SMALL(IF('All Player Data Store'!$Y$7:$Y$594=AC79,ROW('All Player Data Store'!$Y$7:$Y$594)-ROW('All Player Data Store'!$Y$7)+1),COUNTIF($AC$8:AC79,AC79))),"")</f>
        <v>17.190000000000001</v>
      </c>
      <c r="AA79" s="112">
        <f t="array" ref="AA79">IF(ISNUMBER(AC79),INDEX('All Player Data Store'!$W$7:$W$594,SMALL(IF('All Player Data Store'!$Y$7:$Y$594=AC79,ROW('All Player Data Store'!$Y$7:$Y$594)-ROW('All Player Data Store'!$Y$7)+1),COUNTIF($AC$8:AC79,AC79))),"")</f>
        <v>2</v>
      </c>
      <c r="AB79" s="108">
        <f t="array" ref="AB79">IF(ISNUMBER(AC79),INDEX('All Player Data Store'!$X$7:$X$594,SMALL(IF('All Player Data Store'!$Y$7:$Y$594=AC79,ROW('All Player Data Store'!$Y$7:$Y$594)-ROW('All Player Data Store'!$Y$7)+1),COUNTIF($AC$8:AC79,AC79))),"")</f>
        <v>21.177692307692308</v>
      </c>
      <c r="AC79" s="115">
        <f>IF(ISERROR(IF(ISERROR(LARGE('All Player Data Store'!$Y$7:$Y$594,72)),"",(LARGE('All Player Data Store'!$Y$7:$Y$594,72)))),"",(IF(ISERROR(LARGE('All Player Data Store'!$Y$7:$Y$594,72)),"",(LARGE('All Player Data Store'!$Y$7:$Y$594,72)))))</f>
        <v>26.177692307692308</v>
      </c>
      <c r="AD79" s="106">
        <f t="shared" si="2"/>
        <v>3</v>
      </c>
      <c r="AE79" s="107" t="str">
        <f t="array" ref="AE79">IF(ISNUMBER(AC79),INDEX('All Player Data Store'!$J$8:$J$594,SMALL(IF('All Player Data Store'!$Y$7:$Y$594=AC79,ROW('All Player Data Store'!$Y$7:$Y$594)-ROW('All Player Data Store'!$Y$7)+1),COUNTIF($AC$8:AC79,AC79))),"")</f>
        <v>2*4</v>
      </c>
      <c r="AF79" s="108">
        <f t="shared" si="3"/>
        <v>21.97</v>
      </c>
      <c r="AG79" s="108" t="str">
        <f t="array" ref="AG79">IF(ISNUMBER(AC79),INDEX('All Player Data Store'!$K$8:$K$594,SMALL(IF('All Player Data Store'!$Y$7:$Y$594=AC79,ROW('All Player Data Store'!$Y$7:$Y$594)-ROW('All Player Data Store'!$Y$7)+1),COUNTIF($AC$8:AC79,AC79))),"")</f>
        <v>4*3</v>
      </c>
      <c r="AH79" s="108">
        <f t="shared" si="4"/>
        <v>24.66</v>
      </c>
      <c r="AI79" s="108" t="str">
        <f t="array" ref="AI79">IF(ISNUMBER(AC79),INDEX('All Player Data Store'!$L$8:$L$594,SMALL(IF('All Player Data Store'!$Y$7:$Y$594=AC79,ROW('All Player Data Store'!$Y$7:$Y$594)-ROW('All Player Data Store'!$Y$7)+1),COUNTIF($AC$8:AC79,AC79))),"")</f>
        <v>1*4</v>
      </c>
      <c r="AJ79" s="108">
        <f t="shared" si="5"/>
        <v>21.32</v>
      </c>
      <c r="AK79" s="108" t="str">
        <f t="array" ref="AK79">IF(ISNUMBER(AC79),INDEX('All Player Data Store'!$M$8:$M$594,SMALL(IF('All Player Data Store'!$Y$7:$Y$594=AC79,ROW('All Player Data Store'!$Y$7:$Y$594)-ROW('All Player Data Store'!$Y$7)+1),COUNTIF($AC$8:AC79,AC79))),"")</f>
        <v>0*4</v>
      </c>
      <c r="AL79" s="108">
        <f t="shared" si="6"/>
        <v>19.07</v>
      </c>
      <c r="AM79" s="108" t="str">
        <f t="array" ref="AM79">IF(ISNUMBER(AC79),INDEX('All Player Data Store'!$N$8:$N$594,SMALL(IF('All Player Data Store'!$Y$7:$Y$594=AC79,ROW('All Player Data Store'!$Y$7:$Y$594)-ROW('All Player Data Store'!$Y$7)+1),COUNTIF($AC$8:AC79,AC79))),"")</f>
        <v>4*1</v>
      </c>
      <c r="AN79" s="108">
        <f t="shared" si="7"/>
        <v>22.73</v>
      </c>
      <c r="AO79" s="108" t="str">
        <f t="array" ref="AO79">IF(ISNUMBER(AC79),INDEX('All Player Data Store'!$O$8:$O$594,SMALL(IF('All Player Data Store'!$Y$7:$Y$594=AC79,ROW('All Player Data Store'!$Y$7:$Y$594)-ROW('All Player Data Store'!$Y$7)+1),COUNTIF($AC$8:AC79,AC79))),"")</f>
        <v>4*3</v>
      </c>
      <c r="AP79" s="108">
        <f t="shared" si="8"/>
        <v>20.7</v>
      </c>
      <c r="AQ79" s="108" t="str">
        <f t="array" ref="AQ79">IF(ISNUMBER(AC79),INDEX('All Player Data Store'!$P$8:$P$594,SMALL(IF('All Player Data Store'!$Y$7:$Y$594=AC79,ROW('All Player Data Store'!$Y$7:$Y$594)-ROW('All Player Data Store'!$Y$7)+1),COUNTIF($AC$8:AC79,AC79))),"")</f>
        <v>4*0</v>
      </c>
      <c r="AR79" s="108">
        <f t="shared" si="9"/>
        <v>22.55</v>
      </c>
      <c r="AS79" s="108" t="str">
        <f t="array" ref="AS79">IF(ISNUMBER(AC79),INDEX('All Player Data Store'!$Q$8:$Q$594,SMALL(IF('All Player Data Store'!$Y$7:$Y$594=AC79,ROW('All Player Data Store'!$Y$7:$Y$594)-ROW('All Player Data Store'!$Y$7)+1),COUNTIF($AC$8:AC79,AC79))),"")</f>
        <v>3*4</v>
      </c>
      <c r="AT79" s="108">
        <f t="shared" si="10"/>
        <v>19.75</v>
      </c>
      <c r="AU79" s="108" t="str">
        <f t="array" ref="AU79">IF(ISNUMBER(AC79),INDEX('All Player Data Store'!$R$8:$R$594,SMALL(IF('All Player Data Store'!$Y$7:$Y$594=AC79,ROW('All Player Data Store'!$Y$7:$Y$594)-ROW('All Player Data Store'!$Y$7)+1),COUNTIF($AC$8:AC79,AC79))),"")</f>
        <v>0*4(1)</v>
      </c>
      <c r="AV79" s="108">
        <f t="shared" si="11"/>
        <v>20.72</v>
      </c>
      <c r="AW79" s="108" t="str">
        <f t="array" ref="AW79">IF(ISNUMBER(AC79),INDEX('All Player Data Store'!$S$8:$S$594,SMALL(IF('All Player Data Store'!$Y$7:$Y$594=AC79,ROW('All Player Data Store'!$Y$7:$Y$594)-ROW('All Player Data Store'!$Y$7)+1),COUNTIF($AC$8:AC79,AC79))),"")</f>
        <v>4*1</v>
      </c>
      <c r="AX79" s="108">
        <f t="shared" si="12"/>
        <v>22.83</v>
      </c>
      <c r="AY79" s="108" t="str">
        <f t="array" ref="AY79">IF(ISNUMBER(AC79),INDEX('All Player Data Store'!$T$8:$T$594,SMALL(IF('All Player Data Store'!$Y$7:$Y$594=AC79,ROW('All Player Data Store'!$Y$7:$Y$594)-ROW('All Player Data Store'!$Y$7)+1),COUNTIF($AC$8:AC79,AC79))),"")</f>
        <v>3*4(1)</v>
      </c>
      <c r="AZ79" s="108">
        <f t="shared" si="13"/>
        <v>26.14</v>
      </c>
      <c r="BA79" s="108" t="str">
        <f t="array" ref="BA79">IF(ISNUMBER(AC79),INDEX('All Player Data Store'!$U$8:$U$594,SMALL(IF('All Player Data Store'!$Y$7:$Y$594=AC79,ROW('All Player Data Store'!$Y$7:$Y$594)-ROW('All Player Data Store'!$Y$7)+1),COUNTIF($AC$8:AC79,AC79))),"")</f>
        <v>0*4</v>
      </c>
      <c r="BB79" s="108">
        <f t="shared" si="14"/>
        <v>20.68</v>
      </c>
      <c r="BC79" s="108" t="str">
        <f t="array" ref="BC79">IF(ISNUMBER(AC79),INDEX('All Player Data Store'!$V$8:$V$594,SMALL(IF('All Player Data Store'!$Y$7:$Y$594=AC79,ROW('All Player Data Store'!$Y$7:$Y$594)-ROW('All Player Data Store'!$Y$7)+1),COUNTIF($AC$8:AC79,AC79))),"")</f>
        <v>1*4</v>
      </c>
      <c r="BD79" s="108">
        <f t="shared" si="15"/>
        <v>17.190000000000001</v>
      </c>
      <c r="BE79" s="1"/>
    </row>
    <row r="80" spans="2:57" ht="12" customHeight="1" x14ac:dyDescent="0.2">
      <c r="B80" s="98" t="str">
        <f t="shared" si="0"/>
        <v>N</v>
      </c>
      <c r="C80" s="1"/>
      <c r="D80" s="68">
        <f t="shared" si="1"/>
        <v>73</v>
      </c>
      <c r="E80" s="2"/>
      <c r="F80" s="78">
        <v>73</v>
      </c>
      <c r="G80" s="110" t="str">
        <f t="array" ref="G80">IF(ISNUMBER(AC80),INDEX('All Player Data Store'!$C$7:$C$594,SMALL(IF('All Player Data Store'!$Y$7:$Y$594=AC80,ROW('All Player Data Store'!$Y$7:$Y$594)-ROW('All Player Data Store'!$Y$7)+1),COUNTIF($AC$8:AC80,AC80))),"")</f>
        <v>Roy Pidgeon</v>
      </c>
      <c r="H80" s="111" t="str">
        <f t="array" ref="H80">IF(ISNUMBER(AC80),INDEX('All Player Data Store'!$D$7:$D$594,SMALL(IF('All Player Data Store'!$Y$7:$Y$594=AC80,ROW('All Player Data Store'!$Y$7:$Y$594)-ROW('All Player Data Store'!$Y$7)+1),COUNTIF($AC$8:AC80,AC80))),"")</f>
        <v>Swa</v>
      </c>
      <c r="I80" s="69">
        <f t="array" ref="I80">IF(ISNUMBER(AC80),INDEX('All Player Data Store'!$E$7:$E$594,SMALL(IF('All Player Data Store'!$Y$7:$Y$594=AC80,ROW('All Player Data Store'!$Y$7:$Y$594)-ROW('All Player Data Store'!$Y$7)+1),COUNTIF($AC$8:AC80,AC80))),"")</f>
        <v>7</v>
      </c>
      <c r="J80" s="70">
        <f t="array" ref="J80">IF(ISNUMBER(AC80),INDEX('All Player Data Store'!$F$7:$F$594,SMALL(IF('All Player Data Store'!$Y$7:$Y$594=AC80,ROW('All Player Data Store'!$Y$7:$Y$594)-ROW('All Player Data Store'!$Y$7)+1),COUNTIF($AC$8:AC80,AC80))),"")</f>
        <v>4</v>
      </c>
      <c r="K80" s="112">
        <f t="array" ref="K80">IF(ISNUMBER(AC80),INDEX('All Player Data Store'!$G$7:$G$594,SMALL(IF('All Player Data Store'!$Y$7:$Y$594=AC80,ROW('All Player Data Store'!$Y$7:$Y$594)-ROW('All Player Data Store'!$Y$7)+1),COUNTIF($AC$8:AC80,AC80))),"")</f>
        <v>3</v>
      </c>
      <c r="L80" s="112">
        <f t="array" ref="L80">IF(ISNUMBER(AC80),INDEX('All Player Data Store'!$H$7:$H$594,SMALL(IF('All Player Data Store'!$Y$7:$Y$594=AC80,ROW('All Player Data Store'!$Y$7:$Y$594)-ROW('All Player Data Store'!$Y$7)+1),COUNTIF($AC$8:AC80,AC80))),"")</f>
        <v>24</v>
      </c>
      <c r="M80" s="113">
        <f t="array" ref="M80">IF(ISNUMBER(AC80),INDEX('All Player Data Store'!$I$7:$I$594,SMALL(IF('All Player Data Store'!$Y$7:$Y$594=AC80,ROW('All Player Data Store'!$Y$7:$Y$594)-ROW('All Player Data Store'!$Y$7)+1),COUNTIF($AC$8:AC80,AC80))),"")</f>
        <v>20</v>
      </c>
      <c r="N80" s="114">
        <f t="array" ref="N80">IF(ISNUMBER(AC80),INDEX('All Player Data Store'!$J$7:$J$594,SMALL(IF('All Player Data Store'!$Y$7:$Y$594=AC80,ROW('All Player Data Store'!$Y$7:$Y$594)-ROW('All Player Data Store'!$Y$7)+1),COUNTIF($AC$8:AC80,AC80))),"")</f>
        <v>23.02</v>
      </c>
      <c r="O80" s="108">
        <f t="array" ref="O80">IF(ISNUMBER(AC80),INDEX('All Player Data Store'!$K$7:$K$594,SMALL(IF('All Player Data Store'!$Y$7:$Y$594=AC80,ROW('All Player Data Store'!$Y$7:$Y$594)-ROW('All Player Data Store'!$Y$7)+1),COUNTIF($AC$8:AC80,AC80))),"")</f>
        <v>20.43</v>
      </c>
      <c r="P80" s="108" t="str">
        <f t="array" ref="P80">IF(ISNUMBER(AC80),INDEX('All Player Data Store'!$L$7:$L$594,SMALL(IF('All Player Data Store'!$Y$7:$Y$594=AC80,ROW('All Player Data Store'!$Y$7:$Y$594)-ROW('All Player Data Store'!$Y$7)+1),COUNTIF($AC$8:AC80,AC80))),"")</f>
        <v/>
      </c>
      <c r="Q80" s="108">
        <f t="array" ref="Q80">IF(ISNUMBER(AC80),INDEX('All Player Data Store'!$M$7:$M$594,SMALL(IF('All Player Data Store'!$Y$7:$Y$594=AC80,ROW('All Player Data Store'!$Y$7:$Y$594)-ROW('All Player Data Store'!$Y$7)+1),COUNTIF($AC$8:AC80,AC80))),"")</f>
        <v>20.67</v>
      </c>
      <c r="R80" s="108">
        <f t="array" ref="R80">IF(ISNUMBER(AC80),INDEX('All Player Data Store'!$N$7:$N$594,SMALL(IF('All Player Data Store'!$Y$7:$Y$594=AC80,ROW('All Player Data Store'!$Y$7:$Y$594)-ROW('All Player Data Store'!$Y$7)+1),COUNTIF($AC$8:AC80,AC80))),"")</f>
        <v>21.06</v>
      </c>
      <c r="S80" s="108">
        <f t="array" ref="S80">IF(ISNUMBER(AC80),INDEX('All Player Data Store'!$O$7:$O$594,SMALL(IF('All Player Data Store'!$Y$7:$Y$594=AC80,ROW('All Player Data Store'!$Y$7:$Y$594)-ROW('All Player Data Store'!$Y$7)+1),COUNTIF($AC$8:AC80,AC80))),"")</f>
        <v>21.06</v>
      </c>
      <c r="T80" s="108">
        <f t="array" ref="T80">IF(ISNUMBER(AC80),INDEX('All Player Data Store'!$P$7:$P$594,SMALL(IF('All Player Data Store'!$Y$7:$Y$594=AC80,ROW('All Player Data Store'!$Y$7:$Y$594)-ROW('All Player Data Store'!$Y$7)+1),COUNTIF($AC$8:AC80,AC80))),"")</f>
        <v>23.51</v>
      </c>
      <c r="U80" s="108">
        <f t="array" ref="U80">IF(ISNUMBER(AC80),INDEX('All Player Data Store'!$Q$7:$Q$594,SMALL(IF('All Player Data Store'!$Y$7:$Y$594=AC80,ROW('All Player Data Store'!$Y$7:$Y$594)-ROW('All Player Data Store'!$Y$7)+1),COUNTIF($AC$8:AC80,AC80))),"")</f>
        <v>23.65</v>
      </c>
      <c r="V80" s="108" t="str">
        <f t="array" ref="V80">IF(ISNUMBER(AC80),INDEX('All Player Data Store'!$R$7:$R$594,SMALL(IF('All Player Data Store'!$Y$7:$Y$594=AC80,ROW('All Player Data Store'!$Y$7:$Y$594)-ROW('All Player Data Store'!$Y$7)+1),COUNTIF($AC$8:AC80,AC80))),"")</f>
        <v/>
      </c>
      <c r="W80" s="108" t="str">
        <f t="array" ref="W80">IF(ISNUMBER(AC80),INDEX('All Player Data Store'!$S$7:$S$594,SMALL(IF('All Player Data Store'!$Y$7:$Y$594=AC80,ROW('All Player Data Store'!$Y$7:$Y$594)-ROW('All Player Data Store'!$Y$7)+1),COUNTIF($AC$8:AC80,AC80))),"")</f>
        <v/>
      </c>
      <c r="X80" s="108" t="str">
        <f t="array" ref="X80">IF(ISNUMBER(AC80),INDEX('All Player Data Store'!$T$7:$T$594,SMALL(IF('All Player Data Store'!$Y$7:$Y$594=AC80,ROW('All Player Data Store'!$Y$7:$Y$594)-ROW('All Player Data Store'!$Y$7)+1),COUNTIF($AC$8:AC80,AC80))),"")</f>
        <v/>
      </c>
      <c r="Y80" s="108" t="str">
        <f t="array" ref="Y80">IF(ISNUMBER(AC80),INDEX('All Player Data Store'!$U$7:$U$594,SMALL(IF('All Player Data Store'!$Y$7:$Y$594=AC80,ROW('All Player Data Store'!$Y$7:$Y$594)-ROW('All Player Data Store'!$Y$7)+1),COUNTIF($AC$8:AC80,AC80))),"")</f>
        <v/>
      </c>
      <c r="Z80" s="108" t="str">
        <f t="array" ref="Z80">IF(ISNUMBER(AC80),INDEX('All Player Data Store'!$V$7:$V$594,SMALL(IF('All Player Data Store'!$Y$7:$Y$594=AC80,ROW('All Player Data Store'!$Y$7:$Y$594)-ROW('All Player Data Store'!$Y$7)+1),COUNTIF($AC$8:AC80,AC80))),"")</f>
        <v/>
      </c>
      <c r="AA80" s="112" t="str">
        <f t="array" ref="AA80">IF(ISNUMBER(AC80),INDEX('All Player Data Store'!$W$7:$W$594,SMALL(IF('All Player Data Store'!$Y$7:$Y$594=AC80,ROW('All Player Data Store'!$Y$7:$Y$594)-ROW('All Player Data Store'!$Y$7)+1),COUNTIF($AC$8:AC80,AC80))),"")</f>
        <v/>
      </c>
      <c r="AB80" s="108">
        <f t="array" ref="AB80">IF(ISNUMBER(AC80),INDEX('All Player Data Store'!$X$7:$X$594,SMALL(IF('All Player Data Store'!$Y$7:$Y$594=AC80,ROW('All Player Data Store'!$Y$7:$Y$594)-ROW('All Player Data Store'!$Y$7)+1),COUNTIF($AC$8:AC80,AC80))),"")</f>
        <v>21.914285714285715</v>
      </c>
      <c r="AC80" s="115">
        <f>IF(ISERROR(IF(ISERROR(LARGE('All Player Data Store'!$Y$7:$Y$594,73)),"",(LARGE('All Player Data Store'!$Y$7:$Y$594,73)))),"",(IF(ISERROR(LARGE('All Player Data Store'!$Y$7:$Y$594,73)),"",(LARGE('All Player Data Store'!$Y$7:$Y$594,73)))))</f>
        <v>25.914285714285715</v>
      </c>
      <c r="AD80" s="106">
        <f t="shared" si="2"/>
        <v>3</v>
      </c>
      <c r="AE80" s="107" t="str">
        <f t="array" ref="AE80">IF(ISNUMBER(AC80),INDEX('All Player Data Store'!$J$8:$J$594,SMALL(IF('All Player Data Store'!$Y$7:$Y$594=AC80,ROW('All Player Data Store'!$Y$7:$Y$594)-ROW('All Player Data Store'!$Y$7)+1),COUNTIF($AC$8:AC80,AC80))),"")</f>
        <v>4*0</v>
      </c>
      <c r="AF80" s="108">
        <f t="shared" si="3"/>
        <v>24.02</v>
      </c>
      <c r="AG80" s="108" t="str">
        <f t="array" ref="AG80">IF(ISNUMBER(AC80),INDEX('All Player Data Store'!$K$8:$K$594,SMALL(IF('All Player Data Store'!$Y$7:$Y$594=AC80,ROW('All Player Data Store'!$Y$7:$Y$594)-ROW('All Player Data Store'!$Y$7)+1),COUNTIF($AC$8:AC80,AC80))),"")</f>
        <v>4*2</v>
      </c>
      <c r="AH80" s="108">
        <f t="shared" si="4"/>
        <v>21.43</v>
      </c>
      <c r="AI80" s="108" t="str">
        <f t="array" ref="AI80">IF(ISNUMBER(AC80),INDEX('All Player Data Store'!$L$8:$L$594,SMALL(IF('All Player Data Store'!$Y$7:$Y$594=AC80,ROW('All Player Data Store'!$Y$7:$Y$594)-ROW('All Player Data Store'!$Y$7)+1),COUNTIF($AC$8:AC80,AC80))),"")</f>
        <v/>
      </c>
      <c r="AJ80" s="108" t="str">
        <f t="shared" si="5"/>
        <v/>
      </c>
      <c r="AK80" s="108" t="str">
        <f t="array" ref="AK80">IF(ISNUMBER(AC80),INDEX('All Player Data Store'!$M$8:$M$594,SMALL(IF('All Player Data Store'!$Y$7:$Y$594=AC80,ROW('All Player Data Store'!$Y$7:$Y$594)-ROW('All Player Data Store'!$Y$7)+1),COUNTIF($AC$8:AC80,AC80))),"")</f>
        <v>2*4</v>
      </c>
      <c r="AL80" s="108">
        <f t="shared" si="6"/>
        <v>20.67</v>
      </c>
      <c r="AM80" s="108" t="str">
        <f t="array" ref="AM80">IF(ISNUMBER(AC80),INDEX('All Player Data Store'!$N$8:$N$594,SMALL(IF('All Player Data Store'!$Y$7:$Y$594=AC80,ROW('All Player Data Store'!$Y$7:$Y$594)-ROW('All Player Data Store'!$Y$7)+1),COUNTIF($AC$8:AC80,AC80))),"")</f>
        <v>4*3</v>
      </c>
      <c r="AN80" s="108">
        <f t="shared" si="7"/>
        <v>22.06</v>
      </c>
      <c r="AO80" s="108" t="str">
        <f t="array" ref="AO80">IF(ISNUMBER(AC80),INDEX('All Player Data Store'!$O$8:$O$594,SMALL(IF('All Player Data Store'!$Y$7:$Y$594=AC80,ROW('All Player Data Store'!$Y$7:$Y$594)-ROW('All Player Data Store'!$Y$7)+1),COUNTIF($AC$8:AC80,AC80))),"")</f>
        <v>3*4</v>
      </c>
      <c r="AP80" s="108">
        <f t="shared" si="8"/>
        <v>21.06</v>
      </c>
      <c r="AQ80" s="108" t="str">
        <f t="array" ref="AQ80">IF(ISNUMBER(AC80),INDEX('All Player Data Store'!$P$8:$P$594,SMALL(IF('All Player Data Store'!$Y$7:$Y$594=AC80,ROW('All Player Data Store'!$Y$7:$Y$594)-ROW('All Player Data Store'!$Y$7)+1),COUNTIF($AC$8:AC80,AC80))),"")</f>
        <v>4*3</v>
      </c>
      <c r="AR80" s="108">
        <f t="shared" si="9"/>
        <v>24.51</v>
      </c>
      <c r="AS80" s="108" t="str">
        <f t="array" ref="AS80">IF(ISNUMBER(AC80),INDEX('All Player Data Store'!$Q$8:$Q$594,SMALL(IF('All Player Data Store'!$Y$7:$Y$594=AC80,ROW('All Player Data Store'!$Y$7:$Y$594)-ROW('All Player Data Store'!$Y$7)+1),COUNTIF($AC$8:AC80,AC80))),"")</f>
        <v>3*4</v>
      </c>
      <c r="AT80" s="108">
        <f t="shared" si="10"/>
        <v>23.65</v>
      </c>
      <c r="AU80" s="108" t="str">
        <f t="array" ref="AU80">IF(ISNUMBER(AC80),INDEX('All Player Data Store'!$R$8:$R$594,SMALL(IF('All Player Data Store'!$Y$7:$Y$594=AC80,ROW('All Player Data Store'!$Y$7:$Y$594)-ROW('All Player Data Store'!$Y$7)+1),COUNTIF($AC$8:AC80,AC80))),"")</f>
        <v/>
      </c>
      <c r="AV80" s="108" t="str">
        <f t="shared" si="11"/>
        <v/>
      </c>
      <c r="AW80" s="108" t="str">
        <f t="array" ref="AW80">IF(ISNUMBER(AC80),INDEX('All Player Data Store'!$S$8:$S$594,SMALL(IF('All Player Data Store'!$Y$7:$Y$594=AC80,ROW('All Player Data Store'!$Y$7:$Y$594)-ROW('All Player Data Store'!$Y$7)+1),COUNTIF($AC$8:AC80,AC80))),"")</f>
        <v/>
      </c>
      <c r="AX80" s="108" t="str">
        <f t="shared" si="12"/>
        <v/>
      </c>
      <c r="AY80" s="108" t="str">
        <f t="array" ref="AY80">IF(ISNUMBER(AC80),INDEX('All Player Data Store'!$T$8:$T$594,SMALL(IF('All Player Data Store'!$Y$7:$Y$594=AC80,ROW('All Player Data Store'!$Y$7:$Y$594)-ROW('All Player Data Store'!$Y$7)+1),COUNTIF($AC$8:AC80,AC80))),"")</f>
        <v/>
      </c>
      <c r="AZ80" s="108" t="str">
        <f t="shared" si="13"/>
        <v/>
      </c>
      <c r="BA80" s="108" t="str">
        <f t="array" ref="BA80">IF(ISNUMBER(AC80),INDEX('All Player Data Store'!$U$8:$U$594,SMALL(IF('All Player Data Store'!$Y$7:$Y$594=AC80,ROW('All Player Data Store'!$Y$7:$Y$594)-ROW('All Player Data Store'!$Y$7)+1),COUNTIF($AC$8:AC80,AC80))),"")</f>
        <v/>
      </c>
      <c r="BB80" s="108" t="str">
        <f t="shared" si="14"/>
        <v/>
      </c>
      <c r="BC80" s="108" t="str">
        <f t="array" ref="BC80">IF(ISNUMBER(AC80),INDEX('All Player Data Store'!$V$8:$V$594,SMALL(IF('All Player Data Store'!$Y$7:$Y$594=AC80,ROW('All Player Data Store'!$Y$7:$Y$594)-ROW('All Player Data Store'!$Y$7)+1),COUNTIF($AC$8:AC80,AC80))),"")</f>
        <v/>
      </c>
      <c r="BD80" s="108" t="str">
        <f t="shared" si="15"/>
        <v/>
      </c>
      <c r="BE80" s="1"/>
    </row>
    <row r="81" spans="2:57" ht="12" customHeight="1" x14ac:dyDescent="0.2">
      <c r="B81" s="98" t="str">
        <f t="shared" si="0"/>
        <v>Y</v>
      </c>
      <c r="C81" s="1"/>
      <c r="D81" s="68">
        <f t="shared" si="1"/>
        <v>74</v>
      </c>
      <c r="E81" s="2"/>
      <c r="F81" s="78">
        <v>74</v>
      </c>
      <c r="G81" s="110" t="str">
        <f t="array" ref="G81">IF(ISNUMBER(AC81),INDEX('All Player Data Store'!$C$7:$C$594,SMALL(IF('All Player Data Store'!$Y$7:$Y$594=AC81,ROW('All Player Data Store'!$Y$7:$Y$594)-ROW('All Player Data Store'!$Y$7)+1),COUNTIF($AC$8:AC81,AC81))),"")</f>
        <v>Wayne Mabey</v>
      </c>
      <c r="H81" s="111" t="str">
        <f t="array" ref="H81">IF(ISNUMBER(AC81),INDEX('All Player Data Store'!$D$7:$D$594,SMALL(IF('All Player Data Store'!$Y$7:$Y$594=AC81,ROW('All Player Data Store'!$Y$7:$Y$594)-ROW('All Player Data Store'!$Y$7)+1),COUNTIF($AC$8:AC81,AC81))),"")</f>
        <v>Bou</v>
      </c>
      <c r="I81" s="69">
        <f t="array" ref="I81">IF(ISNUMBER(AC81),INDEX('All Player Data Store'!$E$7:$E$594,SMALL(IF('All Player Data Store'!$Y$7:$Y$594=AC81,ROW('All Player Data Store'!$Y$7:$Y$594)-ROW('All Player Data Store'!$Y$7)+1),COUNTIF($AC$8:AC81,AC81))),"")</f>
        <v>12</v>
      </c>
      <c r="J81" s="70">
        <f t="array" ref="J81">IF(ISNUMBER(AC81),INDEX('All Player Data Store'!$F$7:$F$594,SMALL(IF('All Player Data Store'!$Y$7:$Y$594=AC81,ROW('All Player Data Store'!$Y$7:$Y$594)-ROW('All Player Data Store'!$Y$7)+1),COUNTIF($AC$8:AC81,AC81))),"")</f>
        <v>6</v>
      </c>
      <c r="K81" s="112">
        <f t="array" ref="K81">IF(ISNUMBER(AC81),INDEX('All Player Data Store'!$G$7:$G$594,SMALL(IF('All Player Data Store'!$Y$7:$Y$594=AC81,ROW('All Player Data Store'!$Y$7:$Y$594)-ROW('All Player Data Store'!$Y$7)+1),COUNTIF($AC$8:AC81,AC81))),"")</f>
        <v>6</v>
      </c>
      <c r="L81" s="112">
        <f t="array" ref="L81">IF(ISNUMBER(AC81),INDEX('All Player Data Store'!$H$7:$H$594,SMALL(IF('All Player Data Store'!$Y$7:$Y$594=AC81,ROW('All Player Data Store'!$Y$7:$Y$594)-ROW('All Player Data Store'!$Y$7)+1),COUNTIF($AC$8:AC81,AC81))),"")</f>
        <v>29</v>
      </c>
      <c r="M81" s="113">
        <f t="array" ref="M81">IF(ISNUMBER(AC81),INDEX('All Player Data Store'!$I$7:$I$594,SMALL(IF('All Player Data Store'!$Y$7:$Y$594=AC81,ROW('All Player Data Store'!$Y$7:$Y$594)-ROW('All Player Data Store'!$Y$7)+1),COUNTIF($AC$8:AC81,AC81))),"")</f>
        <v>35</v>
      </c>
      <c r="N81" s="114">
        <f t="array" ref="N81">IF(ISNUMBER(AC81),INDEX('All Player Data Store'!$J$7:$J$594,SMALL(IF('All Player Data Store'!$Y$7:$Y$594=AC81,ROW('All Player Data Store'!$Y$7:$Y$594)-ROW('All Player Data Store'!$Y$7)+1),COUNTIF($AC$8:AC81,AC81))),"")</f>
        <v>16.98</v>
      </c>
      <c r="O81" s="108">
        <f t="array" ref="O81">IF(ISNUMBER(AC81),INDEX('All Player Data Store'!$K$7:$K$594,SMALL(IF('All Player Data Store'!$Y$7:$Y$594=AC81,ROW('All Player Data Store'!$Y$7:$Y$594)-ROW('All Player Data Store'!$Y$7)+1),COUNTIF($AC$8:AC81,AC81))),"")</f>
        <v>19.27</v>
      </c>
      <c r="P81" s="108">
        <f t="array" ref="P81">IF(ISNUMBER(AC81),INDEX('All Player Data Store'!$L$7:$L$594,SMALL(IF('All Player Data Store'!$Y$7:$Y$594=AC81,ROW('All Player Data Store'!$Y$7:$Y$594)-ROW('All Player Data Store'!$Y$7)+1),COUNTIF($AC$8:AC81,AC81))),"")</f>
        <v>22.18</v>
      </c>
      <c r="Q81" s="108">
        <f t="array" ref="Q81">IF(ISNUMBER(AC81),INDEX('All Player Data Store'!$M$7:$M$594,SMALL(IF('All Player Data Store'!$Y$7:$Y$594=AC81,ROW('All Player Data Store'!$Y$7:$Y$594)-ROW('All Player Data Store'!$Y$7)+1),COUNTIF($AC$8:AC81,AC81))),"")</f>
        <v>20.11</v>
      </c>
      <c r="R81" s="108">
        <f t="array" ref="R81">IF(ISNUMBER(AC81),INDEX('All Player Data Store'!$N$7:$N$594,SMALL(IF('All Player Data Store'!$Y$7:$Y$594=AC81,ROW('All Player Data Store'!$Y$7:$Y$594)-ROW('All Player Data Store'!$Y$7)+1),COUNTIF($AC$8:AC81,AC81))),"")</f>
        <v>18.329999999999998</v>
      </c>
      <c r="S81" s="108">
        <f t="array" ref="S81">IF(ISNUMBER(AC81),INDEX('All Player Data Store'!$O$7:$O$594,SMALL(IF('All Player Data Store'!$Y$7:$Y$594=AC81,ROW('All Player Data Store'!$Y$7:$Y$594)-ROW('All Player Data Store'!$Y$7)+1),COUNTIF($AC$8:AC81,AC81))),"")</f>
        <v>21.32</v>
      </c>
      <c r="T81" s="108">
        <f t="array" ref="T81">IF(ISNUMBER(AC81),INDEX('All Player Data Store'!$P$7:$P$594,SMALL(IF('All Player Data Store'!$Y$7:$Y$594=AC81,ROW('All Player Data Store'!$Y$7:$Y$594)-ROW('All Player Data Store'!$Y$7)+1),COUNTIF($AC$8:AC81,AC81))),"")</f>
        <v>18.73</v>
      </c>
      <c r="U81" s="108" t="str">
        <f t="array" ref="U81">IF(ISNUMBER(AC81),INDEX('All Player Data Store'!$Q$7:$Q$594,SMALL(IF('All Player Data Store'!$Y$7:$Y$594=AC81,ROW('All Player Data Store'!$Y$7:$Y$594)-ROW('All Player Data Store'!$Y$7)+1),COUNTIF($AC$8:AC81,AC81))),"")</f>
        <v/>
      </c>
      <c r="V81" s="108">
        <f t="array" ref="V81">IF(ISNUMBER(AC81),INDEX('All Player Data Store'!$R$7:$R$594,SMALL(IF('All Player Data Store'!$Y$7:$Y$594=AC81,ROW('All Player Data Store'!$Y$7:$Y$594)-ROW('All Player Data Store'!$Y$7)+1),COUNTIF($AC$8:AC81,AC81))),"")</f>
        <v>19.84</v>
      </c>
      <c r="W81" s="108">
        <f t="array" ref="W81">IF(ISNUMBER(AC81),INDEX('All Player Data Store'!$S$7:$S$594,SMALL(IF('All Player Data Store'!$Y$7:$Y$594=AC81,ROW('All Player Data Store'!$Y$7:$Y$594)-ROW('All Player Data Store'!$Y$7)+1),COUNTIF($AC$8:AC81,AC81))),"")</f>
        <v>17.899999999999999</v>
      </c>
      <c r="X81" s="108">
        <f t="array" ref="X81">IF(ISNUMBER(AC81),INDEX('All Player Data Store'!$T$7:$T$594,SMALL(IF('All Player Data Store'!$Y$7:$Y$594=AC81,ROW('All Player Data Store'!$Y$7:$Y$594)-ROW('All Player Data Store'!$Y$7)+1),COUNTIF($AC$8:AC81,AC81))),"")</f>
        <v>22.14</v>
      </c>
      <c r="Y81" s="108">
        <f t="array" ref="Y81">IF(ISNUMBER(AC81),INDEX('All Player Data Store'!$U$7:$U$594,SMALL(IF('All Player Data Store'!$Y$7:$Y$594=AC81,ROW('All Player Data Store'!$Y$7:$Y$594)-ROW('All Player Data Store'!$Y$7)+1),COUNTIF($AC$8:AC81,AC81))),"")</f>
        <v>20.04</v>
      </c>
      <c r="Z81" s="108">
        <f t="array" ref="Z81">IF(ISNUMBER(AC81),INDEX('All Player Data Store'!$V$7:$V$594,SMALL(IF('All Player Data Store'!$Y$7:$Y$594=AC81,ROW('All Player Data Store'!$Y$7:$Y$594)-ROW('All Player Data Store'!$Y$7)+1),COUNTIF($AC$8:AC81,AC81))),"")</f>
        <v>20.18</v>
      </c>
      <c r="AA81" s="112">
        <f t="array" ref="AA81">IF(ISNUMBER(AC81),INDEX('All Player Data Store'!$W$7:$W$594,SMALL(IF('All Player Data Store'!$Y$7:$Y$594=AC81,ROW('All Player Data Store'!$Y$7:$Y$594)-ROW('All Player Data Store'!$Y$7)+1),COUNTIF($AC$8:AC81,AC81))),"")</f>
        <v>1</v>
      </c>
      <c r="AB81" s="108">
        <f t="array" ref="AB81">IF(ISNUMBER(AC81),INDEX('All Player Data Store'!$X$7:$X$594,SMALL(IF('All Player Data Store'!$Y$7:$Y$594=AC81,ROW('All Player Data Store'!$Y$7:$Y$594)-ROW('All Player Data Store'!$Y$7)+1),COUNTIF($AC$8:AC81,AC81))),"")</f>
        <v>19.751666666666669</v>
      </c>
      <c r="AC81" s="115">
        <f>IF(ISERROR(IF(ISERROR(LARGE('All Player Data Store'!$Y$7:$Y$594,74)),"",(LARGE('All Player Data Store'!$Y$7:$Y$594,74)))),"",(IF(ISERROR(LARGE('All Player Data Store'!$Y$7:$Y$594,74)),"",(LARGE('All Player Data Store'!$Y$7:$Y$594,74)))))</f>
        <v>25.751666666666669</v>
      </c>
      <c r="AD81" s="106">
        <f t="shared" si="2"/>
        <v>3</v>
      </c>
      <c r="AE81" s="107" t="str">
        <f t="array" ref="AE81">IF(ISNUMBER(AC81),INDEX('All Player Data Store'!$J$8:$J$594,SMALL(IF('All Player Data Store'!$Y$7:$Y$594=AC81,ROW('All Player Data Store'!$Y$7:$Y$594)-ROW('All Player Data Store'!$Y$7)+1),COUNTIF($AC$8:AC81,AC81))),"")</f>
        <v>4*0</v>
      </c>
      <c r="AF81" s="108">
        <f t="shared" si="3"/>
        <v>17.98</v>
      </c>
      <c r="AG81" s="108" t="str">
        <f t="array" ref="AG81">IF(ISNUMBER(AC81),INDEX('All Player Data Store'!$K$8:$K$594,SMALL(IF('All Player Data Store'!$Y$7:$Y$594=AC81,ROW('All Player Data Store'!$Y$7:$Y$594)-ROW('All Player Data Store'!$Y$7)+1),COUNTIF($AC$8:AC81,AC81))),"")</f>
        <v>4*3</v>
      </c>
      <c r="AH81" s="108">
        <f t="shared" si="4"/>
        <v>20.27</v>
      </c>
      <c r="AI81" s="108" t="str">
        <f t="array" ref="AI81">IF(ISNUMBER(AC81),INDEX('All Player Data Store'!$L$8:$L$594,SMALL(IF('All Player Data Store'!$Y$7:$Y$594=AC81,ROW('All Player Data Store'!$Y$7:$Y$594)-ROW('All Player Data Store'!$Y$7)+1),COUNTIF($AC$8:AC81,AC81))),"")</f>
        <v>0*4</v>
      </c>
      <c r="AJ81" s="108">
        <f t="shared" si="5"/>
        <v>22.18</v>
      </c>
      <c r="AK81" s="108" t="str">
        <f t="array" ref="AK81">IF(ISNUMBER(AC81),INDEX('All Player Data Store'!$M$8:$M$594,SMALL(IF('All Player Data Store'!$Y$7:$Y$594=AC81,ROW('All Player Data Store'!$Y$7:$Y$594)-ROW('All Player Data Store'!$Y$7)+1),COUNTIF($AC$8:AC81,AC81))),"")</f>
        <v>0*4</v>
      </c>
      <c r="AL81" s="108">
        <f t="shared" si="6"/>
        <v>20.11</v>
      </c>
      <c r="AM81" s="108" t="str">
        <f t="array" ref="AM81">IF(ISNUMBER(AC81),INDEX('All Player Data Store'!$N$8:$N$594,SMALL(IF('All Player Data Store'!$Y$7:$Y$594=AC81,ROW('All Player Data Store'!$Y$7:$Y$594)-ROW('All Player Data Store'!$Y$7)+1),COUNTIF($AC$8:AC81,AC81))),"")</f>
        <v>4*3</v>
      </c>
      <c r="AN81" s="108">
        <f t="shared" si="7"/>
        <v>19.329999999999998</v>
      </c>
      <c r="AO81" s="108" t="str">
        <f t="array" ref="AO81">IF(ISNUMBER(AC81),INDEX('All Player Data Store'!$O$8:$O$594,SMALL(IF('All Player Data Store'!$Y$7:$Y$594=AC81,ROW('All Player Data Store'!$Y$7:$Y$594)-ROW('All Player Data Store'!$Y$7)+1),COUNTIF($AC$8:AC81,AC81))),"")</f>
        <v>4*0</v>
      </c>
      <c r="AP81" s="108">
        <f t="shared" si="8"/>
        <v>22.32</v>
      </c>
      <c r="AQ81" s="108" t="str">
        <f t="array" ref="AQ81">IF(ISNUMBER(AC81),INDEX('All Player Data Store'!$P$8:$P$594,SMALL(IF('All Player Data Store'!$Y$7:$Y$594=AC81,ROW('All Player Data Store'!$Y$7:$Y$594)-ROW('All Player Data Store'!$Y$7)+1),COUNTIF($AC$8:AC81,AC81))),"")</f>
        <v>0*4</v>
      </c>
      <c r="AR81" s="108">
        <f t="shared" si="9"/>
        <v>18.73</v>
      </c>
      <c r="AS81" s="108" t="str">
        <f t="array" ref="AS81">IF(ISNUMBER(AC81),INDEX('All Player Data Store'!$Q$8:$Q$594,SMALL(IF('All Player Data Store'!$Y$7:$Y$594=AC81,ROW('All Player Data Store'!$Y$7:$Y$594)-ROW('All Player Data Store'!$Y$7)+1),COUNTIF($AC$8:AC81,AC81))),"")</f>
        <v/>
      </c>
      <c r="AT81" s="108" t="str">
        <f t="shared" si="10"/>
        <v/>
      </c>
      <c r="AU81" s="108" t="str">
        <f t="array" ref="AU81">IF(ISNUMBER(AC81),INDEX('All Player Data Store'!$R$8:$R$594,SMALL(IF('All Player Data Store'!$Y$7:$Y$594=AC81,ROW('All Player Data Store'!$Y$7:$Y$594)-ROW('All Player Data Store'!$Y$7)+1),COUNTIF($AC$8:AC81,AC81))),"")</f>
        <v>2*4</v>
      </c>
      <c r="AV81" s="108">
        <f t="shared" si="11"/>
        <v>19.84</v>
      </c>
      <c r="AW81" s="108" t="str">
        <f t="array" ref="AW81">IF(ISNUMBER(AC81),INDEX('All Player Data Store'!$S$8:$S$594,SMALL(IF('All Player Data Store'!$Y$7:$Y$594=AC81,ROW('All Player Data Store'!$Y$7:$Y$594)-ROW('All Player Data Store'!$Y$7)+1),COUNTIF($AC$8:AC81,AC81))),"")</f>
        <v>3*4</v>
      </c>
      <c r="AX81" s="108">
        <f t="shared" si="12"/>
        <v>17.899999999999999</v>
      </c>
      <c r="AY81" s="108" t="str">
        <f t="array" ref="AY81">IF(ISNUMBER(AC81),INDEX('All Player Data Store'!$T$8:$T$594,SMALL(IF('All Player Data Store'!$Y$7:$Y$594=AC81,ROW('All Player Data Store'!$Y$7:$Y$594)-ROW('All Player Data Store'!$Y$7)+1),COUNTIF($AC$8:AC81,AC81))),"")</f>
        <v>4*3(1)</v>
      </c>
      <c r="AZ81" s="108">
        <f t="shared" si="13"/>
        <v>23.14</v>
      </c>
      <c r="BA81" s="108" t="str">
        <f t="array" ref="BA81">IF(ISNUMBER(AC81),INDEX('All Player Data Store'!$U$8:$U$594,SMALL(IF('All Player Data Store'!$Y$7:$Y$594=AC81,ROW('All Player Data Store'!$Y$7:$Y$594)-ROW('All Player Data Store'!$Y$7)+1),COUNTIF($AC$8:AC81,AC81))),"")</f>
        <v>0*4</v>
      </c>
      <c r="BB81" s="108">
        <f t="shared" si="14"/>
        <v>20.04</v>
      </c>
      <c r="BC81" s="108" t="str">
        <f t="array" ref="BC81">IF(ISNUMBER(AC81),INDEX('All Player Data Store'!$V$8:$V$594,SMALL(IF('All Player Data Store'!$Y$7:$Y$594=AC81,ROW('All Player Data Store'!$Y$7:$Y$594)-ROW('All Player Data Store'!$Y$7)+1),COUNTIF($AC$8:AC81,AC81))),"")</f>
        <v>4*2</v>
      </c>
      <c r="BD81" s="108">
        <f t="shared" si="15"/>
        <v>21.18</v>
      </c>
      <c r="BE81" s="1"/>
    </row>
    <row r="82" spans="2:57" ht="12" customHeight="1" x14ac:dyDescent="0.2">
      <c r="B82" s="98" t="str">
        <f t="shared" si="0"/>
        <v>Y</v>
      </c>
      <c r="C82" s="1"/>
      <c r="D82" s="68">
        <f t="shared" si="1"/>
        <v>75</v>
      </c>
      <c r="E82" s="2"/>
      <c r="F82" s="78">
        <v>75</v>
      </c>
      <c r="G82" s="110" t="str">
        <f t="array" ref="G82">IF(ISNUMBER(AC82),INDEX('All Player Data Store'!$C$7:$C$594,SMALL(IF('All Player Data Store'!$Y$7:$Y$594=AC82,ROW('All Player Data Store'!$Y$7:$Y$594)-ROW('All Player Data Store'!$Y$7)+1),COUNTIF($AC$8:AC82,AC82))),"")</f>
        <v>Dan Walker</v>
      </c>
      <c r="H82" s="111" t="str">
        <f t="array" ref="H82">IF(ISNUMBER(AC82),INDEX('All Player Data Store'!$D$7:$D$594,SMALL(IF('All Player Data Store'!$Y$7:$Y$594=AC82,ROW('All Player Data Store'!$Y$7:$Y$594)-ROW('All Player Data Store'!$Y$7)+1),COUNTIF($AC$8:AC82,AC82))),"")</f>
        <v>Chr</v>
      </c>
      <c r="I82" s="69">
        <f t="array" ref="I82">IF(ISNUMBER(AC82),INDEX('All Player Data Store'!$E$7:$E$594,SMALL(IF('All Player Data Store'!$Y$7:$Y$594=AC82,ROW('All Player Data Store'!$Y$7:$Y$594)-ROW('All Player Data Store'!$Y$7)+1),COUNTIF($AC$8:AC82,AC82))),"")</f>
        <v>13</v>
      </c>
      <c r="J82" s="70">
        <f t="array" ref="J82">IF(ISNUMBER(AC82),INDEX('All Player Data Store'!$F$7:$F$594,SMALL(IF('All Player Data Store'!$Y$7:$Y$594=AC82,ROW('All Player Data Store'!$Y$7:$Y$594)-ROW('All Player Data Store'!$Y$7)+1),COUNTIF($AC$8:AC82,AC82))),"")</f>
        <v>5</v>
      </c>
      <c r="K82" s="112">
        <f t="array" ref="K82">IF(ISNUMBER(AC82),INDEX('All Player Data Store'!$G$7:$G$594,SMALL(IF('All Player Data Store'!$Y$7:$Y$594=AC82,ROW('All Player Data Store'!$Y$7:$Y$594)-ROW('All Player Data Store'!$Y$7)+1),COUNTIF($AC$8:AC82,AC82))),"")</f>
        <v>8</v>
      </c>
      <c r="L82" s="112">
        <f t="array" ref="L82">IF(ISNUMBER(AC82),INDEX('All Player Data Store'!$H$7:$H$594,SMALL(IF('All Player Data Store'!$Y$7:$Y$594=AC82,ROW('All Player Data Store'!$Y$7:$Y$594)-ROW('All Player Data Store'!$Y$7)+1),COUNTIF($AC$8:AC82,AC82))),"")</f>
        <v>34</v>
      </c>
      <c r="M82" s="113">
        <f t="array" ref="M82">IF(ISNUMBER(AC82),INDEX('All Player Data Store'!$I$7:$I$594,SMALL(IF('All Player Data Store'!$Y$7:$Y$594=AC82,ROW('All Player Data Store'!$Y$7:$Y$594)-ROW('All Player Data Store'!$Y$7)+1),COUNTIF($AC$8:AC82,AC82))),"")</f>
        <v>42</v>
      </c>
      <c r="N82" s="114">
        <f t="array" ref="N82">IF(ISNUMBER(AC82),INDEX('All Player Data Store'!$J$7:$J$594,SMALL(IF('All Player Data Store'!$Y$7:$Y$594=AC82,ROW('All Player Data Store'!$Y$7:$Y$594)-ROW('All Player Data Store'!$Y$7)+1),COUNTIF($AC$8:AC82,AC82))),"")</f>
        <v>19.52</v>
      </c>
      <c r="O82" s="108">
        <f t="array" ref="O82">IF(ISNUMBER(AC82),INDEX('All Player Data Store'!$K$7:$K$594,SMALL(IF('All Player Data Store'!$Y$7:$Y$594=AC82,ROW('All Player Data Store'!$Y$7:$Y$594)-ROW('All Player Data Store'!$Y$7)+1),COUNTIF($AC$8:AC82,AC82))),"")</f>
        <v>22.36</v>
      </c>
      <c r="P82" s="108">
        <f t="array" ref="P82">IF(ISNUMBER(AC82),INDEX('All Player Data Store'!$L$7:$L$594,SMALL(IF('All Player Data Store'!$Y$7:$Y$594=AC82,ROW('All Player Data Store'!$Y$7:$Y$594)-ROW('All Player Data Store'!$Y$7)+1),COUNTIF($AC$8:AC82,AC82))),"")</f>
        <v>21.31</v>
      </c>
      <c r="Q82" s="108">
        <f t="array" ref="Q82">IF(ISNUMBER(AC82),INDEX('All Player Data Store'!$M$7:$M$594,SMALL(IF('All Player Data Store'!$Y$7:$Y$594=AC82,ROW('All Player Data Store'!$Y$7:$Y$594)-ROW('All Player Data Store'!$Y$7)+1),COUNTIF($AC$8:AC82,AC82))),"")</f>
        <v>19.41</v>
      </c>
      <c r="R82" s="108">
        <f t="array" ref="R82">IF(ISNUMBER(AC82),INDEX('All Player Data Store'!$N$7:$N$594,SMALL(IF('All Player Data Store'!$Y$7:$Y$594=AC82,ROW('All Player Data Store'!$Y$7:$Y$594)-ROW('All Player Data Store'!$Y$7)+1),COUNTIF($AC$8:AC82,AC82))),"")</f>
        <v>20.14</v>
      </c>
      <c r="S82" s="108">
        <f t="array" ref="S82">IF(ISNUMBER(AC82),INDEX('All Player Data Store'!$O$7:$O$594,SMALL(IF('All Player Data Store'!$Y$7:$Y$594=AC82,ROW('All Player Data Store'!$Y$7:$Y$594)-ROW('All Player Data Store'!$Y$7)+1),COUNTIF($AC$8:AC82,AC82))),"")</f>
        <v>21.85</v>
      </c>
      <c r="T82" s="108">
        <f t="array" ref="T82">IF(ISNUMBER(AC82),INDEX('All Player Data Store'!$P$7:$P$594,SMALL(IF('All Player Data Store'!$Y$7:$Y$594=AC82,ROW('All Player Data Store'!$Y$7:$Y$594)-ROW('All Player Data Store'!$Y$7)+1),COUNTIF($AC$8:AC82,AC82))),"")</f>
        <v>21.47</v>
      </c>
      <c r="U82" s="108">
        <f t="array" ref="U82">IF(ISNUMBER(AC82),INDEX('All Player Data Store'!$Q$7:$Q$594,SMALL(IF('All Player Data Store'!$Y$7:$Y$594=AC82,ROW('All Player Data Store'!$Y$7:$Y$594)-ROW('All Player Data Store'!$Y$7)+1),COUNTIF($AC$8:AC82,AC82))),"")</f>
        <v>22.02</v>
      </c>
      <c r="V82" s="108">
        <f t="array" ref="V82">IF(ISNUMBER(AC82),INDEX('All Player Data Store'!$R$7:$R$594,SMALL(IF('All Player Data Store'!$Y$7:$Y$594=AC82,ROW('All Player Data Store'!$Y$7:$Y$594)-ROW('All Player Data Store'!$Y$7)+1),COUNTIF($AC$8:AC82,AC82))),"")</f>
        <v>22.96</v>
      </c>
      <c r="W82" s="108">
        <f t="array" ref="W82">IF(ISNUMBER(AC82),INDEX('All Player Data Store'!$S$7:$S$594,SMALL(IF('All Player Data Store'!$Y$7:$Y$594=AC82,ROW('All Player Data Store'!$Y$7:$Y$594)-ROW('All Player Data Store'!$Y$7)+1),COUNTIF($AC$8:AC82,AC82))),"")</f>
        <v>20.04</v>
      </c>
      <c r="X82" s="108">
        <f t="array" ref="X82">IF(ISNUMBER(AC82),INDEX('All Player Data Store'!$T$7:$T$594,SMALL(IF('All Player Data Store'!$Y$7:$Y$594=AC82,ROW('All Player Data Store'!$Y$7:$Y$594)-ROW('All Player Data Store'!$Y$7)+1),COUNTIF($AC$8:AC82,AC82))),"")</f>
        <v>19.850000000000001</v>
      </c>
      <c r="Y82" s="108">
        <f t="array" ref="Y82">IF(ISNUMBER(AC82),INDEX('All Player Data Store'!$U$7:$U$594,SMALL(IF('All Player Data Store'!$Y$7:$Y$594=AC82,ROW('All Player Data Store'!$Y$7:$Y$594)-ROW('All Player Data Store'!$Y$7)+1),COUNTIF($AC$8:AC82,AC82))),"")</f>
        <v>17.73</v>
      </c>
      <c r="Z82" s="108">
        <f t="array" ref="Z82">IF(ISNUMBER(AC82),INDEX('All Player Data Store'!$V$7:$V$594,SMALL(IF('All Player Data Store'!$Y$7:$Y$594=AC82,ROW('All Player Data Store'!$Y$7:$Y$594)-ROW('All Player Data Store'!$Y$7)+1),COUNTIF($AC$8:AC82,AC82))),"")</f>
        <v>20.36</v>
      </c>
      <c r="AA82" s="112">
        <f t="array" ref="AA82">IF(ISNUMBER(AC82),INDEX('All Player Data Store'!$W$7:$W$594,SMALL(IF('All Player Data Store'!$Y$7:$Y$594=AC82,ROW('All Player Data Store'!$Y$7:$Y$594)-ROW('All Player Data Store'!$Y$7)+1),COUNTIF($AC$8:AC82,AC82))),"")</f>
        <v>3</v>
      </c>
      <c r="AB82" s="108">
        <f t="array" ref="AB82">IF(ISNUMBER(AC82),INDEX('All Player Data Store'!$X$7:$X$594,SMALL(IF('All Player Data Store'!$Y$7:$Y$594=AC82,ROW('All Player Data Store'!$Y$7:$Y$594)-ROW('All Player Data Store'!$Y$7)+1),COUNTIF($AC$8:AC82,AC82))),"")</f>
        <v>20.693846153846152</v>
      </c>
      <c r="AC82" s="115">
        <f>IF(ISERROR(IF(ISERROR(LARGE('All Player Data Store'!$Y$7:$Y$594,75)),"",(LARGE('All Player Data Store'!$Y$7:$Y$594,75)))),"",(IF(ISERROR(LARGE('All Player Data Store'!$Y$7:$Y$594,75)),"",(LARGE('All Player Data Store'!$Y$7:$Y$594,75)))))</f>
        <v>25.693846153846152</v>
      </c>
      <c r="AD82" s="106">
        <f t="shared" si="2"/>
        <v>3</v>
      </c>
      <c r="AE82" s="107" t="str">
        <f t="array" ref="AE82">IF(ISNUMBER(AC82),INDEX('All Player Data Store'!$J$8:$J$594,SMALL(IF('All Player Data Store'!$Y$7:$Y$594=AC82,ROW('All Player Data Store'!$Y$7:$Y$594)-ROW('All Player Data Store'!$Y$7)+1),COUNTIF($AC$8:AC82,AC82))),"")</f>
        <v>4*3</v>
      </c>
      <c r="AF82" s="108">
        <f t="shared" si="3"/>
        <v>20.52</v>
      </c>
      <c r="AG82" s="108" t="str">
        <f t="array" ref="AG82">IF(ISNUMBER(AC82),INDEX('All Player Data Store'!$K$8:$K$594,SMALL(IF('All Player Data Store'!$Y$7:$Y$594=AC82,ROW('All Player Data Store'!$Y$7:$Y$594)-ROW('All Player Data Store'!$Y$7)+1),COUNTIF($AC$8:AC82,AC82))),"")</f>
        <v>3*4</v>
      </c>
      <c r="AH82" s="108">
        <f t="shared" si="4"/>
        <v>22.36</v>
      </c>
      <c r="AI82" s="108" t="str">
        <f t="array" ref="AI82">IF(ISNUMBER(AC82),INDEX('All Player Data Store'!$L$8:$L$594,SMALL(IF('All Player Data Store'!$Y$7:$Y$594=AC82,ROW('All Player Data Store'!$Y$7:$Y$594)-ROW('All Player Data Store'!$Y$7)+1),COUNTIF($AC$8:AC82,AC82))),"")</f>
        <v>4*2</v>
      </c>
      <c r="AJ82" s="108">
        <f t="shared" si="5"/>
        <v>22.31</v>
      </c>
      <c r="AK82" s="108" t="str">
        <f t="array" ref="AK82">IF(ISNUMBER(AC82),INDEX('All Player Data Store'!$M$8:$M$594,SMALL(IF('All Player Data Store'!$Y$7:$Y$594=AC82,ROW('All Player Data Store'!$Y$7:$Y$594)-ROW('All Player Data Store'!$Y$7)+1),COUNTIF($AC$8:AC82,AC82))),"")</f>
        <v>4*3(1)</v>
      </c>
      <c r="AL82" s="108">
        <f t="shared" si="6"/>
        <v>20.41</v>
      </c>
      <c r="AM82" s="108" t="str">
        <f t="array" ref="AM82">IF(ISNUMBER(AC82),INDEX('All Player Data Store'!$N$8:$N$594,SMALL(IF('All Player Data Store'!$Y$7:$Y$594=AC82,ROW('All Player Data Store'!$Y$7:$Y$594)-ROW('All Player Data Store'!$Y$7)+1),COUNTIF($AC$8:AC82,AC82))),"")</f>
        <v>1*4(1)</v>
      </c>
      <c r="AN82" s="108">
        <f t="shared" si="7"/>
        <v>20.14</v>
      </c>
      <c r="AO82" s="108" t="str">
        <f t="array" ref="AO82">IF(ISNUMBER(AC82),INDEX('All Player Data Store'!$O$8:$O$594,SMALL(IF('All Player Data Store'!$Y$7:$Y$594=AC82,ROW('All Player Data Store'!$Y$7:$Y$594)-ROW('All Player Data Store'!$Y$7)+1),COUNTIF($AC$8:AC82,AC82))),"")</f>
        <v>1*4</v>
      </c>
      <c r="AP82" s="108">
        <f t="shared" si="8"/>
        <v>21.85</v>
      </c>
      <c r="AQ82" s="108" t="str">
        <f t="array" ref="AQ82">IF(ISNUMBER(AC82),INDEX('All Player Data Store'!$P$8:$P$594,SMALL(IF('All Player Data Store'!$Y$7:$Y$594=AC82,ROW('All Player Data Store'!$Y$7:$Y$594)-ROW('All Player Data Store'!$Y$7)+1),COUNTIF($AC$8:AC82,AC82))),"")</f>
        <v>2*4</v>
      </c>
      <c r="AR82" s="108">
        <f t="shared" si="9"/>
        <v>21.47</v>
      </c>
      <c r="AS82" s="108" t="str">
        <f t="array" ref="AS82">IF(ISNUMBER(AC82),INDEX('All Player Data Store'!$Q$8:$Q$594,SMALL(IF('All Player Data Store'!$Y$7:$Y$594=AC82,ROW('All Player Data Store'!$Y$7:$Y$594)-ROW('All Player Data Store'!$Y$7)+1),COUNTIF($AC$8:AC82,AC82))),"")</f>
        <v>4*0</v>
      </c>
      <c r="AT82" s="108">
        <f t="shared" si="10"/>
        <v>23.02</v>
      </c>
      <c r="AU82" s="108" t="str">
        <f t="array" ref="AU82">IF(ISNUMBER(AC82),INDEX('All Player Data Store'!$R$8:$R$594,SMALL(IF('All Player Data Store'!$Y$7:$Y$594=AC82,ROW('All Player Data Store'!$Y$7:$Y$594)-ROW('All Player Data Store'!$Y$7)+1),COUNTIF($AC$8:AC82,AC82))),"")</f>
        <v>1*4</v>
      </c>
      <c r="AV82" s="108">
        <f t="shared" si="11"/>
        <v>22.96</v>
      </c>
      <c r="AW82" s="108" t="str">
        <f t="array" ref="AW82">IF(ISNUMBER(AC82),INDEX('All Player Data Store'!$S$8:$S$594,SMALL(IF('All Player Data Store'!$Y$7:$Y$594=AC82,ROW('All Player Data Store'!$Y$7:$Y$594)-ROW('All Player Data Store'!$Y$7)+1),COUNTIF($AC$8:AC82,AC82))),"")</f>
        <v>4*2</v>
      </c>
      <c r="AX82" s="108">
        <f t="shared" si="12"/>
        <v>21.04</v>
      </c>
      <c r="AY82" s="108" t="str">
        <f t="array" ref="AY82">IF(ISNUMBER(AC82),INDEX('All Player Data Store'!$T$8:$T$594,SMALL(IF('All Player Data Store'!$Y$7:$Y$594=AC82,ROW('All Player Data Store'!$Y$7:$Y$594)-ROW('All Player Data Store'!$Y$7)+1),COUNTIF($AC$8:AC82,AC82))),"")</f>
        <v>3*4(1)</v>
      </c>
      <c r="AZ82" s="108">
        <f t="shared" si="13"/>
        <v>19.850000000000001</v>
      </c>
      <c r="BA82" s="108" t="str">
        <f t="array" ref="BA82">IF(ISNUMBER(AC82),INDEX('All Player Data Store'!$U$8:$U$594,SMALL(IF('All Player Data Store'!$Y$7:$Y$594=AC82,ROW('All Player Data Store'!$Y$7:$Y$594)-ROW('All Player Data Store'!$Y$7)+1),COUNTIF($AC$8:AC82,AC82))),"")</f>
        <v>0*4</v>
      </c>
      <c r="BB82" s="108">
        <f t="shared" si="14"/>
        <v>17.73</v>
      </c>
      <c r="BC82" s="108" t="str">
        <f t="array" ref="BC82">IF(ISNUMBER(AC82),INDEX('All Player Data Store'!$V$8:$V$594,SMALL(IF('All Player Data Store'!$Y$7:$Y$594=AC82,ROW('All Player Data Store'!$Y$7:$Y$594)-ROW('All Player Data Store'!$Y$7)+1),COUNTIF($AC$8:AC82,AC82))),"")</f>
        <v>3*4</v>
      </c>
      <c r="BD82" s="108">
        <f t="shared" si="15"/>
        <v>20.36</v>
      </c>
      <c r="BE82" s="1"/>
    </row>
    <row r="83" spans="2:57" ht="12" customHeight="1" x14ac:dyDescent="0.2">
      <c r="B83" s="98" t="str">
        <f t="shared" si="0"/>
        <v>Y</v>
      </c>
      <c r="C83" s="1"/>
      <c r="D83" s="68">
        <f t="shared" si="1"/>
        <v>76</v>
      </c>
      <c r="E83" s="2"/>
      <c r="F83" s="78">
        <v>76</v>
      </c>
      <c r="G83" s="110" t="str">
        <f t="array" ref="G83">IF(ISNUMBER(AC83),INDEX('All Player Data Store'!$C$7:$C$594,SMALL(IF('All Player Data Store'!$Y$7:$Y$594=AC83,ROW('All Player Data Store'!$Y$7:$Y$594)-ROW('All Player Data Store'!$Y$7)+1),COUNTIF($AC$8:AC83,AC83))),"")</f>
        <v>Simon Cross</v>
      </c>
      <c r="H83" s="111" t="str">
        <f t="array" ref="H83">IF(ISNUMBER(AC83),INDEX('All Player Data Store'!$D$7:$D$594,SMALL(IF('All Player Data Store'!$Y$7:$Y$594=AC83,ROW('All Player Data Store'!$Y$7:$Y$594)-ROW('All Player Data Store'!$Y$7)+1),COUNTIF($AC$8:AC83,AC83))),"")</f>
        <v>Par</v>
      </c>
      <c r="I83" s="69">
        <f t="array" ref="I83">IF(ISNUMBER(AC83),INDEX('All Player Data Store'!$E$7:$E$594,SMALL(IF('All Player Data Store'!$Y$7:$Y$594=AC83,ROW('All Player Data Store'!$Y$7:$Y$594)-ROW('All Player Data Store'!$Y$7)+1),COUNTIF($AC$8:AC83,AC83))),"")</f>
        <v>12</v>
      </c>
      <c r="J83" s="70">
        <f t="array" ref="J83">IF(ISNUMBER(AC83),INDEX('All Player Data Store'!$F$7:$F$594,SMALL(IF('All Player Data Store'!$Y$7:$Y$594=AC83,ROW('All Player Data Store'!$Y$7:$Y$594)-ROW('All Player Data Store'!$Y$7)+1),COUNTIF($AC$8:AC83,AC83))),"")</f>
        <v>5</v>
      </c>
      <c r="K83" s="112">
        <f t="array" ref="K83">IF(ISNUMBER(AC83),INDEX('All Player Data Store'!$G$7:$G$594,SMALL(IF('All Player Data Store'!$Y$7:$Y$594=AC83,ROW('All Player Data Store'!$Y$7:$Y$594)-ROW('All Player Data Store'!$Y$7)+1),COUNTIF($AC$8:AC83,AC83))),"")</f>
        <v>7</v>
      </c>
      <c r="L83" s="112">
        <f t="array" ref="L83">IF(ISNUMBER(AC83),INDEX('All Player Data Store'!$H$7:$H$594,SMALL(IF('All Player Data Store'!$Y$7:$Y$594=AC83,ROW('All Player Data Store'!$Y$7:$Y$594)-ROW('All Player Data Store'!$Y$7)+1),COUNTIF($AC$8:AC83,AC83))),"")</f>
        <v>29</v>
      </c>
      <c r="M83" s="113">
        <f t="array" ref="M83">IF(ISNUMBER(AC83),INDEX('All Player Data Store'!$I$7:$I$594,SMALL(IF('All Player Data Store'!$Y$7:$Y$594=AC83,ROW('All Player Data Store'!$Y$7:$Y$594)-ROW('All Player Data Store'!$Y$7)+1),COUNTIF($AC$8:AC83,AC83))),"")</f>
        <v>39</v>
      </c>
      <c r="N83" s="114">
        <f t="array" ref="N83">IF(ISNUMBER(AC83),INDEX('All Player Data Store'!$J$7:$J$594,SMALL(IF('All Player Data Store'!$Y$7:$Y$594=AC83,ROW('All Player Data Store'!$Y$7:$Y$594)-ROW('All Player Data Store'!$Y$7)+1),COUNTIF($AC$8:AC83,AC83))),"")</f>
        <v>18.260000000000002</v>
      </c>
      <c r="O83" s="108">
        <f t="array" ref="O83">IF(ISNUMBER(AC83),INDEX('All Player Data Store'!$K$7:$K$594,SMALL(IF('All Player Data Store'!$Y$7:$Y$594=AC83,ROW('All Player Data Store'!$Y$7:$Y$594)-ROW('All Player Data Store'!$Y$7)+1),COUNTIF($AC$8:AC83,AC83))),"")</f>
        <v>20.92</v>
      </c>
      <c r="P83" s="108">
        <f t="array" ref="P83">IF(ISNUMBER(AC83),INDEX('All Player Data Store'!$L$7:$L$594,SMALL(IF('All Player Data Store'!$Y$7:$Y$594=AC83,ROW('All Player Data Store'!$Y$7:$Y$594)-ROW('All Player Data Store'!$Y$7)+1),COUNTIF($AC$8:AC83,AC83))),"")</f>
        <v>20.88</v>
      </c>
      <c r="Q83" s="108">
        <f t="array" ref="Q83">IF(ISNUMBER(AC83),INDEX('All Player Data Store'!$M$7:$M$594,SMALL(IF('All Player Data Store'!$Y$7:$Y$594=AC83,ROW('All Player Data Store'!$Y$7:$Y$594)-ROW('All Player Data Store'!$Y$7)+1),COUNTIF($AC$8:AC83,AC83))),"")</f>
        <v>20.55</v>
      </c>
      <c r="R83" s="108">
        <f t="array" ref="R83">IF(ISNUMBER(AC83),INDEX('All Player Data Store'!$N$7:$N$594,SMALL(IF('All Player Data Store'!$Y$7:$Y$594=AC83,ROW('All Player Data Store'!$Y$7:$Y$594)-ROW('All Player Data Store'!$Y$7)+1),COUNTIF($AC$8:AC83,AC83))),"")</f>
        <v>20.04</v>
      </c>
      <c r="S83" s="108">
        <f t="array" ref="S83">IF(ISNUMBER(AC83),INDEX('All Player Data Store'!$O$7:$O$594,SMALL(IF('All Player Data Store'!$Y$7:$Y$594=AC83,ROW('All Player Data Store'!$Y$7:$Y$594)-ROW('All Player Data Store'!$Y$7)+1),COUNTIF($AC$8:AC83,AC83))),"")</f>
        <v>22.02</v>
      </c>
      <c r="T83" s="108">
        <f t="array" ref="T83">IF(ISNUMBER(AC83),INDEX('All Player Data Store'!$P$7:$P$594,SMALL(IF('All Player Data Store'!$Y$7:$Y$594=AC83,ROW('All Player Data Store'!$Y$7:$Y$594)-ROW('All Player Data Store'!$Y$7)+1),COUNTIF($AC$8:AC83,AC83))),"")</f>
        <v>23.2</v>
      </c>
      <c r="U83" s="108">
        <f t="array" ref="U83">IF(ISNUMBER(AC83),INDEX('All Player Data Store'!$Q$7:$Q$594,SMALL(IF('All Player Data Store'!$Y$7:$Y$594=AC83,ROW('All Player Data Store'!$Y$7:$Y$594)-ROW('All Player Data Store'!$Y$7)+1),COUNTIF($AC$8:AC83,AC83))),"")</f>
        <v>18.75</v>
      </c>
      <c r="V83" s="108" t="str">
        <f t="array" ref="V83">IF(ISNUMBER(AC83),INDEX('All Player Data Store'!$R$7:$R$594,SMALL(IF('All Player Data Store'!$Y$7:$Y$594=AC83,ROW('All Player Data Store'!$Y$7:$Y$594)-ROW('All Player Data Store'!$Y$7)+1),COUNTIF($AC$8:AC83,AC83))),"")</f>
        <v/>
      </c>
      <c r="W83" s="108">
        <f t="array" ref="W83">IF(ISNUMBER(AC83),INDEX('All Player Data Store'!$S$7:$S$594,SMALL(IF('All Player Data Store'!$Y$7:$Y$594=AC83,ROW('All Player Data Store'!$Y$7:$Y$594)-ROW('All Player Data Store'!$Y$7)+1),COUNTIF($AC$8:AC83,AC83))),"")</f>
        <v>21.35</v>
      </c>
      <c r="X83" s="108">
        <f t="array" ref="X83">IF(ISNUMBER(AC83),INDEX('All Player Data Store'!$T$7:$T$594,SMALL(IF('All Player Data Store'!$Y$7:$Y$594=AC83,ROW('All Player Data Store'!$Y$7:$Y$594)-ROW('All Player Data Store'!$Y$7)+1),COUNTIF($AC$8:AC83,AC83))),"")</f>
        <v>18.760000000000002</v>
      </c>
      <c r="Y83" s="108">
        <f t="array" ref="Y83">IF(ISNUMBER(AC83),INDEX('All Player Data Store'!$U$7:$U$594,SMALL(IF('All Player Data Store'!$Y$7:$Y$594=AC83,ROW('All Player Data Store'!$Y$7:$Y$594)-ROW('All Player Data Store'!$Y$7)+1),COUNTIF($AC$8:AC83,AC83))),"")</f>
        <v>23.12</v>
      </c>
      <c r="Z83" s="108">
        <f t="array" ref="Z83">IF(ISNUMBER(AC83),INDEX('All Player Data Store'!$V$7:$V$594,SMALL(IF('All Player Data Store'!$Y$7:$Y$594=AC83,ROW('All Player Data Store'!$Y$7:$Y$594)-ROW('All Player Data Store'!$Y$7)+1),COUNTIF($AC$8:AC83,AC83))),"")</f>
        <v>19.190000000000001</v>
      </c>
      <c r="AA83" s="112">
        <f t="array" ref="AA83">IF(ISNUMBER(AC83),INDEX('All Player Data Store'!$W$7:$W$594,SMALL(IF('All Player Data Store'!$Y$7:$Y$594=AC83,ROW('All Player Data Store'!$Y$7:$Y$594)-ROW('All Player Data Store'!$Y$7)+1),COUNTIF($AC$8:AC83,AC83))),"")</f>
        <v>6</v>
      </c>
      <c r="AB83" s="108">
        <f t="array" ref="AB83">IF(ISNUMBER(AC83),INDEX('All Player Data Store'!$X$7:$X$594,SMALL(IF('All Player Data Store'!$Y$7:$Y$594=AC83,ROW('All Player Data Store'!$Y$7:$Y$594)-ROW('All Player Data Store'!$Y$7)+1),COUNTIF($AC$8:AC83,AC83))),"")</f>
        <v>20.586666666666666</v>
      </c>
      <c r="AC83" s="115">
        <f>IF(ISERROR(IF(ISERROR(LARGE('All Player Data Store'!$Y$7:$Y$594,76)),"",(LARGE('All Player Data Store'!$Y$7:$Y$594,76)))),"",(IF(ISERROR(LARGE('All Player Data Store'!$Y$7:$Y$594,76)),"",(LARGE('All Player Data Store'!$Y$7:$Y$594,76)))))</f>
        <v>25.586666666666666</v>
      </c>
      <c r="AD83" s="106">
        <f t="shared" si="2"/>
        <v>3</v>
      </c>
      <c r="AE83" s="107" t="str">
        <f t="array" ref="AE83">IF(ISNUMBER(AC83),INDEX('All Player Data Store'!$J$8:$J$594,SMALL(IF('All Player Data Store'!$Y$7:$Y$594=AC83,ROW('All Player Data Store'!$Y$7:$Y$594)-ROW('All Player Data Store'!$Y$7)+1),COUNTIF($AC$8:AC83,AC83))),"")</f>
        <v>4*3</v>
      </c>
      <c r="AF83" s="108">
        <f t="shared" si="3"/>
        <v>19.260000000000002</v>
      </c>
      <c r="AG83" s="108" t="str">
        <f t="array" ref="AG83">IF(ISNUMBER(AC83),INDEX('All Player Data Store'!$K$8:$K$594,SMALL(IF('All Player Data Store'!$Y$7:$Y$594=AC83,ROW('All Player Data Store'!$Y$7:$Y$594)-ROW('All Player Data Store'!$Y$7)+1),COUNTIF($AC$8:AC83,AC83))),"")</f>
        <v>4*2</v>
      </c>
      <c r="AH83" s="108">
        <f t="shared" si="4"/>
        <v>21.92</v>
      </c>
      <c r="AI83" s="108" t="str">
        <f t="array" ref="AI83">IF(ISNUMBER(AC83),INDEX('All Player Data Store'!$L$8:$L$594,SMALL(IF('All Player Data Store'!$Y$7:$Y$594=AC83,ROW('All Player Data Store'!$Y$7:$Y$594)-ROW('All Player Data Store'!$Y$7)+1),COUNTIF($AC$8:AC83,AC83))),"")</f>
        <v>1*4(1)</v>
      </c>
      <c r="AJ83" s="108">
        <f t="shared" si="5"/>
        <v>20.88</v>
      </c>
      <c r="AK83" s="108" t="str">
        <f t="array" ref="AK83">IF(ISNUMBER(AC83),INDEX('All Player Data Store'!$M$8:$M$594,SMALL(IF('All Player Data Store'!$Y$7:$Y$594=AC83,ROW('All Player Data Store'!$Y$7:$Y$594)-ROW('All Player Data Store'!$Y$7)+1),COUNTIF($AC$8:AC83,AC83))),"")</f>
        <v>2*4</v>
      </c>
      <c r="AL83" s="108">
        <f t="shared" si="6"/>
        <v>20.55</v>
      </c>
      <c r="AM83" s="108" t="str">
        <f t="array" ref="AM83">IF(ISNUMBER(AC83),INDEX('All Player Data Store'!$N$8:$N$594,SMALL(IF('All Player Data Store'!$Y$7:$Y$594=AC83,ROW('All Player Data Store'!$Y$7:$Y$594)-ROW('All Player Data Store'!$Y$7)+1),COUNTIF($AC$8:AC83,AC83))),"")</f>
        <v>4*3</v>
      </c>
      <c r="AN83" s="108">
        <f t="shared" si="7"/>
        <v>21.04</v>
      </c>
      <c r="AO83" s="108" t="str">
        <f t="array" ref="AO83">IF(ISNUMBER(AC83),INDEX('All Player Data Store'!$O$8:$O$594,SMALL(IF('All Player Data Store'!$Y$7:$Y$594=AC83,ROW('All Player Data Store'!$Y$7:$Y$594)-ROW('All Player Data Store'!$Y$7)+1),COUNTIF($AC$8:AC83,AC83))),"")</f>
        <v>4*0</v>
      </c>
      <c r="AP83" s="108">
        <f t="shared" si="8"/>
        <v>23.02</v>
      </c>
      <c r="AQ83" s="108" t="str">
        <f t="array" ref="AQ83">IF(ISNUMBER(AC83),INDEX('All Player Data Store'!$P$8:$P$594,SMALL(IF('All Player Data Store'!$Y$7:$Y$594=AC83,ROW('All Player Data Store'!$Y$7:$Y$594)-ROW('All Player Data Store'!$Y$7)+1),COUNTIF($AC$8:AC83,AC83))),"")</f>
        <v>2*4</v>
      </c>
      <c r="AR83" s="108">
        <f t="shared" si="9"/>
        <v>23.2</v>
      </c>
      <c r="AS83" s="108" t="str">
        <f t="array" ref="AS83">IF(ISNUMBER(AC83),INDEX('All Player Data Store'!$Q$8:$Q$594,SMALL(IF('All Player Data Store'!$Y$7:$Y$594=AC83,ROW('All Player Data Store'!$Y$7:$Y$594)-ROW('All Player Data Store'!$Y$7)+1),COUNTIF($AC$8:AC83,AC83))),"")</f>
        <v>2*4</v>
      </c>
      <c r="AT83" s="108">
        <f t="shared" si="10"/>
        <v>18.75</v>
      </c>
      <c r="AU83" s="108" t="str">
        <f t="array" ref="AU83">IF(ISNUMBER(AC83),INDEX('All Player Data Store'!$R$8:$R$594,SMALL(IF('All Player Data Store'!$Y$7:$Y$594=AC83,ROW('All Player Data Store'!$Y$7:$Y$594)-ROW('All Player Data Store'!$Y$7)+1),COUNTIF($AC$8:AC83,AC83))),"")</f>
        <v/>
      </c>
      <c r="AV83" s="108" t="str">
        <f t="shared" si="11"/>
        <v/>
      </c>
      <c r="AW83" s="108" t="str">
        <f t="array" ref="AW83">IF(ISNUMBER(AC83),INDEX('All Player Data Store'!$S$8:$S$594,SMALL(IF('All Player Data Store'!$Y$7:$Y$594=AC83,ROW('All Player Data Store'!$Y$7:$Y$594)-ROW('All Player Data Store'!$Y$7)+1),COUNTIF($AC$8:AC83,AC83))),"")</f>
        <v>0*4</v>
      </c>
      <c r="AX83" s="108">
        <f t="shared" si="12"/>
        <v>21.35</v>
      </c>
      <c r="AY83" s="108" t="str">
        <f t="array" ref="AY83">IF(ISNUMBER(AC83),INDEX('All Player Data Store'!$T$8:$T$594,SMALL(IF('All Player Data Store'!$Y$7:$Y$594=AC83,ROW('All Player Data Store'!$Y$7:$Y$594)-ROW('All Player Data Store'!$Y$7)+1),COUNTIF($AC$8:AC83,AC83))),"")</f>
        <v>2*4(1)</v>
      </c>
      <c r="AZ83" s="108">
        <f t="shared" si="13"/>
        <v>18.760000000000002</v>
      </c>
      <c r="BA83" s="108" t="str">
        <f t="array" ref="BA83">IF(ISNUMBER(AC83),INDEX('All Player Data Store'!$U$8:$U$594,SMALL(IF('All Player Data Store'!$Y$7:$Y$594=AC83,ROW('All Player Data Store'!$Y$7:$Y$594)-ROW('All Player Data Store'!$Y$7)+1),COUNTIF($AC$8:AC83,AC83))),"")</f>
        <v>4*3(3)</v>
      </c>
      <c r="BB83" s="108">
        <f t="shared" si="14"/>
        <v>24.12</v>
      </c>
      <c r="BC83" s="108" t="str">
        <f t="array" ref="BC83">IF(ISNUMBER(AC83),INDEX('All Player Data Store'!$V$8:$V$594,SMALL(IF('All Player Data Store'!$Y$7:$Y$594=AC83,ROW('All Player Data Store'!$Y$7:$Y$594)-ROW('All Player Data Store'!$Y$7)+1),COUNTIF($AC$8:AC83,AC83))),"")</f>
        <v>0*4(1)</v>
      </c>
      <c r="BD83" s="108">
        <f t="shared" si="15"/>
        <v>19.190000000000001</v>
      </c>
      <c r="BE83" s="1"/>
    </row>
    <row r="84" spans="2:57" ht="12" customHeight="1" x14ac:dyDescent="0.2">
      <c r="B84" s="98" t="str">
        <f t="shared" si="0"/>
        <v>N</v>
      </c>
      <c r="C84" s="1"/>
      <c r="D84" s="68">
        <f t="shared" si="1"/>
        <v>77</v>
      </c>
      <c r="E84" s="2"/>
      <c r="F84" s="78">
        <v>77</v>
      </c>
      <c r="G84" s="110" t="str">
        <f t="array" ref="G84">IF(ISNUMBER(AC84),INDEX('All Player Data Store'!$C$7:$C$594,SMALL(IF('All Player Data Store'!$Y$7:$Y$594=AC84,ROW('All Player Data Store'!$Y$7:$Y$594)-ROW('All Player Data Store'!$Y$7)+1),COUNTIF($AC$8:AC84,AC84))),"")</f>
        <v>Calum King</v>
      </c>
      <c r="H84" s="111" t="str">
        <f t="array" ref="H84">IF(ISNUMBER(AC84),INDEX('All Player Data Store'!$D$7:$D$594,SMALL(IF('All Player Data Store'!$Y$7:$Y$594=AC84,ROW('All Player Data Store'!$Y$7:$Y$594)-ROW('All Player Data Store'!$Y$7)+1),COUNTIF($AC$8:AC84,AC84))),"")</f>
        <v>Bos</v>
      </c>
      <c r="I84" s="69">
        <f t="array" ref="I84">IF(ISNUMBER(AC84),INDEX('All Player Data Store'!$E$7:$E$594,SMALL(IF('All Player Data Store'!$Y$7:$Y$594=AC84,ROW('All Player Data Store'!$Y$7:$Y$594)-ROW('All Player Data Store'!$Y$7)+1),COUNTIF($AC$8:AC84,AC84))),"")</f>
        <v>6</v>
      </c>
      <c r="J84" s="70">
        <f t="array" ref="J84">IF(ISNUMBER(AC84),INDEX('All Player Data Store'!$F$7:$F$594,SMALL(IF('All Player Data Store'!$Y$7:$Y$594=AC84,ROW('All Player Data Store'!$Y$7:$Y$594)-ROW('All Player Data Store'!$Y$7)+1),COUNTIF($AC$8:AC84,AC84))),"")</f>
        <v>4</v>
      </c>
      <c r="K84" s="112">
        <f t="array" ref="K84">IF(ISNUMBER(AC84),INDEX('All Player Data Store'!$G$7:$G$594,SMALL(IF('All Player Data Store'!$Y$7:$Y$594=AC84,ROW('All Player Data Store'!$Y$7:$Y$594)-ROW('All Player Data Store'!$Y$7)+1),COUNTIF($AC$8:AC84,AC84))),"")</f>
        <v>2</v>
      </c>
      <c r="L84" s="112">
        <f t="array" ref="L84">IF(ISNUMBER(AC84),INDEX('All Player Data Store'!$H$7:$H$594,SMALL(IF('All Player Data Store'!$Y$7:$Y$594=AC84,ROW('All Player Data Store'!$Y$7:$Y$594)-ROW('All Player Data Store'!$Y$7)+1),COUNTIF($AC$8:AC84,AC84))),"")</f>
        <v>20</v>
      </c>
      <c r="M84" s="113">
        <f t="array" ref="M84">IF(ISNUMBER(AC84),INDEX('All Player Data Store'!$I$7:$I$594,SMALL(IF('All Player Data Store'!$Y$7:$Y$594=AC84,ROW('All Player Data Store'!$Y$7:$Y$594)-ROW('All Player Data Store'!$Y$7)+1),COUNTIF($AC$8:AC84,AC84))),"")</f>
        <v>14</v>
      </c>
      <c r="N84" s="114" t="str">
        <f t="array" ref="N84">IF(ISNUMBER(AC84),INDEX('All Player Data Store'!$J$7:$J$594,SMALL(IF('All Player Data Store'!$Y$7:$Y$594=AC84,ROW('All Player Data Store'!$Y$7:$Y$594)-ROW('All Player Data Store'!$Y$7)+1),COUNTIF($AC$8:AC84,AC84))),"")</f>
        <v/>
      </c>
      <c r="O84" s="108" t="str">
        <f t="array" ref="O84">IF(ISNUMBER(AC84),INDEX('All Player Data Store'!$K$7:$K$594,SMALL(IF('All Player Data Store'!$Y$7:$Y$594=AC84,ROW('All Player Data Store'!$Y$7:$Y$594)-ROW('All Player Data Store'!$Y$7)+1),COUNTIF($AC$8:AC84,AC84))),"")</f>
        <v/>
      </c>
      <c r="P84" s="108" t="str">
        <f t="array" ref="P84">IF(ISNUMBER(AC84),INDEX('All Player Data Store'!$L$7:$L$594,SMALL(IF('All Player Data Store'!$Y$7:$Y$594=AC84,ROW('All Player Data Store'!$Y$7:$Y$594)-ROW('All Player Data Store'!$Y$7)+1),COUNTIF($AC$8:AC84,AC84))),"")</f>
        <v/>
      </c>
      <c r="Q84" s="108" t="str">
        <f t="array" ref="Q84">IF(ISNUMBER(AC84),INDEX('All Player Data Store'!$M$7:$M$594,SMALL(IF('All Player Data Store'!$Y$7:$Y$594=AC84,ROW('All Player Data Store'!$Y$7:$Y$594)-ROW('All Player Data Store'!$Y$7)+1),COUNTIF($AC$8:AC84,AC84))),"")</f>
        <v/>
      </c>
      <c r="R84" s="108" t="str">
        <f t="array" ref="R84">IF(ISNUMBER(AC84),INDEX('All Player Data Store'!$N$7:$N$594,SMALL(IF('All Player Data Store'!$Y$7:$Y$594=AC84,ROW('All Player Data Store'!$Y$7:$Y$594)-ROW('All Player Data Store'!$Y$7)+1),COUNTIF($AC$8:AC84,AC84))),"")</f>
        <v/>
      </c>
      <c r="S84" s="108">
        <f t="array" ref="S84">IF(ISNUMBER(AC84),INDEX('All Player Data Store'!$O$7:$O$594,SMALL(IF('All Player Data Store'!$Y$7:$Y$594=AC84,ROW('All Player Data Store'!$Y$7:$Y$594)-ROW('All Player Data Store'!$Y$7)+1),COUNTIF($AC$8:AC84,AC84))),"")</f>
        <v>22.31</v>
      </c>
      <c r="T84" s="108">
        <f t="array" ref="T84">IF(ISNUMBER(AC84),INDEX('All Player Data Store'!$P$7:$P$594,SMALL(IF('All Player Data Store'!$Y$7:$Y$594=AC84,ROW('All Player Data Store'!$Y$7:$Y$594)-ROW('All Player Data Store'!$Y$7)+1),COUNTIF($AC$8:AC84,AC84))),"")</f>
        <v>20.76</v>
      </c>
      <c r="U84" s="108">
        <f t="array" ref="U84">IF(ISNUMBER(AC84),INDEX('All Player Data Store'!$Q$7:$Q$594,SMALL(IF('All Player Data Store'!$Y$7:$Y$594=AC84,ROW('All Player Data Store'!$Y$7:$Y$594)-ROW('All Player Data Store'!$Y$7)+1),COUNTIF($AC$8:AC84,AC84))),"")</f>
        <v>20.54</v>
      </c>
      <c r="V84" s="108" t="str">
        <f t="array" ref="V84">IF(ISNUMBER(AC84),INDEX('All Player Data Store'!$R$7:$R$594,SMALL(IF('All Player Data Store'!$Y$7:$Y$594=AC84,ROW('All Player Data Store'!$Y$7:$Y$594)-ROW('All Player Data Store'!$Y$7)+1),COUNTIF($AC$8:AC84,AC84))),"")</f>
        <v/>
      </c>
      <c r="W84" s="108">
        <f t="array" ref="W84">IF(ISNUMBER(AC84),INDEX('All Player Data Store'!$S$7:$S$594,SMALL(IF('All Player Data Store'!$Y$7:$Y$594=AC84,ROW('All Player Data Store'!$Y$7:$Y$594)-ROW('All Player Data Store'!$Y$7)+1),COUNTIF($AC$8:AC84,AC84))),"")</f>
        <v>20.309999999999999</v>
      </c>
      <c r="X84" s="108">
        <f t="array" ref="X84">IF(ISNUMBER(AC84),INDEX('All Player Data Store'!$T$7:$T$594,SMALL(IF('All Player Data Store'!$Y$7:$Y$594=AC84,ROW('All Player Data Store'!$Y$7:$Y$594)-ROW('All Player Data Store'!$Y$7)+1),COUNTIF($AC$8:AC84,AC84))),"")</f>
        <v>22.52</v>
      </c>
      <c r="Y84" s="108">
        <f t="array" ref="Y84">IF(ISNUMBER(AC84),INDEX('All Player Data Store'!$U$7:$U$594,SMALL(IF('All Player Data Store'!$Y$7:$Y$594=AC84,ROW('All Player Data Store'!$Y$7:$Y$594)-ROW('All Player Data Store'!$Y$7)+1),COUNTIF($AC$8:AC84,AC84))),"")</f>
        <v>21.83</v>
      </c>
      <c r="Z84" s="108" t="str">
        <f t="array" ref="Z84">IF(ISNUMBER(AC84),INDEX('All Player Data Store'!$V$7:$V$594,SMALL(IF('All Player Data Store'!$Y$7:$Y$594=AC84,ROW('All Player Data Store'!$Y$7:$Y$594)-ROW('All Player Data Store'!$Y$7)+1),COUNTIF($AC$8:AC84,AC84))),"")</f>
        <v/>
      </c>
      <c r="AA84" s="112">
        <f t="array" ref="AA84">IF(ISNUMBER(AC84),INDEX('All Player Data Store'!$W$7:$W$594,SMALL(IF('All Player Data Store'!$Y$7:$Y$594=AC84,ROW('All Player Data Store'!$Y$7:$Y$594)-ROW('All Player Data Store'!$Y$7)+1),COUNTIF($AC$8:AC84,AC84))),"")</f>
        <v>3</v>
      </c>
      <c r="AB84" s="108">
        <f t="array" ref="AB84">IF(ISNUMBER(AC84),INDEX('All Player Data Store'!$X$7:$X$594,SMALL(IF('All Player Data Store'!$Y$7:$Y$594=AC84,ROW('All Player Data Store'!$Y$7:$Y$594)-ROW('All Player Data Store'!$Y$7)+1),COUNTIF($AC$8:AC84,AC84))),"")</f>
        <v>21.37833333333333</v>
      </c>
      <c r="AC84" s="115">
        <f>IF(ISERROR(IF(ISERROR(LARGE('All Player Data Store'!$Y$7:$Y$594,77)),"",(LARGE('All Player Data Store'!$Y$7:$Y$594,77)))),"",(IF(ISERROR(LARGE('All Player Data Store'!$Y$7:$Y$594,77)),"",(LARGE('All Player Data Store'!$Y$7:$Y$594,77)))))</f>
        <v>25.37833333333333</v>
      </c>
      <c r="AD84" s="106">
        <f t="shared" si="2"/>
        <v>3</v>
      </c>
      <c r="AE84" s="107" t="str">
        <f t="array" ref="AE84">IF(ISNUMBER(AC84),INDEX('All Player Data Store'!$J$8:$J$594,SMALL(IF('All Player Data Store'!$Y$7:$Y$594=AC84,ROW('All Player Data Store'!$Y$7:$Y$594)-ROW('All Player Data Store'!$Y$7)+1),COUNTIF($AC$8:AC84,AC84))),"")</f>
        <v/>
      </c>
      <c r="AF84" s="108" t="str">
        <f t="shared" si="3"/>
        <v/>
      </c>
      <c r="AG84" s="108" t="str">
        <f t="array" ref="AG84">IF(ISNUMBER(AC84),INDEX('All Player Data Store'!$K$8:$K$594,SMALL(IF('All Player Data Store'!$Y$7:$Y$594=AC84,ROW('All Player Data Store'!$Y$7:$Y$594)-ROW('All Player Data Store'!$Y$7)+1),COUNTIF($AC$8:AC84,AC84))),"")</f>
        <v/>
      </c>
      <c r="AH84" s="108" t="str">
        <f t="shared" si="4"/>
        <v/>
      </c>
      <c r="AI84" s="108" t="str">
        <f t="array" ref="AI84">IF(ISNUMBER(AC84),INDEX('All Player Data Store'!$L$8:$L$594,SMALL(IF('All Player Data Store'!$Y$7:$Y$594=AC84,ROW('All Player Data Store'!$Y$7:$Y$594)-ROW('All Player Data Store'!$Y$7)+1),COUNTIF($AC$8:AC84,AC84))),"")</f>
        <v/>
      </c>
      <c r="AJ84" s="108" t="str">
        <f t="shared" si="5"/>
        <v/>
      </c>
      <c r="AK84" s="108" t="str">
        <f t="array" ref="AK84">IF(ISNUMBER(AC84),INDEX('All Player Data Store'!$M$8:$M$594,SMALL(IF('All Player Data Store'!$Y$7:$Y$594=AC84,ROW('All Player Data Store'!$Y$7:$Y$594)-ROW('All Player Data Store'!$Y$7)+1),COUNTIF($AC$8:AC84,AC84))),"")</f>
        <v/>
      </c>
      <c r="AL84" s="108" t="str">
        <f t="shared" si="6"/>
        <v/>
      </c>
      <c r="AM84" s="108" t="str">
        <f t="array" ref="AM84">IF(ISNUMBER(AC84),INDEX('All Player Data Store'!$N$8:$N$594,SMALL(IF('All Player Data Store'!$Y$7:$Y$594=AC84,ROW('All Player Data Store'!$Y$7:$Y$594)-ROW('All Player Data Store'!$Y$7)+1),COUNTIF($AC$8:AC84,AC84))),"")</f>
        <v/>
      </c>
      <c r="AN84" s="108" t="str">
        <f t="shared" si="7"/>
        <v/>
      </c>
      <c r="AO84" s="108" t="str">
        <f t="array" ref="AO84">IF(ISNUMBER(AC84),INDEX('All Player Data Store'!$O$8:$O$594,SMALL(IF('All Player Data Store'!$Y$7:$Y$594=AC84,ROW('All Player Data Store'!$Y$7:$Y$594)-ROW('All Player Data Store'!$Y$7)+1),COUNTIF($AC$8:AC84,AC84))),"")</f>
        <v>4*1(1)</v>
      </c>
      <c r="AP84" s="108">
        <f t="shared" si="8"/>
        <v>23.31</v>
      </c>
      <c r="AQ84" s="108" t="str">
        <f t="array" ref="AQ84">IF(ISNUMBER(AC84),INDEX('All Player Data Store'!$P$8:$P$594,SMALL(IF('All Player Data Store'!$Y$7:$Y$594=AC84,ROW('All Player Data Store'!$Y$7:$Y$594)-ROW('All Player Data Store'!$Y$7)+1),COUNTIF($AC$8:AC84,AC84))),"")</f>
        <v>4*3</v>
      </c>
      <c r="AR84" s="108">
        <f t="shared" si="9"/>
        <v>21.76</v>
      </c>
      <c r="AS84" s="108" t="str">
        <f t="array" ref="AS84">IF(ISNUMBER(AC84),INDEX('All Player Data Store'!$Q$8:$Q$594,SMALL(IF('All Player Data Store'!$Y$7:$Y$594=AC84,ROW('All Player Data Store'!$Y$7:$Y$594)-ROW('All Player Data Store'!$Y$7)+1),COUNTIF($AC$8:AC84,AC84))),"")</f>
        <v>2*4</v>
      </c>
      <c r="AT84" s="108">
        <f t="shared" si="10"/>
        <v>20.54</v>
      </c>
      <c r="AU84" s="108" t="str">
        <f t="array" ref="AU84">IF(ISNUMBER(AC84),INDEX('All Player Data Store'!$R$8:$R$594,SMALL(IF('All Player Data Store'!$Y$7:$Y$594=AC84,ROW('All Player Data Store'!$Y$7:$Y$594)-ROW('All Player Data Store'!$Y$7)+1),COUNTIF($AC$8:AC84,AC84))),"")</f>
        <v/>
      </c>
      <c r="AV84" s="108" t="str">
        <f t="shared" si="11"/>
        <v/>
      </c>
      <c r="AW84" s="108" t="str">
        <f t="array" ref="AW84">IF(ISNUMBER(AC84),INDEX('All Player Data Store'!$S$8:$S$594,SMALL(IF('All Player Data Store'!$Y$7:$Y$594=AC84,ROW('All Player Data Store'!$Y$7:$Y$594)-ROW('All Player Data Store'!$Y$7)+1),COUNTIF($AC$8:AC84,AC84))),"")</f>
        <v>4*2</v>
      </c>
      <c r="AX84" s="108">
        <f t="shared" si="12"/>
        <v>21.31</v>
      </c>
      <c r="AY84" s="108" t="str">
        <f t="array" ref="AY84">IF(ISNUMBER(AC84),INDEX('All Player Data Store'!$T$8:$T$594,SMALL(IF('All Player Data Store'!$Y$7:$Y$594=AC84,ROW('All Player Data Store'!$Y$7:$Y$594)-ROW('All Player Data Store'!$Y$7)+1),COUNTIF($AC$8:AC84,AC84))),"")</f>
        <v>4*0</v>
      </c>
      <c r="AZ84" s="108">
        <f t="shared" si="13"/>
        <v>23.52</v>
      </c>
      <c r="BA84" s="108" t="str">
        <f t="array" ref="BA84">IF(ISNUMBER(AC84),INDEX('All Player Data Store'!$U$8:$U$594,SMALL(IF('All Player Data Store'!$Y$7:$Y$594=AC84,ROW('All Player Data Store'!$Y$7:$Y$594)-ROW('All Player Data Store'!$Y$7)+1),COUNTIF($AC$8:AC84,AC84))),"")</f>
        <v>2*4(2)</v>
      </c>
      <c r="BB84" s="108">
        <f t="shared" si="14"/>
        <v>21.83</v>
      </c>
      <c r="BC84" s="108" t="str">
        <f t="array" ref="BC84">IF(ISNUMBER(AC84),INDEX('All Player Data Store'!$V$8:$V$594,SMALL(IF('All Player Data Store'!$Y$7:$Y$594=AC84,ROW('All Player Data Store'!$Y$7:$Y$594)-ROW('All Player Data Store'!$Y$7)+1),COUNTIF($AC$8:AC84,AC84))),"")</f>
        <v/>
      </c>
      <c r="BD84" s="108" t="str">
        <f t="shared" si="15"/>
        <v/>
      </c>
      <c r="BE84" s="1"/>
    </row>
    <row r="85" spans="2:57" ht="12" customHeight="1" x14ac:dyDescent="0.2">
      <c r="B85" s="98" t="str">
        <f t="shared" si="0"/>
        <v>N</v>
      </c>
      <c r="C85" s="1"/>
      <c r="D85" s="68">
        <f t="shared" si="1"/>
        <v>78</v>
      </c>
      <c r="E85" s="2"/>
      <c r="F85" s="78">
        <v>78</v>
      </c>
      <c r="G85" s="110" t="str">
        <f t="array" ref="G85">IF(ISNUMBER(AC85),INDEX('All Player Data Store'!$C$7:$C$594,SMALL(IF('All Player Data Store'!$Y$7:$Y$594=AC85,ROW('All Player Data Store'!$Y$7:$Y$594)-ROW('All Player Data Store'!$Y$7)+1),COUNTIF($AC$8:AC85,AC85))),"")</f>
        <v>Wayne Singleton</v>
      </c>
      <c r="H85" s="111" t="str">
        <f t="array" ref="H85">IF(ISNUMBER(AC85),INDEX('All Player Data Store'!$D$7:$D$594,SMALL(IF('All Player Data Store'!$Y$7:$Y$594=AC85,ROW('All Player Data Store'!$Y$7:$Y$594)-ROW('All Player Data Store'!$Y$7)+1),COUNTIF($AC$8:AC85,AC85))),"")</f>
        <v>Bri</v>
      </c>
      <c r="I85" s="69">
        <f t="array" ref="I85">IF(ISNUMBER(AC85),INDEX('All Player Data Store'!$E$7:$E$594,SMALL(IF('All Player Data Store'!$Y$7:$Y$594=AC85,ROW('All Player Data Store'!$Y$7:$Y$594)-ROW('All Player Data Store'!$Y$7)+1),COUNTIF($AC$8:AC85,AC85))),"")</f>
        <v>7</v>
      </c>
      <c r="J85" s="70">
        <f t="array" ref="J85">IF(ISNUMBER(AC85),INDEX('All Player Data Store'!$F$7:$F$594,SMALL(IF('All Player Data Store'!$Y$7:$Y$594=AC85,ROW('All Player Data Store'!$Y$7:$Y$594)-ROW('All Player Data Store'!$Y$7)+1),COUNTIF($AC$8:AC85,AC85))),"")</f>
        <v>3</v>
      </c>
      <c r="K85" s="112">
        <f t="array" ref="K85">IF(ISNUMBER(AC85),INDEX('All Player Data Store'!$G$7:$G$594,SMALL(IF('All Player Data Store'!$Y$7:$Y$594=AC85,ROW('All Player Data Store'!$Y$7:$Y$594)-ROW('All Player Data Store'!$Y$7)+1),COUNTIF($AC$8:AC85,AC85))),"")</f>
        <v>4</v>
      </c>
      <c r="L85" s="112">
        <f t="array" ref="L85">IF(ISNUMBER(AC85),INDEX('All Player Data Store'!$H$7:$H$594,SMALL(IF('All Player Data Store'!$Y$7:$Y$594=AC85,ROW('All Player Data Store'!$Y$7:$Y$594)-ROW('All Player Data Store'!$Y$7)+1),COUNTIF($AC$8:AC85,AC85))),"")</f>
        <v>20</v>
      </c>
      <c r="M85" s="113">
        <f t="array" ref="M85">IF(ISNUMBER(AC85),INDEX('All Player Data Store'!$I$7:$I$594,SMALL(IF('All Player Data Store'!$Y$7:$Y$594=AC85,ROW('All Player Data Store'!$Y$7:$Y$594)-ROW('All Player Data Store'!$Y$7)+1),COUNTIF($AC$8:AC85,AC85))),"")</f>
        <v>21</v>
      </c>
      <c r="N85" s="114">
        <f t="array" ref="N85">IF(ISNUMBER(AC85),INDEX('All Player Data Store'!$J$7:$J$594,SMALL(IF('All Player Data Store'!$Y$7:$Y$594=AC85,ROW('All Player Data Store'!$Y$7:$Y$594)-ROW('All Player Data Store'!$Y$7)+1),COUNTIF($AC$8:AC85,AC85))),"")</f>
        <v>22.38</v>
      </c>
      <c r="O85" s="108" t="str">
        <f t="array" ref="O85">IF(ISNUMBER(AC85),INDEX('All Player Data Store'!$K$7:$K$594,SMALL(IF('All Player Data Store'!$Y$7:$Y$594=AC85,ROW('All Player Data Store'!$Y$7:$Y$594)-ROW('All Player Data Store'!$Y$7)+1),COUNTIF($AC$8:AC85,AC85))),"")</f>
        <v/>
      </c>
      <c r="P85" s="108" t="str">
        <f t="array" ref="P85">IF(ISNUMBER(AC85),INDEX('All Player Data Store'!$L$7:$L$594,SMALL(IF('All Player Data Store'!$Y$7:$Y$594=AC85,ROW('All Player Data Store'!$Y$7:$Y$594)-ROW('All Player Data Store'!$Y$7)+1),COUNTIF($AC$8:AC85,AC85))),"")</f>
        <v/>
      </c>
      <c r="Q85" s="108" t="str">
        <f t="array" ref="Q85">IF(ISNUMBER(AC85),INDEX('All Player Data Store'!$M$7:$M$594,SMALL(IF('All Player Data Store'!$Y$7:$Y$594=AC85,ROW('All Player Data Store'!$Y$7:$Y$594)-ROW('All Player Data Store'!$Y$7)+1),COUNTIF($AC$8:AC85,AC85))),"")</f>
        <v/>
      </c>
      <c r="R85" s="108" t="str">
        <f t="array" ref="R85">IF(ISNUMBER(AC85),INDEX('All Player Data Store'!$N$7:$N$594,SMALL(IF('All Player Data Store'!$Y$7:$Y$594=AC85,ROW('All Player Data Store'!$Y$7:$Y$594)-ROW('All Player Data Store'!$Y$7)+1),COUNTIF($AC$8:AC85,AC85))),"")</f>
        <v/>
      </c>
      <c r="S85" s="108">
        <f t="array" ref="S85">IF(ISNUMBER(AC85),INDEX('All Player Data Store'!$O$7:$O$594,SMALL(IF('All Player Data Store'!$Y$7:$Y$594=AC85,ROW('All Player Data Store'!$Y$7:$Y$594)-ROW('All Player Data Store'!$Y$7)+1),COUNTIF($AC$8:AC85,AC85))),"")</f>
        <v>22.27</v>
      </c>
      <c r="T85" s="108">
        <f t="array" ref="T85">IF(ISNUMBER(AC85),INDEX('All Player Data Store'!$P$7:$P$594,SMALL(IF('All Player Data Store'!$Y$7:$Y$594=AC85,ROW('All Player Data Store'!$Y$7:$Y$594)-ROW('All Player Data Store'!$Y$7)+1),COUNTIF($AC$8:AC85,AC85))),"")</f>
        <v>18.54</v>
      </c>
      <c r="U85" s="108" t="str">
        <f t="array" ref="U85">IF(ISNUMBER(AC85),INDEX('All Player Data Store'!$Q$7:$Q$594,SMALL(IF('All Player Data Store'!$Y$7:$Y$594=AC85,ROW('All Player Data Store'!$Y$7:$Y$594)-ROW('All Player Data Store'!$Y$7)+1),COUNTIF($AC$8:AC85,AC85))),"")</f>
        <v/>
      </c>
      <c r="V85" s="108">
        <f t="array" ref="V85">IF(ISNUMBER(AC85),INDEX('All Player Data Store'!$R$7:$R$594,SMALL(IF('All Player Data Store'!$Y$7:$Y$594=AC85,ROW('All Player Data Store'!$Y$7:$Y$594)-ROW('All Player Data Store'!$Y$7)+1),COUNTIF($AC$8:AC85,AC85))),"")</f>
        <v>21.02</v>
      </c>
      <c r="W85" s="108">
        <f t="array" ref="W85">IF(ISNUMBER(AC85),INDEX('All Player Data Store'!$S$7:$S$594,SMALL(IF('All Player Data Store'!$Y$7:$Y$594=AC85,ROW('All Player Data Store'!$Y$7:$Y$594)-ROW('All Player Data Store'!$Y$7)+1),COUNTIF($AC$8:AC85,AC85))),"")</f>
        <v>20.239999999999998</v>
      </c>
      <c r="X85" s="108">
        <f t="array" ref="X85">IF(ISNUMBER(AC85),INDEX('All Player Data Store'!$T$7:$T$594,SMALL(IF('All Player Data Store'!$Y$7:$Y$594=AC85,ROW('All Player Data Store'!$Y$7:$Y$594)-ROW('All Player Data Store'!$Y$7)+1),COUNTIF($AC$8:AC85,AC85))),"")</f>
        <v>26.24</v>
      </c>
      <c r="Y85" s="108" t="str">
        <f t="array" ref="Y85">IF(ISNUMBER(AC85),INDEX('All Player Data Store'!$U$7:$U$594,SMALL(IF('All Player Data Store'!$Y$7:$Y$594=AC85,ROW('All Player Data Store'!$Y$7:$Y$594)-ROW('All Player Data Store'!$Y$7)+1),COUNTIF($AC$8:AC85,AC85))),"")</f>
        <v/>
      </c>
      <c r="Z85" s="108">
        <f t="array" ref="Z85">IF(ISNUMBER(AC85),INDEX('All Player Data Store'!$V$7:$V$594,SMALL(IF('All Player Data Store'!$Y$7:$Y$594=AC85,ROW('All Player Data Store'!$Y$7:$Y$594)-ROW('All Player Data Store'!$Y$7)+1),COUNTIF($AC$8:AC85,AC85))),"")</f>
        <v>25.17</v>
      </c>
      <c r="AA85" s="112" t="str">
        <f t="array" ref="AA85">IF(ISNUMBER(AC85),INDEX('All Player Data Store'!$W$7:$W$594,SMALL(IF('All Player Data Store'!$Y$7:$Y$594=AC85,ROW('All Player Data Store'!$Y$7:$Y$594)-ROW('All Player Data Store'!$Y$7)+1),COUNTIF($AC$8:AC85,AC85))),"")</f>
        <v/>
      </c>
      <c r="AB85" s="108">
        <f t="array" ref="AB85">IF(ISNUMBER(AC85),INDEX('All Player Data Store'!$X$7:$X$594,SMALL(IF('All Player Data Store'!$Y$7:$Y$594=AC85,ROW('All Player Data Store'!$Y$7:$Y$594)-ROW('All Player Data Store'!$Y$7)+1),COUNTIF($AC$8:AC85,AC85))),"")</f>
        <v>22.265714285714289</v>
      </c>
      <c r="AC85" s="115">
        <f>IF(ISERROR(IF(ISERROR(LARGE('All Player Data Store'!$Y$7:$Y$594,78)),"",(LARGE('All Player Data Store'!$Y$7:$Y$594,78)))),"",(IF(ISERROR(LARGE('All Player Data Store'!$Y$7:$Y$594,78)),"",(LARGE('All Player Data Store'!$Y$7:$Y$594,78)))))</f>
        <v>25.265714285714289</v>
      </c>
      <c r="AD85" s="106">
        <f t="shared" si="2"/>
        <v>3</v>
      </c>
      <c r="AE85" s="107" t="str">
        <f t="array" ref="AE85">IF(ISNUMBER(AC85),INDEX('All Player Data Store'!$J$8:$J$594,SMALL(IF('All Player Data Store'!$Y$7:$Y$594=AC85,ROW('All Player Data Store'!$Y$7:$Y$594)-ROW('All Player Data Store'!$Y$7)+1),COUNTIF($AC$8:AC85,AC85))),"")</f>
        <v>1*4</v>
      </c>
      <c r="AF85" s="108">
        <f t="shared" si="3"/>
        <v>22.38</v>
      </c>
      <c r="AG85" s="108" t="str">
        <f t="array" ref="AG85">IF(ISNUMBER(AC85),INDEX('All Player Data Store'!$K$8:$K$594,SMALL(IF('All Player Data Store'!$Y$7:$Y$594=AC85,ROW('All Player Data Store'!$Y$7:$Y$594)-ROW('All Player Data Store'!$Y$7)+1),COUNTIF($AC$8:AC85,AC85))),"")</f>
        <v/>
      </c>
      <c r="AH85" s="108" t="str">
        <f t="shared" si="4"/>
        <v/>
      </c>
      <c r="AI85" s="108" t="str">
        <f t="array" ref="AI85">IF(ISNUMBER(AC85),INDEX('All Player Data Store'!$L$8:$L$594,SMALL(IF('All Player Data Store'!$Y$7:$Y$594=AC85,ROW('All Player Data Store'!$Y$7:$Y$594)-ROW('All Player Data Store'!$Y$7)+1),COUNTIF($AC$8:AC85,AC85))),"")</f>
        <v/>
      </c>
      <c r="AJ85" s="108" t="str">
        <f t="shared" si="5"/>
        <v/>
      </c>
      <c r="AK85" s="108" t="str">
        <f t="array" ref="AK85">IF(ISNUMBER(AC85),INDEX('All Player Data Store'!$M$8:$M$594,SMALL(IF('All Player Data Store'!$Y$7:$Y$594=AC85,ROW('All Player Data Store'!$Y$7:$Y$594)-ROW('All Player Data Store'!$Y$7)+1),COUNTIF($AC$8:AC85,AC85))),"")</f>
        <v/>
      </c>
      <c r="AL85" s="108" t="str">
        <f t="shared" si="6"/>
        <v/>
      </c>
      <c r="AM85" s="108" t="str">
        <f t="array" ref="AM85">IF(ISNUMBER(AC85),INDEX('All Player Data Store'!$N$8:$N$594,SMALL(IF('All Player Data Store'!$Y$7:$Y$594=AC85,ROW('All Player Data Store'!$Y$7:$Y$594)-ROW('All Player Data Store'!$Y$7)+1),COUNTIF($AC$8:AC85,AC85))),"")</f>
        <v/>
      </c>
      <c r="AN85" s="108" t="str">
        <f t="shared" si="7"/>
        <v/>
      </c>
      <c r="AO85" s="108" t="str">
        <f t="array" ref="AO85">IF(ISNUMBER(AC85),INDEX('All Player Data Store'!$O$8:$O$594,SMALL(IF('All Player Data Store'!$Y$7:$Y$594=AC85,ROW('All Player Data Store'!$Y$7:$Y$594)-ROW('All Player Data Store'!$Y$7)+1),COUNTIF($AC$8:AC85,AC85))),"")</f>
        <v>2*4</v>
      </c>
      <c r="AP85" s="108">
        <f t="shared" si="8"/>
        <v>22.27</v>
      </c>
      <c r="AQ85" s="108" t="str">
        <f t="array" ref="AQ85">IF(ISNUMBER(AC85),INDEX('All Player Data Store'!$P$8:$P$594,SMALL(IF('All Player Data Store'!$Y$7:$Y$594=AC85,ROW('All Player Data Store'!$Y$7:$Y$594)-ROW('All Player Data Store'!$Y$7)+1),COUNTIF($AC$8:AC85,AC85))),"")</f>
        <v>4*1</v>
      </c>
      <c r="AR85" s="108">
        <f t="shared" si="9"/>
        <v>19.54</v>
      </c>
      <c r="AS85" s="108" t="str">
        <f t="array" ref="AS85">IF(ISNUMBER(AC85),INDEX('All Player Data Store'!$Q$8:$Q$594,SMALL(IF('All Player Data Store'!$Y$7:$Y$594=AC85,ROW('All Player Data Store'!$Y$7:$Y$594)-ROW('All Player Data Store'!$Y$7)+1),COUNTIF($AC$8:AC85,AC85))),"")</f>
        <v/>
      </c>
      <c r="AT85" s="108" t="str">
        <f t="shared" si="10"/>
        <v/>
      </c>
      <c r="AU85" s="108" t="str">
        <f t="array" ref="AU85">IF(ISNUMBER(AC85),INDEX('All Player Data Store'!$R$8:$R$594,SMALL(IF('All Player Data Store'!$Y$7:$Y$594=AC85,ROW('All Player Data Store'!$Y$7:$Y$594)-ROW('All Player Data Store'!$Y$7)+1),COUNTIF($AC$8:AC85,AC85))),"")</f>
        <v>2*4</v>
      </c>
      <c r="AV85" s="108">
        <f t="shared" si="11"/>
        <v>21.02</v>
      </c>
      <c r="AW85" s="108" t="str">
        <f t="array" ref="AW85">IF(ISNUMBER(AC85),INDEX('All Player Data Store'!$S$8:$S$594,SMALL(IF('All Player Data Store'!$Y$7:$Y$594=AC85,ROW('All Player Data Store'!$Y$7:$Y$594)-ROW('All Player Data Store'!$Y$7)+1),COUNTIF($AC$8:AC85,AC85))),"")</f>
        <v>4*3</v>
      </c>
      <c r="AX85" s="108">
        <f t="shared" si="12"/>
        <v>21.24</v>
      </c>
      <c r="AY85" s="108" t="str">
        <f t="array" ref="AY85">IF(ISNUMBER(AC85),INDEX('All Player Data Store'!$T$8:$T$594,SMALL(IF('All Player Data Store'!$Y$7:$Y$594=AC85,ROW('All Player Data Store'!$Y$7:$Y$594)-ROW('All Player Data Store'!$Y$7)+1),COUNTIF($AC$8:AC85,AC85))),"")</f>
        <v>4*1</v>
      </c>
      <c r="AZ85" s="108">
        <f t="shared" si="13"/>
        <v>27.24</v>
      </c>
      <c r="BA85" s="108" t="str">
        <f t="array" ref="BA85">IF(ISNUMBER(AC85),INDEX('All Player Data Store'!$U$8:$U$594,SMALL(IF('All Player Data Store'!$Y$7:$Y$594=AC85,ROW('All Player Data Store'!$Y$7:$Y$594)-ROW('All Player Data Store'!$Y$7)+1),COUNTIF($AC$8:AC85,AC85))),"")</f>
        <v/>
      </c>
      <c r="BB85" s="108" t="str">
        <f t="shared" si="14"/>
        <v/>
      </c>
      <c r="BC85" s="108" t="str">
        <f t="array" ref="BC85">IF(ISNUMBER(AC85),INDEX('All Player Data Store'!$V$8:$V$594,SMALL(IF('All Player Data Store'!$Y$7:$Y$594=AC85,ROW('All Player Data Store'!$Y$7:$Y$594)-ROW('All Player Data Store'!$Y$7)+1),COUNTIF($AC$8:AC85,AC85))),"")</f>
        <v>3*4</v>
      </c>
      <c r="BD85" s="108">
        <f t="shared" si="15"/>
        <v>25.17</v>
      </c>
      <c r="BE85" s="1"/>
    </row>
    <row r="86" spans="2:57" ht="12" customHeight="1" x14ac:dyDescent="0.2">
      <c r="B86" s="98" t="str">
        <f t="shared" si="0"/>
        <v>Y</v>
      </c>
      <c r="C86" s="1"/>
      <c r="D86" s="68">
        <f t="shared" si="1"/>
        <v>79</v>
      </c>
      <c r="E86" s="2"/>
      <c r="F86" s="78">
        <v>79</v>
      </c>
      <c r="G86" s="110" t="str">
        <f t="array" ref="G86">IF(ISNUMBER(AC86),INDEX('All Player Data Store'!$C$7:$C$594,SMALL(IF('All Player Data Store'!$Y$7:$Y$594=AC86,ROW('All Player Data Store'!$Y$7:$Y$594)-ROW('All Player Data Store'!$Y$7)+1),COUNTIF($AC$8:AC86,AC86))),"")</f>
        <v>Paul Cooper</v>
      </c>
      <c r="H86" s="111" t="str">
        <f t="array" ref="H86">IF(ISNUMBER(AC86),INDEX('All Player Data Store'!$D$7:$D$594,SMALL(IF('All Player Data Store'!$Y$7:$Y$594=AC86,ROW('All Player Data Store'!$Y$7:$Y$594)-ROW('All Player Data Store'!$Y$7)+1),COUNTIF($AC$8:AC86,AC86))),"")</f>
        <v>Bou</v>
      </c>
      <c r="I86" s="69">
        <f t="array" ref="I86">IF(ISNUMBER(AC86),INDEX('All Player Data Store'!$E$7:$E$594,SMALL(IF('All Player Data Store'!$Y$7:$Y$594=AC86,ROW('All Player Data Store'!$Y$7:$Y$594)-ROW('All Player Data Store'!$Y$7)+1),COUNTIF($AC$8:AC86,AC86))),"")</f>
        <v>12</v>
      </c>
      <c r="J86" s="70">
        <f t="array" ref="J86">IF(ISNUMBER(AC86),INDEX('All Player Data Store'!$F$7:$F$594,SMALL(IF('All Player Data Store'!$Y$7:$Y$594=AC86,ROW('All Player Data Store'!$Y$7:$Y$594)-ROW('All Player Data Store'!$Y$7)+1),COUNTIF($AC$8:AC86,AC86))),"")</f>
        <v>5</v>
      </c>
      <c r="K86" s="112">
        <f t="array" ref="K86">IF(ISNUMBER(AC86),INDEX('All Player Data Store'!$G$7:$G$594,SMALL(IF('All Player Data Store'!$Y$7:$Y$594=AC86,ROW('All Player Data Store'!$Y$7:$Y$594)-ROW('All Player Data Store'!$Y$7)+1),COUNTIF($AC$8:AC86,AC86))),"")</f>
        <v>7</v>
      </c>
      <c r="L86" s="112">
        <f t="array" ref="L86">IF(ISNUMBER(AC86),INDEX('All Player Data Store'!$H$7:$H$594,SMALL(IF('All Player Data Store'!$Y$7:$Y$594=AC86,ROW('All Player Data Store'!$Y$7:$Y$594)-ROW('All Player Data Store'!$Y$7)+1),COUNTIF($AC$8:AC86,AC86))),"")</f>
        <v>34</v>
      </c>
      <c r="M86" s="113">
        <f t="array" ref="M86">IF(ISNUMBER(AC86),INDEX('All Player Data Store'!$I$7:$I$594,SMALL(IF('All Player Data Store'!$Y$7:$Y$594=AC86,ROW('All Player Data Store'!$Y$7:$Y$594)-ROW('All Player Data Store'!$Y$7)+1),COUNTIF($AC$8:AC86,AC86))),"")</f>
        <v>36</v>
      </c>
      <c r="N86" s="114" t="str">
        <f t="array" ref="N86">IF(ISNUMBER(AC86),INDEX('All Player Data Store'!$J$7:$J$594,SMALL(IF('All Player Data Store'!$Y$7:$Y$594=AC86,ROW('All Player Data Store'!$Y$7:$Y$594)-ROW('All Player Data Store'!$Y$7)+1),COUNTIF($AC$8:AC86,AC86))),"")</f>
        <v/>
      </c>
      <c r="O86" s="108">
        <f t="array" ref="O86">IF(ISNUMBER(AC86),INDEX('All Player Data Store'!$K$7:$K$594,SMALL(IF('All Player Data Store'!$Y$7:$Y$594=AC86,ROW('All Player Data Store'!$Y$7:$Y$594)-ROW('All Player Data Store'!$Y$7)+1),COUNTIF($AC$8:AC86,AC86))),"")</f>
        <v>20.96</v>
      </c>
      <c r="P86" s="108">
        <f t="array" ref="P86">IF(ISNUMBER(AC86),INDEX('All Player Data Store'!$L$7:$L$594,SMALL(IF('All Player Data Store'!$Y$7:$Y$594=AC86,ROW('All Player Data Store'!$Y$7:$Y$594)-ROW('All Player Data Store'!$Y$7)+1),COUNTIF($AC$8:AC86,AC86))),"")</f>
        <v>20.21</v>
      </c>
      <c r="Q86" s="108">
        <f t="array" ref="Q86">IF(ISNUMBER(AC86),INDEX('All Player Data Store'!$M$7:$M$594,SMALL(IF('All Player Data Store'!$Y$7:$Y$594=AC86,ROW('All Player Data Store'!$Y$7:$Y$594)-ROW('All Player Data Store'!$Y$7)+1),COUNTIF($AC$8:AC86,AC86))),"")</f>
        <v>21.9</v>
      </c>
      <c r="R86" s="108">
        <f t="array" ref="R86">IF(ISNUMBER(AC86),INDEX('All Player Data Store'!$N$7:$N$594,SMALL(IF('All Player Data Store'!$Y$7:$Y$594=AC86,ROW('All Player Data Store'!$Y$7:$Y$594)-ROW('All Player Data Store'!$Y$7)+1),COUNTIF($AC$8:AC86,AC86))),"")</f>
        <v>19.98</v>
      </c>
      <c r="S86" s="108">
        <f t="array" ref="S86">IF(ISNUMBER(AC86),INDEX('All Player Data Store'!$O$7:$O$594,SMALL(IF('All Player Data Store'!$Y$7:$Y$594=AC86,ROW('All Player Data Store'!$Y$7:$Y$594)-ROW('All Player Data Store'!$Y$7)+1),COUNTIF($AC$8:AC86,AC86))),"")</f>
        <v>22.05</v>
      </c>
      <c r="T86" s="108">
        <f t="array" ref="T86">IF(ISNUMBER(AC86),INDEX('All Player Data Store'!$P$7:$P$594,SMALL(IF('All Player Data Store'!$Y$7:$Y$594=AC86,ROW('All Player Data Store'!$Y$7:$Y$594)-ROW('All Player Data Store'!$Y$7)+1),COUNTIF($AC$8:AC86,AC86))),"")</f>
        <v>17.68</v>
      </c>
      <c r="U86" s="108">
        <f t="array" ref="U86">IF(ISNUMBER(AC86),INDEX('All Player Data Store'!$Q$7:$Q$594,SMALL(IF('All Player Data Store'!$Y$7:$Y$594=AC86,ROW('All Player Data Store'!$Y$7:$Y$594)-ROW('All Player Data Store'!$Y$7)+1),COUNTIF($AC$8:AC86,AC86))),"")</f>
        <v>21.64</v>
      </c>
      <c r="V86" s="108">
        <f t="array" ref="V86">IF(ISNUMBER(AC86),INDEX('All Player Data Store'!$R$7:$R$594,SMALL(IF('All Player Data Store'!$Y$7:$Y$594=AC86,ROW('All Player Data Store'!$Y$7:$Y$594)-ROW('All Player Data Store'!$Y$7)+1),COUNTIF($AC$8:AC86,AC86))),"")</f>
        <v>19.91</v>
      </c>
      <c r="W86" s="108">
        <f t="array" ref="W86">IF(ISNUMBER(AC86),INDEX('All Player Data Store'!$S$7:$S$594,SMALL(IF('All Player Data Store'!$Y$7:$Y$594=AC86,ROW('All Player Data Store'!$Y$7:$Y$594)-ROW('All Player Data Store'!$Y$7)+1),COUNTIF($AC$8:AC86,AC86))),"")</f>
        <v>18.829999999999998</v>
      </c>
      <c r="X86" s="108">
        <f t="array" ref="X86">IF(ISNUMBER(AC86),INDEX('All Player Data Store'!$T$7:$T$594,SMALL(IF('All Player Data Store'!$Y$7:$Y$594=AC86,ROW('All Player Data Store'!$Y$7:$Y$594)-ROW('All Player Data Store'!$Y$7)+1),COUNTIF($AC$8:AC86,AC86))),"")</f>
        <v>20.93</v>
      </c>
      <c r="Y86" s="108">
        <f t="array" ref="Y86">IF(ISNUMBER(AC86),INDEX('All Player Data Store'!$U$7:$U$594,SMALL(IF('All Player Data Store'!$Y$7:$Y$594=AC86,ROW('All Player Data Store'!$Y$7:$Y$594)-ROW('All Player Data Store'!$Y$7)+1),COUNTIF($AC$8:AC86,AC86))),"")</f>
        <v>20.88</v>
      </c>
      <c r="Z86" s="108">
        <f t="array" ref="Z86">IF(ISNUMBER(AC86),INDEX('All Player Data Store'!$V$7:$V$594,SMALL(IF('All Player Data Store'!$Y$7:$Y$594=AC86,ROW('All Player Data Store'!$Y$7:$Y$594)-ROW('All Player Data Store'!$Y$7)+1),COUNTIF($AC$8:AC86,AC86))),"")</f>
        <v>18.05</v>
      </c>
      <c r="AA86" s="112">
        <f t="array" ref="AA86">IF(ISNUMBER(AC86),INDEX('All Player Data Store'!$W$7:$W$594,SMALL(IF('All Player Data Store'!$Y$7:$Y$594=AC86,ROW('All Player Data Store'!$Y$7:$Y$594)-ROW('All Player Data Store'!$Y$7)+1),COUNTIF($AC$8:AC86,AC86))),"")</f>
        <v>1</v>
      </c>
      <c r="AB86" s="108">
        <f t="array" ref="AB86">IF(ISNUMBER(AC86),INDEX('All Player Data Store'!$X$7:$X$594,SMALL(IF('All Player Data Store'!$Y$7:$Y$594=AC86,ROW('All Player Data Store'!$Y$7:$Y$594)-ROW('All Player Data Store'!$Y$7)+1),COUNTIF($AC$8:AC86,AC86))),"")</f>
        <v>20.251666666666669</v>
      </c>
      <c r="AC86" s="115">
        <f>IF(ISERROR(IF(ISERROR(LARGE('All Player Data Store'!$Y$7:$Y$594,79)),"",(LARGE('All Player Data Store'!$Y$7:$Y$594,79)))),"",(IF(ISERROR(LARGE('All Player Data Store'!$Y$7:$Y$594,79)),"",(LARGE('All Player Data Store'!$Y$7:$Y$594,79)))))</f>
        <v>25.251666666666669</v>
      </c>
      <c r="AD86" s="106">
        <f t="shared" si="2"/>
        <v>3</v>
      </c>
      <c r="AE86" s="107" t="str">
        <f t="array" ref="AE86">IF(ISNUMBER(AC86),INDEX('All Player Data Store'!$J$8:$J$594,SMALL(IF('All Player Data Store'!$Y$7:$Y$594=AC86,ROW('All Player Data Store'!$Y$7:$Y$594)-ROW('All Player Data Store'!$Y$7)+1),COUNTIF($AC$8:AC86,AC86))),"")</f>
        <v/>
      </c>
      <c r="AF86" s="108" t="str">
        <f t="shared" si="3"/>
        <v/>
      </c>
      <c r="AG86" s="108" t="str">
        <f t="array" ref="AG86">IF(ISNUMBER(AC86),INDEX('All Player Data Store'!$K$8:$K$594,SMALL(IF('All Player Data Store'!$Y$7:$Y$594=AC86,ROW('All Player Data Store'!$Y$7:$Y$594)-ROW('All Player Data Store'!$Y$7)+1),COUNTIF($AC$8:AC86,AC86))),"")</f>
        <v>4*2</v>
      </c>
      <c r="AH86" s="108">
        <f t="shared" si="4"/>
        <v>21.96</v>
      </c>
      <c r="AI86" s="108" t="str">
        <f t="array" ref="AI86">IF(ISNUMBER(AC86),INDEX('All Player Data Store'!$L$8:$L$594,SMALL(IF('All Player Data Store'!$Y$7:$Y$594=AC86,ROW('All Player Data Store'!$Y$7:$Y$594)-ROW('All Player Data Store'!$Y$7)+1),COUNTIF($AC$8:AC86,AC86))),"")</f>
        <v>3*4</v>
      </c>
      <c r="AJ86" s="108">
        <f t="shared" si="5"/>
        <v>20.21</v>
      </c>
      <c r="AK86" s="108" t="str">
        <f t="array" ref="AK86">IF(ISNUMBER(AC86),INDEX('All Player Data Store'!$M$8:$M$594,SMALL(IF('All Player Data Store'!$Y$7:$Y$594=AC86,ROW('All Player Data Store'!$Y$7:$Y$594)-ROW('All Player Data Store'!$Y$7)+1),COUNTIF($AC$8:AC86,AC86))),"")</f>
        <v>4*3(1)</v>
      </c>
      <c r="AL86" s="108">
        <f t="shared" si="6"/>
        <v>22.9</v>
      </c>
      <c r="AM86" s="108" t="str">
        <f t="array" ref="AM86">IF(ISNUMBER(AC86),INDEX('All Player Data Store'!$N$8:$N$594,SMALL(IF('All Player Data Store'!$Y$7:$Y$594=AC86,ROW('All Player Data Store'!$Y$7:$Y$594)-ROW('All Player Data Store'!$Y$7)+1),COUNTIF($AC$8:AC86,AC86))),"")</f>
        <v>3*4</v>
      </c>
      <c r="AN86" s="108">
        <f t="shared" si="7"/>
        <v>19.98</v>
      </c>
      <c r="AO86" s="108" t="str">
        <f t="array" ref="AO86">IF(ISNUMBER(AC86),INDEX('All Player Data Store'!$O$8:$O$594,SMALL(IF('All Player Data Store'!$Y$7:$Y$594=AC86,ROW('All Player Data Store'!$Y$7:$Y$594)-ROW('All Player Data Store'!$Y$7)+1),COUNTIF($AC$8:AC86,AC86))),"")</f>
        <v>4*3</v>
      </c>
      <c r="AP86" s="108">
        <f t="shared" si="8"/>
        <v>23.05</v>
      </c>
      <c r="AQ86" s="108" t="str">
        <f t="array" ref="AQ86">IF(ISNUMBER(AC86),INDEX('All Player Data Store'!$P$8:$P$594,SMALL(IF('All Player Data Store'!$Y$7:$Y$594=AC86,ROW('All Player Data Store'!$Y$7:$Y$594)-ROW('All Player Data Store'!$Y$7)+1),COUNTIF($AC$8:AC86,AC86))),"")</f>
        <v>1*4</v>
      </c>
      <c r="AR86" s="108">
        <f t="shared" si="9"/>
        <v>17.68</v>
      </c>
      <c r="AS86" s="108" t="str">
        <f t="array" ref="AS86">IF(ISNUMBER(AC86),INDEX('All Player Data Store'!$Q$8:$Q$594,SMALL(IF('All Player Data Store'!$Y$7:$Y$594=AC86,ROW('All Player Data Store'!$Y$7:$Y$594)-ROW('All Player Data Store'!$Y$7)+1),COUNTIF($AC$8:AC86,AC86))),"")</f>
        <v>3*4</v>
      </c>
      <c r="AT86" s="108">
        <f t="shared" si="10"/>
        <v>21.64</v>
      </c>
      <c r="AU86" s="108" t="str">
        <f t="array" ref="AU86">IF(ISNUMBER(AC86),INDEX('All Player Data Store'!$R$8:$R$594,SMALL(IF('All Player Data Store'!$Y$7:$Y$594=AC86,ROW('All Player Data Store'!$Y$7:$Y$594)-ROW('All Player Data Store'!$Y$7)+1),COUNTIF($AC$8:AC86,AC86))),"")</f>
        <v>1*4</v>
      </c>
      <c r="AV86" s="108">
        <f t="shared" si="11"/>
        <v>19.91</v>
      </c>
      <c r="AW86" s="108" t="str">
        <f t="array" ref="AW86">IF(ISNUMBER(AC86),INDEX('All Player Data Store'!$S$8:$S$594,SMALL(IF('All Player Data Store'!$Y$7:$Y$594=AC86,ROW('All Player Data Store'!$Y$7:$Y$594)-ROW('All Player Data Store'!$Y$7)+1),COUNTIF($AC$8:AC86,AC86))),"")</f>
        <v>0*4</v>
      </c>
      <c r="AX86" s="108">
        <f t="shared" si="12"/>
        <v>18.829999999999998</v>
      </c>
      <c r="AY86" s="108" t="str">
        <f t="array" ref="AY86">IF(ISNUMBER(AC86),INDEX('All Player Data Store'!$T$8:$T$594,SMALL(IF('All Player Data Store'!$Y$7:$Y$594=AC86,ROW('All Player Data Store'!$Y$7:$Y$594)-ROW('All Player Data Store'!$Y$7)+1),COUNTIF($AC$8:AC86,AC86))),"")</f>
        <v>3*4</v>
      </c>
      <c r="AZ86" s="108">
        <f t="shared" si="13"/>
        <v>20.93</v>
      </c>
      <c r="BA86" s="108" t="str">
        <f t="array" ref="BA86">IF(ISNUMBER(AC86),INDEX('All Player Data Store'!$U$8:$U$594,SMALL(IF('All Player Data Store'!$Y$7:$Y$594=AC86,ROW('All Player Data Store'!$Y$7:$Y$594)-ROW('All Player Data Store'!$Y$7)+1),COUNTIF($AC$8:AC86,AC86))),"")</f>
        <v>4*0</v>
      </c>
      <c r="BB86" s="108">
        <f t="shared" si="14"/>
        <v>21.88</v>
      </c>
      <c r="BC86" s="108" t="str">
        <f t="array" ref="BC86">IF(ISNUMBER(AC86),INDEX('All Player Data Store'!$V$8:$V$594,SMALL(IF('All Player Data Store'!$Y$7:$Y$594=AC86,ROW('All Player Data Store'!$Y$7:$Y$594)-ROW('All Player Data Store'!$Y$7)+1),COUNTIF($AC$8:AC86,AC86))),"")</f>
        <v>4*0</v>
      </c>
      <c r="BD86" s="108">
        <f t="shared" si="15"/>
        <v>19.05</v>
      </c>
      <c r="BE86" s="1"/>
    </row>
    <row r="87" spans="2:57" ht="12" customHeight="1" x14ac:dyDescent="0.2">
      <c r="B87" s="98" t="str">
        <f t="shared" si="0"/>
        <v>Y</v>
      </c>
      <c r="C87" s="1"/>
      <c r="D87" s="68">
        <f t="shared" si="1"/>
        <v>80</v>
      </c>
      <c r="E87" s="2"/>
      <c r="F87" s="78">
        <v>80</v>
      </c>
      <c r="G87" s="110" t="str">
        <f t="array" ref="G87">IF(ISNUMBER(AC87),INDEX('All Player Data Store'!$C$7:$C$594,SMALL(IF('All Player Data Store'!$Y$7:$Y$594=AC87,ROW('All Player Data Store'!$Y$7:$Y$594)-ROW('All Player Data Store'!$Y$7)+1),COUNTIF($AC$8:AC87,AC87))),"")</f>
        <v>Steven Jones</v>
      </c>
      <c r="H87" s="111" t="str">
        <f t="array" ref="H87">IF(ISNUMBER(AC87),INDEX('All Player Data Store'!$D$7:$D$594,SMALL(IF('All Player Data Store'!$Y$7:$Y$594=AC87,ROW('All Player Data Store'!$Y$7:$Y$594)-ROW('All Player Data Store'!$Y$7)+1),COUNTIF($AC$8:AC87,AC87))),"")</f>
        <v>Por</v>
      </c>
      <c r="I87" s="69">
        <f t="array" ref="I87">IF(ISNUMBER(AC87),INDEX('All Player Data Store'!$E$7:$E$594,SMALL(IF('All Player Data Store'!$Y$7:$Y$594=AC87,ROW('All Player Data Store'!$Y$7:$Y$594)-ROW('All Player Data Store'!$Y$7)+1),COUNTIF($AC$8:AC87,AC87))),"")</f>
        <v>11</v>
      </c>
      <c r="J87" s="70">
        <f t="array" ref="J87">IF(ISNUMBER(AC87),INDEX('All Player Data Store'!$F$7:$F$594,SMALL(IF('All Player Data Store'!$Y$7:$Y$594=AC87,ROW('All Player Data Store'!$Y$7:$Y$594)-ROW('All Player Data Store'!$Y$7)+1),COUNTIF($AC$8:AC87,AC87))),"")</f>
        <v>4</v>
      </c>
      <c r="K87" s="112">
        <f t="array" ref="K87">IF(ISNUMBER(AC87),INDEX('All Player Data Store'!$G$7:$G$594,SMALL(IF('All Player Data Store'!$Y$7:$Y$594=AC87,ROW('All Player Data Store'!$Y$7:$Y$594)-ROW('All Player Data Store'!$Y$7)+1),COUNTIF($AC$8:AC87,AC87))),"")</f>
        <v>7</v>
      </c>
      <c r="L87" s="112">
        <f t="array" ref="L87">IF(ISNUMBER(AC87),INDEX('All Player Data Store'!$H$7:$H$594,SMALL(IF('All Player Data Store'!$Y$7:$Y$594=AC87,ROW('All Player Data Store'!$Y$7:$Y$594)-ROW('All Player Data Store'!$Y$7)+1),COUNTIF($AC$8:AC87,AC87))),"")</f>
        <v>30</v>
      </c>
      <c r="M87" s="113">
        <f t="array" ref="M87">IF(ISNUMBER(AC87),INDEX('All Player Data Store'!$I$7:$I$594,SMALL(IF('All Player Data Store'!$Y$7:$Y$594=AC87,ROW('All Player Data Store'!$Y$7:$Y$594)-ROW('All Player Data Store'!$Y$7)+1),COUNTIF($AC$8:AC87,AC87))),"")</f>
        <v>37</v>
      </c>
      <c r="N87" s="114">
        <f t="array" ref="N87">IF(ISNUMBER(AC87),INDEX('All Player Data Store'!$J$7:$J$594,SMALL(IF('All Player Data Store'!$Y$7:$Y$594=AC87,ROW('All Player Data Store'!$Y$7:$Y$594)-ROW('All Player Data Store'!$Y$7)+1),COUNTIF($AC$8:AC87,AC87))),"")</f>
        <v>18.84</v>
      </c>
      <c r="O87" s="108">
        <f t="array" ref="O87">IF(ISNUMBER(AC87),INDEX('All Player Data Store'!$K$7:$K$594,SMALL(IF('All Player Data Store'!$Y$7:$Y$594=AC87,ROW('All Player Data Store'!$Y$7:$Y$594)-ROW('All Player Data Store'!$Y$7)+1),COUNTIF($AC$8:AC87,AC87))),"")</f>
        <v>22.95</v>
      </c>
      <c r="P87" s="108">
        <f t="array" ref="P87">IF(ISNUMBER(AC87),INDEX('All Player Data Store'!$L$7:$L$594,SMALL(IF('All Player Data Store'!$Y$7:$Y$594=AC87,ROW('All Player Data Store'!$Y$7:$Y$594)-ROW('All Player Data Store'!$Y$7)+1),COUNTIF($AC$8:AC87,AC87))),"")</f>
        <v>22.82</v>
      </c>
      <c r="Q87" s="108">
        <f t="array" ref="Q87">IF(ISNUMBER(AC87),INDEX('All Player Data Store'!$M$7:$M$594,SMALL(IF('All Player Data Store'!$Y$7:$Y$594=AC87,ROW('All Player Data Store'!$Y$7:$Y$594)-ROW('All Player Data Store'!$Y$7)+1),COUNTIF($AC$8:AC87,AC87))),"")</f>
        <v>21.24</v>
      </c>
      <c r="R87" s="108" t="str">
        <f t="array" ref="R87">IF(ISNUMBER(AC87),INDEX('All Player Data Store'!$N$7:$N$594,SMALL(IF('All Player Data Store'!$Y$7:$Y$594=AC87,ROW('All Player Data Store'!$Y$7:$Y$594)-ROW('All Player Data Store'!$Y$7)+1),COUNTIF($AC$8:AC87,AC87))),"")</f>
        <v/>
      </c>
      <c r="S87" s="108">
        <f t="array" ref="S87">IF(ISNUMBER(AC87),INDEX('All Player Data Store'!$O$7:$O$594,SMALL(IF('All Player Data Store'!$Y$7:$Y$594=AC87,ROW('All Player Data Store'!$Y$7:$Y$594)-ROW('All Player Data Store'!$Y$7)+1),COUNTIF($AC$8:AC87,AC87))),"")</f>
        <v>20.190000000000001</v>
      </c>
      <c r="T87" s="108">
        <f t="array" ref="T87">IF(ISNUMBER(AC87),INDEX('All Player Data Store'!$P$7:$P$594,SMALL(IF('All Player Data Store'!$Y$7:$Y$594=AC87,ROW('All Player Data Store'!$Y$7:$Y$594)-ROW('All Player Data Store'!$Y$7)+1),COUNTIF($AC$8:AC87,AC87))),"")</f>
        <v>20.99</v>
      </c>
      <c r="U87" s="108">
        <f t="array" ref="U87">IF(ISNUMBER(AC87),INDEX('All Player Data Store'!$Q$7:$Q$594,SMALL(IF('All Player Data Store'!$Y$7:$Y$594=AC87,ROW('All Player Data Store'!$Y$7:$Y$594)-ROW('All Player Data Store'!$Y$7)+1),COUNTIF($AC$8:AC87,AC87))),"")</f>
        <v>22.9</v>
      </c>
      <c r="V87" s="108">
        <f t="array" ref="V87">IF(ISNUMBER(AC87),INDEX('All Player Data Store'!$R$7:$R$594,SMALL(IF('All Player Data Store'!$Y$7:$Y$594=AC87,ROW('All Player Data Store'!$Y$7:$Y$594)-ROW('All Player Data Store'!$Y$7)+1),COUNTIF($AC$8:AC87,AC87))),"")</f>
        <v>21.17</v>
      </c>
      <c r="W87" s="108">
        <f t="array" ref="W87">IF(ISNUMBER(AC87),INDEX('All Player Data Store'!$S$7:$S$594,SMALL(IF('All Player Data Store'!$Y$7:$Y$594=AC87,ROW('All Player Data Store'!$Y$7:$Y$594)-ROW('All Player Data Store'!$Y$7)+1),COUNTIF($AC$8:AC87,AC87))),"")</f>
        <v>19.329999999999998</v>
      </c>
      <c r="X87" s="108">
        <f t="array" ref="X87">IF(ISNUMBER(AC87),INDEX('All Player Data Store'!$T$7:$T$594,SMALL(IF('All Player Data Store'!$Y$7:$Y$594=AC87,ROW('All Player Data Store'!$Y$7:$Y$594)-ROW('All Player Data Store'!$Y$7)+1),COUNTIF($AC$8:AC87,AC87))),"")</f>
        <v>23.64</v>
      </c>
      <c r="Y87" s="108">
        <f t="array" ref="Y87">IF(ISNUMBER(AC87),INDEX('All Player Data Store'!$U$7:$U$594,SMALL(IF('All Player Data Store'!$Y$7:$Y$594=AC87,ROW('All Player Data Store'!$Y$7:$Y$594)-ROW('All Player Data Store'!$Y$7)+1),COUNTIF($AC$8:AC87,AC87))),"")</f>
        <v>19.09</v>
      </c>
      <c r="Z87" s="108" t="str">
        <f t="array" ref="Z87">IF(ISNUMBER(AC87),INDEX('All Player Data Store'!$V$7:$V$594,SMALL(IF('All Player Data Store'!$Y$7:$Y$594=AC87,ROW('All Player Data Store'!$Y$7:$Y$594)-ROW('All Player Data Store'!$Y$7)+1),COUNTIF($AC$8:AC87,AC87))),"")</f>
        <v/>
      </c>
      <c r="AA87" s="112">
        <f t="array" ref="AA87">IF(ISNUMBER(AC87),INDEX('All Player Data Store'!$W$7:$W$594,SMALL(IF('All Player Data Store'!$Y$7:$Y$594=AC87,ROW('All Player Data Store'!$Y$7:$Y$594)-ROW('All Player Data Store'!$Y$7)+1),COUNTIF($AC$8:AC87,AC87))),"")</f>
        <v>2</v>
      </c>
      <c r="AB87" s="108">
        <f t="array" ref="AB87">IF(ISNUMBER(AC87),INDEX('All Player Data Store'!$X$7:$X$594,SMALL(IF('All Player Data Store'!$Y$7:$Y$594=AC87,ROW('All Player Data Store'!$Y$7:$Y$594)-ROW('All Player Data Store'!$Y$7)+1),COUNTIF($AC$8:AC87,AC87))),"")</f>
        <v>21.196363636363632</v>
      </c>
      <c r="AC87" s="115">
        <f>IF(ISERROR(IF(ISERROR(LARGE('All Player Data Store'!$Y$7:$Y$594,80)),"",(LARGE('All Player Data Store'!$Y$7:$Y$594,80)))),"",(IF(ISERROR(LARGE('All Player Data Store'!$Y$7:$Y$594,80)),"",(LARGE('All Player Data Store'!$Y$7:$Y$594,80)))))</f>
        <v>25.196363636363632</v>
      </c>
      <c r="AD87" s="106">
        <f t="shared" si="2"/>
        <v>3</v>
      </c>
      <c r="AE87" s="107" t="str">
        <f t="array" ref="AE87">IF(ISNUMBER(AC87),INDEX('All Player Data Store'!$J$8:$J$594,SMALL(IF('All Player Data Store'!$Y$7:$Y$594=AC87,ROW('All Player Data Store'!$Y$7:$Y$594)-ROW('All Player Data Store'!$Y$7)+1),COUNTIF($AC$8:AC87,AC87))),"")</f>
        <v>0*4</v>
      </c>
      <c r="AF87" s="108">
        <f t="shared" si="3"/>
        <v>18.84</v>
      </c>
      <c r="AG87" s="108" t="str">
        <f t="array" ref="AG87">IF(ISNUMBER(AC87),INDEX('All Player Data Store'!$K$8:$K$594,SMALL(IF('All Player Data Store'!$Y$7:$Y$594=AC87,ROW('All Player Data Store'!$Y$7:$Y$594)-ROW('All Player Data Store'!$Y$7)+1),COUNTIF($AC$8:AC87,AC87))),"")</f>
        <v>3*4(1)</v>
      </c>
      <c r="AH87" s="108">
        <f t="shared" si="4"/>
        <v>22.95</v>
      </c>
      <c r="AI87" s="108" t="str">
        <f t="array" ref="AI87">IF(ISNUMBER(AC87),INDEX('All Player Data Store'!$L$8:$L$594,SMALL(IF('All Player Data Store'!$Y$7:$Y$594=AC87,ROW('All Player Data Store'!$Y$7:$Y$594)-ROW('All Player Data Store'!$Y$7)+1),COUNTIF($AC$8:AC87,AC87))),"")</f>
        <v>4*1</v>
      </c>
      <c r="AJ87" s="108">
        <f t="shared" si="5"/>
        <v>23.82</v>
      </c>
      <c r="AK87" s="108" t="str">
        <f t="array" ref="AK87">IF(ISNUMBER(AC87),INDEX('All Player Data Store'!$M$8:$M$594,SMALL(IF('All Player Data Store'!$Y$7:$Y$594=AC87,ROW('All Player Data Store'!$Y$7:$Y$594)-ROW('All Player Data Store'!$Y$7)+1),COUNTIF($AC$8:AC87,AC87))),"")</f>
        <v>4*3</v>
      </c>
      <c r="AL87" s="108">
        <f t="shared" si="6"/>
        <v>22.24</v>
      </c>
      <c r="AM87" s="108" t="str">
        <f t="array" ref="AM87">IF(ISNUMBER(AC87),INDEX('All Player Data Store'!$N$8:$N$594,SMALL(IF('All Player Data Store'!$Y$7:$Y$594=AC87,ROW('All Player Data Store'!$Y$7:$Y$594)-ROW('All Player Data Store'!$Y$7)+1),COUNTIF($AC$8:AC87,AC87))),"")</f>
        <v/>
      </c>
      <c r="AN87" s="108" t="str">
        <f t="shared" si="7"/>
        <v/>
      </c>
      <c r="AO87" s="108" t="str">
        <f t="array" ref="AO87">IF(ISNUMBER(AC87),INDEX('All Player Data Store'!$O$8:$O$594,SMALL(IF('All Player Data Store'!$Y$7:$Y$594=AC87,ROW('All Player Data Store'!$Y$7:$Y$594)-ROW('All Player Data Store'!$Y$7)+1),COUNTIF($AC$8:AC87,AC87))),"")</f>
        <v>2*4</v>
      </c>
      <c r="AP87" s="108">
        <f t="shared" si="8"/>
        <v>20.190000000000001</v>
      </c>
      <c r="AQ87" s="108" t="str">
        <f t="array" ref="AQ87">IF(ISNUMBER(AC87),INDEX('All Player Data Store'!$P$8:$P$594,SMALL(IF('All Player Data Store'!$Y$7:$Y$594=AC87,ROW('All Player Data Store'!$Y$7:$Y$594)-ROW('All Player Data Store'!$Y$7)+1),COUNTIF($AC$8:AC87,AC87))),"")</f>
        <v>4*2</v>
      </c>
      <c r="AR87" s="108">
        <f t="shared" si="9"/>
        <v>21.99</v>
      </c>
      <c r="AS87" s="108" t="str">
        <f t="array" ref="AS87">IF(ISNUMBER(AC87),INDEX('All Player Data Store'!$Q$8:$Q$594,SMALL(IF('All Player Data Store'!$Y$7:$Y$594=AC87,ROW('All Player Data Store'!$Y$7:$Y$594)-ROW('All Player Data Store'!$Y$7)+1),COUNTIF($AC$8:AC87,AC87))),"")</f>
        <v>3*4</v>
      </c>
      <c r="AT87" s="108">
        <f t="shared" si="10"/>
        <v>22.9</v>
      </c>
      <c r="AU87" s="108" t="str">
        <f t="array" ref="AU87">IF(ISNUMBER(AC87),INDEX('All Player Data Store'!$R$8:$R$594,SMALL(IF('All Player Data Store'!$Y$7:$Y$594=AC87,ROW('All Player Data Store'!$Y$7:$Y$594)-ROW('All Player Data Store'!$Y$7)+1),COUNTIF($AC$8:AC87,AC87))),"")</f>
        <v>1*4(1)</v>
      </c>
      <c r="AV87" s="108">
        <f t="shared" si="11"/>
        <v>21.17</v>
      </c>
      <c r="AW87" s="108" t="str">
        <f t="array" ref="AW87">IF(ISNUMBER(AC87),INDEX('All Player Data Store'!$S$8:$S$594,SMALL(IF('All Player Data Store'!$Y$7:$Y$594=AC87,ROW('All Player Data Store'!$Y$7:$Y$594)-ROW('All Player Data Store'!$Y$7)+1),COUNTIF($AC$8:AC87,AC87))),"")</f>
        <v>4*3</v>
      </c>
      <c r="AX87" s="108">
        <f t="shared" si="12"/>
        <v>20.329999999999998</v>
      </c>
      <c r="AY87" s="108" t="str">
        <f t="array" ref="AY87">IF(ISNUMBER(AC87),INDEX('All Player Data Store'!$T$8:$T$594,SMALL(IF('All Player Data Store'!$Y$7:$Y$594=AC87,ROW('All Player Data Store'!$Y$7:$Y$594)-ROW('All Player Data Store'!$Y$7)+1),COUNTIF($AC$8:AC87,AC87))),"")</f>
        <v>3*4</v>
      </c>
      <c r="AZ87" s="108">
        <f t="shared" si="13"/>
        <v>23.64</v>
      </c>
      <c r="BA87" s="108" t="str">
        <f t="array" ref="BA87">IF(ISNUMBER(AC87),INDEX('All Player Data Store'!$U$8:$U$594,SMALL(IF('All Player Data Store'!$Y$7:$Y$594=AC87,ROW('All Player Data Store'!$Y$7:$Y$594)-ROW('All Player Data Store'!$Y$7)+1),COUNTIF($AC$8:AC87,AC87))),"")</f>
        <v>2*4</v>
      </c>
      <c r="BB87" s="108">
        <f t="shared" si="14"/>
        <v>19.09</v>
      </c>
      <c r="BC87" s="108" t="str">
        <f t="array" ref="BC87">IF(ISNUMBER(AC87),INDEX('All Player Data Store'!$V$8:$V$594,SMALL(IF('All Player Data Store'!$Y$7:$Y$594=AC87,ROW('All Player Data Store'!$Y$7:$Y$594)-ROW('All Player Data Store'!$Y$7)+1),COUNTIF($AC$8:AC87,AC87))),"")</f>
        <v/>
      </c>
      <c r="BD87" s="108" t="str">
        <f t="shared" si="15"/>
        <v/>
      </c>
      <c r="BE87" s="1"/>
    </row>
    <row r="88" spans="2:57" ht="12" customHeight="1" x14ac:dyDescent="0.2">
      <c r="B88" s="98" t="str">
        <f t="shared" si="0"/>
        <v>Y</v>
      </c>
      <c r="C88" s="1"/>
      <c r="D88" s="68">
        <f t="shared" si="1"/>
        <v>81</v>
      </c>
      <c r="E88" s="2"/>
      <c r="F88" s="78">
        <v>81</v>
      </c>
      <c r="G88" s="110" t="str">
        <f t="array" ref="G88">IF(ISNUMBER(AC88),INDEX('All Player Data Store'!$C$7:$C$594,SMALL(IF('All Player Data Store'!$Y$7:$Y$594=AC88,ROW('All Player Data Store'!$Y$7:$Y$594)-ROW('All Player Data Store'!$Y$7)+1),COUNTIF($AC$8:AC88,AC88))),"")</f>
        <v>Ivor Sargeant</v>
      </c>
      <c r="H88" s="111" t="str">
        <f t="array" ref="H88">IF(ISNUMBER(AC88),INDEX('All Player Data Store'!$D$7:$D$594,SMALL(IF('All Player Data Store'!$Y$7:$Y$594=AC88,ROW('All Player Data Store'!$Y$7:$Y$594)-ROW('All Player Data Store'!$Y$7)+1),COUNTIF($AC$8:AC88,AC88))),"")</f>
        <v>Sha</v>
      </c>
      <c r="I88" s="69">
        <f t="array" ref="I88">IF(ISNUMBER(AC88),INDEX('All Player Data Store'!$E$7:$E$594,SMALL(IF('All Player Data Store'!$Y$7:$Y$594=AC88,ROW('All Player Data Store'!$Y$7:$Y$594)-ROW('All Player Data Store'!$Y$7)+1),COUNTIF($AC$8:AC88,AC88))),"")</f>
        <v>13</v>
      </c>
      <c r="J88" s="70">
        <f t="array" ref="J88">IF(ISNUMBER(AC88),INDEX('All Player Data Store'!$F$7:$F$594,SMALL(IF('All Player Data Store'!$Y$7:$Y$594=AC88,ROW('All Player Data Store'!$Y$7:$Y$594)-ROW('All Player Data Store'!$Y$7)+1),COUNTIF($AC$8:AC88,AC88))),"")</f>
        <v>3</v>
      </c>
      <c r="K88" s="112">
        <f t="array" ref="K88">IF(ISNUMBER(AC88),INDEX('All Player Data Store'!$G$7:$G$594,SMALL(IF('All Player Data Store'!$Y$7:$Y$594=AC88,ROW('All Player Data Store'!$Y$7:$Y$594)-ROW('All Player Data Store'!$Y$7)+1),COUNTIF($AC$8:AC88,AC88))),"")</f>
        <v>10</v>
      </c>
      <c r="L88" s="112">
        <f t="array" ref="L88">IF(ISNUMBER(AC88),INDEX('All Player Data Store'!$H$7:$H$594,SMALL(IF('All Player Data Store'!$Y$7:$Y$594=AC88,ROW('All Player Data Store'!$Y$7:$Y$594)-ROW('All Player Data Store'!$Y$7)+1),COUNTIF($AC$8:AC88,AC88))),"")</f>
        <v>32</v>
      </c>
      <c r="M88" s="113">
        <f t="array" ref="M88">IF(ISNUMBER(AC88),INDEX('All Player Data Store'!$I$7:$I$594,SMALL(IF('All Player Data Store'!$Y$7:$Y$594=AC88,ROW('All Player Data Store'!$Y$7:$Y$594)-ROW('All Player Data Store'!$Y$7)+1),COUNTIF($AC$8:AC88,AC88))),"")</f>
        <v>42</v>
      </c>
      <c r="N88" s="114">
        <f t="array" ref="N88">IF(ISNUMBER(AC88),INDEX('All Player Data Store'!$J$7:$J$594,SMALL(IF('All Player Data Store'!$Y$7:$Y$594=AC88,ROW('All Player Data Store'!$Y$7:$Y$594)-ROW('All Player Data Store'!$Y$7)+1),COUNTIF($AC$8:AC88,AC88))),"")</f>
        <v>19.27</v>
      </c>
      <c r="O88" s="108">
        <f t="array" ref="O88">IF(ISNUMBER(AC88),INDEX('All Player Data Store'!$K$7:$K$594,SMALL(IF('All Player Data Store'!$Y$7:$Y$594=AC88,ROW('All Player Data Store'!$Y$7:$Y$594)-ROW('All Player Data Store'!$Y$7)+1),COUNTIF($AC$8:AC88,AC88))),"")</f>
        <v>23.95</v>
      </c>
      <c r="P88" s="108">
        <f t="array" ref="P88">IF(ISNUMBER(AC88),INDEX('All Player Data Store'!$L$7:$L$594,SMALL(IF('All Player Data Store'!$Y$7:$Y$594=AC88,ROW('All Player Data Store'!$Y$7:$Y$594)-ROW('All Player Data Store'!$Y$7)+1),COUNTIF($AC$8:AC88,AC88))),"")</f>
        <v>23.18</v>
      </c>
      <c r="Q88" s="108">
        <f t="array" ref="Q88">IF(ISNUMBER(AC88),INDEX('All Player Data Store'!$M$7:$M$594,SMALL(IF('All Player Data Store'!$Y$7:$Y$594=AC88,ROW('All Player Data Store'!$Y$7:$Y$594)-ROW('All Player Data Store'!$Y$7)+1),COUNTIF($AC$8:AC88,AC88))),"")</f>
        <v>22.42</v>
      </c>
      <c r="R88" s="108">
        <f t="array" ref="R88">IF(ISNUMBER(AC88),INDEX('All Player Data Store'!$N$7:$N$594,SMALL(IF('All Player Data Store'!$Y$7:$Y$594=AC88,ROW('All Player Data Store'!$Y$7:$Y$594)-ROW('All Player Data Store'!$Y$7)+1),COUNTIF($AC$8:AC88,AC88))),"")</f>
        <v>21.09</v>
      </c>
      <c r="S88" s="108">
        <f t="array" ref="S88">IF(ISNUMBER(AC88),INDEX('All Player Data Store'!$O$7:$O$594,SMALL(IF('All Player Data Store'!$Y$7:$Y$594=AC88,ROW('All Player Data Store'!$Y$7:$Y$594)-ROW('All Player Data Store'!$Y$7)+1),COUNTIF($AC$8:AC88,AC88))),"")</f>
        <v>22.85</v>
      </c>
      <c r="T88" s="108">
        <f t="array" ref="T88">IF(ISNUMBER(AC88),INDEX('All Player Data Store'!$P$7:$P$594,SMALL(IF('All Player Data Store'!$Y$7:$Y$594=AC88,ROW('All Player Data Store'!$Y$7:$Y$594)-ROW('All Player Data Store'!$Y$7)+1),COUNTIF($AC$8:AC88,AC88))),"")</f>
        <v>22.45</v>
      </c>
      <c r="U88" s="108">
        <f t="array" ref="U88">IF(ISNUMBER(AC88),INDEX('All Player Data Store'!$Q$7:$Q$594,SMALL(IF('All Player Data Store'!$Y$7:$Y$594=AC88,ROW('All Player Data Store'!$Y$7:$Y$594)-ROW('All Player Data Store'!$Y$7)+1),COUNTIF($AC$8:AC88,AC88))),"")</f>
        <v>25.05</v>
      </c>
      <c r="V88" s="108">
        <f t="array" ref="V88">IF(ISNUMBER(AC88),INDEX('All Player Data Store'!$R$7:$R$594,SMALL(IF('All Player Data Store'!$Y$7:$Y$594=AC88,ROW('All Player Data Store'!$Y$7:$Y$594)-ROW('All Player Data Store'!$Y$7)+1),COUNTIF($AC$8:AC88,AC88))),"")</f>
        <v>18.329999999999998</v>
      </c>
      <c r="W88" s="108">
        <f t="array" ref="W88">IF(ISNUMBER(AC88),INDEX('All Player Data Store'!$S$7:$S$594,SMALL(IF('All Player Data Store'!$Y$7:$Y$594=AC88,ROW('All Player Data Store'!$Y$7:$Y$594)-ROW('All Player Data Store'!$Y$7)+1),COUNTIF($AC$8:AC88,AC88))),"")</f>
        <v>21.51</v>
      </c>
      <c r="X88" s="108">
        <f t="array" ref="X88">IF(ISNUMBER(AC88),INDEX('All Player Data Store'!$T$7:$T$594,SMALL(IF('All Player Data Store'!$Y$7:$Y$594=AC88,ROW('All Player Data Store'!$Y$7:$Y$594)-ROW('All Player Data Store'!$Y$7)+1),COUNTIF($AC$8:AC88,AC88))),"")</f>
        <v>26.63</v>
      </c>
      <c r="Y88" s="108">
        <f t="array" ref="Y88">IF(ISNUMBER(AC88),INDEX('All Player Data Store'!$U$7:$U$594,SMALL(IF('All Player Data Store'!$Y$7:$Y$594=AC88,ROW('All Player Data Store'!$Y$7:$Y$594)-ROW('All Player Data Store'!$Y$7)+1),COUNTIF($AC$8:AC88,AC88))),"")</f>
        <v>16.489999999999998</v>
      </c>
      <c r="Z88" s="108">
        <f t="array" ref="Z88">IF(ISNUMBER(AC88),INDEX('All Player Data Store'!$V$7:$V$594,SMALL(IF('All Player Data Store'!$Y$7:$Y$594=AC88,ROW('All Player Data Store'!$Y$7:$Y$594)-ROW('All Player Data Store'!$Y$7)+1),COUNTIF($AC$8:AC88,AC88))),"")</f>
        <v>23.53</v>
      </c>
      <c r="AA88" s="112">
        <f t="array" ref="AA88">IF(ISNUMBER(AC88),INDEX('All Player Data Store'!$W$7:$W$594,SMALL(IF('All Player Data Store'!$Y$7:$Y$594=AC88,ROW('All Player Data Store'!$Y$7:$Y$594)-ROW('All Player Data Store'!$Y$7)+1),COUNTIF($AC$8:AC88,AC88))),"")</f>
        <v>6</v>
      </c>
      <c r="AB88" s="108">
        <f t="array" ref="AB88">IF(ISNUMBER(AC88),INDEX('All Player Data Store'!$X$7:$X$594,SMALL(IF('All Player Data Store'!$Y$7:$Y$594=AC88,ROW('All Player Data Store'!$Y$7:$Y$594)-ROW('All Player Data Store'!$Y$7)+1),COUNTIF($AC$8:AC88,AC88))),"")</f>
        <v>22.057692307692307</v>
      </c>
      <c r="AC88" s="115">
        <f>IF(ISERROR(IF(ISERROR(LARGE('All Player Data Store'!$Y$7:$Y$594,81)),"",(LARGE('All Player Data Store'!$Y$7:$Y$594,81)))),"",(IF(ISERROR(LARGE('All Player Data Store'!$Y$7:$Y$594,81)),"",(LARGE('All Player Data Store'!$Y$7:$Y$594,81)))))</f>
        <v>25.057692307692307</v>
      </c>
      <c r="AD88" s="106">
        <f t="shared" si="2"/>
        <v>3</v>
      </c>
      <c r="AE88" s="107" t="str">
        <f t="array" ref="AE88">IF(ISNUMBER(AC88),INDEX('All Player Data Store'!$J$8:$J$594,SMALL(IF('All Player Data Store'!$Y$7:$Y$594=AC88,ROW('All Player Data Store'!$Y$7:$Y$594)-ROW('All Player Data Store'!$Y$7)+1),COUNTIF($AC$8:AC88,AC88))),"")</f>
        <v>2*4(1)</v>
      </c>
      <c r="AF88" s="108">
        <f t="shared" si="3"/>
        <v>19.27</v>
      </c>
      <c r="AG88" s="108" t="str">
        <f t="array" ref="AG88">IF(ISNUMBER(AC88),INDEX('All Player Data Store'!$K$8:$K$594,SMALL(IF('All Player Data Store'!$Y$7:$Y$594=AC88,ROW('All Player Data Store'!$Y$7:$Y$594)-ROW('All Player Data Store'!$Y$7)+1),COUNTIF($AC$8:AC88,AC88))),"")</f>
        <v>4*2(1)</v>
      </c>
      <c r="AH88" s="108">
        <f t="shared" si="4"/>
        <v>24.95</v>
      </c>
      <c r="AI88" s="108" t="str">
        <f t="array" ref="AI88">IF(ISNUMBER(AC88),INDEX('All Player Data Store'!$L$8:$L$594,SMALL(IF('All Player Data Store'!$Y$7:$Y$594=AC88,ROW('All Player Data Store'!$Y$7:$Y$594)-ROW('All Player Data Store'!$Y$7)+1),COUNTIF($AC$8:AC88,AC88))),"")</f>
        <v>1*4(1)</v>
      </c>
      <c r="AJ88" s="108">
        <f t="shared" si="5"/>
        <v>23.18</v>
      </c>
      <c r="AK88" s="108" t="str">
        <f t="array" ref="AK88">IF(ISNUMBER(AC88),INDEX('All Player Data Store'!$M$8:$M$594,SMALL(IF('All Player Data Store'!$Y$7:$Y$594=AC88,ROW('All Player Data Store'!$Y$7:$Y$594)-ROW('All Player Data Store'!$Y$7)+1),COUNTIF($AC$8:AC88,AC88))),"")</f>
        <v>1*4</v>
      </c>
      <c r="AL88" s="108">
        <f t="shared" si="6"/>
        <v>22.42</v>
      </c>
      <c r="AM88" s="108" t="str">
        <f t="array" ref="AM88">IF(ISNUMBER(AC88),INDEX('All Player Data Store'!$N$8:$N$594,SMALL(IF('All Player Data Store'!$Y$7:$Y$594=AC88,ROW('All Player Data Store'!$Y$7:$Y$594)-ROW('All Player Data Store'!$Y$7)+1),COUNTIF($AC$8:AC88,AC88))),"")</f>
        <v>3*4</v>
      </c>
      <c r="AN88" s="108">
        <f t="shared" si="7"/>
        <v>21.09</v>
      </c>
      <c r="AO88" s="108" t="str">
        <f t="array" ref="AO88">IF(ISNUMBER(AC88),INDEX('All Player Data Store'!$O$8:$O$594,SMALL(IF('All Player Data Store'!$Y$7:$Y$594=AC88,ROW('All Player Data Store'!$Y$7:$Y$594)-ROW('All Player Data Store'!$Y$7)+1),COUNTIF($AC$8:AC88,AC88))),"")</f>
        <v>3*4</v>
      </c>
      <c r="AP88" s="108">
        <f t="shared" si="8"/>
        <v>22.85</v>
      </c>
      <c r="AQ88" s="108" t="str">
        <f t="array" ref="AQ88">IF(ISNUMBER(AC88),INDEX('All Player Data Store'!$P$8:$P$594,SMALL(IF('All Player Data Store'!$Y$7:$Y$594=AC88,ROW('All Player Data Store'!$Y$7:$Y$594)-ROW('All Player Data Store'!$Y$7)+1),COUNTIF($AC$8:AC88,AC88))),"")</f>
        <v>2*4</v>
      </c>
      <c r="AR88" s="108">
        <f t="shared" si="9"/>
        <v>22.45</v>
      </c>
      <c r="AS88" s="108" t="str">
        <f t="array" ref="AS88">IF(ISNUMBER(AC88),INDEX('All Player Data Store'!$Q$8:$Q$594,SMALL(IF('All Player Data Store'!$Y$7:$Y$594=AC88,ROW('All Player Data Store'!$Y$7:$Y$594)-ROW('All Player Data Store'!$Y$7)+1),COUNTIF($AC$8:AC88,AC88))),"")</f>
        <v>4*0(1)</v>
      </c>
      <c r="AT88" s="108">
        <f t="shared" si="10"/>
        <v>26.05</v>
      </c>
      <c r="AU88" s="108" t="str">
        <f t="array" ref="AU88">IF(ISNUMBER(AC88),INDEX('All Player Data Store'!$R$8:$R$594,SMALL(IF('All Player Data Store'!$Y$7:$Y$594=AC88,ROW('All Player Data Store'!$Y$7:$Y$594)-ROW('All Player Data Store'!$Y$7)+1),COUNTIF($AC$8:AC88,AC88))),"")</f>
        <v>4*0</v>
      </c>
      <c r="AV88" s="108">
        <f t="shared" si="11"/>
        <v>19.329999999999998</v>
      </c>
      <c r="AW88" s="108" t="str">
        <f t="array" ref="AW88">IF(ISNUMBER(AC88),INDEX('All Player Data Store'!$S$8:$S$594,SMALL(IF('All Player Data Store'!$Y$7:$Y$594=AC88,ROW('All Player Data Store'!$Y$7:$Y$594)-ROW('All Player Data Store'!$Y$7)+1),COUNTIF($AC$8:AC88,AC88))),"")</f>
        <v>2*4</v>
      </c>
      <c r="AX88" s="108">
        <f t="shared" si="12"/>
        <v>21.51</v>
      </c>
      <c r="AY88" s="108" t="str">
        <f t="array" ref="AY88">IF(ISNUMBER(AC88),INDEX('All Player Data Store'!$T$8:$T$594,SMALL(IF('All Player Data Store'!$Y$7:$Y$594=AC88,ROW('All Player Data Store'!$Y$7:$Y$594)-ROW('All Player Data Store'!$Y$7)+1),COUNTIF($AC$8:AC88,AC88))),"")</f>
        <v>3*4(2)</v>
      </c>
      <c r="AZ88" s="108">
        <f t="shared" si="13"/>
        <v>26.63</v>
      </c>
      <c r="BA88" s="108" t="str">
        <f t="array" ref="BA88">IF(ISNUMBER(AC88),INDEX('All Player Data Store'!$U$8:$U$594,SMALL(IF('All Player Data Store'!$Y$7:$Y$594=AC88,ROW('All Player Data Store'!$Y$7:$Y$594)-ROW('All Player Data Store'!$Y$7)+1),COUNTIF($AC$8:AC88,AC88))),"")</f>
        <v>2*4</v>
      </c>
      <c r="BB88" s="108">
        <f t="shared" si="14"/>
        <v>16.489999999999998</v>
      </c>
      <c r="BC88" s="108" t="str">
        <f t="array" ref="BC88">IF(ISNUMBER(AC88),INDEX('All Player Data Store'!$V$8:$V$594,SMALL(IF('All Player Data Store'!$Y$7:$Y$594=AC88,ROW('All Player Data Store'!$Y$7:$Y$594)-ROW('All Player Data Store'!$Y$7)+1),COUNTIF($AC$8:AC88,AC88))),"")</f>
        <v>1*4</v>
      </c>
      <c r="BD88" s="108">
        <f t="shared" si="15"/>
        <v>23.53</v>
      </c>
      <c r="BE88" s="1"/>
    </row>
    <row r="89" spans="2:57" ht="12" customHeight="1" x14ac:dyDescent="0.2">
      <c r="B89" s="98" t="str">
        <f t="shared" si="0"/>
        <v>Y</v>
      </c>
      <c r="C89" s="1"/>
      <c r="D89" s="68">
        <f t="shared" si="1"/>
        <v>82</v>
      </c>
      <c r="E89" s="2"/>
      <c r="F89" s="78">
        <v>82</v>
      </c>
      <c r="G89" s="110" t="str">
        <f t="array" ref="G89">IF(ISNUMBER(AC89),INDEX('All Player Data Store'!$C$7:$C$594,SMALL(IF('All Player Data Store'!$Y$7:$Y$594=AC89,ROW('All Player Data Store'!$Y$7:$Y$594)-ROW('All Player Data Store'!$Y$7)+1),COUNTIF($AC$8:AC89,AC89))),"")</f>
        <v>Robert Marshallsay</v>
      </c>
      <c r="H89" s="111" t="str">
        <f t="array" ref="H89">IF(ISNUMBER(AC89),INDEX('All Player Data Store'!$D$7:$D$594,SMALL(IF('All Player Data Store'!$Y$7:$Y$594=AC89,ROW('All Player Data Store'!$Y$7:$Y$594)-ROW('All Player Data Store'!$Y$7)+1),COUNTIF($AC$8:AC89,AC89))),"")</f>
        <v>Poo</v>
      </c>
      <c r="I89" s="69">
        <f t="array" ref="I89">IF(ISNUMBER(AC89),INDEX('All Player Data Store'!$E$7:$E$594,SMALL(IF('All Player Data Store'!$Y$7:$Y$594=AC89,ROW('All Player Data Store'!$Y$7:$Y$594)-ROW('All Player Data Store'!$Y$7)+1),COUNTIF($AC$8:AC89,AC89))),"")</f>
        <v>11</v>
      </c>
      <c r="J89" s="70">
        <f t="array" ref="J89">IF(ISNUMBER(AC89),INDEX('All Player Data Store'!$F$7:$F$594,SMALL(IF('All Player Data Store'!$Y$7:$Y$594=AC89,ROW('All Player Data Store'!$Y$7:$Y$594)-ROW('All Player Data Store'!$Y$7)+1),COUNTIF($AC$8:AC89,AC89))),"")</f>
        <v>4</v>
      </c>
      <c r="K89" s="112">
        <f t="array" ref="K89">IF(ISNUMBER(AC89),INDEX('All Player Data Store'!$G$7:$G$594,SMALL(IF('All Player Data Store'!$Y$7:$Y$594=AC89,ROW('All Player Data Store'!$Y$7:$Y$594)-ROW('All Player Data Store'!$Y$7)+1),COUNTIF($AC$8:AC89,AC89))),"")</f>
        <v>7</v>
      </c>
      <c r="L89" s="112">
        <f t="array" ref="L89">IF(ISNUMBER(AC89),INDEX('All Player Data Store'!$H$7:$H$594,SMALL(IF('All Player Data Store'!$Y$7:$Y$594=AC89,ROW('All Player Data Store'!$Y$7:$Y$594)-ROW('All Player Data Store'!$Y$7)+1),COUNTIF($AC$8:AC89,AC89))),"")</f>
        <v>23</v>
      </c>
      <c r="M89" s="113">
        <f t="array" ref="M89">IF(ISNUMBER(AC89),INDEX('All Player Data Store'!$I$7:$I$594,SMALL(IF('All Player Data Store'!$Y$7:$Y$594=AC89,ROW('All Player Data Store'!$Y$7:$Y$594)-ROW('All Player Data Store'!$Y$7)+1),COUNTIF($AC$8:AC89,AC89))),"")</f>
        <v>34</v>
      </c>
      <c r="N89" s="114">
        <f t="array" ref="N89">IF(ISNUMBER(AC89),INDEX('All Player Data Store'!$J$7:$J$594,SMALL(IF('All Player Data Store'!$Y$7:$Y$594=AC89,ROW('All Player Data Store'!$Y$7:$Y$594)-ROW('All Player Data Store'!$Y$7)+1),COUNTIF($AC$8:AC89,AC89))),"")</f>
        <v>21.45</v>
      </c>
      <c r="O89" s="108">
        <f t="array" ref="O89">IF(ISNUMBER(AC89),INDEX('All Player Data Store'!$K$7:$K$594,SMALL(IF('All Player Data Store'!$Y$7:$Y$594=AC89,ROW('All Player Data Store'!$Y$7:$Y$594)-ROW('All Player Data Store'!$Y$7)+1),COUNTIF($AC$8:AC89,AC89))),"")</f>
        <v>20.45</v>
      </c>
      <c r="P89" s="108">
        <f t="array" ref="P89">IF(ISNUMBER(AC89),INDEX('All Player Data Store'!$L$7:$L$594,SMALL(IF('All Player Data Store'!$Y$7:$Y$594=AC89,ROW('All Player Data Store'!$Y$7:$Y$594)-ROW('All Player Data Store'!$Y$7)+1),COUNTIF($AC$8:AC89,AC89))),"")</f>
        <v>20.55</v>
      </c>
      <c r="Q89" s="108">
        <f t="array" ref="Q89">IF(ISNUMBER(AC89),INDEX('All Player Data Store'!$M$7:$M$594,SMALL(IF('All Player Data Store'!$Y$7:$Y$594=AC89,ROW('All Player Data Store'!$Y$7:$Y$594)-ROW('All Player Data Store'!$Y$7)+1),COUNTIF($AC$8:AC89,AC89))),"")</f>
        <v>19.28</v>
      </c>
      <c r="R89" s="108" t="str">
        <f t="array" ref="R89">IF(ISNUMBER(AC89),INDEX('All Player Data Store'!$N$7:$N$594,SMALL(IF('All Player Data Store'!$Y$7:$Y$594=AC89,ROW('All Player Data Store'!$Y$7:$Y$594)-ROW('All Player Data Store'!$Y$7)+1),COUNTIF($AC$8:AC89,AC89))),"")</f>
        <v/>
      </c>
      <c r="S89" s="108">
        <f t="array" ref="S89">IF(ISNUMBER(AC89),INDEX('All Player Data Store'!$O$7:$O$594,SMALL(IF('All Player Data Store'!$Y$7:$Y$594=AC89,ROW('All Player Data Store'!$Y$7:$Y$594)-ROW('All Player Data Store'!$Y$7)+1),COUNTIF($AC$8:AC89,AC89))),"")</f>
        <v>23.82</v>
      </c>
      <c r="T89" s="108" t="str">
        <f t="array" ref="T89">IF(ISNUMBER(AC89),INDEX('All Player Data Store'!$P$7:$P$594,SMALL(IF('All Player Data Store'!$Y$7:$Y$594=AC89,ROW('All Player Data Store'!$Y$7:$Y$594)-ROW('All Player Data Store'!$Y$7)+1),COUNTIF($AC$8:AC89,AC89))),"")</f>
        <v/>
      </c>
      <c r="U89" s="108">
        <f t="array" ref="U89">IF(ISNUMBER(AC89),INDEX('All Player Data Store'!$Q$7:$Q$594,SMALL(IF('All Player Data Store'!$Y$7:$Y$594=AC89,ROW('All Player Data Store'!$Y$7:$Y$594)-ROW('All Player Data Store'!$Y$7)+1),COUNTIF($AC$8:AC89,AC89))),"")</f>
        <v>21.09</v>
      </c>
      <c r="V89" s="108">
        <f t="array" ref="V89">IF(ISNUMBER(AC89),INDEX('All Player Data Store'!$R$7:$R$594,SMALL(IF('All Player Data Store'!$Y$7:$Y$594=AC89,ROW('All Player Data Store'!$Y$7:$Y$594)-ROW('All Player Data Store'!$Y$7)+1),COUNTIF($AC$8:AC89,AC89))),"")</f>
        <v>19.829999999999998</v>
      </c>
      <c r="W89" s="108">
        <f t="array" ref="W89">IF(ISNUMBER(AC89),INDEX('All Player Data Store'!$S$7:$S$594,SMALL(IF('All Player Data Store'!$Y$7:$Y$594=AC89,ROW('All Player Data Store'!$Y$7:$Y$594)-ROW('All Player Data Store'!$Y$7)+1),COUNTIF($AC$8:AC89,AC89))),"")</f>
        <v>21.54</v>
      </c>
      <c r="X89" s="108">
        <f t="array" ref="X89">IF(ISNUMBER(AC89),INDEX('All Player Data Store'!$T$7:$T$594,SMALL(IF('All Player Data Store'!$Y$7:$Y$594=AC89,ROW('All Player Data Store'!$Y$7:$Y$594)-ROW('All Player Data Store'!$Y$7)+1),COUNTIF($AC$8:AC89,AC89))),"")</f>
        <v>21.5</v>
      </c>
      <c r="Y89" s="108">
        <f t="array" ref="Y89">IF(ISNUMBER(AC89),INDEX('All Player Data Store'!$U$7:$U$594,SMALL(IF('All Player Data Store'!$Y$7:$Y$594=AC89,ROW('All Player Data Store'!$Y$7:$Y$594)-ROW('All Player Data Store'!$Y$7)+1),COUNTIF($AC$8:AC89,AC89))),"")</f>
        <v>21.22</v>
      </c>
      <c r="Z89" s="108">
        <f t="array" ref="Z89">IF(ISNUMBER(AC89),INDEX('All Player Data Store'!$V$7:$V$594,SMALL(IF('All Player Data Store'!$Y$7:$Y$594=AC89,ROW('All Player Data Store'!$Y$7:$Y$594)-ROW('All Player Data Store'!$Y$7)+1),COUNTIF($AC$8:AC89,AC89))),"")</f>
        <v>20.69</v>
      </c>
      <c r="AA89" s="112">
        <f t="array" ref="AA89">IF(ISNUMBER(AC89),INDEX('All Player Data Store'!$W$7:$W$594,SMALL(IF('All Player Data Store'!$Y$7:$Y$594=AC89,ROW('All Player Data Store'!$Y$7:$Y$594)-ROW('All Player Data Store'!$Y$7)+1),COUNTIF($AC$8:AC89,AC89))),"")</f>
        <v>1</v>
      </c>
      <c r="AB89" s="108">
        <f t="array" ref="AB89">IF(ISNUMBER(AC89),INDEX('All Player Data Store'!$X$7:$X$594,SMALL(IF('All Player Data Store'!$Y$7:$Y$594=AC89,ROW('All Player Data Store'!$Y$7:$Y$594)-ROW('All Player Data Store'!$Y$7)+1),COUNTIF($AC$8:AC89,AC89))),"")</f>
        <v>21.038181818181819</v>
      </c>
      <c r="AC89" s="115">
        <f>IF(ISERROR(IF(ISERROR(LARGE('All Player Data Store'!$Y$7:$Y$594,82)),"",(LARGE('All Player Data Store'!$Y$7:$Y$594,82)))),"",(IF(ISERROR(LARGE('All Player Data Store'!$Y$7:$Y$594,82)),"",(LARGE('All Player Data Store'!$Y$7:$Y$594,82)))))</f>
        <v>25.038181818181819</v>
      </c>
      <c r="AD89" s="106">
        <f t="shared" si="2"/>
        <v>3</v>
      </c>
      <c r="AE89" s="107" t="str">
        <f t="array" ref="AE89">IF(ISNUMBER(AC89),INDEX('All Player Data Store'!$J$8:$J$594,SMALL(IF('All Player Data Store'!$Y$7:$Y$594=AC89,ROW('All Player Data Store'!$Y$7:$Y$594)-ROW('All Player Data Store'!$Y$7)+1),COUNTIF($AC$8:AC89,AC89))),"")</f>
        <v>3*4</v>
      </c>
      <c r="AF89" s="108">
        <f t="shared" si="3"/>
        <v>21.45</v>
      </c>
      <c r="AG89" s="108" t="str">
        <f t="array" ref="AG89">IF(ISNUMBER(AC89),INDEX('All Player Data Store'!$K$8:$K$594,SMALL(IF('All Player Data Store'!$Y$7:$Y$594=AC89,ROW('All Player Data Store'!$Y$7:$Y$594)-ROW('All Player Data Store'!$Y$7)+1),COUNTIF($AC$8:AC89,AC89))),"")</f>
        <v>3*4(1)</v>
      </c>
      <c r="AH89" s="108">
        <f t="shared" si="4"/>
        <v>20.45</v>
      </c>
      <c r="AI89" s="108" t="str">
        <f t="array" ref="AI89">IF(ISNUMBER(AC89),INDEX('All Player Data Store'!$L$8:$L$594,SMALL(IF('All Player Data Store'!$Y$7:$Y$594=AC89,ROW('All Player Data Store'!$Y$7:$Y$594)-ROW('All Player Data Store'!$Y$7)+1),COUNTIF($AC$8:AC89,AC89))),"")</f>
        <v>1*4</v>
      </c>
      <c r="AJ89" s="108">
        <f t="shared" si="5"/>
        <v>20.55</v>
      </c>
      <c r="AK89" s="108" t="str">
        <f t="array" ref="AK89">IF(ISNUMBER(AC89),INDEX('All Player Data Store'!$M$8:$M$594,SMALL(IF('All Player Data Store'!$Y$7:$Y$594=AC89,ROW('All Player Data Store'!$Y$7:$Y$594)-ROW('All Player Data Store'!$Y$7)+1),COUNTIF($AC$8:AC89,AC89))),"")</f>
        <v>0*4</v>
      </c>
      <c r="AL89" s="108">
        <f t="shared" si="6"/>
        <v>19.28</v>
      </c>
      <c r="AM89" s="108" t="str">
        <f t="array" ref="AM89">IF(ISNUMBER(AC89),INDEX('All Player Data Store'!$N$8:$N$594,SMALL(IF('All Player Data Store'!$Y$7:$Y$594=AC89,ROW('All Player Data Store'!$Y$7:$Y$594)-ROW('All Player Data Store'!$Y$7)+1),COUNTIF($AC$8:AC89,AC89))),"")</f>
        <v/>
      </c>
      <c r="AN89" s="108" t="str">
        <f t="shared" si="7"/>
        <v/>
      </c>
      <c r="AO89" s="108" t="str">
        <f t="array" ref="AO89">IF(ISNUMBER(AC89),INDEX('All Player Data Store'!$O$8:$O$594,SMALL(IF('All Player Data Store'!$Y$7:$Y$594=AC89,ROW('All Player Data Store'!$Y$7:$Y$594)-ROW('All Player Data Store'!$Y$7)+1),COUNTIF($AC$8:AC89,AC89))),"")</f>
        <v>4*2</v>
      </c>
      <c r="AP89" s="108">
        <f t="shared" si="8"/>
        <v>24.82</v>
      </c>
      <c r="AQ89" s="108" t="str">
        <f t="array" ref="AQ89">IF(ISNUMBER(AC89),INDEX('All Player Data Store'!$P$8:$P$594,SMALL(IF('All Player Data Store'!$Y$7:$Y$594=AC89,ROW('All Player Data Store'!$Y$7:$Y$594)-ROW('All Player Data Store'!$Y$7)+1),COUNTIF($AC$8:AC89,AC89))),"")</f>
        <v/>
      </c>
      <c r="AR89" s="108" t="str">
        <f t="shared" si="9"/>
        <v/>
      </c>
      <c r="AS89" s="108" t="str">
        <f t="array" ref="AS89">IF(ISNUMBER(AC89),INDEX('All Player Data Store'!$Q$8:$Q$594,SMALL(IF('All Player Data Store'!$Y$7:$Y$594=AC89,ROW('All Player Data Store'!$Y$7:$Y$594)-ROW('All Player Data Store'!$Y$7)+1),COUNTIF($AC$8:AC89,AC89))),"")</f>
        <v>4*0</v>
      </c>
      <c r="AT89" s="108">
        <f t="shared" si="10"/>
        <v>22.09</v>
      </c>
      <c r="AU89" s="108" t="str">
        <f t="array" ref="AU89">IF(ISNUMBER(AC89),INDEX('All Player Data Store'!$R$8:$R$594,SMALL(IF('All Player Data Store'!$Y$7:$Y$594=AC89,ROW('All Player Data Store'!$Y$7:$Y$594)-ROW('All Player Data Store'!$Y$7)+1),COUNTIF($AC$8:AC89,AC89))),"")</f>
        <v>0*4</v>
      </c>
      <c r="AV89" s="108">
        <f t="shared" si="11"/>
        <v>19.829999999999998</v>
      </c>
      <c r="AW89" s="108" t="str">
        <f t="array" ref="AW89">IF(ISNUMBER(AC89),INDEX('All Player Data Store'!$S$8:$S$594,SMALL(IF('All Player Data Store'!$Y$7:$Y$594=AC89,ROW('All Player Data Store'!$Y$7:$Y$594)-ROW('All Player Data Store'!$Y$7)+1),COUNTIF($AC$8:AC89,AC89))),"")</f>
        <v>4*1</v>
      </c>
      <c r="AX89" s="108">
        <f t="shared" si="12"/>
        <v>22.54</v>
      </c>
      <c r="AY89" s="108" t="str">
        <f t="array" ref="AY89">IF(ISNUMBER(AC89),INDEX('All Player Data Store'!$T$8:$T$594,SMALL(IF('All Player Data Store'!$Y$7:$Y$594=AC89,ROW('All Player Data Store'!$Y$7:$Y$594)-ROW('All Player Data Store'!$Y$7)+1),COUNTIF($AC$8:AC89,AC89))),"")</f>
        <v>4*3</v>
      </c>
      <c r="AZ89" s="108">
        <f t="shared" si="13"/>
        <v>22.5</v>
      </c>
      <c r="BA89" s="108" t="str">
        <f t="array" ref="BA89">IF(ISNUMBER(AC89),INDEX('All Player Data Store'!$U$8:$U$594,SMALL(IF('All Player Data Store'!$Y$7:$Y$594=AC89,ROW('All Player Data Store'!$Y$7:$Y$594)-ROW('All Player Data Store'!$Y$7)+1),COUNTIF($AC$8:AC89,AC89))),"")</f>
        <v>0*4</v>
      </c>
      <c r="BB89" s="108">
        <f t="shared" si="14"/>
        <v>21.22</v>
      </c>
      <c r="BC89" s="108" t="str">
        <f t="array" ref="BC89">IF(ISNUMBER(AC89),INDEX('All Player Data Store'!$V$8:$V$594,SMALL(IF('All Player Data Store'!$Y$7:$Y$594=AC89,ROW('All Player Data Store'!$Y$7:$Y$594)-ROW('All Player Data Store'!$Y$7)+1),COUNTIF($AC$8:AC89,AC89))),"")</f>
        <v>0*4</v>
      </c>
      <c r="BD89" s="108">
        <f t="shared" si="15"/>
        <v>20.69</v>
      </c>
      <c r="BE89" s="1"/>
    </row>
    <row r="90" spans="2:57" ht="12" customHeight="1" x14ac:dyDescent="0.2">
      <c r="B90" s="98" t="str">
        <f t="shared" si="0"/>
        <v>N</v>
      </c>
      <c r="C90" s="1"/>
      <c r="D90" s="68">
        <f t="shared" si="1"/>
        <v>83</v>
      </c>
      <c r="E90" s="2"/>
      <c r="F90" s="78">
        <v>83</v>
      </c>
      <c r="G90" s="110" t="str">
        <f t="array" ref="G90">IF(ISNUMBER(AC90),INDEX('All Player Data Store'!$C$7:$C$594,SMALL(IF('All Player Data Store'!$Y$7:$Y$594=AC90,ROW('All Player Data Store'!$Y$7:$Y$594)-ROW('All Player Data Store'!$Y$7)+1),COUNTIF($AC$8:AC90,AC90))),"")</f>
        <v>Phillip Weeks</v>
      </c>
      <c r="H90" s="111" t="str">
        <f t="array" ref="H90">IF(ISNUMBER(AC90),INDEX('All Player Data Store'!$D$7:$D$594,SMALL(IF('All Player Data Store'!$Y$7:$Y$594=AC90,ROW('All Player Data Store'!$Y$7:$Y$594)-ROW('All Player Data Store'!$Y$7)+1),COUNTIF($AC$8:AC90,AC90))),"")</f>
        <v>Chr</v>
      </c>
      <c r="I90" s="69">
        <f t="array" ref="I90">IF(ISNUMBER(AC90),INDEX('All Player Data Store'!$E$7:$E$594,SMALL(IF('All Player Data Store'!$Y$7:$Y$594=AC90,ROW('All Player Data Store'!$Y$7:$Y$594)-ROW('All Player Data Store'!$Y$7)+1),COUNTIF($AC$8:AC90,AC90))),"")</f>
        <v>8</v>
      </c>
      <c r="J90" s="70">
        <f t="array" ref="J90">IF(ISNUMBER(AC90),INDEX('All Player Data Store'!$F$7:$F$594,SMALL(IF('All Player Data Store'!$Y$7:$Y$594=AC90,ROW('All Player Data Store'!$Y$7:$Y$594)-ROW('All Player Data Store'!$Y$7)+1),COUNTIF($AC$8:AC90,AC90))),"")</f>
        <v>4</v>
      </c>
      <c r="K90" s="112">
        <f t="array" ref="K90">IF(ISNUMBER(AC90),INDEX('All Player Data Store'!$G$7:$G$594,SMALL(IF('All Player Data Store'!$Y$7:$Y$594=AC90,ROW('All Player Data Store'!$Y$7:$Y$594)-ROW('All Player Data Store'!$Y$7)+1),COUNTIF($AC$8:AC90,AC90))),"")</f>
        <v>4</v>
      </c>
      <c r="L90" s="112">
        <f t="array" ref="L90">IF(ISNUMBER(AC90),INDEX('All Player Data Store'!$H$7:$H$594,SMALL(IF('All Player Data Store'!$Y$7:$Y$594=AC90,ROW('All Player Data Store'!$Y$7:$Y$594)-ROW('All Player Data Store'!$Y$7)+1),COUNTIF($AC$8:AC90,AC90))),"")</f>
        <v>23</v>
      </c>
      <c r="M90" s="113">
        <f t="array" ref="M90">IF(ISNUMBER(AC90),INDEX('All Player Data Store'!$I$7:$I$594,SMALL(IF('All Player Data Store'!$Y$7:$Y$594=AC90,ROW('All Player Data Store'!$Y$7:$Y$594)-ROW('All Player Data Store'!$Y$7)+1),COUNTIF($AC$8:AC90,AC90))),"")</f>
        <v>19</v>
      </c>
      <c r="N90" s="114">
        <f t="array" ref="N90">IF(ISNUMBER(AC90),INDEX('All Player Data Store'!$J$7:$J$594,SMALL(IF('All Player Data Store'!$Y$7:$Y$594=AC90,ROW('All Player Data Store'!$Y$7:$Y$594)-ROW('All Player Data Store'!$Y$7)+1),COUNTIF($AC$8:AC90,AC90))),"")</f>
        <v>21.1</v>
      </c>
      <c r="O90" s="108">
        <f t="array" ref="O90">IF(ISNUMBER(AC90),INDEX('All Player Data Store'!$K$7:$K$594,SMALL(IF('All Player Data Store'!$Y$7:$Y$594=AC90,ROW('All Player Data Store'!$Y$7:$Y$594)-ROW('All Player Data Store'!$Y$7)+1),COUNTIF($AC$8:AC90,AC90))),"")</f>
        <v>18.440000000000001</v>
      </c>
      <c r="P90" s="108">
        <f t="array" ref="P90">IF(ISNUMBER(AC90),INDEX('All Player Data Store'!$L$7:$L$594,SMALL(IF('All Player Data Store'!$Y$7:$Y$594=AC90,ROW('All Player Data Store'!$Y$7:$Y$594)-ROW('All Player Data Store'!$Y$7)+1),COUNTIF($AC$8:AC90,AC90))),"")</f>
        <v>18.14</v>
      </c>
      <c r="Q90" s="108">
        <f t="array" ref="Q90">IF(ISNUMBER(AC90),INDEX('All Player Data Store'!$M$7:$M$594,SMALL(IF('All Player Data Store'!$Y$7:$Y$594=AC90,ROW('All Player Data Store'!$Y$7:$Y$594)-ROW('All Player Data Store'!$Y$7)+1),COUNTIF($AC$8:AC90,AC90))),"")</f>
        <v>22.02</v>
      </c>
      <c r="R90" s="108">
        <f t="array" ref="R90">IF(ISNUMBER(AC90),INDEX('All Player Data Store'!$N$7:$N$594,SMALL(IF('All Player Data Store'!$Y$7:$Y$594=AC90,ROW('All Player Data Store'!$Y$7:$Y$594)-ROW('All Player Data Store'!$Y$7)+1),COUNTIF($AC$8:AC90,AC90))),"")</f>
        <v>20.27</v>
      </c>
      <c r="S90" s="108">
        <f t="array" ref="S90">IF(ISNUMBER(AC90),INDEX('All Player Data Store'!$O$7:$O$594,SMALL(IF('All Player Data Store'!$Y$7:$Y$594=AC90,ROW('All Player Data Store'!$Y$7:$Y$594)-ROW('All Player Data Store'!$Y$7)+1),COUNTIF($AC$8:AC90,AC90))),"")</f>
        <v>21.6</v>
      </c>
      <c r="T90" s="108">
        <f t="array" ref="T90">IF(ISNUMBER(AC90),INDEX('All Player Data Store'!$P$7:$P$594,SMALL(IF('All Player Data Store'!$Y$7:$Y$594=AC90,ROW('All Player Data Store'!$Y$7:$Y$594)-ROW('All Player Data Store'!$Y$7)+1),COUNTIF($AC$8:AC90,AC90))),"")</f>
        <v>21.18</v>
      </c>
      <c r="U90" s="108">
        <f t="array" ref="U90">IF(ISNUMBER(AC90),INDEX('All Player Data Store'!$Q$7:$Q$594,SMALL(IF('All Player Data Store'!$Y$7:$Y$594=AC90,ROW('All Player Data Store'!$Y$7:$Y$594)-ROW('All Player Data Store'!$Y$7)+1),COUNTIF($AC$8:AC90,AC90))),"")</f>
        <v>24.44</v>
      </c>
      <c r="V90" s="108" t="str">
        <f t="array" ref="V90">IF(ISNUMBER(AC90),INDEX('All Player Data Store'!$R$7:$R$594,SMALL(IF('All Player Data Store'!$Y$7:$Y$594=AC90,ROW('All Player Data Store'!$Y$7:$Y$594)-ROW('All Player Data Store'!$Y$7)+1),COUNTIF($AC$8:AC90,AC90))),"")</f>
        <v/>
      </c>
      <c r="W90" s="108" t="str">
        <f t="array" ref="W90">IF(ISNUMBER(AC90),INDEX('All Player Data Store'!$S$7:$S$594,SMALL(IF('All Player Data Store'!$Y$7:$Y$594=AC90,ROW('All Player Data Store'!$Y$7:$Y$594)-ROW('All Player Data Store'!$Y$7)+1),COUNTIF($AC$8:AC90,AC90))),"")</f>
        <v/>
      </c>
      <c r="X90" s="108" t="str">
        <f t="array" ref="X90">IF(ISNUMBER(AC90),INDEX('All Player Data Store'!$T$7:$T$594,SMALL(IF('All Player Data Store'!$Y$7:$Y$594=AC90,ROW('All Player Data Store'!$Y$7:$Y$594)-ROW('All Player Data Store'!$Y$7)+1),COUNTIF($AC$8:AC90,AC90))),"")</f>
        <v/>
      </c>
      <c r="Y90" s="108" t="str">
        <f t="array" ref="Y90">IF(ISNUMBER(AC90),INDEX('All Player Data Store'!$U$7:$U$594,SMALL(IF('All Player Data Store'!$Y$7:$Y$594=AC90,ROW('All Player Data Store'!$Y$7:$Y$594)-ROW('All Player Data Store'!$Y$7)+1),COUNTIF($AC$8:AC90,AC90))),"")</f>
        <v/>
      </c>
      <c r="Z90" s="108" t="str">
        <f t="array" ref="Z90">IF(ISNUMBER(AC90),INDEX('All Player Data Store'!$V$7:$V$594,SMALL(IF('All Player Data Store'!$Y$7:$Y$594=AC90,ROW('All Player Data Store'!$Y$7:$Y$594)-ROW('All Player Data Store'!$Y$7)+1),COUNTIF($AC$8:AC90,AC90))),"")</f>
        <v/>
      </c>
      <c r="AA90" s="112" t="str">
        <f t="array" ref="AA90">IF(ISNUMBER(AC90),INDEX('All Player Data Store'!$W$7:$W$594,SMALL(IF('All Player Data Store'!$Y$7:$Y$594=AC90,ROW('All Player Data Store'!$Y$7:$Y$594)-ROW('All Player Data Store'!$Y$7)+1),COUNTIF($AC$8:AC90,AC90))),"")</f>
        <v/>
      </c>
      <c r="AB90" s="108">
        <f t="array" ref="AB90">IF(ISNUMBER(AC90),INDEX('All Player Data Store'!$X$7:$X$594,SMALL(IF('All Player Data Store'!$Y$7:$Y$594=AC90,ROW('All Player Data Store'!$Y$7:$Y$594)-ROW('All Player Data Store'!$Y$7)+1),COUNTIF($AC$8:AC90,AC90))),"")</f>
        <v>20.89875</v>
      </c>
      <c r="AC90" s="115">
        <f>IF(ISERROR(IF(ISERROR(LARGE('All Player Data Store'!$Y$7:$Y$594,83)),"",(LARGE('All Player Data Store'!$Y$7:$Y$594,83)))),"",(IF(ISERROR(LARGE('All Player Data Store'!$Y$7:$Y$594,83)),"",(LARGE('All Player Data Store'!$Y$7:$Y$594,83)))))</f>
        <v>24.89875</v>
      </c>
      <c r="AD90" s="106">
        <f t="shared" si="2"/>
        <v>3</v>
      </c>
      <c r="AE90" s="107" t="str">
        <f t="array" ref="AE90">IF(ISNUMBER(AC90),INDEX('All Player Data Store'!$J$8:$J$594,SMALL(IF('All Player Data Store'!$Y$7:$Y$594=AC90,ROW('All Player Data Store'!$Y$7:$Y$594)-ROW('All Player Data Store'!$Y$7)+1),COUNTIF($AC$8:AC90,AC90))),"")</f>
        <v>4*2</v>
      </c>
      <c r="AF90" s="108">
        <f t="shared" si="3"/>
        <v>22.1</v>
      </c>
      <c r="AG90" s="108" t="str">
        <f t="array" ref="AG90">IF(ISNUMBER(AC90),INDEX('All Player Data Store'!$K$8:$K$594,SMALL(IF('All Player Data Store'!$Y$7:$Y$594=AC90,ROW('All Player Data Store'!$Y$7:$Y$594)-ROW('All Player Data Store'!$Y$7)+1),COUNTIF($AC$8:AC90,AC90))),"")</f>
        <v>1*4</v>
      </c>
      <c r="AH90" s="108">
        <f t="shared" si="4"/>
        <v>18.440000000000001</v>
      </c>
      <c r="AI90" s="108" t="str">
        <f t="array" ref="AI90">IF(ISNUMBER(AC90),INDEX('All Player Data Store'!$L$8:$L$594,SMALL(IF('All Player Data Store'!$Y$7:$Y$594=AC90,ROW('All Player Data Store'!$Y$7:$Y$594)-ROW('All Player Data Store'!$Y$7)+1),COUNTIF($AC$8:AC90,AC90))),"")</f>
        <v>4*1</v>
      </c>
      <c r="AJ90" s="108">
        <f t="shared" si="5"/>
        <v>19.14</v>
      </c>
      <c r="AK90" s="108" t="str">
        <f t="array" ref="AK90">IF(ISNUMBER(AC90),INDEX('All Player Data Store'!$M$8:$M$594,SMALL(IF('All Player Data Store'!$Y$7:$Y$594=AC90,ROW('All Player Data Store'!$Y$7:$Y$594)-ROW('All Player Data Store'!$Y$7)+1),COUNTIF($AC$8:AC90,AC90))),"")</f>
        <v>4*0</v>
      </c>
      <c r="AL90" s="108">
        <f t="shared" si="6"/>
        <v>23.02</v>
      </c>
      <c r="AM90" s="108" t="str">
        <f t="array" ref="AM90">IF(ISNUMBER(AC90),INDEX('All Player Data Store'!$N$8:$N$594,SMALL(IF('All Player Data Store'!$Y$7:$Y$594=AC90,ROW('All Player Data Store'!$Y$7:$Y$594)-ROW('All Player Data Store'!$Y$7)+1),COUNTIF($AC$8:AC90,AC90))),"")</f>
        <v>3*4</v>
      </c>
      <c r="AN90" s="108">
        <f t="shared" si="7"/>
        <v>20.27</v>
      </c>
      <c r="AO90" s="108" t="str">
        <f t="array" ref="AO90">IF(ISNUMBER(AC90),INDEX('All Player Data Store'!$O$8:$O$594,SMALL(IF('All Player Data Store'!$Y$7:$Y$594=AC90,ROW('All Player Data Store'!$Y$7:$Y$594)-ROW('All Player Data Store'!$Y$7)+1),COUNTIF($AC$8:AC90,AC90))),"")</f>
        <v>0*4</v>
      </c>
      <c r="AP90" s="108">
        <f t="shared" si="8"/>
        <v>21.6</v>
      </c>
      <c r="AQ90" s="108" t="str">
        <f t="array" ref="AQ90">IF(ISNUMBER(AC90),INDEX('All Player Data Store'!$P$8:$P$594,SMALL(IF('All Player Data Store'!$Y$7:$Y$594=AC90,ROW('All Player Data Store'!$Y$7:$Y$594)-ROW('All Player Data Store'!$Y$7)+1),COUNTIF($AC$8:AC90,AC90))),"")</f>
        <v>3*4</v>
      </c>
      <c r="AR90" s="108">
        <f t="shared" si="9"/>
        <v>21.18</v>
      </c>
      <c r="AS90" s="108" t="str">
        <f t="array" ref="AS90">IF(ISNUMBER(AC90),INDEX('All Player Data Store'!$Q$8:$Q$594,SMALL(IF('All Player Data Store'!$Y$7:$Y$594=AC90,ROW('All Player Data Store'!$Y$7:$Y$594)-ROW('All Player Data Store'!$Y$7)+1),COUNTIF($AC$8:AC90,AC90))),"")</f>
        <v>4*0</v>
      </c>
      <c r="AT90" s="108">
        <f t="shared" si="10"/>
        <v>25.44</v>
      </c>
      <c r="AU90" s="108" t="str">
        <f t="array" ref="AU90">IF(ISNUMBER(AC90),INDEX('All Player Data Store'!$R$8:$R$594,SMALL(IF('All Player Data Store'!$Y$7:$Y$594=AC90,ROW('All Player Data Store'!$Y$7:$Y$594)-ROW('All Player Data Store'!$Y$7)+1),COUNTIF($AC$8:AC90,AC90))),"")</f>
        <v/>
      </c>
      <c r="AV90" s="108" t="str">
        <f t="shared" si="11"/>
        <v/>
      </c>
      <c r="AW90" s="108" t="str">
        <f t="array" ref="AW90">IF(ISNUMBER(AC90),INDEX('All Player Data Store'!$S$8:$S$594,SMALL(IF('All Player Data Store'!$Y$7:$Y$594=AC90,ROW('All Player Data Store'!$Y$7:$Y$594)-ROW('All Player Data Store'!$Y$7)+1),COUNTIF($AC$8:AC90,AC90))),"")</f>
        <v/>
      </c>
      <c r="AX90" s="108" t="str">
        <f t="shared" si="12"/>
        <v/>
      </c>
      <c r="AY90" s="108" t="str">
        <f t="array" ref="AY90">IF(ISNUMBER(AC90),INDEX('All Player Data Store'!$T$8:$T$594,SMALL(IF('All Player Data Store'!$Y$7:$Y$594=AC90,ROW('All Player Data Store'!$Y$7:$Y$594)-ROW('All Player Data Store'!$Y$7)+1),COUNTIF($AC$8:AC90,AC90))),"")</f>
        <v/>
      </c>
      <c r="AZ90" s="108" t="str">
        <f t="shared" si="13"/>
        <v/>
      </c>
      <c r="BA90" s="108" t="str">
        <f t="array" ref="BA90">IF(ISNUMBER(AC90),INDEX('All Player Data Store'!$U$8:$U$594,SMALL(IF('All Player Data Store'!$Y$7:$Y$594=AC90,ROW('All Player Data Store'!$Y$7:$Y$594)-ROW('All Player Data Store'!$Y$7)+1),COUNTIF($AC$8:AC90,AC90))),"")</f>
        <v/>
      </c>
      <c r="BB90" s="108" t="str">
        <f t="shared" si="14"/>
        <v/>
      </c>
      <c r="BC90" s="108" t="str">
        <f t="array" ref="BC90">IF(ISNUMBER(AC90),INDEX('All Player Data Store'!$V$8:$V$594,SMALL(IF('All Player Data Store'!$Y$7:$Y$594=AC90,ROW('All Player Data Store'!$Y$7:$Y$594)-ROW('All Player Data Store'!$Y$7)+1),COUNTIF($AC$8:AC90,AC90))),"")</f>
        <v/>
      </c>
      <c r="BD90" s="108" t="str">
        <f t="shared" si="15"/>
        <v/>
      </c>
      <c r="BE90" s="1"/>
    </row>
    <row r="91" spans="2:57" ht="12" customHeight="1" x14ac:dyDescent="0.2">
      <c r="B91" s="98" t="str">
        <f t="shared" si="0"/>
        <v>Y</v>
      </c>
      <c r="C91" s="1"/>
      <c r="D91" s="68">
        <f t="shared" si="1"/>
        <v>84</v>
      </c>
      <c r="E91" s="2"/>
      <c r="F91" s="78">
        <v>84</v>
      </c>
      <c r="G91" s="110" t="str">
        <f t="array" ref="G91">IF(ISNUMBER(AC91),INDEX('All Player Data Store'!$C$7:$C$594,SMALL(IF('All Player Data Store'!$Y$7:$Y$594=AC91,ROW('All Player Data Store'!$Y$7:$Y$594)-ROW('All Player Data Store'!$Y$7)+1),COUNTIF($AC$8:AC91,AC91))),"")</f>
        <v>Mike Parkes</v>
      </c>
      <c r="H91" s="111" t="str">
        <f t="array" ref="H91">IF(ISNUMBER(AC91),INDEX('All Player Data Store'!$D$7:$D$594,SMALL(IF('All Player Data Store'!$Y$7:$Y$594=AC91,ROW('All Player Data Store'!$Y$7:$Y$594)-ROW('All Player Data Store'!$Y$7)+1),COUNTIF($AC$8:AC91,AC91))),"")</f>
        <v>Bos</v>
      </c>
      <c r="I91" s="69">
        <f t="array" ref="I91">IF(ISNUMBER(AC91),INDEX('All Player Data Store'!$E$7:$E$594,SMALL(IF('All Player Data Store'!$Y$7:$Y$594=AC91,ROW('All Player Data Store'!$Y$7:$Y$594)-ROW('All Player Data Store'!$Y$7)+1),COUNTIF($AC$8:AC91,AC91))),"")</f>
        <v>12</v>
      </c>
      <c r="J91" s="70">
        <f t="array" ref="J91">IF(ISNUMBER(AC91),INDEX('All Player Data Store'!$F$7:$F$594,SMALL(IF('All Player Data Store'!$Y$7:$Y$594=AC91,ROW('All Player Data Store'!$Y$7:$Y$594)-ROW('All Player Data Store'!$Y$7)+1),COUNTIF($AC$8:AC91,AC91))),"")</f>
        <v>4</v>
      </c>
      <c r="K91" s="112">
        <f t="array" ref="K91">IF(ISNUMBER(AC91),INDEX('All Player Data Store'!$G$7:$G$594,SMALL(IF('All Player Data Store'!$Y$7:$Y$594=AC91,ROW('All Player Data Store'!$Y$7:$Y$594)-ROW('All Player Data Store'!$Y$7)+1),COUNTIF($AC$8:AC91,AC91))),"")</f>
        <v>8</v>
      </c>
      <c r="L91" s="112">
        <f t="array" ref="L91">IF(ISNUMBER(AC91),INDEX('All Player Data Store'!$H$7:$H$594,SMALL(IF('All Player Data Store'!$Y$7:$Y$594=AC91,ROW('All Player Data Store'!$Y$7:$Y$594)-ROW('All Player Data Store'!$Y$7)+1),COUNTIF($AC$8:AC91,AC91))),"")</f>
        <v>25</v>
      </c>
      <c r="M91" s="113">
        <f t="array" ref="M91">IF(ISNUMBER(AC91),INDEX('All Player Data Store'!$I$7:$I$594,SMALL(IF('All Player Data Store'!$Y$7:$Y$594=AC91,ROW('All Player Data Store'!$Y$7:$Y$594)-ROW('All Player Data Store'!$Y$7)+1),COUNTIF($AC$8:AC91,AC91))),"")</f>
        <v>38</v>
      </c>
      <c r="N91" s="114">
        <f t="array" ref="N91">IF(ISNUMBER(AC91),INDEX('All Player Data Store'!$J$7:$J$594,SMALL(IF('All Player Data Store'!$Y$7:$Y$594=AC91,ROW('All Player Data Store'!$Y$7:$Y$594)-ROW('All Player Data Store'!$Y$7)+1),COUNTIF($AC$8:AC91,AC91))),"")</f>
        <v>20.67</v>
      </c>
      <c r="O91" s="108">
        <f t="array" ref="O91">IF(ISNUMBER(AC91),INDEX('All Player Data Store'!$K$7:$K$594,SMALL(IF('All Player Data Store'!$Y$7:$Y$594=AC91,ROW('All Player Data Store'!$Y$7:$Y$594)-ROW('All Player Data Store'!$Y$7)+1),COUNTIF($AC$8:AC91,AC91))),"")</f>
        <v>21.21</v>
      </c>
      <c r="P91" s="108">
        <f t="array" ref="P91">IF(ISNUMBER(AC91),INDEX('All Player Data Store'!$L$7:$L$594,SMALL(IF('All Player Data Store'!$Y$7:$Y$594=AC91,ROW('All Player Data Store'!$Y$7:$Y$594)-ROW('All Player Data Store'!$Y$7)+1),COUNTIF($AC$8:AC91,AC91))),"")</f>
        <v>21.39</v>
      </c>
      <c r="Q91" s="108">
        <f t="array" ref="Q91">IF(ISNUMBER(AC91),INDEX('All Player Data Store'!$M$7:$M$594,SMALL(IF('All Player Data Store'!$Y$7:$Y$594=AC91,ROW('All Player Data Store'!$Y$7:$Y$594)-ROW('All Player Data Store'!$Y$7)+1),COUNTIF($AC$8:AC91,AC91))),"")</f>
        <v>21.59</v>
      </c>
      <c r="R91" s="108">
        <f t="array" ref="R91">IF(ISNUMBER(AC91),INDEX('All Player Data Store'!$N$7:$N$594,SMALL(IF('All Player Data Store'!$Y$7:$Y$594=AC91,ROW('All Player Data Store'!$Y$7:$Y$594)-ROW('All Player Data Store'!$Y$7)+1),COUNTIF($AC$8:AC91,AC91))),"")</f>
        <v>22.18</v>
      </c>
      <c r="S91" s="108">
        <f t="array" ref="S91">IF(ISNUMBER(AC91),INDEX('All Player Data Store'!$O$7:$O$594,SMALL(IF('All Player Data Store'!$Y$7:$Y$594=AC91,ROW('All Player Data Store'!$Y$7:$Y$594)-ROW('All Player Data Store'!$Y$7)+1),COUNTIF($AC$8:AC91,AC91))),"")</f>
        <v>18.559999999999999</v>
      </c>
      <c r="T91" s="108">
        <f t="array" ref="T91">IF(ISNUMBER(AC91),INDEX('All Player Data Store'!$P$7:$P$594,SMALL(IF('All Player Data Store'!$Y$7:$Y$594=AC91,ROW('All Player Data Store'!$Y$7:$Y$594)-ROW('All Player Data Store'!$Y$7)+1),COUNTIF($AC$8:AC91,AC91))),"")</f>
        <v>21.11</v>
      </c>
      <c r="U91" s="108">
        <f t="array" ref="U91">IF(ISNUMBER(AC91),INDEX('All Player Data Store'!$Q$7:$Q$594,SMALL(IF('All Player Data Store'!$Y$7:$Y$594=AC91,ROW('All Player Data Store'!$Y$7:$Y$594)-ROW('All Player Data Store'!$Y$7)+1),COUNTIF($AC$8:AC91,AC91))),"")</f>
        <v>22.1</v>
      </c>
      <c r="V91" s="108">
        <f t="array" ref="V91">IF(ISNUMBER(AC91),INDEX('All Player Data Store'!$R$7:$R$594,SMALL(IF('All Player Data Store'!$Y$7:$Y$594=AC91,ROW('All Player Data Store'!$Y$7:$Y$594)-ROW('All Player Data Store'!$Y$7)+1),COUNTIF($AC$8:AC91,AC91))),"")</f>
        <v>20.04</v>
      </c>
      <c r="W91" s="108">
        <f t="array" ref="W91">IF(ISNUMBER(AC91),INDEX('All Player Data Store'!$S$7:$S$594,SMALL(IF('All Player Data Store'!$Y$7:$Y$594=AC91,ROW('All Player Data Store'!$Y$7:$Y$594)-ROW('All Player Data Store'!$Y$7)+1),COUNTIF($AC$8:AC91,AC91))),"")</f>
        <v>16.13</v>
      </c>
      <c r="X91" s="108">
        <f t="array" ref="X91">IF(ISNUMBER(AC91),INDEX('All Player Data Store'!$T$7:$T$594,SMALL(IF('All Player Data Store'!$Y$7:$Y$594=AC91,ROW('All Player Data Store'!$Y$7:$Y$594)-ROW('All Player Data Store'!$Y$7)+1),COUNTIF($AC$8:AC91,AC91))),"")</f>
        <v>21.54</v>
      </c>
      <c r="Y91" s="108" t="str">
        <f t="array" ref="Y91">IF(ISNUMBER(AC91),INDEX('All Player Data Store'!$U$7:$U$594,SMALL(IF('All Player Data Store'!$Y$7:$Y$594=AC91,ROW('All Player Data Store'!$Y$7:$Y$594)-ROW('All Player Data Store'!$Y$7)+1),COUNTIF($AC$8:AC91,AC91))),"")</f>
        <v/>
      </c>
      <c r="Z91" s="108">
        <f t="array" ref="Z91">IF(ISNUMBER(AC91),INDEX('All Player Data Store'!$V$7:$V$594,SMALL(IF('All Player Data Store'!$Y$7:$Y$594=AC91,ROW('All Player Data Store'!$Y$7:$Y$594)-ROW('All Player Data Store'!$Y$7)+1),COUNTIF($AC$8:AC91,AC91))),"")</f>
        <v>24.01</v>
      </c>
      <c r="AA91" s="112">
        <f t="array" ref="AA91">IF(ISNUMBER(AC91),INDEX('All Player Data Store'!$W$7:$W$594,SMALL(IF('All Player Data Store'!$Y$7:$Y$594=AC91,ROW('All Player Data Store'!$Y$7:$Y$594)-ROW('All Player Data Store'!$Y$7)+1),COUNTIF($AC$8:AC91,AC91))),"")</f>
        <v>2</v>
      </c>
      <c r="AB91" s="108">
        <f t="array" ref="AB91">IF(ISNUMBER(AC91),INDEX('All Player Data Store'!$X$7:$X$594,SMALL(IF('All Player Data Store'!$Y$7:$Y$594=AC91,ROW('All Player Data Store'!$Y$7:$Y$594)-ROW('All Player Data Store'!$Y$7)+1),COUNTIF($AC$8:AC91,AC91))),"")</f>
        <v>20.877499999999994</v>
      </c>
      <c r="AC91" s="115">
        <f>IF(ISERROR(IF(ISERROR(LARGE('All Player Data Store'!$Y$7:$Y$594,84)),"",(LARGE('All Player Data Store'!$Y$7:$Y$594,84)))),"",(IF(ISERROR(LARGE('All Player Data Store'!$Y$7:$Y$594,84)),"",(LARGE('All Player Data Store'!$Y$7:$Y$594,84)))))</f>
        <v>24.877499999999994</v>
      </c>
      <c r="AD91" s="106">
        <f t="shared" si="2"/>
        <v>3</v>
      </c>
      <c r="AE91" s="107" t="str">
        <f t="array" ref="AE91">IF(ISNUMBER(AC91),INDEX('All Player Data Store'!$J$8:$J$594,SMALL(IF('All Player Data Store'!$Y$7:$Y$594=AC91,ROW('All Player Data Store'!$Y$7:$Y$594)-ROW('All Player Data Store'!$Y$7)+1),COUNTIF($AC$8:AC91,AC91))),"")</f>
        <v>0*4</v>
      </c>
      <c r="AF91" s="108">
        <f t="shared" si="3"/>
        <v>20.67</v>
      </c>
      <c r="AG91" s="108" t="str">
        <f t="array" ref="AG91">IF(ISNUMBER(AC91),INDEX('All Player Data Store'!$K$8:$K$594,SMALL(IF('All Player Data Store'!$Y$7:$Y$594=AC91,ROW('All Player Data Store'!$Y$7:$Y$594)-ROW('All Player Data Store'!$Y$7)+1),COUNTIF($AC$8:AC91,AC91))),"")</f>
        <v>4*1</v>
      </c>
      <c r="AH91" s="108">
        <f t="shared" si="4"/>
        <v>22.21</v>
      </c>
      <c r="AI91" s="108" t="str">
        <f t="array" ref="AI91">IF(ISNUMBER(AC91),INDEX('All Player Data Store'!$L$8:$L$594,SMALL(IF('All Player Data Store'!$Y$7:$Y$594=AC91,ROW('All Player Data Store'!$Y$7:$Y$594)-ROW('All Player Data Store'!$Y$7)+1),COUNTIF($AC$8:AC91,AC91))),"")</f>
        <v>3*4</v>
      </c>
      <c r="AJ91" s="108">
        <f t="shared" si="5"/>
        <v>21.39</v>
      </c>
      <c r="AK91" s="108" t="str">
        <f t="array" ref="AK91">IF(ISNUMBER(AC91),INDEX('All Player Data Store'!$M$8:$M$594,SMALL(IF('All Player Data Store'!$Y$7:$Y$594=AC91,ROW('All Player Data Store'!$Y$7:$Y$594)-ROW('All Player Data Store'!$Y$7)+1),COUNTIF($AC$8:AC91,AC91))),"")</f>
        <v>2*4</v>
      </c>
      <c r="AL91" s="108">
        <f t="shared" si="6"/>
        <v>21.59</v>
      </c>
      <c r="AM91" s="108" t="str">
        <f t="array" ref="AM91">IF(ISNUMBER(AC91),INDEX('All Player Data Store'!$N$8:$N$594,SMALL(IF('All Player Data Store'!$Y$7:$Y$594=AC91,ROW('All Player Data Store'!$Y$7:$Y$594)-ROW('All Player Data Store'!$Y$7)+1),COUNTIF($AC$8:AC91,AC91))),"")</f>
        <v>1*4</v>
      </c>
      <c r="AN91" s="108">
        <f t="shared" si="7"/>
        <v>22.18</v>
      </c>
      <c r="AO91" s="108" t="str">
        <f t="array" ref="AO91">IF(ISNUMBER(AC91),INDEX('All Player Data Store'!$O$8:$O$594,SMALL(IF('All Player Data Store'!$Y$7:$Y$594=AC91,ROW('All Player Data Store'!$Y$7:$Y$594)-ROW('All Player Data Store'!$Y$7)+1),COUNTIF($AC$8:AC91,AC91))),"")</f>
        <v>4*0</v>
      </c>
      <c r="AP91" s="108">
        <f t="shared" si="8"/>
        <v>19.559999999999999</v>
      </c>
      <c r="AQ91" s="108" t="str">
        <f t="array" ref="AQ91">IF(ISNUMBER(AC91),INDEX('All Player Data Store'!$P$8:$P$594,SMALL(IF('All Player Data Store'!$Y$7:$Y$594=AC91,ROW('All Player Data Store'!$Y$7:$Y$594)-ROW('All Player Data Store'!$Y$7)+1),COUNTIF($AC$8:AC91,AC91))),"")</f>
        <v>4*2</v>
      </c>
      <c r="AR91" s="108">
        <f t="shared" si="9"/>
        <v>22.11</v>
      </c>
      <c r="AS91" s="108" t="str">
        <f t="array" ref="AS91">IF(ISNUMBER(AC91),INDEX('All Player Data Store'!$Q$8:$Q$594,SMALL(IF('All Player Data Store'!$Y$7:$Y$594=AC91,ROW('All Player Data Store'!$Y$7:$Y$594)-ROW('All Player Data Store'!$Y$7)+1),COUNTIF($AC$8:AC91,AC91))),"")</f>
        <v>1*4(1)</v>
      </c>
      <c r="AT91" s="108">
        <f t="shared" si="10"/>
        <v>22.1</v>
      </c>
      <c r="AU91" s="108" t="str">
        <f t="array" ref="AU91">IF(ISNUMBER(AC91),INDEX('All Player Data Store'!$R$8:$R$594,SMALL(IF('All Player Data Store'!$Y$7:$Y$594=AC91,ROW('All Player Data Store'!$Y$7:$Y$594)-ROW('All Player Data Store'!$Y$7)+1),COUNTIF($AC$8:AC91,AC91))),"")</f>
        <v>0*4</v>
      </c>
      <c r="AV91" s="108">
        <f t="shared" si="11"/>
        <v>20.04</v>
      </c>
      <c r="AW91" s="108" t="str">
        <f t="array" ref="AW91">IF(ISNUMBER(AC91),INDEX('All Player Data Store'!$S$8:$S$594,SMALL(IF('All Player Data Store'!$Y$7:$Y$594=AC91,ROW('All Player Data Store'!$Y$7:$Y$594)-ROW('All Player Data Store'!$Y$7)+1),COUNTIF($AC$8:AC91,AC91))),"")</f>
        <v>4*3(1)</v>
      </c>
      <c r="AX91" s="108">
        <f t="shared" si="12"/>
        <v>17.13</v>
      </c>
      <c r="AY91" s="108" t="str">
        <f t="array" ref="AY91">IF(ISNUMBER(AC91),INDEX('All Player Data Store'!$T$8:$T$594,SMALL(IF('All Player Data Store'!$Y$7:$Y$594=AC91,ROW('All Player Data Store'!$Y$7:$Y$594)-ROW('All Player Data Store'!$Y$7)+1),COUNTIF($AC$8:AC91,AC91))),"")</f>
        <v>0*4</v>
      </c>
      <c r="AZ91" s="108">
        <f t="shared" si="13"/>
        <v>21.54</v>
      </c>
      <c r="BA91" s="108" t="str">
        <f t="array" ref="BA91">IF(ISNUMBER(AC91),INDEX('All Player Data Store'!$U$8:$U$594,SMALL(IF('All Player Data Store'!$Y$7:$Y$594=AC91,ROW('All Player Data Store'!$Y$7:$Y$594)-ROW('All Player Data Store'!$Y$7)+1),COUNTIF($AC$8:AC91,AC91))),"")</f>
        <v/>
      </c>
      <c r="BB91" s="108" t="str">
        <f t="shared" si="14"/>
        <v/>
      </c>
      <c r="BC91" s="108" t="str">
        <f t="array" ref="BC91">IF(ISNUMBER(AC91),INDEX('All Player Data Store'!$V$8:$V$594,SMALL(IF('All Player Data Store'!$Y$7:$Y$594=AC91,ROW('All Player Data Store'!$Y$7:$Y$594)-ROW('All Player Data Store'!$Y$7)+1),COUNTIF($AC$8:AC91,AC91))),"")</f>
        <v>2*4</v>
      </c>
      <c r="BD91" s="108">
        <f t="shared" si="15"/>
        <v>24.01</v>
      </c>
      <c r="BE91" s="1"/>
    </row>
    <row r="92" spans="2:57" ht="12" customHeight="1" x14ac:dyDescent="0.2">
      <c r="B92" s="98" t="str">
        <f t="shared" si="0"/>
        <v>Y</v>
      </c>
      <c r="C92" s="1"/>
      <c r="D92" s="68">
        <f t="shared" si="1"/>
        <v>85</v>
      </c>
      <c r="E92" s="2"/>
      <c r="F92" s="78">
        <v>85</v>
      </c>
      <c r="G92" s="110" t="str">
        <f t="array" ref="G92">IF(ISNUMBER(AC92),INDEX('All Player Data Store'!$C$7:$C$594,SMALL(IF('All Player Data Store'!$Y$7:$Y$594=AC92,ROW('All Player Data Store'!$Y$7:$Y$594)-ROW('All Player Data Store'!$Y$7)+1),COUNTIF($AC$8:AC92,AC92))),"")</f>
        <v>Ian Roff</v>
      </c>
      <c r="H92" s="111" t="str">
        <f t="array" ref="H92">IF(ISNUMBER(AC92),INDEX('All Player Data Store'!$D$7:$D$594,SMALL(IF('All Player Data Store'!$Y$7:$Y$594=AC92,ROW('All Player Data Store'!$Y$7:$Y$594)-ROW('All Player Data Store'!$Y$7)+1),COUNTIF($AC$8:AC92,AC92))),"")</f>
        <v>Par</v>
      </c>
      <c r="I92" s="69">
        <f t="array" ref="I92">IF(ISNUMBER(AC92),INDEX('All Player Data Store'!$E$7:$E$594,SMALL(IF('All Player Data Store'!$Y$7:$Y$594=AC92,ROW('All Player Data Store'!$Y$7:$Y$594)-ROW('All Player Data Store'!$Y$7)+1),COUNTIF($AC$8:AC92,AC92))),"")</f>
        <v>10</v>
      </c>
      <c r="J92" s="70">
        <f t="array" ref="J92">IF(ISNUMBER(AC92),INDEX('All Player Data Store'!$F$7:$F$594,SMALL(IF('All Player Data Store'!$Y$7:$Y$594=AC92,ROW('All Player Data Store'!$Y$7:$Y$594)-ROW('All Player Data Store'!$Y$7)+1),COUNTIF($AC$8:AC92,AC92))),"")</f>
        <v>6</v>
      </c>
      <c r="K92" s="112">
        <f t="array" ref="K92">IF(ISNUMBER(AC92),INDEX('All Player Data Store'!$G$7:$G$594,SMALL(IF('All Player Data Store'!$Y$7:$Y$594=AC92,ROW('All Player Data Store'!$Y$7:$Y$594)-ROW('All Player Data Store'!$Y$7)+1),COUNTIF($AC$8:AC92,AC92))),"")</f>
        <v>4</v>
      </c>
      <c r="L92" s="112">
        <f t="array" ref="L92">IF(ISNUMBER(AC92),INDEX('All Player Data Store'!$H$7:$H$594,SMALL(IF('All Player Data Store'!$Y$7:$Y$594=AC92,ROW('All Player Data Store'!$Y$7:$Y$594)-ROW('All Player Data Store'!$Y$7)+1),COUNTIF($AC$8:AC92,AC92))),"")</f>
        <v>31</v>
      </c>
      <c r="M92" s="113">
        <f t="array" ref="M92">IF(ISNUMBER(AC92),INDEX('All Player Data Store'!$I$7:$I$594,SMALL(IF('All Player Data Store'!$Y$7:$Y$594=AC92,ROW('All Player Data Store'!$Y$7:$Y$594)-ROW('All Player Data Store'!$Y$7)+1),COUNTIF($AC$8:AC92,AC92))),"")</f>
        <v>31</v>
      </c>
      <c r="N92" s="114" t="str">
        <f t="array" ref="N92">IF(ISNUMBER(AC92),INDEX('All Player Data Store'!$J$7:$J$594,SMALL(IF('All Player Data Store'!$Y$7:$Y$594=AC92,ROW('All Player Data Store'!$Y$7:$Y$594)-ROW('All Player Data Store'!$Y$7)+1),COUNTIF($AC$8:AC92,AC92))),"")</f>
        <v/>
      </c>
      <c r="O92" s="108">
        <f t="array" ref="O92">IF(ISNUMBER(AC92),INDEX('All Player Data Store'!$K$7:$K$594,SMALL(IF('All Player Data Store'!$Y$7:$Y$594=AC92,ROW('All Player Data Store'!$Y$7:$Y$594)-ROW('All Player Data Store'!$Y$7)+1),COUNTIF($AC$8:AC92,AC92))),"")</f>
        <v>17.32</v>
      </c>
      <c r="P92" s="108">
        <f t="array" ref="P92">IF(ISNUMBER(AC92),INDEX('All Player Data Store'!$L$7:$L$594,SMALL(IF('All Player Data Store'!$Y$7:$Y$594=AC92,ROW('All Player Data Store'!$Y$7:$Y$594)-ROW('All Player Data Store'!$Y$7)+1),COUNTIF($AC$8:AC92,AC92))),"")</f>
        <v>19.03</v>
      </c>
      <c r="Q92" s="108">
        <f t="array" ref="Q92">IF(ISNUMBER(AC92),INDEX('All Player Data Store'!$M$7:$M$594,SMALL(IF('All Player Data Store'!$Y$7:$Y$594=AC92,ROW('All Player Data Store'!$Y$7:$Y$594)-ROW('All Player Data Store'!$Y$7)+1),COUNTIF($AC$8:AC92,AC92))),"")</f>
        <v>18.22</v>
      </c>
      <c r="R92" s="108" t="str">
        <f t="array" ref="R92">IF(ISNUMBER(AC92),INDEX('All Player Data Store'!$N$7:$N$594,SMALL(IF('All Player Data Store'!$Y$7:$Y$594=AC92,ROW('All Player Data Store'!$Y$7:$Y$594)-ROW('All Player Data Store'!$Y$7)+1),COUNTIF($AC$8:AC92,AC92))),"")</f>
        <v/>
      </c>
      <c r="S92" s="108">
        <f t="array" ref="S92">IF(ISNUMBER(AC92),INDEX('All Player Data Store'!$O$7:$O$594,SMALL(IF('All Player Data Store'!$Y$7:$Y$594=AC92,ROW('All Player Data Store'!$Y$7:$Y$594)-ROW('All Player Data Store'!$Y$7)+1),COUNTIF($AC$8:AC92,AC92))),"")</f>
        <v>18.059999999999999</v>
      </c>
      <c r="T92" s="108">
        <f t="array" ref="T92">IF(ISNUMBER(AC92),INDEX('All Player Data Store'!$P$7:$P$594,SMALL(IF('All Player Data Store'!$Y$7:$Y$594=AC92,ROW('All Player Data Store'!$Y$7:$Y$594)-ROW('All Player Data Store'!$Y$7)+1),COUNTIF($AC$8:AC92,AC92))),"")</f>
        <v>19.87</v>
      </c>
      <c r="U92" s="108">
        <f t="array" ref="U92">IF(ISNUMBER(AC92),INDEX('All Player Data Store'!$Q$7:$Q$594,SMALL(IF('All Player Data Store'!$Y$7:$Y$594=AC92,ROW('All Player Data Store'!$Y$7:$Y$594)-ROW('All Player Data Store'!$Y$7)+1),COUNTIF($AC$8:AC92,AC92))),"")</f>
        <v>19.899999999999999</v>
      </c>
      <c r="V92" s="108">
        <f t="array" ref="V92">IF(ISNUMBER(AC92),INDEX('All Player Data Store'!$R$7:$R$594,SMALL(IF('All Player Data Store'!$Y$7:$Y$594=AC92,ROW('All Player Data Store'!$Y$7:$Y$594)-ROW('All Player Data Store'!$Y$7)+1),COUNTIF($AC$8:AC92,AC92))),"")</f>
        <v>17.41</v>
      </c>
      <c r="W92" s="108">
        <f t="array" ref="W92">IF(ISNUMBER(AC92),INDEX('All Player Data Store'!$S$7:$S$594,SMALL(IF('All Player Data Store'!$Y$7:$Y$594=AC92,ROW('All Player Data Store'!$Y$7:$Y$594)-ROW('All Player Data Store'!$Y$7)+1),COUNTIF($AC$8:AC92,AC92))),"")</f>
        <v>19.2</v>
      </c>
      <c r="X92" s="108" t="str">
        <f t="array" ref="X92">IF(ISNUMBER(AC92),INDEX('All Player Data Store'!$T$7:$T$594,SMALL(IF('All Player Data Store'!$Y$7:$Y$594=AC92,ROW('All Player Data Store'!$Y$7:$Y$594)-ROW('All Player Data Store'!$Y$7)+1),COUNTIF($AC$8:AC92,AC92))),"")</f>
        <v/>
      </c>
      <c r="Y92" s="108">
        <f t="array" ref="Y92">IF(ISNUMBER(AC92),INDEX('All Player Data Store'!$U$7:$U$594,SMALL(IF('All Player Data Store'!$Y$7:$Y$594=AC92,ROW('All Player Data Store'!$Y$7:$Y$594)-ROW('All Player Data Store'!$Y$7)+1),COUNTIF($AC$8:AC92,AC92))),"")</f>
        <v>20.71</v>
      </c>
      <c r="Z92" s="108">
        <f t="array" ref="Z92">IF(ISNUMBER(AC92),INDEX('All Player Data Store'!$V$7:$V$594,SMALL(IF('All Player Data Store'!$Y$7:$Y$594=AC92,ROW('All Player Data Store'!$Y$7:$Y$594)-ROW('All Player Data Store'!$Y$7)+1),COUNTIF($AC$8:AC92,AC92))),"")</f>
        <v>18.52</v>
      </c>
      <c r="AA92" s="112">
        <f t="array" ref="AA92">IF(ISNUMBER(AC92),INDEX('All Player Data Store'!$W$7:$W$594,SMALL(IF('All Player Data Store'!$Y$7:$Y$594=AC92,ROW('All Player Data Store'!$Y$7:$Y$594)-ROW('All Player Data Store'!$Y$7)+1),COUNTIF($AC$8:AC92,AC92))),"")</f>
        <v>3</v>
      </c>
      <c r="AB92" s="108">
        <f t="array" ref="AB92">IF(ISNUMBER(AC92),INDEX('All Player Data Store'!$X$7:$X$594,SMALL(IF('All Player Data Store'!$Y$7:$Y$594=AC92,ROW('All Player Data Store'!$Y$7:$Y$594)-ROW('All Player Data Store'!$Y$7)+1),COUNTIF($AC$8:AC92,AC92))),"")</f>
        <v>18.824000000000002</v>
      </c>
      <c r="AC92" s="115">
        <f>IF(ISERROR(IF(ISERROR(LARGE('All Player Data Store'!$Y$7:$Y$594,85)),"",(LARGE('All Player Data Store'!$Y$7:$Y$594,85)))),"",(IF(ISERROR(LARGE('All Player Data Store'!$Y$7:$Y$594,85)),"",(LARGE('All Player Data Store'!$Y$7:$Y$594,85)))))</f>
        <v>24.824000000000002</v>
      </c>
      <c r="AD92" s="106">
        <f t="shared" si="2"/>
        <v>3</v>
      </c>
      <c r="AE92" s="107" t="str">
        <f t="array" ref="AE92">IF(ISNUMBER(AC92),INDEX('All Player Data Store'!$J$8:$J$594,SMALL(IF('All Player Data Store'!$Y$7:$Y$594=AC92,ROW('All Player Data Store'!$Y$7:$Y$594)-ROW('All Player Data Store'!$Y$7)+1),COUNTIF($AC$8:AC92,AC92))),"")</f>
        <v/>
      </c>
      <c r="AF92" s="108" t="str">
        <f t="shared" si="3"/>
        <v/>
      </c>
      <c r="AG92" s="108" t="str">
        <f t="array" ref="AG92">IF(ISNUMBER(AC92),INDEX('All Player Data Store'!$K$8:$K$594,SMALL(IF('All Player Data Store'!$Y$7:$Y$594=AC92,ROW('All Player Data Store'!$Y$7:$Y$594)-ROW('All Player Data Store'!$Y$7)+1),COUNTIF($AC$8:AC92,AC92))),"")</f>
        <v>4*1(1)</v>
      </c>
      <c r="AH92" s="108">
        <f t="shared" si="4"/>
        <v>18.32</v>
      </c>
      <c r="AI92" s="108" t="str">
        <f t="array" ref="AI92">IF(ISNUMBER(AC92),INDEX('All Player Data Store'!$L$8:$L$594,SMALL(IF('All Player Data Store'!$Y$7:$Y$594=AC92,ROW('All Player Data Store'!$Y$7:$Y$594)-ROW('All Player Data Store'!$Y$7)+1),COUNTIF($AC$8:AC92,AC92))),"")</f>
        <v>4*3</v>
      </c>
      <c r="AJ92" s="108">
        <f t="shared" si="5"/>
        <v>20.03</v>
      </c>
      <c r="AK92" s="108" t="str">
        <f t="array" ref="AK92">IF(ISNUMBER(AC92),INDEX('All Player Data Store'!$M$8:$M$594,SMALL(IF('All Player Data Store'!$Y$7:$Y$594=AC92,ROW('All Player Data Store'!$Y$7:$Y$594)-ROW('All Player Data Store'!$Y$7)+1),COUNTIF($AC$8:AC92,AC92))),"")</f>
        <v>1*4</v>
      </c>
      <c r="AL92" s="108">
        <f t="shared" si="6"/>
        <v>18.22</v>
      </c>
      <c r="AM92" s="108" t="str">
        <f t="array" ref="AM92">IF(ISNUMBER(AC92),INDEX('All Player Data Store'!$N$8:$N$594,SMALL(IF('All Player Data Store'!$Y$7:$Y$594=AC92,ROW('All Player Data Store'!$Y$7:$Y$594)-ROW('All Player Data Store'!$Y$7)+1),COUNTIF($AC$8:AC92,AC92))),"")</f>
        <v/>
      </c>
      <c r="AN92" s="108" t="str">
        <f t="shared" si="7"/>
        <v/>
      </c>
      <c r="AO92" s="108" t="str">
        <f t="array" ref="AO92">IF(ISNUMBER(AC92),INDEX('All Player Data Store'!$O$8:$O$594,SMALL(IF('All Player Data Store'!$Y$7:$Y$594=AC92,ROW('All Player Data Store'!$Y$7:$Y$594)-ROW('All Player Data Store'!$Y$7)+1),COUNTIF($AC$8:AC92,AC92))),"")</f>
        <v>2*4</v>
      </c>
      <c r="AP92" s="108">
        <f t="shared" si="8"/>
        <v>18.059999999999999</v>
      </c>
      <c r="AQ92" s="108" t="str">
        <f t="array" ref="AQ92">IF(ISNUMBER(AC92),INDEX('All Player Data Store'!$P$8:$P$594,SMALL(IF('All Player Data Store'!$Y$7:$Y$594=AC92,ROW('All Player Data Store'!$Y$7:$Y$594)-ROW('All Player Data Store'!$Y$7)+1),COUNTIF($AC$8:AC92,AC92))),"")</f>
        <v>4*3(1)</v>
      </c>
      <c r="AR92" s="108">
        <f t="shared" si="9"/>
        <v>20.87</v>
      </c>
      <c r="AS92" s="108" t="str">
        <f t="array" ref="AS92">IF(ISNUMBER(AC92),INDEX('All Player Data Store'!$Q$8:$Q$594,SMALL(IF('All Player Data Store'!$Y$7:$Y$594=AC92,ROW('All Player Data Store'!$Y$7:$Y$594)-ROW('All Player Data Store'!$Y$7)+1),COUNTIF($AC$8:AC92,AC92))),"")</f>
        <v>1*4</v>
      </c>
      <c r="AT92" s="108">
        <f t="shared" si="10"/>
        <v>19.899999999999999</v>
      </c>
      <c r="AU92" s="108" t="str">
        <f t="array" ref="AU92">IF(ISNUMBER(AC92),INDEX('All Player Data Store'!$R$8:$R$594,SMALL(IF('All Player Data Store'!$Y$7:$Y$594=AC92,ROW('All Player Data Store'!$Y$7:$Y$594)-ROW('All Player Data Store'!$Y$7)+1),COUNTIF($AC$8:AC92,AC92))),"")</f>
        <v>4*2</v>
      </c>
      <c r="AV92" s="108">
        <f t="shared" si="11"/>
        <v>18.41</v>
      </c>
      <c r="AW92" s="108" t="str">
        <f t="array" ref="AW92">IF(ISNUMBER(AC92),INDEX('All Player Data Store'!$S$8:$S$594,SMALL(IF('All Player Data Store'!$Y$7:$Y$594=AC92,ROW('All Player Data Store'!$Y$7:$Y$594)-ROW('All Player Data Store'!$Y$7)+1),COUNTIF($AC$8:AC92,AC92))),"")</f>
        <v>4*3(1)</v>
      </c>
      <c r="AX92" s="108">
        <f t="shared" si="12"/>
        <v>20.2</v>
      </c>
      <c r="AY92" s="108" t="str">
        <f t="array" ref="AY92">IF(ISNUMBER(AC92),INDEX('All Player Data Store'!$T$8:$T$594,SMALL(IF('All Player Data Store'!$Y$7:$Y$594=AC92,ROW('All Player Data Store'!$Y$7:$Y$594)-ROW('All Player Data Store'!$Y$7)+1),COUNTIF($AC$8:AC92,AC92))),"")</f>
        <v/>
      </c>
      <c r="AZ92" s="108" t="str">
        <f t="shared" si="13"/>
        <v/>
      </c>
      <c r="BA92" s="108" t="str">
        <f t="array" ref="BA92">IF(ISNUMBER(AC92),INDEX('All Player Data Store'!$U$8:$U$594,SMALL(IF('All Player Data Store'!$Y$7:$Y$594=AC92,ROW('All Player Data Store'!$Y$7:$Y$594)-ROW('All Player Data Store'!$Y$7)+1),COUNTIF($AC$8:AC92,AC92))),"")</f>
        <v>4*3</v>
      </c>
      <c r="BB92" s="108">
        <f t="shared" si="14"/>
        <v>21.71</v>
      </c>
      <c r="BC92" s="108" t="str">
        <f t="array" ref="BC92">IF(ISNUMBER(AC92),INDEX('All Player Data Store'!$V$8:$V$594,SMALL(IF('All Player Data Store'!$Y$7:$Y$594=AC92,ROW('All Player Data Store'!$Y$7:$Y$594)-ROW('All Player Data Store'!$Y$7)+1),COUNTIF($AC$8:AC92,AC92))),"")</f>
        <v>3*4</v>
      </c>
      <c r="BD92" s="108">
        <f t="shared" si="15"/>
        <v>18.52</v>
      </c>
      <c r="BE92" s="1"/>
    </row>
    <row r="93" spans="2:57" ht="12" customHeight="1" x14ac:dyDescent="0.2">
      <c r="B93" s="98" t="str">
        <f t="shared" si="0"/>
        <v>N</v>
      </c>
      <c r="C93" s="1"/>
      <c r="D93" s="68">
        <f t="shared" si="1"/>
        <v>86</v>
      </c>
      <c r="E93" s="2"/>
      <c r="F93" s="78">
        <v>86</v>
      </c>
      <c r="G93" s="110" t="str">
        <f t="array" ref="G93">IF(ISNUMBER(AC93),INDEX('All Player Data Store'!$C$7:$C$594,SMALL(IF('All Player Data Store'!$Y$7:$Y$594=AC93,ROW('All Player Data Store'!$Y$7:$Y$594)-ROW('All Player Data Store'!$Y$7)+1),COUNTIF($AC$8:AC93,AC93))),"")</f>
        <v>David Cronin</v>
      </c>
      <c r="H93" s="111" t="str">
        <f t="array" ref="H93">IF(ISNUMBER(AC93),INDEX('All Player Data Store'!$D$7:$D$594,SMALL(IF('All Player Data Store'!$Y$7:$Y$594=AC93,ROW('All Player Data Store'!$Y$7:$Y$594)-ROW('All Player Data Store'!$Y$7)+1),COUNTIF($AC$8:AC93,AC93))),"")</f>
        <v>Bou</v>
      </c>
      <c r="I93" s="69">
        <f t="array" ref="I93">IF(ISNUMBER(AC93),INDEX('All Player Data Store'!$E$7:$E$594,SMALL(IF('All Player Data Store'!$Y$7:$Y$594=AC93,ROW('All Player Data Store'!$Y$7:$Y$594)-ROW('All Player Data Store'!$Y$7)+1),COUNTIF($AC$8:AC93,AC93))),"")</f>
        <v>9</v>
      </c>
      <c r="J93" s="70">
        <f t="array" ref="J93">IF(ISNUMBER(AC93),INDEX('All Player Data Store'!$F$7:$F$594,SMALL(IF('All Player Data Store'!$Y$7:$Y$594=AC93,ROW('All Player Data Store'!$Y$7:$Y$594)-ROW('All Player Data Store'!$Y$7)+1),COUNTIF($AC$8:AC93,AC93))),"")</f>
        <v>4</v>
      </c>
      <c r="K93" s="112">
        <f t="array" ref="K93">IF(ISNUMBER(AC93),INDEX('All Player Data Store'!$G$7:$G$594,SMALL(IF('All Player Data Store'!$Y$7:$Y$594=AC93,ROW('All Player Data Store'!$Y$7:$Y$594)-ROW('All Player Data Store'!$Y$7)+1),COUNTIF($AC$8:AC93,AC93))),"")</f>
        <v>5</v>
      </c>
      <c r="L93" s="112">
        <f t="array" ref="L93">IF(ISNUMBER(AC93),INDEX('All Player Data Store'!$H$7:$H$594,SMALL(IF('All Player Data Store'!$Y$7:$Y$594=AC93,ROW('All Player Data Store'!$Y$7:$Y$594)-ROW('All Player Data Store'!$Y$7)+1),COUNTIF($AC$8:AC93,AC93))),"")</f>
        <v>24</v>
      </c>
      <c r="M93" s="113">
        <f t="array" ref="M93">IF(ISNUMBER(AC93),INDEX('All Player Data Store'!$I$7:$I$594,SMALL(IF('All Player Data Store'!$Y$7:$Y$594=AC93,ROW('All Player Data Store'!$Y$7:$Y$594)-ROW('All Player Data Store'!$Y$7)+1),COUNTIF($AC$8:AC93,AC93))),"")</f>
        <v>25</v>
      </c>
      <c r="N93" s="114">
        <f t="array" ref="N93">IF(ISNUMBER(AC93),INDEX('All Player Data Store'!$J$7:$J$594,SMALL(IF('All Player Data Store'!$Y$7:$Y$594=AC93,ROW('All Player Data Store'!$Y$7:$Y$594)-ROW('All Player Data Store'!$Y$7)+1),COUNTIF($AC$8:AC93,AC93))),"")</f>
        <v>18.73</v>
      </c>
      <c r="O93" s="108">
        <f t="array" ref="O93">IF(ISNUMBER(AC93),INDEX('All Player Data Store'!$K$7:$K$594,SMALL(IF('All Player Data Store'!$Y$7:$Y$594=AC93,ROW('All Player Data Store'!$Y$7:$Y$594)-ROW('All Player Data Store'!$Y$7)+1),COUNTIF($AC$8:AC93,AC93))),"")</f>
        <v>21.68</v>
      </c>
      <c r="P93" s="108" t="str">
        <f t="array" ref="P93">IF(ISNUMBER(AC93),INDEX('All Player Data Store'!$L$7:$L$594,SMALL(IF('All Player Data Store'!$Y$7:$Y$594=AC93,ROW('All Player Data Store'!$Y$7:$Y$594)-ROW('All Player Data Store'!$Y$7)+1),COUNTIF($AC$8:AC93,AC93))),"")</f>
        <v/>
      </c>
      <c r="Q93" s="108">
        <f t="array" ref="Q93">IF(ISNUMBER(AC93),INDEX('All Player Data Store'!$M$7:$M$594,SMALL(IF('All Player Data Store'!$Y$7:$Y$594=AC93,ROW('All Player Data Store'!$Y$7:$Y$594)-ROW('All Player Data Store'!$Y$7)+1),COUNTIF($AC$8:AC93,AC93))),"")</f>
        <v>20.03</v>
      </c>
      <c r="R93" s="108">
        <f t="array" ref="R93">IF(ISNUMBER(AC93),INDEX('All Player Data Store'!$N$7:$N$594,SMALL(IF('All Player Data Store'!$Y$7:$Y$594=AC93,ROW('All Player Data Store'!$Y$7:$Y$594)-ROW('All Player Data Store'!$Y$7)+1),COUNTIF($AC$8:AC93,AC93))),"")</f>
        <v>19.149999999999999</v>
      </c>
      <c r="S93" s="108" t="str">
        <f t="array" ref="S93">IF(ISNUMBER(AC93),INDEX('All Player Data Store'!$O$7:$O$594,SMALL(IF('All Player Data Store'!$Y$7:$Y$594=AC93,ROW('All Player Data Store'!$Y$7:$Y$594)-ROW('All Player Data Store'!$Y$7)+1),COUNTIF($AC$8:AC93,AC93))),"")</f>
        <v/>
      </c>
      <c r="T93" s="108" t="str">
        <f t="array" ref="T93">IF(ISNUMBER(AC93),INDEX('All Player Data Store'!$P$7:$P$594,SMALL(IF('All Player Data Store'!$Y$7:$Y$594=AC93,ROW('All Player Data Store'!$Y$7:$Y$594)-ROW('All Player Data Store'!$Y$7)+1),COUNTIF($AC$8:AC93,AC93))),"")</f>
        <v/>
      </c>
      <c r="U93" s="108">
        <f t="array" ref="U93">IF(ISNUMBER(AC93),INDEX('All Player Data Store'!$Q$7:$Q$594,SMALL(IF('All Player Data Store'!$Y$7:$Y$594=AC93,ROW('All Player Data Store'!$Y$7:$Y$594)-ROW('All Player Data Store'!$Y$7)+1),COUNTIF($AC$8:AC93,AC93))),"")</f>
        <v>21.4</v>
      </c>
      <c r="V93" s="108" t="str">
        <f t="array" ref="V93">IF(ISNUMBER(AC93),INDEX('All Player Data Store'!$R$7:$R$594,SMALL(IF('All Player Data Store'!$Y$7:$Y$594=AC93,ROW('All Player Data Store'!$Y$7:$Y$594)-ROW('All Player Data Store'!$Y$7)+1),COUNTIF($AC$8:AC93,AC93))),"")</f>
        <v/>
      </c>
      <c r="W93" s="108">
        <f t="array" ref="W93">IF(ISNUMBER(AC93),INDEX('All Player Data Store'!$S$7:$S$594,SMALL(IF('All Player Data Store'!$Y$7:$Y$594=AC93,ROW('All Player Data Store'!$Y$7:$Y$594)-ROW('All Player Data Store'!$Y$7)+1),COUNTIF($AC$8:AC93,AC93))),"")</f>
        <v>19.28</v>
      </c>
      <c r="X93" s="108">
        <f t="array" ref="X93">IF(ISNUMBER(AC93),INDEX('All Player Data Store'!$T$7:$T$594,SMALL(IF('All Player Data Store'!$Y$7:$Y$594=AC93,ROW('All Player Data Store'!$Y$7:$Y$594)-ROW('All Player Data Store'!$Y$7)+1),COUNTIF($AC$8:AC93,AC93))),"")</f>
        <v>21.76</v>
      </c>
      <c r="Y93" s="108">
        <f t="array" ref="Y93">IF(ISNUMBER(AC93),INDEX('All Player Data Store'!$U$7:$U$594,SMALL(IF('All Player Data Store'!$Y$7:$Y$594=AC93,ROW('All Player Data Store'!$Y$7:$Y$594)-ROW('All Player Data Store'!$Y$7)+1),COUNTIF($AC$8:AC93,AC93))),"")</f>
        <v>21.54</v>
      </c>
      <c r="Z93" s="108">
        <f t="array" ref="Z93">IF(ISNUMBER(AC93),INDEX('All Player Data Store'!$V$7:$V$594,SMALL(IF('All Player Data Store'!$Y$7:$Y$594=AC93,ROW('All Player Data Store'!$Y$7:$Y$594)-ROW('All Player Data Store'!$Y$7)+1),COUNTIF($AC$8:AC93,AC93))),"")</f>
        <v>23.37</v>
      </c>
      <c r="AA93" s="112" t="str">
        <f t="array" ref="AA93">IF(ISNUMBER(AC93),INDEX('All Player Data Store'!$W$7:$W$594,SMALL(IF('All Player Data Store'!$Y$7:$Y$594=AC93,ROW('All Player Data Store'!$Y$7:$Y$594)-ROW('All Player Data Store'!$Y$7)+1),COUNTIF($AC$8:AC93,AC93))),"")</f>
        <v/>
      </c>
      <c r="AB93" s="108">
        <f t="array" ref="AB93">IF(ISNUMBER(AC93),INDEX('All Player Data Store'!$X$7:$X$594,SMALL(IF('All Player Data Store'!$Y$7:$Y$594=AC93,ROW('All Player Data Store'!$Y$7:$Y$594)-ROW('All Player Data Store'!$Y$7)+1),COUNTIF($AC$8:AC93,AC93))),"")</f>
        <v>20.771111111111111</v>
      </c>
      <c r="AC93" s="115">
        <f>IF(ISERROR(IF(ISERROR(LARGE('All Player Data Store'!$Y$7:$Y$594,86)),"",(LARGE('All Player Data Store'!$Y$7:$Y$594,86)))),"",(IF(ISERROR(LARGE('All Player Data Store'!$Y$7:$Y$594,86)),"",(LARGE('All Player Data Store'!$Y$7:$Y$594,86)))))</f>
        <v>24.771111111111111</v>
      </c>
      <c r="AD93" s="106">
        <f t="shared" si="2"/>
        <v>3</v>
      </c>
      <c r="AE93" s="107" t="str">
        <f t="array" ref="AE93">IF(ISNUMBER(AC93),INDEX('All Player Data Store'!$J$8:$J$594,SMALL(IF('All Player Data Store'!$Y$7:$Y$594=AC93,ROW('All Player Data Store'!$Y$7:$Y$594)-ROW('All Player Data Store'!$Y$7)+1),COUNTIF($AC$8:AC93,AC93))),"")</f>
        <v>4*0</v>
      </c>
      <c r="AF93" s="108">
        <f t="shared" si="3"/>
        <v>19.73</v>
      </c>
      <c r="AG93" s="108" t="str">
        <f t="array" ref="AG93">IF(ISNUMBER(AC93),INDEX('All Player Data Store'!$K$8:$K$594,SMALL(IF('All Player Data Store'!$Y$7:$Y$594=AC93,ROW('All Player Data Store'!$Y$7:$Y$594)-ROW('All Player Data Store'!$Y$7)+1),COUNTIF($AC$8:AC93,AC93))),"")</f>
        <v>4*2</v>
      </c>
      <c r="AH93" s="108">
        <f t="shared" si="4"/>
        <v>22.68</v>
      </c>
      <c r="AI93" s="108" t="str">
        <f t="array" ref="AI93">IF(ISNUMBER(AC93),INDEX('All Player Data Store'!$L$8:$L$594,SMALL(IF('All Player Data Store'!$Y$7:$Y$594=AC93,ROW('All Player Data Store'!$Y$7:$Y$594)-ROW('All Player Data Store'!$Y$7)+1),COUNTIF($AC$8:AC93,AC93))),"")</f>
        <v/>
      </c>
      <c r="AJ93" s="108" t="str">
        <f t="shared" si="5"/>
        <v/>
      </c>
      <c r="AK93" s="108" t="str">
        <f t="array" ref="AK93">IF(ISNUMBER(AC93),INDEX('All Player Data Store'!$M$8:$M$594,SMALL(IF('All Player Data Store'!$Y$7:$Y$594=AC93,ROW('All Player Data Store'!$Y$7:$Y$594)-ROW('All Player Data Store'!$Y$7)+1),COUNTIF($AC$8:AC93,AC93))),"")</f>
        <v>2*4</v>
      </c>
      <c r="AL93" s="108">
        <f t="shared" si="6"/>
        <v>20.03</v>
      </c>
      <c r="AM93" s="108" t="str">
        <f t="array" ref="AM93">IF(ISNUMBER(AC93),INDEX('All Player Data Store'!$N$8:$N$594,SMALL(IF('All Player Data Store'!$Y$7:$Y$594=AC93,ROW('All Player Data Store'!$Y$7:$Y$594)-ROW('All Player Data Store'!$Y$7)+1),COUNTIF($AC$8:AC93,AC93))),"")</f>
        <v>2*4</v>
      </c>
      <c r="AN93" s="108">
        <f t="shared" si="7"/>
        <v>19.149999999999999</v>
      </c>
      <c r="AO93" s="108" t="str">
        <f t="array" ref="AO93">IF(ISNUMBER(AC93),INDEX('All Player Data Store'!$O$8:$O$594,SMALL(IF('All Player Data Store'!$Y$7:$Y$594=AC93,ROW('All Player Data Store'!$Y$7:$Y$594)-ROW('All Player Data Store'!$Y$7)+1),COUNTIF($AC$8:AC93,AC93))),"")</f>
        <v/>
      </c>
      <c r="AP93" s="108" t="str">
        <f t="shared" si="8"/>
        <v/>
      </c>
      <c r="AQ93" s="108" t="str">
        <f t="array" ref="AQ93">IF(ISNUMBER(AC93),INDEX('All Player Data Store'!$P$8:$P$594,SMALL(IF('All Player Data Store'!$Y$7:$Y$594=AC93,ROW('All Player Data Store'!$Y$7:$Y$594)-ROW('All Player Data Store'!$Y$7)+1),COUNTIF($AC$8:AC93,AC93))),"")</f>
        <v/>
      </c>
      <c r="AR93" s="108" t="str">
        <f t="shared" si="9"/>
        <v/>
      </c>
      <c r="AS93" s="108" t="str">
        <f t="array" ref="AS93">IF(ISNUMBER(AC93),INDEX('All Player Data Store'!$Q$8:$Q$594,SMALL(IF('All Player Data Store'!$Y$7:$Y$594=AC93,ROW('All Player Data Store'!$Y$7:$Y$594)-ROW('All Player Data Store'!$Y$7)+1),COUNTIF($AC$8:AC93,AC93))),"")</f>
        <v>0*4</v>
      </c>
      <c r="AT93" s="108">
        <f t="shared" si="10"/>
        <v>21.4</v>
      </c>
      <c r="AU93" s="108" t="str">
        <f t="array" ref="AU93">IF(ISNUMBER(AC93),INDEX('All Player Data Store'!$R$8:$R$594,SMALL(IF('All Player Data Store'!$Y$7:$Y$594=AC93,ROW('All Player Data Store'!$Y$7:$Y$594)-ROW('All Player Data Store'!$Y$7)+1),COUNTIF($AC$8:AC93,AC93))),"")</f>
        <v/>
      </c>
      <c r="AV93" s="108" t="str">
        <f t="shared" si="11"/>
        <v/>
      </c>
      <c r="AW93" s="108" t="str">
        <f t="array" ref="AW93">IF(ISNUMBER(AC93),INDEX('All Player Data Store'!$S$8:$S$594,SMALL(IF('All Player Data Store'!$Y$7:$Y$594=AC93,ROW('All Player Data Store'!$Y$7:$Y$594)-ROW('All Player Data Store'!$Y$7)+1),COUNTIF($AC$8:AC93,AC93))),"")</f>
        <v>3*4</v>
      </c>
      <c r="AX93" s="108">
        <f t="shared" si="12"/>
        <v>19.28</v>
      </c>
      <c r="AY93" s="108" t="str">
        <f t="array" ref="AY93">IF(ISNUMBER(AC93),INDEX('All Player Data Store'!$T$8:$T$594,SMALL(IF('All Player Data Store'!$Y$7:$Y$594=AC93,ROW('All Player Data Store'!$Y$7:$Y$594)-ROW('All Player Data Store'!$Y$7)+1),COUNTIF($AC$8:AC93,AC93))),"")</f>
        <v>4*2</v>
      </c>
      <c r="AZ93" s="108">
        <f t="shared" si="13"/>
        <v>22.76</v>
      </c>
      <c r="BA93" s="108" t="str">
        <f t="array" ref="BA93">IF(ISNUMBER(AC93),INDEX('All Player Data Store'!$U$8:$U$594,SMALL(IF('All Player Data Store'!$Y$7:$Y$594=AC93,ROW('All Player Data Store'!$Y$7:$Y$594)-ROW('All Player Data Store'!$Y$7)+1),COUNTIF($AC$8:AC93,AC93))),"")</f>
        <v>1*4</v>
      </c>
      <c r="BB93" s="108">
        <f t="shared" si="14"/>
        <v>21.54</v>
      </c>
      <c r="BC93" s="108" t="str">
        <f t="array" ref="BC93">IF(ISNUMBER(AC93),INDEX('All Player Data Store'!$V$8:$V$594,SMALL(IF('All Player Data Store'!$Y$7:$Y$594=AC93,ROW('All Player Data Store'!$Y$7:$Y$594)-ROW('All Player Data Store'!$Y$7)+1),COUNTIF($AC$8:AC93,AC93))),"")</f>
        <v>4*1</v>
      </c>
      <c r="BD93" s="108">
        <f t="shared" si="15"/>
        <v>24.37</v>
      </c>
      <c r="BE93" s="1"/>
    </row>
    <row r="94" spans="2:57" ht="12" customHeight="1" x14ac:dyDescent="0.2">
      <c r="B94" s="98" t="str">
        <f t="shared" si="0"/>
        <v>N</v>
      </c>
      <c r="C94" s="1"/>
      <c r="D94" s="68">
        <f t="shared" si="1"/>
        <v>87</v>
      </c>
      <c r="E94" s="2"/>
      <c r="F94" s="78">
        <v>87</v>
      </c>
      <c r="G94" s="110" t="str">
        <f t="array" ref="G94">IF(ISNUMBER(AC94),INDEX('All Player Data Store'!$C$7:$C$594,SMALL(IF('All Player Data Store'!$Y$7:$Y$594=AC94,ROW('All Player Data Store'!$Y$7:$Y$594)-ROW('All Player Data Store'!$Y$7)+1),COUNTIF($AC$8:AC94,AC94))),"")</f>
        <v>Sean Williams</v>
      </c>
      <c r="H94" s="111" t="str">
        <f t="array" ref="H94">IF(ISNUMBER(AC94),INDEX('All Player Data Store'!$D$7:$D$594,SMALL(IF('All Player Data Store'!$Y$7:$Y$594=AC94,ROW('All Player Data Store'!$Y$7:$Y$594)-ROW('All Player Data Store'!$Y$7)+1),COUNTIF($AC$8:AC94,AC94))),"")</f>
        <v>Por</v>
      </c>
      <c r="I94" s="69">
        <f t="array" ref="I94">IF(ISNUMBER(AC94),INDEX('All Player Data Store'!$E$7:$E$594,SMALL(IF('All Player Data Store'!$Y$7:$Y$594=AC94,ROW('All Player Data Store'!$Y$7:$Y$594)-ROW('All Player Data Store'!$Y$7)+1),COUNTIF($AC$8:AC94,AC94))),"")</f>
        <v>4</v>
      </c>
      <c r="J94" s="70">
        <f t="array" ref="J94">IF(ISNUMBER(AC94),INDEX('All Player Data Store'!$F$7:$F$594,SMALL(IF('All Player Data Store'!$Y$7:$Y$594=AC94,ROW('All Player Data Store'!$Y$7:$Y$594)-ROW('All Player Data Store'!$Y$7)+1),COUNTIF($AC$8:AC94,AC94))),"")</f>
        <v>1</v>
      </c>
      <c r="K94" s="112">
        <f t="array" ref="K94">IF(ISNUMBER(AC94),INDEX('All Player Data Store'!$G$7:$G$594,SMALL(IF('All Player Data Store'!$Y$7:$Y$594=AC94,ROW('All Player Data Store'!$Y$7:$Y$594)-ROW('All Player Data Store'!$Y$7)+1),COUNTIF($AC$8:AC94,AC94))),"")</f>
        <v>3</v>
      </c>
      <c r="L94" s="112">
        <f t="array" ref="L94">IF(ISNUMBER(AC94),INDEX('All Player Data Store'!$H$7:$H$594,SMALL(IF('All Player Data Store'!$Y$7:$Y$594=AC94,ROW('All Player Data Store'!$Y$7:$Y$594)-ROW('All Player Data Store'!$Y$7)+1),COUNTIF($AC$8:AC94,AC94))),"")</f>
        <v>10</v>
      </c>
      <c r="M94" s="113">
        <f t="array" ref="M94">IF(ISNUMBER(AC94),INDEX('All Player Data Store'!$I$7:$I$594,SMALL(IF('All Player Data Store'!$Y$7:$Y$594=AC94,ROW('All Player Data Store'!$Y$7:$Y$594)-ROW('All Player Data Store'!$Y$7)+1),COUNTIF($AC$8:AC94,AC94))),"")</f>
        <v>12</v>
      </c>
      <c r="N94" s="114" t="str">
        <f t="array" ref="N94">IF(ISNUMBER(AC94),INDEX('All Player Data Store'!$J$7:$J$594,SMALL(IF('All Player Data Store'!$Y$7:$Y$594=AC94,ROW('All Player Data Store'!$Y$7:$Y$594)-ROW('All Player Data Store'!$Y$7)+1),COUNTIF($AC$8:AC94,AC94))),"")</f>
        <v/>
      </c>
      <c r="O94" s="108" t="str">
        <f t="array" ref="O94">IF(ISNUMBER(AC94),INDEX('All Player Data Store'!$K$7:$K$594,SMALL(IF('All Player Data Store'!$Y$7:$Y$594=AC94,ROW('All Player Data Store'!$Y$7:$Y$594)-ROW('All Player Data Store'!$Y$7)+1),COUNTIF($AC$8:AC94,AC94))),"")</f>
        <v/>
      </c>
      <c r="P94" s="108">
        <f t="array" ref="P94">IF(ISNUMBER(AC94),INDEX('All Player Data Store'!$L$7:$L$594,SMALL(IF('All Player Data Store'!$Y$7:$Y$594=AC94,ROW('All Player Data Store'!$Y$7:$Y$594)-ROW('All Player Data Store'!$Y$7)+1),COUNTIF($AC$8:AC94,AC94))),"")</f>
        <v>23.65</v>
      </c>
      <c r="Q94" s="108">
        <f t="array" ref="Q94">IF(ISNUMBER(AC94),INDEX('All Player Data Store'!$M$7:$M$594,SMALL(IF('All Player Data Store'!$Y$7:$Y$594=AC94,ROW('All Player Data Store'!$Y$7:$Y$594)-ROW('All Player Data Store'!$Y$7)+1),COUNTIF($AC$8:AC94,AC94))),"")</f>
        <v>25.37</v>
      </c>
      <c r="R94" s="108" t="str">
        <f t="array" ref="R94">IF(ISNUMBER(AC94),INDEX('All Player Data Store'!$N$7:$N$594,SMALL(IF('All Player Data Store'!$Y$7:$Y$594=AC94,ROW('All Player Data Store'!$Y$7:$Y$594)-ROW('All Player Data Store'!$Y$7)+1),COUNTIF($AC$8:AC94,AC94))),"")</f>
        <v/>
      </c>
      <c r="S94" s="108">
        <f t="array" ref="S94">IF(ISNUMBER(AC94),INDEX('All Player Data Store'!$O$7:$O$594,SMALL(IF('All Player Data Store'!$Y$7:$Y$594=AC94,ROW('All Player Data Store'!$Y$7:$Y$594)-ROW('All Player Data Store'!$Y$7)+1),COUNTIF($AC$8:AC94,AC94))),"")</f>
        <v>22.8</v>
      </c>
      <c r="T94" s="108" t="str">
        <f t="array" ref="T94">IF(ISNUMBER(AC94),INDEX('All Player Data Store'!$P$7:$P$594,SMALL(IF('All Player Data Store'!$Y$7:$Y$594=AC94,ROW('All Player Data Store'!$Y$7:$Y$594)-ROW('All Player Data Store'!$Y$7)+1),COUNTIF($AC$8:AC94,AC94))),"")</f>
        <v/>
      </c>
      <c r="U94" s="108" t="str">
        <f t="array" ref="U94">IF(ISNUMBER(AC94),INDEX('All Player Data Store'!$Q$7:$Q$594,SMALL(IF('All Player Data Store'!$Y$7:$Y$594=AC94,ROW('All Player Data Store'!$Y$7:$Y$594)-ROW('All Player Data Store'!$Y$7)+1),COUNTIF($AC$8:AC94,AC94))),"")</f>
        <v/>
      </c>
      <c r="V94" s="108">
        <f t="array" ref="V94">IF(ISNUMBER(AC94),INDEX('All Player Data Store'!$R$7:$R$594,SMALL(IF('All Player Data Store'!$Y$7:$Y$594=AC94,ROW('All Player Data Store'!$Y$7:$Y$594)-ROW('All Player Data Store'!$Y$7)+1),COUNTIF($AC$8:AC94,AC94))),"")</f>
        <v>21.66</v>
      </c>
      <c r="W94" s="108" t="str">
        <f t="array" ref="W94">IF(ISNUMBER(AC94),INDEX('All Player Data Store'!$S$7:$S$594,SMALL(IF('All Player Data Store'!$Y$7:$Y$594=AC94,ROW('All Player Data Store'!$Y$7:$Y$594)-ROW('All Player Data Store'!$Y$7)+1),COUNTIF($AC$8:AC94,AC94))),"")</f>
        <v/>
      </c>
      <c r="X94" s="108" t="str">
        <f t="array" ref="X94">IF(ISNUMBER(AC94),INDEX('All Player Data Store'!$T$7:$T$594,SMALL(IF('All Player Data Store'!$Y$7:$Y$594=AC94,ROW('All Player Data Store'!$Y$7:$Y$594)-ROW('All Player Data Store'!$Y$7)+1),COUNTIF($AC$8:AC94,AC94))),"")</f>
        <v/>
      </c>
      <c r="Y94" s="108" t="str">
        <f t="array" ref="Y94">IF(ISNUMBER(AC94),INDEX('All Player Data Store'!$U$7:$U$594,SMALL(IF('All Player Data Store'!$Y$7:$Y$594=AC94,ROW('All Player Data Store'!$Y$7:$Y$594)-ROW('All Player Data Store'!$Y$7)+1),COUNTIF($AC$8:AC94,AC94))),"")</f>
        <v/>
      </c>
      <c r="Z94" s="108" t="str">
        <f t="array" ref="Z94">IF(ISNUMBER(AC94),INDEX('All Player Data Store'!$V$7:$V$594,SMALL(IF('All Player Data Store'!$Y$7:$Y$594=AC94,ROW('All Player Data Store'!$Y$7:$Y$594)-ROW('All Player Data Store'!$Y$7)+1),COUNTIF($AC$8:AC94,AC94))),"")</f>
        <v/>
      </c>
      <c r="AA94" s="112" t="str">
        <f t="array" ref="AA94">IF(ISNUMBER(AC94),INDEX('All Player Data Store'!$W$7:$W$594,SMALL(IF('All Player Data Store'!$Y$7:$Y$594=AC94,ROW('All Player Data Store'!$Y$7:$Y$594)-ROW('All Player Data Store'!$Y$7)+1),COUNTIF($AC$8:AC94,AC94))),"")</f>
        <v/>
      </c>
      <c r="AB94" s="108">
        <f t="array" ref="AB94">IF(ISNUMBER(AC94),INDEX('All Player Data Store'!$X$7:$X$594,SMALL(IF('All Player Data Store'!$Y$7:$Y$594=AC94,ROW('All Player Data Store'!$Y$7:$Y$594)-ROW('All Player Data Store'!$Y$7)+1),COUNTIF($AC$8:AC94,AC94))),"")</f>
        <v>23.369999999999997</v>
      </c>
      <c r="AC94" s="115">
        <f>IF(ISERROR(IF(ISERROR(LARGE('All Player Data Store'!$Y$7:$Y$594,87)),"",(LARGE('All Player Data Store'!$Y$7:$Y$594,87)))),"",(IF(ISERROR(LARGE('All Player Data Store'!$Y$7:$Y$594,87)),"",(LARGE('All Player Data Store'!$Y$7:$Y$594,87)))))</f>
        <v>24.369999999999997</v>
      </c>
      <c r="AD94" s="106">
        <f t="shared" si="2"/>
        <v>3</v>
      </c>
      <c r="AE94" s="107" t="str">
        <f t="array" ref="AE94">IF(ISNUMBER(AC94),INDEX('All Player Data Store'!$J$8:$J$594,SMALL(IF('All Player Data Store'!$Y$7:$Y$594=AC94,ROW('All Player Data Store'!$Y$7:$Y$594)-ROW('All Player Data Store'!$Y$7)+1),COUNTIF($AC$8:AC94,AC94))),"")</f>
        <v/>
      </c>
      <c r="AF94" s="108" t="str">
        <f t="shared" si="3"/>
        <v/>
      </c>
      <c r="AG94" s="108" t="str">
        <f t="array" ref="AG94">IF(ISNUMBER(AC94),INDEX('All Player Data Store'!$K$8:$K$594,SMALL(IF('All Player Data Store'!$Y$7:$Y$594=AC94,ROW('All Player Data Store'!$Y$7:$Y$594)-ROW('All Player Data Store'!$Y$7)+1),COUNTIF($AC$8:AC94,AC94))),"")</f>
        <v/>
      </c>
      <c r="AH94" s="108" t="str">
        <f t="shared" si="4"/>
        <v/>
      </c>
      <c r="AI94" s="108" t="str">
        <f t="array" ref="AI94">IF(ISNUMBER(AC94),INDEX('All Player Data Store'!$L$8:$L$594,SMALL(IF('All Player Data Store'!$Y$7:$Y$594=AC94,ROW('All Player Data Store'!$Y$7:$Y$594)-ROW('All Player Data Store'!$Y$7)+1),COUNTIF($AC$8:AC94,AC94))),"")</f>
        <v>2*4</v>
      </c>
      <c r="AJ94" s="108">
        <f t="shared" si="5"/>
        <v>23.65</v>
      </c>
      <c r="AK94" s="108" t="str">
        <f t="array" ref="AK94">IF(ISNUMBER(AC94),INDEX('All Player Data Store'!$M$8:$M$594,SMALL(IF('All Player Data Store'!$Y$7:$Y$594=AC94,ROW('All Player Data Store'!$Y$7:$Y$594)-ROW('All Player Data Store'!$Y$7)+1),COUNTIF($AC$8:AC94,AC94))),"")</f>
        <v>4*0</v>
      </c>
      <c r="AL94" s="108">
        <f t="shared" si="6"/>
        <v>26.37</v>
      </c>
      <c r="AM94" s="108" t="str">
        <f t="array" ref="AM94">IF(ISNUMBER(AC94),INDEX('All Player Data Store'!$N$8:$N$594,SMALL(IF('All Player Data Store'!$Y$7:$Y$594=AC94,ROW('All Player Data Store'!$Y$7:$Y$594)-ROW('All Player Data Store'!$Y$7)+1),COUNTIF($AC$8:AC94,AC94))),"")</f>
        <v/>
      </c>
      <c r="AN94" s="108" t="str">
        <f t="shared" si="7"/>
        <v/>
      </c>
      <c r="AO94" s="108" t="str">
        <f t="array" ref="AO94">IF(ISNUMBER(AC94),INDEX('All Player Data Store'!$O$8:$O$594,SMALL(IF('All Player Data Store'!$Y$7:$Y$594=AC94,ROW('All Player Data Store'!$Y$7:$Y$594)-ROW('All Player Data Store'!$Y$7)+1),COUNTIF($AC$8:AC94,AC94))),"")</f>
        <v>3*4</v>
      </c>
      <c r="AP94" s="108">
        <f t="shared" si="8"/>
        <v>22.8</v>
      </c>
      <c r="AQ94" s="108" t="str">
        <f t="array" ref="AQ94">IF(ISNUMBER(AC94),INDEX('All Player Data Store'!$P$8:$P$594,SMALL(IF('All Player Data Store'!$Y$7:$Y$594=AC94,ROW('All Player Data Store'!$Y$7:$Y$594)-ROW('All Player Data Store'!$Y$7)+1),COUNTIF($AC$8:AC94,AC94))),"")</f>
        <v/>
      </c>
      <c r="AR94" s="108" t="str">
        <f t="shared" si="9"/>
        <v/>
      </c>
      <c r="AS94" s="108" t="str">
        <f t="array" ref="AS94">IF(ISNUMBER(AC94),INDEX('All Player Data Store'!$Q$8:$Q$594,SMALL(IF('All Player Data Store'!$Y$7:$Y$594=AC94,ROW('All Player Data Store'!$Y$7:$Y$594)-ROW('All Player Data Store'!$Y$7)+1),COUNTIF($AC$8:AC94,AC94))),"")</f>
        <v/>
      </c>
      <c r="AT94" s="108" t="str">
        <f t="shared" si="10"/>
        <v/>
      </c>
      <c r="AU94" s="108" t="str">
        <f t="array" ref="AU94">IF(ISNUMBER(AC94),INDEX('All Player Data Store'!$R$8:$R$594,SMALL(IF('All Player Data Store'!$Y$7:$Y$594=AC94,ROW('All Player Data Store'!$Y$7:$Y$594)-ROW('All Player Data Store'!$Y$7)+1),COUNTIF($AC$8:AC94,AC94))),"")</f>
        <v>1*4</v>
      </c>
      <c r="AV94" s="108">
        <f t="shared" si="11"/>
        <v>21.66</v>
      </c>
      <c r="AW94" s="108" t="str">
        <f t="array" ref="AW94">IF(ISNUMBER(AC94),INDEX('All Player Data Store'!$S$8:$S$594,SMALL(IF('All Player Data Store'!$Y$7:$Y$594=AC94,ROW('All Player Data Store'!$Y$7:$Y$594)-ROW('All Player Data Store'!$Y$7)+1),COUNTIF($AC$8:AC94,AC94))),"")</f>
        <v/>
      </c>
      <c r="AX94" s="108" t="str">
        <f t="shared" si="12"/>
        <v/>
      </c>
      <c r="AY94" s="108" t="str">
        <f t="array" ref="AY94">IF(ISNUMBER(AC94),INDEX('All Player Data Store'!$T$8:$T$594,SMALL(IF('All Player Data Store'!$Y$7:$Y$594=AC94,ROW('All Player Data Store'!$Y$7:$Y$594)-ROW('All Player Data Store'!$Y$7)+1),COUNTIF($AC$8:AC94,AC94))),"")</f>
        <v/>
      </c>
      <c r="AZ94" s="108" t="str">
        <f t="shared" si="13"/>
        <v/>
      </c>
      <c r="BA94" s="108" t="str">
        <f t="array" ref="BA94">IF(ISNUMBER(AC94),INDEX('All Player Data Store'!$U$8:$U$594,SMALL(IF('All Player Data Store'!$Y$7:$Y$594=AC94,ROW('All Player Data Store'!$Y$7:$Y$594)-ROW('All Player Data Store'!$Y$7)+1),COUNTIF($AC$8:AC94,AC94))),"")</f>
        <v/>
      </c>
      <c r="BB94" s="108" t="str">
        <f t="shared" si="14"/>
        <v/>
      </c>
      <c r="BC94" s="108" t="str">
        <f t="array" ref="BC94">IF(ISNUMBER(AC94),INDEX('All Player Data Store'!$V$8:$V$594,SMALL(IF('All Player Data Store'!$Y$7:$Y$594=AC94,ROW('All Player Data Store'!$Y$7:$Y$594)-ROW('All Player Data Store'!$Y$7)+1),COUNTIF($AC$8:AC94,AC94))),"")</f>
        <v/>
      </c>
      <c r="BD94" s="108" t="str">
        <f t="shared" si="15"/>
        <v/>
      </c>
      <c r="BE94" s="1"/>
    </row>
    <row r="95" spans="2:57" ht="12" customHeight="1" x14ac:dyDescent="0.2">
      <c r="B95" s="98" t="str">
        <f t="shared" si="0"/>
        <v>N</v>
      </c>
      <c r="C95" s="1"/>
      <c r="D95" s="68">
        <f t="shared" si="1"/>
        <v>88</v>
      </c>
      <c r="E95" s="2"/>
      <c r="F95" s="78">
        <v>88</v>
      </c>
      <c r="G95" s="110" t="str">
        <f t="array" ref="G95">IF(ISNUMBER(AC95),INDEX('All Player Data Store'!$C$7:$C$594,SMALL(IF('All Player Data Store'!$Y$7:$Y$594=AC95,ROW('All Player Data Store'!$Y$7:$Y$594)-ROW('All Player Data Store'!$Y$7)+1),COUNTIF($AC$8:AC95,AC95))),"")</f>
        <v>Pip Cooke</v>
      </c>
      <c r="H95" s="111" t="str">
        <f t="array" ref="H95">IF(ISNUMBER(AC95),INDEX('All Player Data Store'!$D$7:$D$594,SMALL(IF('All Player Data Store'!$Y$7:$Y$594=AC95,ROW('All Player Data Store'!$Y$7:$Y$594)-ROW('All Player Data Store'!$Y$7)+1),COUNTIF($AC$8:AC95,AC95))),"")</f>
        <v>Bos</v>
      </c>
      <c r="I95" s="69">
        <f t="array" ref="I95">IF(ISNUMBER(AC95),INDEX('All Player Data Store'!$E$7:$E$594,SMALL(IF('All Player Data Store'!$Y$7:$Y$594=AC95,ROW('All Player Data Store'!$Y$7:$Y$594)-ROW('All Player Data Store'!$Y$7)+1),COUNTIF($AC$8:AC95,AC95))),"")</f>
        <v>5</v>
      </c>
      <c r="J95" s="70">
        <f t="array" ref="J95">IF(ISNUMBER(AC95),INDEX('All Player Data Store'!$F$7:$F$594,SMALL(IF('All Player Data Store'!$Y$7:$Y$594=AC95,ROW('All Player Data Store'!$Y$7:$Y$594)-ROW('All Player Data Store'!$Y$7)+1),COUNTIF($AC$8:AC95,AC95))),"")</f>
        <v>2</v>
      </c>
      <c r="K95" s="112">
        <f t="array" ref="K95">IF(ISNUMBER(AC95),INDEX('All Player Data Store'!$G$7:$G$594,SMALL(IF('All Player Data Store'!$Y$7:$Y$594=AC95,ROW('All Player Data Store'!$Y$7:$Y$594)-ROW('All Player Data Store'!$Y$7)+1),COUNTIF($AC$8:AC95,AC95))),"")</f>
        <v>3</v>
      </c>
      <c r="L95" s="112">
        <f t="array" ref="L95">IF(ISNUMBER(AC95),INDEX('All Player Data Store'!$H$7:$H$594,SMALL(IF('All Player Data Store'!$Y$7:$Y$594=AC95,ROW('All Player Data Store'!$Y$7:$Y$594)-ROW('All Player Data Store'!$Y$7)+1),COUNTIF($AC$8:AC95,AC95))),"")</f>
        <v>14</v>
      </c>
      <c r="M95" s="113">
        <f t="array" ref="M95">IF(ISNUMBER(AC95),INDEX('All Player Data Store'!$I$7:$I$594,SMALL(IF('All Player Data Store'!$Y$7:$Y$594=AC95,ROW('All Player Data Store'!$Y$7:$Y$594)-ROW('All Player Data Store'!$Y$7)+1),COUNTIF($AC$8:AC95,AC95))),"")</f>
        <v>12</v>
      </c>
      <c r="N95" s="114" t="str">
        <f t="array" ref="N95">IF(ISNUMBER(AC95),INDEX('All Player Data Store'!$J$7:$J$594,SMALL(IF('All Player Data Store'!$Y$7:$Y$594=AC95,ROW('All Player Data Store'!$Y$7:$Y$594)-ROW('All Player Data Store'!$Y$7)+1),COUNTIF($AC$8:AC95,AC95))),"")</f>
        <v/>
      </c>
      <c r="O95" s="108" t="str">
        <f t="array" ref="O95">IF(ISNUMBER(AC95),INDEX('All Player Data Store'!$K$7:$K$594,SMALL(IF('All Player Data Store'!$Y$7:$Y$594=AC95,ROW('All Player Data Store'!$Y$7:$Y$594)-ROW('All Player Data Store'!$Y$7)+1),COUNTIF($AC$8:AC95,AC95))),"")</f>
        <v/>
      </c>
      <c r="P95" s="108" t="str">
        <f t="array" ref="P95">IF(ISNUMBER(AC95),INDEX('All Player Data Store'!$L$7:$L$594,SMALL(IF('All Player Data Store'!$Y$7:$Y$594=AC95,ROW('All Player Data Store'!$Y$7:$Y$594)-ROW('All Player Data Store'!$Y$7)+1),COUNTIF($AC$8:AC95,AC95))),"")</f>
        <v/>
      </c>
      <c r="Q95" s="108" t="str">
        <f t="array" ref="Q95">IF(ISNUMBER(AC95),INDEX('All Player Data Store'!$M$7:$M$594,SMALL(IF('All Player Data Store'!$Y$7:$Y$594=AC95,ROW('All Player Data Store'!$Y$7:$Y$594)-ROW('All Player Data Store'!$Y$7)+1),COUNTIF($AC$8:AC95,AC95))),"")</f>
        <v/>
      </c>
      <c r="R95" s="108" t="str">
        <f t="array" ref="R95">IF(ISNUMBER(AC95),INDEX('All Player Data Store'!$N$7:$N$594,SMALL(IF('All Player Data Store'!$Y$7:$Y$594=AC95,ROW('All Player Data Store'!$Y$7:$Y$594)-ROW('All Player Data Store'!$Y$7)+1),COUNTIF($AC$8:AC95,AC95))),"")</f>
        <v/>
      </c>
      <c r="S95" s="108" t="str">
        <f t="array" ref="S95">IF(ISNUMBER(AC95),INDEX('All Player Data Store'!$O$7:$O$594,SMALL(IF('All Player Data Store'!$Y$7:$Y$594=AC95,ROW('All Player Data Store'!$Y$7:$Y$594)-ROW('All Player Data Store'!$Y$7)+1),COUNTIF($AC$8:AC95,AC95))),"")</f>
        <v/>
      </c>
      <c r="T95" s="108" t="str">
        <f t="array" ref="T95">IF(ISNUMBER(AC95),INDEX('All Player Data Store'!$P$7:$P$594,SMALL(IF('All Player Data Store'!$Y$7:$Y$594=AC95,ROW('All Player Data Store'!$Y$7:$Y$594)-ROW('All Player Data Store'!$Y$7)+1),COUNTIF($AC$8:AC95,AC95))),"")</f>
        <v/>
      </c>
      <c r="U95" s="108" t="str">
        <f t="array" ref="U95">IF(ISNUMBER(AC95),INDEX('All Player Data Store'!$Q$7:$Q$594,SMALL(IF('All Player Data Store'!$Y$7:$Y$594=AC95,ROW('All Player Data Store'!$Y$7:$Y$594)-ROW('All Player Data Store'!$Y$7)+1),COUNTIF($AC$8:AC95,AC95))),"")</f>
        <v/>
      </c>
      <c r="V95" s="108">
        <f t="array" ref="V95">IF(ISNUMBER(AC95),INDEX('All Player Data Store'!$R$7:$R$594,SMALL(IF('All Player Data Store'!$Y$7:$Y$594=AC95,ROW('All Player Data Store'!$Y$7:$Y$594)-ROW('All Player Data Store'!$Y$7)+1),COUNTIF($AC$8:AC95,AC95))),"")</f>
        <v>20.68</v>
      </c>
      <c r="W95" s="108">
        <f t="array" ref="W95">IF(ISNUMBER(AC95),INDEX('All Player Data Store'!$S$7:$S$594,SMALL(IF('All Player Data Store'!$Y$7:$Y$594=AC95,ROW('All Player Data Store'!$Y$7:$Y$594)-ROW('All Player Data Store'!$Y$7)+1),COUNTIF($AC$8:AC95,AC95))),"")</f>
        <v>21.06</v>
      </c>
      <c r="X95" s="108">
        <f t="array" ref="X95">IF(ISNUMBER(AC95),INDEX('All Player Data Store'!$T$7:$T$594,SMALL(IF('All Player Data Store'!$Y$7:$Y$594=AC95,ROW('All Player Data Store'!$Y$7:$Y$594)-ROW('All Player Data Store'!$Y$7)+1),COUNTIF($AC$8:AC95,AC95))),"")</f>
        <v>24.14</v>
      </c>
      <c r="Y95" s="108">
        <f t="array" ref="Y95">IF(ISNUMBER(AC95),INDEX('All Player Data Store'!$U$7:$U$594,SMALL(IF('All Player Data Store'!$Y$7:$Y$594=AC95,ROW('All Player Data Store'!$Y$7:$Y$594)-ROW('All Player Data Store'!$Y$7)+1),COUNTIF($AC$8:AC95,AC95))),"")</f>
        <v>23.58</v>
      </c>
      <c r="Z95" s="108">
        <f t="array" ref="Z95">IF(ISNUMBER(AC95),INDEX('All Player Data Store'!$V$7:$V$594,SMALL(IF('All Player Data Store'!$Y$7:$Y$594=AC95,ROW('All Player Data Store'!$Y$7:$Y$594)-ROW('All Player Data Store'!$Y$7)+1),COUNTIF($AC$8:AC95,AC95))),"")</f>
        <v>21.65</v>
      </c>
      <c r="AA95" s="112">
        <f t="array" ref="AA95">IF(ISNUMBER(AC95),INDEX('All Player Data Store'!$W$7:$W$594,SMALL(IF('All Player Data Store'!$Y$7:$Y$594=AC95,ROW('All Player Data Store'!$Y$7:$Y$594)-ROW('All Player Data Store'!$Y$7)+1),COUNTIF($AC$8:AC95,AC95))),"")</f>
        <v>1</v>
      </c>
      <c r="AB95" s="108">
        <f t="array" ref="AB95">IF(ISNUMBER(AC95),INDEX('All Player Data Store'!$X$7:$X$594,SMALL(IF('All Player Data Store'!$Y$7:$Y$594=AC95,ROW('All Player Data Store'!$Y$7:$Y$594)-ROW('All Player Data Store'!$Y$7)+1),COUNTIF($AC$8:AC95,AC95))),"")</f>
        <v>22.221999999999998</v>
      </c>
      <c r="AC95" s="115">
        <f>IF(ISERROR(IF(ISERROR(LARGE('All Player Data Store'!$Y$7:$Y$594,88)),"",(LARGE('All Player Data Store'!$Y$7:$Y$594,88)))),"",(IF(ISERROR(LARGE('All Player Data Store'!$Y$7:$Y$594,88)),"",(LARGE('All Player Data Store'!$Y$7:$Y$594,88)))))</f>
        <v>24.221999999999998</v>
      </c>
      <c r="AD95" s="106">
        <f t="shared" si="2"/>
        <v>3</v>
      </c>
      <c r="AE95" s="107" t="str">
        <f t="array" ref="AE95">IF(ISNUMBER(AC95),INDEX('All Player Data Store'!$J$8:$J$594,SMALL(IF('All Player Data Store'!$Y$7:$Y$594=AC95,ROW('All Player Data Store'!$Y$7:$Y$594)-ROW('All Player Data Store'!$Y$7)+1),COUNTIF($AC$8:AC95,AC95))),"")</f>
        <v/>
      </c>
      <c r="AF95" s="108" t="str">
        <f t="shared" si="3"/>
        <v/>
      </c>
      <c r="AG95" s="108" t="str">
        <f t="array" ref="AG95">IF(ISNUMBER(AC95),INDEX('All Player Data Store'!$K$8:$K$594,SMALL(IF('All Player Data Store'!$Y$7:$Y$594=AC95,ROW('All Player Data Store'!$Y$7:$Y$594)-ROW('All Player Data Store'!$Y$7)+1),COUNTIF($AC$8:AC95,AC95))),"")</f>
        <v/>
      </c>
      <c r="AH95" s="108" t="str">
        <f t="shared" si="4"/>
        <v/>
      </c>
      <c r="AI95" s="108" t="str">
        <f t="array" ref="AI95">IF(ISNUMBER(AC95),INDEX('All Player Data Store'!$L$8:$L$594,SMALL(IF('All Player Data Store'!$Y$7:$Y$594=AC95,ROW('All Player Data Store'!$Y$7:$Y$594)-ROW('All Player Data Store'!$Y$7)+1),COUNTIF($AC$8:AC95,AC95))),"")</f>
        <v/>
      </c>
      <c r="AJ95" s="108" t="str">
        <f t="shared" si="5"/>
        <v/>
      </c>
      <c r="AK95" s="108" t="str">
        <f t="array" ref="AK95">IF(ISNUMBER(AC95),INDEX('All Player Data Store'!$M$8:$M$594,SMALL(IF('All Player Data Store'!$Y$7:$Y$594=AC95,ROW('All Player Data Store'!$Y$7:$Y$594)-ROW('All Player Data Store'!$Y$7)+1),COUNTIF($AC$8:AC95,AC95))),"")</f>
        <v/>
      </c>
      <c r="AL95" s="108" t="str">
        <f t="shared" si="6"/>
        <v/>
      </c>
      <c r="AM95" s="108" t="str">
        <f t="array" ref="AM95">IF(ISNUMBER(AC95),INDEX('All Player Data Store'!$N$8:$N$594,SMALL(IF('All Player Data Store'!$Y$7:$Y$594=AC95,ROW('All Player Data Store'!$Y$7:$Y$594)-ROW('All Player Data Store'!$Y$7)+1),COUNTIF($AC$8:AC95,AC95))),"")</f>
        <v/>
      </c>
      <c r="AN95" s="108" t="str">
        <f t="shared" si="7"/>
        <v/>
      </c>
      <c r="AO95" s="108" t="str">
        <f t="array" ref="AO95">IF(ISNUMBER(AC95),INDEX('All Player Data Store'!$O$8:$O$594,SMALL(IF('All Player Data Store'!$Y$7:$Y$594=AC95,ROW('All Player Data Store'!$Y$7:$Y$594)-ROW('All Player Data Store'!$Y$7)+1),COUNTIF($AC$8:AC95,AC95))),"")</f>
        <v/>
      </c>
      <c r="AP95" s="108" t="str">
        <f t="shared" si="8"/>
        <v/>
      </c>
      <c r="AQ95" s="108" t="str">
        <f t="array" ref="AQ95">IF(ISNUMBER(AC95),INDEX('All Player Data Store'!$P$8:$P$594,SMALL(IF('All Player Data Store'!$Y$7:$Y$594=AC95,ROW('All Player Data Store'!$Y$7:$Y$594)-ROW('All Player Data Store'!$Y$7)+1),COUNTIF($AC$8:AC95,AC95))),"")</f>
        <v/>
      </c>
      <c r="AR95" s="108" t="str">
        <f t="shared" si="9"/>
        <v/>
      </c>
      <c r="AS95" s="108" t="str">
        <f t="array" ref="AS95">IF(ISNUMBER(AC95),INDEX('All Player Data Store'!$Q$8:$Q$594,SMALL(IF('All Player Data Store'!$Y$7:$Y$594=AC95,ROW('All Player Data Store'!$Y$7:$Y$594)-ROW('All Player Data Store'!$Y$7)+1),COUNTIF($AC$8:AC95,AC95))),"")</f>
        <v/>
      </c>
      <c r="AT95" s="108" t="str">
        <f t="shared" si="10"/>
        <v/>
      </c>
      <c r="AU95" s="108" t="str">
        <f t="array" ref="AU95">IF(ISNUMBER(AC95),INDEX('All Player Data Store'!$R$8:$R$594,SMALL(IF('All Player Data Store'!$Y$7:$Y$594=AC95,ROW('All Player Data Store'!$Y$7:$Y$594)-ROW('All Player Data Store'!$Y$7)+1),COUNTIF($AC$8:AC95,AC95))),"")</f>
        <v>1*4</v>
      </c>
      <c r="AV95" s="108">
        <f t="shared" si="11"/>
        <v>20.68</v>
      </c>
      <c r="AW95" s="108" t="str">
        <f t="array" ref="AW95">IF(ISNUMBER(AC95),INDEX('All Player Data Store'!$S$8:$S$594,SMALL(IF('All Player Data Store'!$Y$7:$Y$594=AC95,ROW('All Player Data Store'!$Y$7:$Y$594)-ROW('All Player Data Store'!$Y$7)+1),COUNTIF($AC$8:AC95,AC95))),"")</f>
        <v>3*4</v>
      </c>
      <c r="AX95" s="108">
        <f t="shared" si="12"/>
        <v>21.06</v>
      </c>
      <c r="AY95" s="108" t="str">
        <f t="array" ref="AY95">IF(ISNUMBER(AC95),INDEX('All Player Data Store'!$T$8:$T$594,SMALL(IF('All Player Data Store'!$Y$7:$Y$594=AC95,ROW('All Player Data Store'!$Y$7:$Y$594)-ROW('All Player Data Store'!$Y$7)+1),COUNTIF($AC$8:AC95,AC95))),"")</f>
        <v>4*0</v>
      </c>
      <c r="AZ95" s="108">
        <f t="shared" si="13"/>
        <v>25.14</v>
      </c>
      <c r="BA95" s="108" t="str">
        <f t="array" ref="BA95">IF(ISNUMBER(AC95),INDEX('All Player Data Store'!$U$8:$U$594,SMALL(IF('All Player Data Store'!$Y$7:$Y$594=AC95,ROW('All Player Data Store'!$Y$7:$Y$594)-ROW('All Player Data Store'!$Y$7)+1),COUNTIF($AC$8:AC95,AC95))),"")</f>
        <v>4*0(1)</v>
      </c>
      <c r="BB95" s="108">
        <f t="shared" si="14"/>
        <v>24.58</v>
      </c>
      <c r="BC95" s="108" t="str">
        <f t="array" ref="BC95">IF(ISNUMBER(AC95),INDEX('All Player Data Store'!$V$8:$V$594,SMALL(IF('All Player Data Store'!$Y$7:$Y$594=AC95,ROW('All Player Data Store'!$Y$7:$Y$594)-ROW('All Player Data Store'!$Y$7)+1),COUNTIF($AC$8:AC95,AC95))),"")</f>
        <v>2*4</v>
      </c>
      <c r="BD95" s="108">
        <f t="shared" si="15"/>
        <v>21.65</v>
      </c>
      <c r="BE95" s="1"/>
    </row>
    <row r="96" spans="2:57" ht="12" customHeight="1" x14ac:dyDescent="0.2">
      <c r="B96" s="98" t="str">
        <f t="shared" si="0"/>
        <v>Y</v>
      </c>
      <c r="C96" s="1"/>
      <c r="D96" s="68">
        <f t="shared" si="1"/>
        <v>89</v>
      </c>
      <c r="E96" s="2"/>
      <c r="F96" s="78">
        <v>89</v>
      </c>
      <c r="G96" s="110" t="str">
        <f t="array" ref="G96">IF(ISNUMBER(AC96),INDEX('All Player Data Store'!$C$7:$C$594,SMALL(IF('All Player Data Store'!$Y$7:$Y$594=AC96,ROW('All Player Data Store'!$Y$7:$Y$594)-ROW('All Player Data Store'!$Y$7)+1),COUNTIF($AC$8:AC96,AC96))),"")</f>
        <v>Kevin Bassil</v>
      </c>
      <c r="H96" s="111" t="str">
        <f t="array" ref="H96">IF(ISNUMBER(AC96),INDEX('All Player Data Store'!$D$7:$D$594,SMALL(IF('All Player Data Store'!$Y$7:$Y$594=AC96,ROW('All Player Data Store'!$Y$7:$Y$594)-ROW('All Player Data Store'!$Y$7)+1),COUNTIF($AC$8:AC96,AC96))),"")</f>
        <v>Aly</v>
      </c>
      <c r="I96" s="69">
        <f t="array" ref="I96">IF(ISNUMBER(AC96),INDEX('All Player Data Store'!$E$7:$E$594,SMALL(IF('All Player Data Store'!$Y$7:$Y$594=AC96,ROW('All Player Data Store'!$Y$7:$Y$594)-ROW('All Player Data Store'!$Y$7)+1),COUNTIF($AC$8:AC96,AC96))),"")</f>
        <v>13</v>
      </c>
      <c r="J96" s="70">
        <f t="array" ref="J96">IF(ISNUMBER(AC96),INDEX('All Player Data Store'!$F$7:$F$594,SMALL(IF('All Player Data Store'!$Y$7:$Y$594=AC96,ROW('All Player Data Store'!$Y$7:$Y$594)-ROW('All Player Data Store'!$Y$7)+1),COUNTIF($AC$8:AC96,AC96))),"")</f>
        <v>4</v>
      </c>
      <c r="K96" s="112">
        <f t="array" ref="K96">IF(ISNUMBER(AC96),INDEX('All Player Data Store'!$G$7:$G$594,SMALL(IF('All Player Data Store'!$Y$7:$Y$594=AC96,ROW('All Player Data Store'!$Y$7:$Y$594)-ROW('All Player Data Store'!$Y$7)+1),COUNTIF($AC$8:AC96,AC96))),"")</f>
        <v>9</v>
      </c>
      <c r="L96" s="112">
        <f t="array" ref="L96">IF(ISNUMBER(AC96),INDEX('All Player Data Store'!$H$7:$H$594,SMALL(IF('All Player Data Store'!$Y$7:$Y$594=AC96,ROW('All Player Data Store'!$Y$7:$Y$594)-ROW('All Player Data Store'!$Y$7)+1),COUNTIF($AC$8:AC96,AC96))),"")</f>
        <v>28</v>
      </c>
      <c r="M96" s="113">
        <f t="array" ref="M96">IF(ISNUMBER(AC96),INDEX('All Player Data Store'!$I$7:$I$594,SMALL(IF('All Player Data Store'!$Y$7:$Y$594=AC96,ROW('All Player Data Store'!$Y$7:$Y$594)-ROW('All Player Data Store'!$Y$7)+1),COUNTIF($AC$8:AC96,AC96))),"")</f>
        <v>42</v>
      </c>
      <c r="N96" s="114">
        <f t="array" ref="N96">IF(ISNUMBER(AC96),INDEX('All Player Data Store'!$J$7:$J$594,SMALL(IF('All Player Data Store'!$Y$7:$Y$594=AC96,ROW('All Player Data Store'!$Y$7:$Y$594)-ROW('All Player Data Store'!$Y$7)+1),COUNTIF($AC$8:AC96,AC96))),"")</f>
        <v>21.78</v>
      </c>
      <c r="O96" s="108">
        <f t="array" ref="O96">IF(ISNUMBER(AC96),INDEX('All Player Data Store'!$K$7:$K$594,SMALL(IF('All Player Data Store'!$Y$7:$Y$594=AC96,ROW('All Player Data Store'!$Y$7:$Y$594)-ROW('All Player Data Store'!$Y$7)+1),COUNTIF($AC$8:AC96,AC96))),"")</f>
        <v>21.76</v>
      </c>
      <c r="P96" s="108">
        <f t="array" ref="P96">IF(ISNUMBER(AC96),INDEX('All Player Data Store'!$L$7:$L$594,SMALL(IF('All Player Data Store'!$Y$7:$Y$594=AC96,ROW('All Player Data Store'!$Y$7:$Y$594)-ROW('All Player Data Store'!$Y$7)+1),COUNTIF($AC$8:AC96,AC96))),"")</f>
        <v>22.17</v>
      </c>
      <c r="Q96" s="108">
        <f t="array" ref="Q96">IF(ISNUMBER(AC96),INDEX('All Player Data Store'!$M$7:$M$594,SMALL(IF('All Player Data Store'!$Y$7:$Y$594=AC96,ROW('All Player Data Store'!$Y$7:$Y$594)-ROW('All Player Data Store'!$Y$7)+1),COUNTIF($AC$8:AC96,AC96))),"")</f>
        <v>20.91</v>
      </c>
      <c r="R96" s="108">
        <f t="array" ref="R96">IF(ISNUMBER(AC96),INDEX('All Player Data Store'!$N$7:$N$594,SMALL(IF('All Player Data Store'!$Y$7:$Y$594=AC96,ROW('All Player Data Store'!$Y$7:$Y$594)-ROW('All Player Data Store'!$Y$7)+1),COUNTIF($AC$8:AC96,AC96))),"")</f>
        <v>19.71</v>
      </c>
      <c r="S96" s="108">
        <f t="array" ref="S96">IF(ISNUMBER(AC96),INDEX('All Player Data Store'!$O$7:$O$594,SMALL(IF('All Player Data Store'!$Y$7:$Y$594=AC96,ROW('All Player Data Store'!$Y$7:$Y$594)-ROW('All Player Data Store'!$Y$7)+1),COUNTIF($AC$8:AC96,AC96))),"")</f>
        <v>18.25</v>
      </c>
      <c r="T96" s="108">
        <f t="array" ref="T96">IF(ISNUMBER(AC96),INDEX('All Player Data Store'!$P$7:$P$594,SMALL(IF('All Player Data Store'!$Y$7:$Y$594=AC96,ROW('All Player Data Store'!$Y$7:$Y$594)-ROW('All Player Data Store'!$Y$7)+1),COUNTIF($AC$8:AC96,AC96))),"")</f>
        <v>19.559999999999999</v>
      </c>
      <c r="U96" s="108">
        <f t="array" ref="U96">IF(ISNUMBER(AC96),INDEX('All Player Data Store'!$Q$7:$Q$594,SMALL(IF('All Player Data Store'!$Y$7:$Y$594=AC96,ROW('All Player Data Store'!$Y$7:$Y$594)-ROW('All Player Data Store'!$Y$7)+1),COUNTIF($AC$8:AC96,AC96))),"")</f>
        <v>20.5</v>
      </c>
      <c r="V96" s="108">
        <f t="array" ref="V96">IF(ISNUMBER(AC96),INDEX('All Player Data Store'!$R$7:$R$594,SMALL(IF('All Player Data Store'!$Y$7:$Y$594=AC96,ROW('All Player Data Store'!$Y$7:$Y$594)-ROW('All Player Data Store'!$Y$7)+1),COUNTIF($AC$8:AC96,AC96))),"")</f>
        <v>21.67</v>
      </c>
      <c r="W96" s="108">
        <f t="array" ref="W96">IF(ISNUMBER(AC96),INDEX('All Player Data Store'!$S$7:$S$594,SMALL(IF('All Player Data Store'!$Y$7:$Y$594=AC96,ROW('All Player Data Store'!$Y$7:$Y$594)-ROW('All Player Data Store'!$Y$7)+1),COUNTIF($AC$8:AC96,AC96))),"")</f>
        <v>18.32</v>
      </c>
      <c r="X96" s="108">
        <f t="array" ref="X96">IF(ISNUMBER(AC96),INDEX('All Player Data Store'!$T$7:$T$594,SMALL(IF('All Player Data Store'!$Y$7:$Y$594=AC96,ROW('All Player Data Store'!$Y$7:$Y$594)-ROW('All Player Data Store'!$Y$7)+1),COUNTIF($AC$8:AC96,AC96))),"")</f>
        <v>19.77</v>
      </c>
      <c r="Y96" s="108">
        <f t="array" ref="Y96">IF(ISNUMBER(AC96),INDEX('All Player Data Store'!$U$7:$U$594,SMALL(IF('All Player Data Store'!$Y$7:$Y$594=AC96,ROW('All Player Data Store'!$Y$7:$Y$594)-ROW('All Player Data Store'!$Y$7)+1),COUNTIF($AC$8:AC96,AC96))),"")</f>
        <v>19.04</v>
      </c>
      <c r="Z96" s="108">
        <f t="array" ref="Z96">IF(ISNUMBER(AC96),INDEX('All Player Data Store'!$V$7:$V$594,SMALL(IF('All Player Data Store'!$Y$7:$Y$594=AC96,ROW('All Player Data Store'!$Y$7:$Y$594)-ROW('All Player Data Store'!$Y$7)+1),COUNTIF($AC$8:AC96,AC96))),"")</f>
        <v>18.22</v>
      </c>
      <c r="AA96" s="112">
        <f t="array" ref="AA96">IF(ISNUMBER(AC96),INDEX('All Player Data Store'!$W$7:$W$594,SMALL(IF('All Player Data Store'!$Y$7:$Y$594=AC96,ROW('All Player Data Store'!$Y$7:$Y$594)-ROW('All Player Data Store'!$Y$7)+1),COUNTIF($AC$8:AC96,AC96))),"")</f>
        <v>5</v>
      </c>
      <c r="AB96" s="108">
        <f t="array" ref="AB96">IF(ISNUMBER(AC96),INDEX('All Player Data Store'!$X$7:$X$594,SMALL(IF('All Player Data Store'!$Y$7:$Y$594=AC96,ROW('All Player Data Store'!$Y$7:$Y$594)-ROW('All Player Data Store'!$Y$7)+1),COUNTIF($AC$8:AC96,AC96))),"")</f>
        <v>20.127692307692307</v>
      </c>
      <c r="AC96" s="115">
        <f>IF(ISERROR(IF(ISERROR(LARGE('All Player Data Store'!$Y$7:$Y$594,89)),"",(LARGE('All Player Data Store'!$Y$7:$Y$594,89)))),"",(IF(ISERROR(LARGE('All Player Data Store'!$Y$7:$Y$594,89)),"",(LARGE('All Player Data Store'!$Y$7:$Y$594,89)))))</f>
        <v>24.127692307692307</v>
      </c>
      <c r="AD96" s="106">
        <f t="shared" si="2"/>
        <v>3</v>
      </c>
      <c r="AE96" s="107" t="str">
        <f t="array" ref="AE96">IF(ISNUMBER(AC96),INDEX('All Player Data Store'!$J$8:$J$594,SMALL(IF('All Player Data Store'!$Y$7:$Y$594=AC96,ROW('All Player Data Store'!$Y$7:$Y$594)-ROW('All Player Data Store'!$Y$7)+1),COUNTIF($AC$8:AC96,AC96))),"")</f>
        <v>4*0(1)</v>
      </c>
      <c r="AF96" s="108">
        <f t="shared" si="3"/>
        <v>22.78</v>
      </c>
      <c r="AG96" s="108" t="str">
        <f t="array" ref="AG96">IF(ISNUMBER(AC96),INDEX('All Player Data Store'!$K$8:$K$594,SMALL(IF('All Player Data Store'!$Y$7:$Y$594=AC96,ROW('All Player Data Store'!$Y$7:$Y$594)-ROW('All Player Data Store'!$Y$7)+1),COUNTIF($AC$8:AC96,AC96))),"")</f>
        <v>3*4</v>
      </c>
      <c r="AH96" s="108">
        <f t="shared" si="4"/>
        <v>21.76</v>
      </c>
      <c r="AI96" s="108" t="str">
        <f t="array" ref="AI96">IF(ISNUMBER(AC96),INDEX('All Player Data Store'!$L$8:$L$594,SMALL(IF('All Player Data Store'!$Y$7:$Y$594=AC96,ROW('All Player Data Store'!$Y$7:$Y$594)-ROW('All Player Data Store'!$Y$7)+1),COUNTIF($AC$8:AC96,AC96))),"")</f>
        <v>2*4(1)</v>
      </c>
      <c r="AJ96" s="108">
        <f t="shared" si="5"/>
        <v>22.17</v>
      </c>
      <c r="AK96" s="108" t="str">
        <f t="array" ref="AK96">IF(ISNUMBER(AC96),INDEX('All Player Data Store'!$M$8:$M$594,SMALL(IF('All Player Data Store'!$Y$7:$Y$594=AC96,ROW('All Player Data Store'!$Y$7:$Y$594)-ROW('All Player Data Store'!$Y$7)+1),COUNTIF($AC$8:AC96,AC96))),"")</f>
        <v>4*1</v>
      </c>
      <c r="AL96" s="108">
        <f t="shared" si="6"/>
        <v>21.91</v>
      </c>
      <c r="AM96" s="108" t="str">
        <f t="array" ref="AM96">IF(ISNUMBER(AC96),INDEX('All Player Data Store'!$N$8:$N$594,SMALL(IF('All Player Data Store'!$Y$7:$Y$594=AC96,ROW('All Player Data Store'!$Y$7:$Y$594)-ROW('All Player Data Store'!$Y$7)+1),COUNTIF($AC$8:AC96,AC96))),"")</f>
        <v>0*4</v>
      </c>
      <c r="AN96" s="108">
        <f t="shared" si="7"/>
        <v>19.71</v>
      </c>
      <c r="AO96" s="108" t="str">
        <f t="array" ref="AO96">IF(ISNUMBER(AC96),INDEX('All Player Data Store'!$O$8:$O$594,SMALL(IF('All Player Data Store'!$Y$7:$Y$594=AC96,ROW('All Player Data Store'!$Y$7:$Y$594)-ROW('All Player Data Store'!$Y$7)+1),COUNTIF($AC$8:AC96,AC96))),"")</f>
        <v>1*4</v>
      </c>
      <c r="AP96" s="108">
        <f t="shared" si="8"/>
        <v>18.25</v>
      </c>
      <c r="AQ96" s="108" t="str">
        <f t="array" ref="AQ96">IF(ISNUMBER(AC96),INDEX('All Player Data Store'!$P$8:$P$594,SMALL(IF('All Player Data Store'!$Y$7:$Y$594=AC96,ROW('All Player Data Store'!$Y$7:$Y$594)-ROW('All Player Data Store'!$Y$7)+1),COUNTIF($AC$8:AC96,AC96))),"")</f>
        <v>4*3</v>
      </c>
      <c r="AR96" s="108">
        <f t="shared" si="9"/>
        <v>20.56</v>
      </c>
      <c r="AS96" s="108" t="str">
        <f t="array" ref="AS96">IF(ISNUMBER(AC96),INDEX('All Player Data Store'!$Q$8:$Q$594,SMALL(IF('All Player Data Store'!$Y$7:$Y$594=AC96,ROW('All Player Data Store'!$Y$7:$Y$594)-ROW('All Player Data Store'!$Y$7)+1),COUNTIF($AC$8:AC96,AC96))),"")</f>
        <v>2*4(1)</v>
      </c>
      <c r="AT96" s="108">
        <f t="shared" si="10"/>
        <v>20.5</v>
      </c>
      <c r="AU96" s="108" t="str">
        <f t="array" ref="AU96">IF(ISNUMBER(AC96),INDEX('All Player Data Store'!$R$8:$R$594,SMALL(IF('All Player Data Store'!$Y$7:$Y$594=AC96,ROW('All Player Data Store'!$Y$7:$Y$594)-ROW('All Player Data Store'!$Y$7)+1),COUNTIF($AC$8:AC96,AC96))),"")</f>
        <v>1*4(1)</v>
      </c>
      <c r="AV96" s="108">
        <f t="shared" si="11"/>
        <v>21.67</v>
      </c>
      <c r="AW96" s="108" t="str">
        <f t="array" ref="AW96">IF(ISNUMBER(AC96),INDEX('All Player Data Store'!$S$8:$S$594,SMALL(IF('All Player Data Store'!$Y$7:$Y$594=AC96,ROW('All Player Data Store'!$Y$7:$Y$594)-ROW('All Player Data Store'!$Y$7)+1),COUNTIF($AC$8:AC96,AC96))),"")</f>
        <v>1*4</v>
      </c>
      <c r="AX96" s="108">
        <f t="shared" si="12"/>
        <v>18.32</v>
      </c>
      <c r="AY96" s="108" t="str">
        <f t="array" ref="AY96">IF(ISNUMBER(AC96),INDEX('All Player Data Store'!$T$8:$T$594,SMALL(IF('All Player Data Store'!$Y$7:$Y$594=AC96,ROW('All Player Data Store'!$Y$7:$Y$594)-ROW('All Player Data Store'!$Y$7)+1),COUNTIF($AC$8:AC96,AC96))),"")</f>
        <v>0*4(1)</v>
      </c>
      <c r="AZ96" s="108">
        <f t="shared" si="13"/>
        <v>19.77</v>
      </c>
      <c r="BA96" s="108" t="str">
        <f t="array" ref="BA96">IF(ISNUMBER(AC96),INDEX('All Player Data Store'!$U$8:$U$594,SMALL(IF('All Player Data Store'!$Y$7:$Y$594=AC96,ROW('All Player Data Store'!$Y$7:$Y$594)-ROW('All Player Data Store'!$Y$7)+1),COUNTIF($AC$8:AC96,AC96))),"")</f>
        <v>2*4</v>
      </c>
      <c r="BB96" s="108">
        <f t="shared" si="14"/>
        <v>19.04</v>
      </c>
      <c r="BC96" s="108" t="str">
        <f t="array" ref="BC96">IF(ISNUMBER(AC96),INDEX('All Player Data Store'!$V$8:$V$594,SMALL(IF('All Player Data Store'!$Y$7:$Y$594=AC96,ROW('All Player Data Store'!$Y$7:$Y$594)-ROW('All Player Data Store'!$Y$7)+1),COUNTIF($AC$8:AC96,AC96))),"")</f>
        <v>4*2</v>
      </c>
      <c r="BD96" s="108">
        <f t="shared" si="15"/>
        <v>19.22</v>
      </c>
      <c r="BE96" s="1"/>
    </row>
    <row r="97" spans="2:57" ht="12" customHeight="1" x14ac:dyDescent="0.2">
      <c r="B97" s="98" t="str">
        <f t="shared" si="0"/>
        <v>N</v>
      </c>
      <c r="C97" s="1"/>
      <c r="D97" s="68">
        <f t="shared" si="1"/>
        <v>90</v>
      </c>
      <c r="E97" s="2"/>
      <c r="F97" s="78">
        <v>90</v>
      </c>
      <c r="G97" s="110" t="str">
        <f t="array" ref="G97">IF(ISNUMBER(AC97),INDEX('All Player Data Store'!$C$7:$C$594,SMALL(IF('All Player Data Store'!$Y$7:$Y$594=AC97,ROW('All Player Data Store'!$Y$7:$Y$594)-ROW('All Player Data Store'!$Y$7)+1),COUNTIF($AC$8:AC97,AC97))),"")</f>
        <v>Mickey Gilmore</v>
      </c>
      <c r="H97" s="111" t="str">
        <f t="array" ref="H97">IF(ISNUMBER(AC97),INDEX('All Player Data Store'!$D$7:$D$594,SMALL(IF('All Player Data Store'!$Y$7:$Y$594=AC97,ROW('All Player Data Store'!$Y$7:$Y$594)-ROW('All Player Data Store'!$Y$7)+1),COUNTIF($AC$8:AC97,AC97))),"")</f>
        <v>Bri</v>
      </c>
      <c r="I97" s="69">
        <f t="array" ref="I97">IF(ISNUMBER(AC97),INDEX('All Player Data Store'!$E$7:$E$594,SMALL(IF('All Player Data Store'!$Y$7:$Y$594=AC97,ROW('All Player Data Store'!$Y$7:$Y$594)-ROW('All Player Data Store'!$Y$7)+1),COUNTIF($AC$8:AC97,AC97))),"")</f>
        <v>8</v>
      </c>
      <c r="J97" s="70">
        <f t="array" ref="J97">IF(ISNUMBER(AC97),INDEX('All Player Data Store'!$F$7:$F$594,SMALL(IF('All Player Data Store'!$Y$7:$Y$594=AC97,ROW('All Player Data Store'!$Y$7:$Y$594)-ROW('All Player Data Store'!$Y$7)+1),COUNTIF($AC$8:AC97,AC97))),"")</f>
        <v>4</v>
      </c>
      <c r="K97" s="112">
        <f t="array" ref="K97">IF(ISNUMBER(AC97),INDEX('All Player Data Store'!$G$7:$G$594,SMALL(IF('All Player Data Store'!$Y$7:$Y$594=AC97,ROW('All Player Data Store'!$Y$7:$Y$594)-ROW('All Player Data Store'!$Y$7)+1),COUNTIF($AC$8:AC97,AC97))),"")</f>
        <v>4</v>
      </c>
      <c r="L97" s="112">
        <f t="array" ref="L97">IF(ISNUMBER(AC97),INDEX('All Player Data Store'!$H$7:$H$594,SMALL(IF('All Player Data Store'!$Y$7:$Y$594=AC97,ROW('All Player Data Store'!$Y$7:$Y$594)-ROW('All Player Data Store'!$Y$7)+1),COUNTIF($AC$8:AC97,AC97))),"")</f>
        <v>25</v>
      </c>
      <c r="M97" s="113">
        <f t="array" ref="M97">IF(ISNUMBER(AC97),INDEX('All Player Data Store'!$I$7:$I$594,SMALL(IF('All Player Data Store'!$Y$7:$Y$594=AC97,ROW('All Player Data Store'!$Y$7:$Y$594)-ROW('All Player Data Store'!$Y$7)+1),COUNTIF($AC$8:AC97,AC97))),"")</f>
        <v>22</v>
      </c>
      <c r="N97" s="114" t="str">
        <f t="array" ref="N97">IF(ISNUMBER(AC97),INDEX('All Player Data Store'!$J$7:$J$594,SMALL(IF('All Player Data Store'!$Y$7:$Y$594=AC97,ROW('All Player Data Store'!$Y$7:$Y$594)-ROW('All Player Data Store'!$Y$7)+1),COUNTIF($AC$8:AC97,AC97))),"")</f>
        <v/>
      </c>
      <c r="O97" s="108">
        <f t="array" ref="O97">IF(ISNUMBER(AC97),INDEX('All Player Data Store'!$K$7:$K$594,SMALL(IF('All Player Data Store'!$Y$7:$Y$594=AC97,ROW('All Player Data Store'!$Y$7:$Y$594)-ROW('All Player Data Store'!$Y$7)+1),COUNTIF($AC$8:AC97,AC97))),"")</f>
        <v>21.75</v>
      </c>
      <c r="P97" s="108">
        <f t="array" ref="P97">IF(ISNUMBER(AC97),INDEX('All Player Data Store'!$L$7:$L$594,SMALL(IF('All Player Data Store'!$Y$7:$Y$594=AC97,ROW('All Player Data Store'!$Y$7:$Y$594)-ROW('All Player Data Store'!$Y$7)+1),COUNTIF($AC$8:AC97,AC97))),"")</f>
        <v>16.7</v>
      </c>
      <c r="Q97" s="108">
        <f t="array" ref="Q97">IF(ISNUMBER(AC97),INDEX('All Player Data Store'!$M$7:$M$594,SMALL(IF('All Player Data Store'!$Y$7:$Y$594=AC97,ROW('All Player Data Store'!$Y$7:$Y$594)-ROW('All Player Data Store'!$Y$7)+1),COUNTIF($AC$8:AC97,AC97))),"")</f>
        <v>20.73</v>
      </c>
      <c r="R97" s="108">
        <f t="array" ref="R97">IF(ISNUMBER(AC97),INDEX('All Player Data Store'!$N$7:$N$594,SMALL(IF('All Player Data Store'!$Y$7:$Y$594=AC97,ROW('All Player Data Store'!$Y$7:$Y$594)-ROW('All Player Data Store'!$Y$7)+1),COUNTIF($AC$8:AC97,AC97))),"")</f>
        <v>23.89</v>
      </c>
      <c r="S97" s="108">
        <f t="array" ref="S97">IF(ISNUMBER(AC97),INDEX('All Player Data Store'!$O$7:$O$594,SMALL(IF('All Player Data Store'!$Y$7:$Y$594=AC97,ROW('All Player Data Store'!$Y$7:$Y$594)-ROW('All Player Data Store'!$Y$7)+1),COUNTIF($AC$8:AC97,AC97))),"")</f>
        <v>20.55</v>
      </c>
      <c r="T97" s="108">
        <f t="array" ref="T97">IF(ISNUMBER(AC97),INDEX('All Player Data Store'!$P$7:$P$594,SMALL(IF('All Player Data Store'!$Y$7:$Y$594=AC97,ROW('All Player Data Store'!$Y$7:$Y$594)-ROW('All Player Data Store'!$Y$7)+1),COUNTIF($AC$8:AC97,AC97))),"")</f>
        <v>18.13</v>
      </c>
      <c r="U97" s="108">
        <f t="array" ref="U97">IF(ISNUMBER(AC97),INDEX('All Player Data Store'!$Q$7:$Q$594,SMALL(IF('All Player Data Store'!$Y$7:$Y$594=AC97,ROW('All Player Data Store'!$Y$7:$Y$594)-ROW('All Player Data Store'!$Y$7)+1),COUNTIF($AC$8:AC97,AC97))),"")</f>
        <v>20.66</v>
      </c>
      <c r="V97" s="108">
        <f t="array" ref="V97">IF(ISNUMBER(AC97),INDEX('All Player Data Store'!$R$7:$R$594,SMALL(IF('All Player Data Store'!$Y$7:$Y$594=AC97,ROW('All Player Data Store'!$Y$7:$Y$594)-ROW('All Player Data Store'!$Y$7)+1),COUNTIF($AC$8:AC97,AC97))),"")</f>
        <v>18.3</v>
      </c>
      <c r="W97" s="108" t="str">
        <f t="array" ref="W97">IF(ISNUMBER(AC97),INDEX('All Player Data Store'!$S$7:$S$594,SMALL(IF('All Player Data Store'!$Y$7:$Y$594=AC97,ROW('All Player Data Store'!$Y$7:$Y$594)-ROW('All Player Data Store'!$Y$7)+1),COUNTIF($AC$8:AC97,AC97))),"")</f>
        <v/>
      </c>
      <c r="X97" s="108" t="str">
        <f t="array" ref="X97">IF(ISNUMBER(AC97),INDEX('All Player Data Store'!$T$7:$T$594,SMALL(IF('All Player Data Store'!$Y$7:$Y$594=AC97,ROW('All Player Data Store'!$Y$7:$Y$594)-ROW('All Player Data Store'!$Y$7)+1),COUNTIF($AC$8:AC97,AC97))),"")</f>
        <v/>
      </c>
      <c r="Y97" s="108" t="str">
        <f t="array" ref="Y97">IF(ISNUMBER(AC97),INDEX('All Player Data Store'!$U$7:$U$594,SMALL(IF('All Player Data Store'!$Y$7:$Y$594=AC97,ROW('All Player Data Store'!$Y$7:$Y$594)-ROW('All Player Data Store'!$Y$7)+1),COUNTIF($AC$8:AC97,AC97))),"")</f>
        <v/>
      </c>
      <c r="Z97" s="108" t="str">
        <f t="array" ref="Z97">IF(ISNUMBER(AC97),INDEX('All Player Data Store'!$V$7:$V$594,SMALL(IF('All Player Data Store'!$Y$7:$Y$594=AC97,ROW('All Player Data Store'!$Y$7:$Y$594)-ROW('All Player Data Store'!$Y$7)+1),COUNTIF($AC$8:AC97,AC97))),"")</f>
        <v/>
      </c>
      <c r="AA97" s="112">
        <f t="array" ref="AA97">IF(ISNUMBER(AC97),INDEX('All Player Data Store'!$W$7:$W$594,SMALL(IF('All Player Data Store'!$Y$7:$Y$594=AC97,ROW('All Player Data Store'!$Y$7:$Y$594)-ROW('All Player Data Store'!$Y$7)+1),COUNTIF($AC$8:AC97,AC97))),"")</f>
        <v>1</v>
      </c>
      <c r="AB97" s="108">
        <f t="array" ref="AB97">IF(ISNUMBER(AC97),INDEX('All Player Data Store'!$X$7:$X$594,SMALL(IF('All Player Data Store'!$Y$7:$Y$594=AC97,ROW('All Player Data Store'!$Y$7:$Y$594)-ROW('All Player Data Store'!$Y$7)+1),COUNTIF($AC$8:AC97,AC97))),"")</f>
        <v>20.088750000000001</v>
      </c>
      <c r="AC97" s="115">
        <f>IF(ISERROR(IF(ISERROR(LARGE('All Player Data Store'!$Y$7:$Y$594,90)),"",(LARGE('All Player Data Store'!$Y$7:$Y$594,90)))),"",(IF(ISERROR(LARGE('All Player Data Store'!$Y$7:$Y$594,90)),"",(LARGE('All Player Data Store'!$Y$7:$Y$594,90)))))</f>
        <v>24.088750000000001</v>
      </c>
      <c r="AD97" s="106">
        <f t="shared" si="2"/>
        <v>3</v>
      </c>
      <c r="AE97" s="107" t="str">
        <f t="array" ref="AE97">IF(ISNUMBER(AC97),INDEX('All Player Data Store'!$J$8:$J$594,SMALL(IF('All Player Data Store'!$Y$7:$Y$594=AC97,ROW('All Player Data Store'!$Y$7:$Y$594)-ROW('All Player Data Store'!$Y$7)+1),COUNTIF($AC$8:AC97,AC97))),"")</f>
        <v/>
      </c>
      <c r="AF97" s="108" t="str">
        <f t="shared" si="3"/>
        <v/>
      </c>
      <c r="AG97" s="108" t="str">
        <f t="array" ref="AG97">IF(ISNUMBER(AC97),INDEX('All Player Data Store'!$K$8:$K$594,SMALL(IF('All Player Data Store'!$Y$7:$Y$594=AC97,ROW('All Player Data Store'!$Y$7:$Y$594)-ROW('All Player Data Store'!$Y$7)+1),COUNTIF($AC$8:AC97,AC97))),"")</f>
        <v>3*4</v>
      </c>
      <c r="AH97" s="108">
        <f t="shared" si="4"/>
        <v>21.75</v>
      </c>
      <c r="AI97" s="108" t="str">
        <f t="array" ref="AI97">IF(ISNUMBER(AC97),INDEX('All Player Data Store'!$L$8:$L$594,SMALL(IF('All Player Data Store'!$Y$7:$Y$594=AC97,ROW('All Player Data Store'!$Y$7:$Y$594)-ROW('All Player Data Store'!$Y$7)+1),COUNTIF($AC$8:AC97,AC97))),"")</f>
        <v>4*0</v>
      </c>
      <c r="AJ97" s="108">
        <f t="shared" si="5"/>
        <v>17.7</v>
      </c>
      <c r="AK97" s="108" t="str">
        <f t="array" ref="AK97">IF(ISNUMBER(AC97),INDEX('All Player Data Store'!$M$8:$M$594,SMALL(IF('All Player Data Store'!$Y$7:$Y$594=AC97,ROW('All Player Data Store'!$Y$7:$Y$594)-ROW('All Player Data Store'!$Y$7)+1),COUNTIF($AC$8:AC97,AC97))),"")</f>
        <v>4*1</v>
      </c>
      <c r="AL97" s="108">
        <f t="shared" si="6"/>
        <v>21.73</v>
      </c>
      <c r="AM97" s="108" t="str">
        <f t="array" ref="AM97">IF(ISNUMBER(AC97),INDEX('All Player Data Store'!$N$8:$N$594,SMALL(IF('All Player Data Store'!$Y$7:$Y$594=AC97,ROW('All Player Data Store'!$Y$7:$Y$594)-ROW('All Player Data Store'!$Y$7)+1),COUNTIF($AC$8:AC97,AC97))),"")</f>
        <v>4*2</v>
      </c>
      <c r="AN97" s="108">
        <f t="shared" si="7"/>
        <v>24.89</v>
      </c>
      <c r="AO97" s="108" t="str">
        <f t="array" ref="AO97">IF(ISNUMBER(AC97),INDEX('All Player Data Store'!$O$8:$O$594,SMALL(IF('All Player Data Store'!$Y$7:$Y$594=AC97,ROW('All Player Data Store'!$Y$7:$Y$594)-ROW('All Player Data Store'!$Y$7)+1),COUNTIF($AC$8:AC97,AC97))),"")</f>
        <v>3*4</v>
      </c>
      <c r="AP97" s="108">
        <f t="shared" si="8"/>
        <v>20.55</v>
      </c>
      <c r="AQ97" s="108" t="str">
        <f t="array" ref="AQ97">IF(ISNUMBER(AC97),INDEX('All Player Data Store'!$P$8:$P$594,SMALL(IF('All Player Data Store'!$Y$7:$Y$594=AC97,ROW('All Player Data Store'!$Y$7:$Y$594)-ROW('All Player Data Store'!$Y$7)+1),COUNTIF($AC$8:AC97,AC97))),"")</f>
        <v>3*4(1)</v>
      </c>
      <c r="AR97" s="108">
        <f t="shared" si="9"/>
        <v>18.13</v>
      </c>
      <c r="AS97" s="108" t="str">
        <f t="array" ref="AS97">IF(ISNUMBER(AC97),INDEX('All Player Data Store'!$Q$8:$Q$594,SMALL(IF('All Player Data Store'!$Y$7:$Y$594=AC97,ROW('All Player Data Store'!$Y$7:$Y$594)-ROW('All Player Data Store'!$Y$7)+1),COUNTIF($AC$8:AC97,AC97))),"")</f>
        <v>4*3</v>
      </c>
      <c r="AT97" s="108">
        <f t="shared" si="10"/>
        <v>21.66</v>
      </c>
      <c r="AU97" s="108" t="str">
        <f t="array" ref="AU97">IF(ISNUMBER(AC97),INDEX('All Player Data Store'!$R$8:$R$594,SMALL(IF('All Player Data Store'!$Y$7:$Y$594=AC97,ROW('All Player Data Store'!$Y$7:$Y$594)-ROW('All Player Data Store'!$Y$7)+1),COUNTIF($AC$8:AC97,AC97))),"")</f>
        <v>0*4</v>
      </c>
      <c r="AV97" s="108">
        <f t="shared" si="11"/>
        <v>18.3</v>
      </c>
      <c r="AW97" s="108" t="str">
        <f t="array" ref="AW97">IF(ISNUMBER(AC97),INDEX('All Player Data Store'!$S$8:$S$594,SMALL(IF('All Player Data Store'!$Y$7:$Y$594=AC97,ROW('All Player Data Store'!$Y$7:$Y$594)-ROW('All Player Data Store'!$Y$7)+1),COUNTIF($AC$8:AC97,AC97))),"")</f>
        <v/>
      </c>
      <c r="AX97" s="108" t="str">
        <f t="shared" si="12"/>
        <v/>
      </c>
      <c r="AY97" s="108" t="str">
        <f t="array" ref="AY97">IF(ISNUMBER(AC97),INDEX('All Player Data Store'!$T$8:$T$594,SMALL(IF('All Player Data Store'!$Y$7:$Y$594=AC97,ROW('All Player Data Store'!$Y$7:$Y$594)-ROW('All Player Data Store'!$Y$7)+1),COUNTIF($AC$8:AC97,AC97))),"")</f>
        <v/>
      </c>
      <c r="AZ97" s="108" t="str">
        <f t="shared" si="13"/>
        <v/>
      </c>
      <c r="BA97" s="108" t="str">
        <f t="array" ref="BA97">IF(ISNUMBER(AC97),INDEX('All Player Data Store'!$U$8:$U$594,SMALL(IF('All Player Data Store'!$Y$7:$Y$594=AC97,ROW('All Player Data Store'!$Y$7:$Y$594)-ROW('All Player Data Store'!$Y$7)+1),COUNTIF($AC$8:AC97,AC97))),"")</f>
        <v/>
      </c>
      <c r="BB97" s="108" t="str">
        <f t="shared" si="14"/>
        <v/>
      </c>
      <c r="BC97" s="108" t="str">
        <f t="array" ref="BC97">IF(ISNUMBER(AC97),INDEX('All Player Data Store'!$V$8:$V$594,SMALL(IF('All Player Data Store'!$Y$7:$Y$594=AC97,ROW('All Player Data Store'!$Y$7:$Y$594)-ROW('All Player Data Store'!$Y$7)+1),COUNTIF($AC$8:AC97,AC97))),"")</f>
        <v/>
      </c>
      <c r="BD97" s="108" t="str">
        <f t="shared" si="15"/>
        <v/>
      </c>
      <c r="BE97" s="1"/>
    </row>
    <row r="98" spans="2:57" ht="12" customHeight="1" x14ac:dyDescent="0.2">
      <c r="B98" s="98" t="str">
        <f t="shared" si="0"/>
        <v>Y</v>
      </c>
      <c r="C98" s="1"/>
      <c r="D98" s="68">
        <f t="shared" si="1"/>
        <v>91</v>
      </c>
      <c r="E98" s="2"/>
      <c r="F98" s="78">
        <v>91</v>
      </c>
      <c r="G98" s="110" t="str">
        <f t="array" ref="G98">IF(ISNUMBER(AC98),INDEX('All Player Data Store'!$C$7:$C$594,SMALL(IF('All Player Data Store'!$Y$7:$Y$594=AC98,ROW('All Player Data Store'!$Y$7:$Y$594)-ROW('All Player Data Store'!$Y$7)+1),COUNTIF($AC$8:AC98,AC98))),"")</f>
        <v>Martin Snelling</v>
      </c>
      <c r="H98" s="111" t="str">
        <f t="array" ref="H98">IF(ISNUMBER(AC98),INDEX('All Player Data Store'!$D$7:$D$594,SMALL(IF('All Player Data Store'!$Y$7:$Y$594=AC98,ROW('All Player Data Store'!$Y$7:$Y$594)-ROW('All Player Data Store'!$Y$7)+1),COUNTIF($AC$8:AC98,AC98))),"")</f>
        <v>Bou</v>
      </c>
      <c r="I98" s="69">
        <f t="array" ref="I98">IF(ISNUMBER(AC98),INDEX('All Player Data Store'!$E$7:$E$594,SMALL(IF('All Player Data Store'!$Y$7:$Y$594=AC98,ROW('All Player Data Store'!$Y$7:$Y$594)-ROW('All Player Data Store'!$Y$7)+1),COUNTIF($AC$8:AC98,AC98))),"")</f>
        <v>13</v>
      </c>
      <c r="J98" s="70">
        <f t="array" ref="J98">IF(ISNUMBER(AC98),INDEX('All Player Data Store'!$F$7:$F$594,SMALL(IF('All Player Data Store'!$Y$7:$Y$594=AC98,ROW('All Player Data Store'!$Y$7:$Y$594)-ROW('All Player Data Store'!$Y$7)+1),COUNTIF($AC$8:AC98,AC98))),"")</f>
        <v>4</v>
      </c>
      <c r="K98" s="112">
        <f t="array" ref="K98">IF(ISNUMBER(AC98),INDEX('All Player Data Store'!$G$7:$G$594,SMALL(IF('All Player Data Store'!$Y$7:$Y$594=AC98,ROW('All Player Data Store'!$Y$7:$Y$594)-ROW('All Player Data Store'!$Y$7)+1),COUNTIF($AC$8:AC98,AC98))),"")</f>
        <v>9</v>
      </c>
      <c r="L98" s="112">
        <f t="array" ref="L98">IF(ISNUMBER(AC98),INDEX('All Player Data Store'!$H$7:$H$594,SMALL(IF('All Player Data Store'!$Y$7:$Y$594=AC98,ROW('All Player Data Store'!$Y$7:$Y$594)-ROW('All Player Data Store'!$Y$7)+1),COUNTIF($AC$8:AC98,AC98))),"")</f>
        <v>27</v>
      </c>
      <c r="M98" s="113">
        <f t="array" ref="M98">IF(ISNUMBER(AC98),INDEX('All Player Data Store'!$I$7:$I$594,SMALL(IF('All Player Data Store'!$Y$7:$Y$594=AC98,ROW('All Player Data Store'!$Y$7:$Y$594)-ROW('All Player Data Store'!$Y$7)+1),COUNTIF($AC$8:AC98,AC98))),"")</f>
        <v>43</v>
      </c>
      <c r="N98" s="114">
        <f t="array" ref="N98">IF(ISNUMBER(AC98),INDEX('All Player Data Store'!$J$7:$J$594,SMALL(IF('All Player Data Store'!$Y$7:$Y$594=AC98,ROW('All Player Data Store'!$Y$7:$Y$594)-ROW('All Player Data Store'!$Y$7)+1),COUNTIF($AC$8:AC98,AC98))),"")</f>
        <v>18.34</v>
      </c>
      <c r="O98" s="108">
        <f t="array" ref="O98">IF(ISNUMBER(AC98),INDEX('All Player Data Store'!$K$7:$K$594,SMALL(IF('All Player Data Store'!$Y$7:$Y$594=AC98,ROW('All Player Data Store'!$Y$7:$Y$594)-ROW('All Player Data Store'!$Y$7)+1),COUNTIF($AC$8:AC98,AC98))),"")</f>
        <v>18.73</v>
      </c>
      <c r="P98" s="108">
        <f t="array" ref="P98">IF(ISNUMBER(AC98),INDEX('All Player Data Store'!$L$7:$L$594,SMALL(IF('All Player Data Store'!$Y$7:$Y$594=AC98,ROW('All Player Data Store'!$Y$7:$Y$594)-ROW('All Player Data Store'!$Y$7)+1),COUNTIF($AC$8:AC98,AC98))),"")</f>
        <v>17.72</v>
      </c>
      <c r="Q98" s="108">
        <f t="array" ref="Q98">IF(ISNUMBER(AC98),INDEX('All Player Data Store'!$M$7:$M$594,SMALL(IF('All Player Data Store'!$Y$7:$Y$594=AC98,ROW('All Player Data Store'!$Y$7:$Y$594)-ROW('All Player Data Store'!$Y$7)+1),COUNTIF($AC$8:AC98,AC98))),"")</f>
        <v>20.25</v>
      </c>
      <c r="R98" s="108">
        <f t="array" ref="R98">IF(ISNUMBER(AC98),INDEX('All Player Data Store'!$N$7:$N$594,SMALL(IF('All Player Data Store'!$Y$7:$Y$594=AC98,ROW('All Player Data Store'!$Y$7:$Y$594)-ROW('All Player Data Store'!$Y$7)+1),COUNTIF($AC$8:AC98,AC98))),"")</f>
        <v>20.420000000000002</v>
      </c>
      <c r="S98" s="108">
        <f t="array" ref="S98">IF(ISNUMBER(AC98),INDEX('All Player Data Store'!$O$7:$O$594,SMALL(IF('All Player Data Store'!$Y$7:$Y$594=AC98,ROW('All Player Data Store'!$Y$7:$Y$594)-ROW('All Player Data Store'!$Y$7)+1),COUNTIF($AC$8:AC98,AC98))),"")</f>
        <v>20.83</v>
      </c>
      <c r="T98" s="108">
        <f t="array" ref="T98">IF(ISNUMBER(AC98),INDEX('All Player Data Store'!$P$7:$P$594,SMALL(IF('All Player Data Store'!$Y$7:$Y$594=AC98,ROW('All Player Data Store'!$Y$7:$Y$594)-ROW('All Player Data Store'!$Y$7)+1),COUNTIF($AC$8:AC98,AC98))),"")</f>
        <v>23.25</v>
      </c>
      <c r="U98" s="108">
        <f t="array" ref="U98">IF(ISNUMBER(AC98),INDEX('All Player Data Store'!$Q$7:$Q$594,SMALL(IF('All Player Data Store'!$Y$7:$Y$594=AC98,ROW('All Player Data Store'!$Y$7:$Y$594)-ROW('All Player Data Store'!$Y$7)+1),COUNTIF($AC$8:AC98,AC98))),"")</f>
        <v>19.350000000000001</v>
      </c>
      <c r="V98" s="108">
        <f t="array" ref="V98">IF(ISNUMBER(AC98),INDEX('All Player Data Store'!$R$7:$R$594,SMALL(IF('All Player Data Store'!$Y$7:$Y$594=AC98,ROW('All Player Data Store'!$Y$7:$Y$594)-ROW('All Player Data Store'!$Y$7)+1),COUNTIF($AC$8:AC98,AC98))),"")</f>
        <v>19.41</v>
      </c>
      <c r="W98" s="108">
        <f t="array" ref="W98">IF(ISNUMBER(AC98),INDEX('All Player Data Store'!$S$7:$S$594,SMALL(IF('All Player Data Store'!$Y$7:$Y$594=AC98,ROW('All Player Data Store'!$Y$7:$Y$594)-ROW('All Player Data Store'!$Y$7)+1),COUNTIF($AC$8:AC98,AC98))),"")</f>
        <v>19.940000000000001</v>
      </c>
      <c r="X98" s="108">
        <f t="array" ref="X98">IF(ISNUMBER(AC98),INDEX('All Player Data Store'!$T$7:$T$594,SMALL(IF('All Player Data Store'!$Y$7:$Y$594=AC98,ROW('All Player Data Store'!$Y$7:$Y$594)-ROW('All Player Data Store'!$Y$7)+1),COUNTIF($AC$8:AC98,AC98))),"")</f>
        <v>20.13</v>
      </c>
      <c r="Y98" s="108">
        <f t="array" ref="Y98">IF(ISNUMBER(AC98),INDEX('All Player Data Store'!$U$7:$U$594,SMALL(IF('All Player Data Store'!$Y$7:$Y$594=AC98,ROW('All Player Data Store'!$Y$7:$Y$594)-ROW('All Player Data Store'!$Y$7)+1),COUNTIF($AC$8:AC98,AC98))),"")</f>
        <v>22.88</v>
      </c>
      <c r="Z98" s="108">
        <f t="array" ref="Z98">IF(ISNUMBER(AC98),INDEX('All Player Data Store'!$V$7:$V$594,SMALL(IF('All Player Data Store'!$Y$7:$Y$594=AC98,ROW('All Player Data Store'!$Y$7:$Y$594)-ROW('All Player Data Store'!$Y$7)+1),COUNTIF($AC$8:AC98,AC98))),"")</f>
        <v>19.559999999999999</v>
      </c>
      <c r="AA98" s="112">
        <f t="array" ref="AA98">IF(ISNUMBER(AC98),INDEX('All Player Data Store'!$W$7:$W$594,SMALL(IF('All Player Data Store'!$Y$7:$Y$594=AC98,ROW('All Player Data Store'!$Y$7:$Y$594)-ROW('All Player Data Store'!$Y$7)+1),COUNTIF($AC$8:AC98,AC98))),"")</f>
        <v>1</v>
      </c>
      <c r="AB98" s="108">
        <f t="array" ref="AB98">IF(ISNUMBER(AC98),INDEX('All Player Data Store'!$X$7:$X$594,SMALL(IF('All Player Data Store'!$Y$7:$Y$594=AC98,ROW('All Player Data Store'!$Y$7:$Y$594)-ROW('All Player Data Store'!$Y$7)+1),COUNTIF($AC$8:AC98,AC98))),"")</f>
        <v>20.062307692307687</v>
      </c>
      <c r="AC98" s="115">
        <f>IF(ISERROR(IF(ISERROR(LARGE('All Player Data Store'!$Y$7:$Y$594,91)),"",(LARGE('All Player Data Store'!$Y$7:$Y$594,91)))),"",(IF(ISERROR(LARGE('All Player Data Store'!$Y$7:$Y$594,91)),"",(LARGE('All Player Data Store'!$Y$7:$Y$594,91)))))</f>
        <v>24.062307692307687</v>
      </c>
      <c r="AD98" s="106">
        <f t="shared" si="2"/>
        <v>3</v>
      </c>
      <c r="AE98" s="107" t="str">
        <f t="array" ref="AE98">IF(ISNUMBER(AC98),INDEX('All Player Data Store'!$J$8:$J$594,SMALL(IF('All Player Data Store'!$Y$7:$Y$594=AC98,ROW('All Player Data Store'!$Y$7:$Y$594)-ROW('All Player Data Store'!$Y$7)+1),COUNTIF($AC$8:AC98,AC98))),"")</f>
        <v>0*4</v>
      </c>
      <c r="AF98" s="108">
        <f t="shared" si="3"/>
        <v>18.34</v>
      </c>
      <c r="AG98" s="108" t="str">
        <f t="array" ref="AG98">IF(ISNUMBER(AC98),INDEX('All Player Data Store'!$K$8:$K$594,SMALL(IF('All Player Data Store'!$Y$7:$Y$594=AC98,ROW('All Player Data Store'!$Y$7:$Y$594)-ROW('All Player Data Store'!$Y$7)+1),COUNTIF($AC$8:AC98,AC98))),"")</f>
        <v>4*2</v>
      </c>
      <c r="AH98" s="108">
        <f t="shared" si="4"/>
        <v>19.73</v>
      </c>
      <c r="AI98" s="108" t="str">
        <f t="array" ref="AI98">IF(ISNUMBER(AC98),INDEX('All Player Data Store'!$L$8:$L$594,SMALL(IF('All Player Data Store'!$Y$7:$Y$594=AC98,ROW('All Player Data Store'!$Y$7:$Y$594)-ROW('All Player Data Store'!$Y$7)+1),COUNTIF($AC$8:AC98,AC98))),"")</f>
        <v>0*4</v>
      </c>
      <c r="AJ98" s="108">
        <f t="shared" si="5"/>
        <v>17.72</v>
      </c>
      <c r="AK98" s="108" t="str">
        <f t="array" ref="AK98">IF(ISNUMBER(AC98),INDEX('All Player Data Store'!$M$8:$M$594,SMALL(IF('All Player Data Store'!$Y$7:$Y$594=AC98,ROW('All Player Data Store'!$Y$7:$Y$594)-ROW('All Player Data Store'!$Y$7)+1),COUNTIF($AC$8:AC98,AC98))),"")</f>
        <v>4*1</v>
      </c>
      <c r="AL98" s="108">
        <f t="shared" si="6"/>
        <v>21.25</v>
      </c>
      <c r="AM98" s="108" t="str">
        <f t="array" ref="AM98">IF(ISNUMBER(AC98),INDEX('All Player Data Store'!$N$8:$N$594,SMALL(IF('All Player Data Store'!$Y$7:$Y$594=AC98,ROW('All Player Data Store'!$Y$7:$Y$594)-ROW('All Player Data Store'!$Y$7)+1),COUNTIF($AC$8:AC98,AC98))),"")</f>
        <v>2*4</v>
      </c>
      <c r="AN98" s="108">
        <f t="shared" si="7"/>
        <v>20.420000000000002</v>
      </c>
      <c r="AO98" s="108" t="str">
        <f t="array" ref="AO98">IF(ISNUMBER(AC98),INDEX('All Player Data Store'!$O$8:$O$594,SMALL(IF('All Player Data Store'!$Y$7:$Y$594=AC98,ROW('All Player Data Store'!$Y$7:$Y$594)-ROW('All Player Data Store'!$Y$7)+1),COUNTIF($AC$8:AC98,AC98))),"")</f>
        <v>2*4</v>
      </c>
      <c r="AP98" s="108">
        <f t="shared" si="8"/>
        <v>20.83</v>
      </c>
      <c r="AQ98" s="108" t="str">
        <f t="array" ref="AQ98">IF(ISNUMBER(AC98),INDEX('All Player Data Store'!$P$8:$P$594,SMALL(IF('All Player Data Store'!$Y$7:$Y$594=AC98,ROW('All Player Data Store'!$Y$7:$Y$594)-ROW('All Player Data Store'!$Y$7)+1),COUNTIF($AC$8:AC98,AC98))),"")</f>
        <v>4*1(1)</v>
      </c>
      <c r="AR98" s="108">
        <f t="shared" si="9"/>
        <v>24.25</v>
      </c>
      <c r="AS98" s="108" t="str">
        <f t="array" ref="AS98">IF(ISNUMBER(AC98),INDEX('All Player Data Store'!$Q$8:$Q$594,SMALL(IF('All Player Data Store'!$Y$7:$Y$594=AC98,ROW('All Player Data Store'!$Y$7:$Y$594)-ROW('All Player Data Store'!$Y$7)+1),COUNTIF($AC$8:AC98,AC98))),"")</f>
        <v>4*3</v>
      </c>
      <c r="AT98" s="108">
        <f t="shared" si="10"/>
        <v>20.350000000000001</v>
      </c>
      <c r="AU98" s="108" t="str">
        <f t="array" ref="AU98">IF(ISNUMBER(AC98),INDEX('All Player Data Store'!$R$8:$R$594,SMALL(IF('All Player Data Store'!$Y$7:$Y$594=AC98,ROW('All Player Data Store'!$Y$7:$Y$594)-ROW('All Player Data Store'!$Y$7)+1),COUNTIF($AC$8:AC98,AC98))),"")</f>
        <v>0*4</v>
      </c>
      <c r="AV98" s="108">
        <f t="shared" si="11"/>
        <v>19.41</v>
      </c>
      <c r="AW98" s="108" t="str">
        <f t="array" ref="AW98">IF(ISNUMBER(AC98),INDEX('All Player Data Store'!$S$8:$S$594,SMALL(IF('All Player Data Store'!$Y$7:$Y$594=AC98,ROW('All Player Data Store'!$Y$7:$Y$594)-ROW('All Player Data Store'!$Y$7)+1),COUNTIF($AC$8:AC98,AC98))),"")</f>
        <v>1*4</v>
      </c>
      <c r="AX98" s="108">
        <f t="shared" si="12"/>
        <v>19.940000000000001</v>
      </c>
      <c r="AY98" s="108" t="str">
        <f t="array" ref="AY98">IF(ISNUMBER(AC98),INDEX('All Player Data Store'!$T$8:$T$594,SMALL(IF('All Player Data Store'!$Y$7:$Y$594=AC98,ROW('All Player Data Store'!$Y$7:$Y$594)-ROW('All Player Data Store'!$Y$7)+1),COUNTIF($AC$8:AC98,AC98))),"")</f>
        <v>3*4</v>
      </c>
      <c r="AZ98" s="108">
        <f t="shared" si="13"/>
        <v>20.13</v>
      </c>
      <c r="BA98" s="108" t="str">
        <f t="array" ref="BA98">IF(ISNUMBER(AC98),INDEX('All Player Data Store'!$U$8:$U$594,SMALL(IF('All Player Data Store'!$Y$7:$Y$594=AC98,ROW('All Player Data Store'!$Y$7:$Y$594)-ROW('All Player Data Store'!$Y$7)+1),COUNTIF($AC$8:AC98,AC98))),"")</f>
        <v>1*4</v>
      </c>
      <c r="BB98" s="108">
        <f t="shared" si="14"/>
        <v>22.88</v>
      </c>
      <c r="BC98" s="108" t="str">
        <f t="array" ref="BC98">IF(ISNUMBER(AC98),INDEX('All Player Data Store'!$V$8:$V$594,SMALL(IF('All Player Data Store'!$Y$7:$Y$594=AC98,ROW('All Player Data Store'!$Y$7:$Y$594)-ROW('All Player Data Store'!$Y$7)+1),COUNTIF($AC$8:AC98,AC98))),"")</f>
        <v>2*4</v>
      </c>
      <c r="BD98" s="108">
        <f t="shared" si="15"/>
        <v>19.559999999999999</v>
      </c>
      <c r="BE98" s="1"/>
    </row>
    <row r="99" spans="2:57" ht="12" customHeight="1" x14ac:dyDescent="0.2">
      <c r="B99" s="98" t="str">
        <f t="shared" si="0"/>
        <v>N</v>
      </c>
      <c r="C99" s="1"/>
      <c r="D99" s="68">
        <f t="shared" si="1"/>
        <v>92</v>
      </c>
      <c r="E99" s="2"/>
      <c r="F99" s="78">
        <v>92</v>
      </c>
      <c r="G99" s="110" t="str">
        <f t="array" ref="G99">IF(ISNUMBER(AC99),INDEX('All Player Data Store'!$C$7:$C$594,SMALL(IF('All Player Data Store'!$Y$7:$Y$594=AC99,ROW('All Player Data Store'!$Y$7:$Y$594)-ROW('All Player Data Store'!$Y$7)+1),COUNTIF($AC$8:AC99,AC99))),"")</f>
        <v>Bryan Pearson</v>
      </c>
      <c r="H99" s="111" t="str">
        <f t="array" ref="H99">IF(ISNUMBER(AC99),INDEX('All Player Data Store'!$D$7:$D$594,SMALL(IF('All Player Data Store'!$Y$7:$Y$594=AC99,ROW('All Player Data Store'!$Y$7:$Y$594)-ROW('All Player Data Store'!$Y$7)+1),COUNTIF($AC$8:AC99,AC99))),"")</f>
        <v>Lyt</v>
      </c>
      <c r="I99" s="69">
        <f t="array" ref="I99">IF(ISNUMBER(AC99),INDEX('All Player Data Store'!$E$7:$E$594,SMALL(IF('All Player Data Store'!$Y$7:$Y$594=AC99,ROW('All Player Data Store'!$Y$7:$Y$594)-ROW('All Player Data Store'!$Y$7)+1),COUNTIF($AC$8:AC99,AC99))),"")</f>
        <v>7</v>
      </c>
      <c r="J99" s="70">
        <f t="array" ref="J99">IF(ISNUMBER(AC99),INDEX('All Player Data Store'!$F$7:$F$594,SMALL(IF('All Player Data Store'!$Y$7:$Y$594=AC99,ROW('All Player Data Store'!$Y$7:$Y$594)-ROW('All Player Data Store'!$Y$7)+1),COUNTIF($AC$8:AC99,AC99))),"")</f>
        <v>3</v>
      </c>
      <c r="K99" s="112">
        <f t="array" ref="K99">IF(ISNUMBER(AC99),INDEX('All Player Data Store'!$G$7:$G$594,SMALL(IF('All Player Data Store'!$Y$7:$Y$594=AC99,ROW('All Player Data Store'!$Y$7:$Y$594)-ROW('All Player Data Store'!$Y$7)+1),COUNTIF($AC$8:AC99,AC99))),"")</f>
        <v>4</v>
      </c>
      <c r="L99" s="112">
        <f t="array" ref="L99">IF(ISNUMBER(AC99),INDEX('All Player Data Store'!$H$7:$H$594,SMALL(IF('All Player Data Store'!$Y$7:$Y$594=AC99,ROW('All Player Data Store'!$Y$7:$Y$594)-ROW('All Player Data Store'!$Y$7)+1),COUNTIF($AC$8:AC99,AC99))),"")</f>
        <v>18</v>
      </c>
      <c r="M99" s="113">
        <f t="array" ref="M99">IF(ISNUMBER(AC99),INDEX('All Player Data Store'!$I$7:$I$594,SMALL(IF('All Player Data Store'!$Y$7:$Y$594=AC99,ROW('All Player Data Store'!$Y$7:$Y$594)-ROW('All Player Data Store'!$Y$7)+1),COUNTIF($AC$8:AC99,AC99))),"")</f>
        <v>24</v>
      </c>
      <c r="N99" s="114" t="str">
        <f t="array" ref="N99">IF(ISNUMBER(AC99),INDEX('All Player Data Store'!$J$7:$J$594,SMALL(IF('All Player Data Store'!$Y$7:$Y$594=AC99,ROW('All Player Data Store'!$Y$7:$Y$594)-ROW('All Player Data Store'!$Y$7)+1),COUNTIF($AC$8:AC99,AC99))),"")</f>
        <v/>
      </c>
      <c r="O99" s="108" t="str">
        <f t="array" ref="O99">IF(ISNUMBER(AC99),INDEX('All Player Data Store'!$K$7:$K$594,SMALL(IF('All Player Data Store'!$Y$7:$Y$594=AC99,ROW('All Player Data Store'!$Y$7:$Y$594)-ROW('All Player Data Store'!$Y$7)+1),COUNTIF($AC$8:AC99,AC99))),"")</f>
        <v/>
      </c>
      <c r="P99" s="108" t="str">
        <f t="array" ref="P99">IF(ISNUMBER(AC99),INDEX('All Player Data Store'!$L$7:$L$594,SMALL(IF('All Player Data Store'!$Y$7:$Y$594=AC99,ROW('All Player Data Store'!$Y$7:$Y$594)-ROW('All Player Data Store'!$Y$7)+1),COUNTIF($AC$8:AC99,AC99))),"")</f>
        <v/>
      </c>
      <c r="Q99" s="108" t="str">
        <f t="array" ref="Q99">IF(ISNUMBER(AC99),INDEX('All Player Data Store'!$M$7:$M$594,SMALL(IF('All Player Data Store'!$Y$7:$Y$594=AC99,ROW('All Player Data Store'!$Y$7:$Y$594)-ROW('All Player Data Store'!$Y$7)+1),COUNTIF($AC$8:AC99,AC99))),"")</f>
        <v/>
      </c>
      <c r="R99" s="108" t="str">
        <f t="array" ref="R99">IF(ISNUMBER(AC99),INDEX('All Player Data Store'!$N$7:$N$594,SMALL(IF('All Player Data Store'!$Y$7:$Y$594=AC99,ROW('All Player Data Store'!$Y$7:$Y$594)-ROW('All Player Data Store'!$Y$7)+1),COUNTIF($AC$8:AC99,AC99))),"")</f>
        <v/>
      </c>
      <c r="S99" s="108">
        <f t="array" ref="S99">IF(ISNUMBER(AC99),INDEX('All Player Data Store'!$O$7:$O$594,SMALL(IF('All Player Data Store'!$Y$7:$Y$594=AC99,ROW('All Player Data Store'!$Y$7:$Y$594)-ROW('All Player Data Store'!$Y$7)+1),COUNTIF($AC$8:AC99,AC99))),"")</f>
        <v>22.01</v>
      </c>
      <c r="T99" s="108">
        <f t="array" ref="T99">IF(ISNUMBER(AC99),INDEX('All Player Data Store'!$P$7:$P$594,SMALL(IF('All Player Data Store'!$Y$7:$Y$594=AC99,ROW('All Player Data Store'!$Y$7:$Y$594)-ROW('All Player Data Store'!$Y$7)+1),COUNTIF($AC$8:AC99,AC99))),"")</f>
        <v>21.72</v>
      </c>
      <c r="U99" s="108">
        <f t="array" ref="U99">IF(ISNUMBER(AC99),INDEX('All Player Data Store'!$Q$7:$Q$594,SMALL(IF('All Player Data Store'!$Y$7:$Y$594=AC99,ROW('All Player Data Store'!$Y$7:$Y$594)-ROW('All Player Data Store'!$Y$7)+1),COUNTIF($AC$8:AC99,AC99))),"")</f>
        <v>21.77</v>
      </c>
      <c r="V99" s="108">
        <f t="array" ref="V99">IF(ISNUMBER(AC99),INDEX('All Player Data Store'!$R$7:$R$594,SMALL(IF('All Player Data Store'!$Y$7:$Y$594=AC99,ROW('All Player Data Store'!$Y$7:$Y$594)-ROW('All Player Data Store'!$Y$7)+1),COUNTIF($AC$8:AC99,AC99))),"")</f>
        <v>20</v>
      </c>
      <c r="W99" s="108">
        <f t="array" ref="W99">IF(ISNUMBER(AC99),INDEX('All Player Data Store'!$S$7:$S$594,SMALL(IF('All Player Data Store'!$Y$7:$Y$594=AC99,ROW('All Player Data Store'!$Y$7:$Y$594)-ROW('All Player Data Store'!$Y$7)+1),COUNTIF($AC$8:AC99,AC99))),"")</f>
        <v>21.51</v>
      </c>
      <c r="X99" s="108">
        <f t="array" ref="X99">IF(ISNUMBER(AC99),INDEX('All Player Data Store'!$T$7:$T$594,SMALL(IF('All Player Data Store'!$Y$7:$Y$594=AC99,ROW('All Player Data Store'!$Y$7:$Y$594)-ROW('All Player Data Store'!$Y$7)+1),COUNTIF($AC$8:AC99,AC99))),"")</f>
        <v>19.850000000000001</v>
      </c>
      <c r="Y99" s="108" t="str">
        <f t="array" ref="Y99">IF(ISNUMBER(AC99),INDEX('All Player Data Store'!$U$7:$U$594,SMALL(IF('All Player Data Store'!$Y$7:$Y$594=AC99,ROW('All Player Data Store'!$Y$7:$Y$594)-ROW('All Player Data Store'!$Y$7)+1),COUNTIF($AC$8:AC99,AC99))),"")</f>
        <v/>
      </c>
      <c r="Z99" s="108">
        <f t="array" ref="Z99">IF(ISNUMBER(AC99),INDEX('All Player Data Store'!$V$7:$V$594,SMALL(IF('All Player Data Store'!$Y$7:$Y$594=AC99,ROW('All Player Data Store'!$Y$7:$Y$594)-ROW('All Player Data Store'!$Y$7)+1),COUNTIF($AC$8:AC99,AC99))),"")</f>
        <v>19.39</v>
      </c>
      <c r="AA99" s="112" t="str">
        <f t="array" ref="AA99">IF(ISNUMBER(AC99),INDEX('All Player Data Store'!$W$7:$W$594,SMALL(IF('All Player Data Store'!$Y$7:$Y$594=AC99,ROW('All Player Data Store'!$Y$7:$Y$594)-ROW('All Player Data Store'!$Y$7)+1),COUNTIF($AC$8:AC99,AC99))),"")</f>
        <v/>
      </c>
      <c r="AB99" s="108">
        <f t="array" ref="AB99">IF(ISNUMBER(AC99),INDEX('All Player Data Store'!$X$7:$X$594,SMALL(IF('All Player Data Store'!$Y$7:$Y$594=AC99,ROW('All Player Data Store'!$Y$7:$Y$594)-ROW('All Player Data Store'!$Y$7)+1),COUNTIF($AC$8:AC99,AC99))),"")</f>
        <v>20.892857142857142</v>
      </c>
      <c r="AC99" s="115">
        <f>IF(ISERROR(IF(ISERROR(LARGE('All Player Data Store'!$Y$7:$Y$594,92)),"",(LARGE('All Player Data Store'!$Y$7:$Y$594,92)))),"",(IF(ISERROR(LARGE('All Player Data Store'!$Y$7:$Y$594,92)),"",(LARGE('All Player Data Store'!$Y$7:$Y$594,92)))))</f>
        <v>23.892857142857142</v>
      </c>
      <c r="AD99" s="106">
        <f t="shared" si="2"/>
        <v>3</v>
      </c>
      <c r="AE99" s="107" t="str">
        <f t="array" ref="AE99">IF(ISNUMBER(AC99),INDEX('All Player Data Store'!$J$8:$J$594,SMALL(IF('All Player Data Store'!$Y$7:$Y$594=AC99,ROW('All Player Data Store'!$Y$7:$Y$594)-ROW('All Player Data Store'!$Y$7)+1),COUNTIF($AC$8:AC99,AC99))),"")</f>
        <v/>
      </c>
      <c r="AF99" s="108" t="str">
        <f t="shared" si="3"/>
        <v/>
      </c>
      <c r="AG99" s="108" t="str">
        <f t="array" ref="AG99">IF(ISNUMBER(AC99),INDEX('All Player Data Store'!$K$8:$K$594,SMALL(IF('All Player Data Store'!$Y$7:$Y$594=AC99,ROW('All Player Data Store'!$Y$7:$Y$594)-ROW('All Player Data Store'!$Y$7)+1),COUNTIF($AC$8:AC99,AC99))),"")</f>
        <v/>
      </c>
      <c r="AH99" s="108" t="str">
        <f t="shared" si="4"/>
        <v/>
      </c>
      <c r="AI99" s="108" t="str">
        <f t="array" ref="AI99">IF(ISNUMBER(AC99),INDEX('All Player Data Store'!$L$8:$L$594,SMALL(IF('All Player Data Store'!$Y$7:$Y$594=AC99,ROW('All Player Data Store'!$Y$7:$Y$594)-ROW('All Player Data Store'!$Y$7)+1),COUNTIF($AC$8:AC99,AC99))),"")</f>
        <v/>
      </c>
      <c r="AJ99" s="108" t="str">
        <f t="shared" si="5"/>
        <v/>
      </c>
      <c r="AK99" s="108" t="str">
        <f t="array" ref="AK99">IF(ISNUMBER(AC99),INDEX('All Player Data Store'!$M$8:$M$594,SMALL(IF('All Player Data Store'!$Y$7:$Y$594=AC99,ROW('All Player Data Store'!$Y$7:$Y$594)-ROW('All Player Data Store'!$Y$7)+1),COUNTIF($AC$8:AC99,AC99))),"")</f>
        <v/>
      </c>
      <c r="AL99" s="108" t="str">
        <f t="shared" si="6"/>
        <v/>
      </c>
      <c r="AM99" s="108" t="str">
        <f t="array" ref="AM99">IF(ISNUMBER(AC99),INDEX('All Player Data Store'!$N$8:$N$594,SMALL(IF('All Player Data Store'!$Y$7:$Y$594=AC99,ROW('All Player Data Store'!$Y$7:$Y$594)-ROW('All Player Data Store'!$Y$7)+1),COUNTIF($AC$8:AC99,AC99))),"")</f>
        <v/>
      </c>
      <c r="AN99" s="108" t="str">
        <f t="shared" si="7"/>
        <v/>
      </c>
      <c r="AO99" s="108" t="str">
        <f t="array" ref="AO99">IF(ISNUMBER(AC99),INDEX('All Player Data Store'!$O$8:$O$594,SMALL(IF('All Player Data Store'!$Y$7:$Y$594=AC99,ROW('All Player Data Store'!$Y$7:$Y$594)-ROW('All Player Data Store'!$Y$7)+1),COUNTIF($AC$8:AC99,AC99))),"")</f>
        <v>3*4</v>
      </c>
      <c r="AP99" s="108">
        <f t="shared" si="8"/>
        <v>22.01</v>
      </c>
      <c r="AQ99" s="108" t="str">
        <f t="array" ref="AQ99">IF(ISNUMBER(AC99),INDEX('All Player Data Store'!$P$8:$P$594,SMALL(IF('All Player Data Store'!$Y$7:$Y$594=AC99,ROW('All Player Data Store'!$Y$7:$Y$594)-ROW('All Player Data Store'!$Y$7)+1),COUNTIF($AC$8:AC99,AC99))),"")</f>
        <v>4*2</v>
      </c>
      <c r="AR99" s="108">
        <f t="shared" si="9"/>
        <v>22.72</v>
      </c>
      <c r="AS99" s="108" t="str">
        <f t="array" ref="AS99">IF(ISNUMBER(AC99),INDEX('All Player Data Store'!$Q$8:$Q$594,SMALL(IF('All Player Data Store'!$Y$7:$Y$594=AC99,ROW('All Player Data Store'!$Y$7:$Y$594)-ROW('All Player Data Store'!$Y$7)+1),COUNTIF($AC$8:AC99,AC99))),"")</f>
        <v>1*4</v>
      </c>
      <c r="AT99" s="108">
        <f t="shared" si="10"/>
        <v>21.77</v>
      </c>
      <c r="AU99" s="108" t="str">
        <f t="array" ref="AU99">IF(ISNUMBER(AC99),INDEX('All Player Data Store'!$R$8:$R$594,SMALL(IF('All Player Data Store'!$Y$7:$Y$594=AC99,ROW('All Player Data Store'!$Y$7:$Y$594)-ROW('All Player Data Store'!$Y$7)+1),COUNTIF($AC$8:AC99,AC99))),"")</f>
        <v>1*4</v>
      </c>
      <c r="AV99" s="108">
        <f t="shared" si="11"/>
        <v>20</v>
      </c>
      <c r="AW99" s="108" t="str">
        <f t="array" ref="AW99">IF(ISNUMBER(AC99),INDEX('All Player Data Store'!$S$8:$S$594,SMALL(IF('All Player Data Store'!$Y$7:$Y$594=AC99,ROW('All Player Data Store'!$Y$7:$Y$594)-ROW('All Player Data Store'!$Y$7)+1),COUNTIF($AC$8:AC99,AC99))),"")</f>
        <v>4*3</v>
      </c>
      <c r="AX99" s="108">
        <f t="shared" si="12"/>
        <v>22.51</v>
      </c>
      <c r="AY99" s="108" t="str">
        <f t="array" ref="AY99">IF(ISNUMBER(AC99),INDEX('All Player Data Store'!$T$8:$T$594,SMALL(IF('All Player Data Store'!$Y$7:$Y$594=AC99,ROW('All Player Data Store'!$Y$7:$Y$594)-ROW('All Player Data Store'!$Y$7)+1),COUNTIF($AC$8:AC99,AC99))),"")</f>
        <v>4*3</v>
      </c>
      <c r="AZ99" s="108">
        <f t="shared" si="13"/>
        <v>20.85</v>
      </c>
      <c r="BA99" s="108" t="str">
        <f t="array" ref="BA99">IF(ISNUMBER(AC99),INDEX('All Player Data Store'!$U$8:$U$594,SMALL(IF('All Player Data Store'!$Y$7:$Y$594=AC99,ROW('All Player Data Store'!$Y$7:$Y$594)-ROW('All Player Data Store'!$Y$7)+1),COUNTIF($AC$8:AC99,AC99))),"")</f>
        <v/>
      </c>
      <c r="BB99" s="108" t="str">
        <f t="shared" si="14"/>
        <v/>
      </c>
      <c r="BC99" s="108" t="str">
        <f t="array" ref="BC99">IF(ISNUMBER(AC99),INDEX('All Player Data Store'!$V$8:$V$594,SMALL(IF('All Player Data Store'!$Y$7:$Y$594=AC99,ROW('All Player Data Store'!$Y$7:$Y$594)-ROW('All Player Data Store'!$Y$7)+1),COUNTIF($AC$8:AC99,AC99))),"")</f>
        <v>1*4</v>
      </c>
      <c r="BD99" s="108">
        <f t="shared" si="15"/>
        <v>19.39</v>
      </c>
      <c r="BE99" s="1"/>
    </row>
    <row r="100" spans="2:57" ht="12" customHeight="1" x14ac:dyDescent="0.2">
      <c r="B100" s="98" t="str">
        <f t="shared" si="0"/>
        <v>Y</v>
      </c>
      <c r="C100" s="1"/>
      <c r="D100" s="68">
        <f t="shared" si="1"/>
        <v>93</v>
      </c>
      <c r="E100" s="2"/>
      <c r="F100" s="78">
        <v>93</v>
      </c>
      <c r="G100" s="110" t="str">
        <f t="array" ref="G100">IF(ISNUMBER(AC100),INDEX('All Player Data Store'!$C$7:$C$594,SMALL(IF('All Player Data Store'!$Y$7:$Y$594=AC100,ROW('All Player Data Store'!$Y$7:$Y$594)-ROW('All Player Data Store'!$Y$7)+1),COUNTIF($AC$8:AC100,AC100))),"")</f>
        <v>Colin Earley</v>
      </c>
      <c r="H100" s="111" t="str">
        <f t="array" ref="H100">IF(ISNUMBER(AC100),INDEX('All Player Data Store'!$D$7:$D$594,SMALL(IF('All Player Data Store'!$Y$7:$Y$594=AC100,ROW('All Player Data Store'!$Y$7:$Y$594)-ROW('All Player Data Store'!$Y$7)+1),COUNTIF($AC$8:AC100,AC100))),"")</f>
        <v>Bos</v>
      </c>
      <c r="I100" s="69">
        <f t="array" ref="I100">IF(ISNUMBER(AC100),INDEX('All Player Data Store'!$E$7:$E$594,SMALL(IF('All Player Data Store'!$Y$7:$Y$594=AC100,ROW('All Player Data Store'!$Y$7:$Y$594)-ROW('All Player Data Store'!$Y$7)+1),COUNTIF($AC$8:AC100,AC100))),"")</f>
        <v>12</v>
      </c>
      <c r="J100" s="70">
        <f t="array" ref="J100">IF(ISNUMBER(AC100),INDEX('All Player Data Store'!$F$7:$F$594,SMALL(IF('All Player Data Store'!$Y$7:$Y$594=AC100,ROW('All Player Data Store'!$Y$7:$Y$594)-ROW('All Player Data Store'!$Y$7)+1),COUNTIF($AC$8:AC100,AC100))),"")</f>
        <v>4</v>
      </c>
      <c r="K100" s="112">
        <f t="array" ref="K100">IF(ISNUMBER(AC100),INDEX('All Player Data Store'!$G$7:$G$594,SMALL(IF('All Player Data Store'!$Y$7:$Y$594=AC100,ROW('All Player Data Store'!$Y$7:$Y$594)-ROW('All Player Data Store'!$Y$7)+1),COUNTIF($AC$8:AC100,AC100))),"")</f>
        <v>8</v>
      </c>
      <c r="L100" s="112">
        <f t="array" ref="L100">IF(ISNUMBER(AC100),INDEX('All Player Data Store'!$H$7:$H$594,SMALL(IF('All Player Data Store'!$Y$7:$Y$594=AC100,ROW('All Player Data Store'!$Y$7:$Y$594)-ROW('All Player Data Store'!$Y$7)+1),COUNTIF($AC$8:AC100,AC100))),"")</f>
        <v>22</v>
      </c>
      <c r="M100" s="113">
        <f t="array" ref="M100">IF(ISNUMBER(AC100),INDEX('All Player Data Store'!$I$7:$I$594,SMALL(IF('All Player Data Store'!$Y$7:$Y$594=AC100,ROW('All Player Data Store'!$Y$7:$Y$594)-ROW('All Player Data Store'!$Y$7)+1),COUNTIF($AC$8:AC100,AC100))),"")</f>
        <v>37</v>
      </c>
      <c r="N100" s="114" t="str">
        <f t="array" ref="N100">IF(ISNUMBER(AC100),INDEX('All Player Data Store'!$J$7:$J$594,SMALL(IF('All Player Data Store'!$Y$7:$Y$594=AC100,ROW('All Player Data Store'!$Y$7:$Y$594)-ROW('All Player Data Store'!$Y$7)+1),COUNTIF($AC$8:AC100,AC100))),"")</f>
        <v/>
      </c>
      <c r="O100" s="108">
        <f t="array" ref="O100">IF(ISNUMBER(AC100),INDEX('All Player Data Store'!$K$7:$K$594,SMALL(IF('All Player Data Store'!$Y$7:$Y$594=AC100,ROW('All Player Data Store'!$Y$7:$Y$594)-ROW('All Player Data Store'!$Y$7)+1),COUNTIF($AC$8:AC100,AC100))),"")</f>
        <v>17.579999999999998</v>
      </c>
      <c r="P100" s="108">
        <f t="array" ref="P100">IF(ISNUMBER(AC100),INDEX('All Player Data Store'!$L$7:$L$594,SMALL(IF('All Player Data Store'!$Y$7:$Y$594=AC100,ROW('All Player Data Store'!$Y$7:$Y$594)-ROW('All Player Data Store'!$Y$7)+1),COUNTIF($AC$8:AC100,AC100))),"")</f>
        <v>19.2</v>
      </c>
      <c r="Q100" s="108">
        <f t="array" ref="Q100">IF(ISNUMBER(AC100),INDEX('All Player Data Store'!$M$7:$M$594,SMALL(IF('All Player Data Store'!$Y$7:$Y$594=AC100,ROW('All Player Data Store'!$Y$7:$Y$594)-ROW('All Player Data Store'!$Y$7)+1),COUNTIF($AC$8:AC100,AC100))),"")</f>
        <v>16.84</v>
      </c>
      <c r="R100" s="108">
        <f t="array" ref="R100">IF(ISNUMBER(AC100),INDEX('All Player Data Store'!$N$7:$N$594,SMALL(IF('All Player Data Store'!$Y$7:$Y$594=AC100,ROW('All Player Data Store'!$Y$7:$Y$594)-ROW('All Player Data Store'!$Y$7)+1),COUNTIF($AC$8:AC100,AC100))),"")</f>
        <v>24.28</v>
      </c>
      <c r="S100" s="108">
        <f t="array" ref="S100">IF(ISNUMBER(AC100),INDEX('All Player Data Store'!$O$7:$O$594,SMALL(IF('All Player Data Store'!$Y$7:$Y$594=AC100,ROW('All Player Data Store'!$Y$7:$Y$594)-ROW('All Player Data Store'!$Y$7)+1),COUNTIF($AC$8:AC100,AC100))),"")</f>
        <v>20.77</v>
      </c>
      <c r="T100" s="108">
        <f t="array" ref="T100">IF(ISNUMBER(AC100),INDEX('All Player Data Store'!$P$7:$P$594,SMALL(IF('All Player Data Store'!$Y$7:$Y$594=AC100,ROW('All Player Data Store'!$Y$7:$Y$594)-ROW('All Player Data Store'!$Y$7)+1),COUNTIF($AC$8:AC100,AC100))),"")</f>
        <v>19.41</v>
      </c>
      <c r="U100" s="108">
        <f t="array" ref="U100">IF(ISNUMBER(AC100),INDEX('All Player Data Store'!$Q$7:$Q$594,SMALL(IF('All Player Data Store'!$Y$7:$Y$594=AC100,ROW('All Player Data Store'!$Y$7:$Y$594)-ROW('All Player Data Store'!$Y$7)+1),COUNTIF($AC$8:AC100,AC100))),"")</f>
        <v>20.23</v>
      </c>
      <c r="V100" s="108">
        <f t="array" ref="V100">IF(ISNUMBER(AC100),INDEX('All Player Data Store'!$R$7:$R$594,SMALL(IF('All Player Data Store'!$Y$7:$Y$594=AC100,ROW('All Player Data Store'!$Y$7:$Y$594)-ROW('All Player Data Store'!$Y$7)+1),COUNTIF($AC$8:AC100,AC100))),"")</f>
        <v>20.67</v>
      </c>
      <c r="W100" s="108">
        <f t="array" ref="W100">IF(ISNUMBER(AC100),INDEX('All Player Data Store'!$S$7:$S$594,SMALL(IF('All Player Data Store'!$Y$7:$Y$594=AC100,ROW('All Player Data Store'!$Y$7:$Y$594)-ROW('All Player Data Store'!$Y$7)+1),COUNTIF($AC$8:AC100,AC100))),"")</f>
        <v>18.22</v>
      </c>
      <c r="X100" s="108">
        <f t="array" ref="X100">IF(ISNUMBER(AC100),INDEX('All Player Data Store'!$T$7:$T$594,SMALL(IF('All Player Data Store'!$Y$7:$Y$594=AC100,ROW('All Player Data Store'!$Y$7:$Y$594)-ROW('All Player Data Store'!$Y$7)+1),COUNTIF($AC$8:AC100,AC100))),"")</f>
        <v>19.04</v>
      </c>
      <c r="Y100" s="108">
        <f t="array" ref="Y100">IF(ISNUMBER(AC100),INDEX('All Player Data Store'!$U$7:$U$594,SMALL(IF('All Player Data Store'!$Y$7:$Y$594=AC100,ROW('All Player Data Store'!$Y$7:$Y$594)-ROW('All Player Data Store'!$Y$7)+1),COUNTIF($AC$8:AC100,AC100))),"")</f>
        <v>19.48</v>
      </c>
      <c r="Z100" s="108">
        <f t="array" ref="Z100">IF(ISNUMBER(AC100),INDEX('All Player Data Store'!$V$7:$V$594,SMALL(IF('All Player Data Store'!$Y$7:$Y$594=AC100,ROW('All Player Data Store'!$Y$7:$Y$594)-ROW('All Player Data Store'!$Y$7)+1),COUNTIF($AC$8:AC100,AC100))),"")</f>
        <v>20.99</v>
      </c>
      <c r="AA100" s="112">
        <f t="array" ref="AA100">IF(ISNUMBER(AC100),INDEX('All Player Data Store'!$W$7:$W$594,SMALL(IF('All Player Data Store'!$Y$7:$Y$594=AC100,ROW('All Player Data Store'!$Y$7:$Y$594)-ROW('All Player Data Store'!$Y$7)+1),COUNTIF($AC$8:AC100,AC100))),"")</f>
        <v>1</v>
      </c>
      <c r="AB100" s="108">
        <f t="array" ref="AB100">IF(ISNUMBER(AC100),INDEX('All Player Data Store'!$X$7:$X$594,SMALL(IF('All Player Data Store'!$Y$7:$Y$594=AC100,ROW('All Player Data Store'!$Y$7:$Y$594)-ROW('All Player Data Store'!$Y$7)+1),COUNTIF($AC$8:AC100,AC100))),"")</f>
        <v>19.725833333333334</v>
      </c>
      <c r="AC100" s="115">
        <f>IF(ISERROR(IF(ISERROR(LARGE('All Player Data Store'!$Y$7:$Y$594,93)),"",(LARGE('All Player Data Store'!$Y$7:$Y$594,93)))),"",(IF(ISERROR(LARGE('All Player Data Store'!$Y$7:$Y$594,93)),"",(LARGE('All Player Data Store'!$Y$7:$Y$594,93)))))</f>
        <v>23.725833333333334</v>
      </c>
      <c r="AD100" s="106">
        <f t="shared" si="2"/>
        <v>3</v>
      </c>
      <c r="AE100" s="107" t="str">
        <f t="array" ref="AE100">IF(ISNUMBER(AC100),INDEX('All Player Data Store'!$J$8:$J$594,SMALL(IF('All Player Data Store'!$Y$7:$Y$594=AC100,ROW('All Player Data Store'!$Y$7:$Y$594)-ROW('All Player Data Store'!$Y$7)+1),COUNTIF($AC$8:AC100,AC100))),"")</f>
        <v/>
      </c>
      <c r="AF100" s="108" t="str">
        <f t="shared" si="3"/>
        <v/>
      </c>
      <c r="AG100" s="108" t="str">
        <f t="array" ref="AG100">IF(ISNUMBER(AC100),INDEX('All Player Data Store'!$K$8:$K$594,SMALL(IF('All Player Data Store'!$Y$7:$Y$594=AC100,ROW('All Player Data Store'!$Y$7:$Y$594)-ROW('All Player Data Store'!$Y$7)+1),COUNTIF($AC$8:AC100,AC100))),"")</f>
        <v>4*0</v>
      </c>
      <c r="AH100" s="108">
        <f t="shared" si="4"/>
        <v>18.579999999999998</v>
      </c>
      <c r="AI100" s="108" t="str">
        <f t="array" ref="AI100">IF(ISNUMBER(AC100),INDEX('All Player Data Store'!$L$8:$L$594,SMALL(IF('All Player Data Store'!$Y$7:$Y$594=AC100,ROW('All Player Data Store'!$Y$7:$Y$594)-ROW('All Player Data Store'!$Y$7)+1),COUNTIF($AC$8:AC100,AC100))),"")</f>
        <v>0*4</v>
      </c>
      <c r="AJ100" s="108">
        <f t="shared" si="5"/>
        <v>19.2</v>
      </c>
      <c r="AK100" s="108" t="str">
        <f t="array" ref="AK100">IF(ISNUMBER(AC100),INDEX('All Player Data Store'!$M$8:$M$594,SMALL(IF('All Player Data Store'!$Y$7:$Y$594=AC100,ROW('All Player Data Store'!$Y$7:$Y$594)-ROW('All Player Data Store'!$Y$7)+1),COUNTIF($AC$8:AC100,AC100))),"")</f>
        <v>2*4</v>
      </c>
      <c r="AL100" s="108">
        <f t="shared" si="6"/>
        <v>16.84</v>
      </c>
      <c r="AM100" s="108" t="str">
        <f t="array" ref="AM100">IF(ISNUMBER(AC100),INDEX('All Player Data Store'!$N$8:$N$594,SMALL(IF('All Player Data Store'!$Y$7:$Y$594=AC100,ROW('All Player Data Store'!$Y$7:$Y$594)-ROW('All Player Data Store'!$Y$7)+1),COUNTIF($AC$8:AC100,AC100))),"")</f>
        <v>4*1(1)</v>
      </c>
      <c r="AN100" s="108">
        <f t="shared" si="7"/>
        <v>25.28</v>
      </c>
      <c r="AO100" s="108" t="str">
        <f t="array" ref="AO100">IF(ISNUMBER(AC100),INDEX('All Player Data Store'!$O$8:$O$594,SMALL(IF('All Player Data Store'!$Y$7:$Y$594=AC100,ROW('All Player Data Store'!$Y$7:$Y$594)-ROW('All Player Data Store'!$Y$7)+1),COUNTIF($AC$8:AC100,AC100))),"")</f>
        <v>4*2</v>
      </c>
      <c r="AP100" s="108">
        <f t="shared" si="8"/>
        <v>21.77</v>
      </c>
      <c r="AQ100" s="108" t="str">
        <f t="array" ref="AQ100">IF(ISNUMBER(AC100),INDEX('All Player Data Store'!$P$8:$P$594,SMALL(IF('All Player Data Store'!$Y$7:$Y$594=AC100,ROW('All Player Data Store'!$Y$7:$Y$594)-ROW('All Player Data Store'!$Y$7)+1),COUNTIF($AC$8:AC100,AC100))),"")</f>
        <v>4*2</v>
      </c>
      <c r="AR100" s="108">
        <f t="shared" si="9"/>
        <v>20.41</v>
      </c>
      <c r="AS100" s="108" t="str">
        <f t="array" ref="AS100">IF(ISNUMBER(AC100),INDEX('All Player Data Store'!$Q$8:$Q$594,SMALL(IF('All Player Data Store'!$Y$7:$Y$594=AC100,ROW('All Player Data Store'!$Y$7:$Y$594)-ROW('All Player Data Store'!$Y$7)+1),COUNTIF($AC$8:AC100,AC100))),"")</f>
        <v>0*4</v>
      </c>
      <c r="AT100" s="108">
        <f t="shared" si="10"/>
        <v>20.23</v>
      </c>
      <c r="AU100" s="108" t="str">
        <f t="array" ref="AU100">IF(ISNUMBER(AC100),INDEX('All Player Data Store'!$R$8:$R$594,SMALL(IF('All Player Data Store'!$Y$7:$Y$594=AC100,ROW('All Player Data Store'!$Y$7:$Y$594)-ROW('All Player Data Store'!$Y$7)+1),COUNTIF($AC$8:AC100,AC100))),"")</f>
        <v>0*4</v>
      </c>
      <c r="AV100" s="108">
        <f t="shared" si="11"/>
        <v>20.67</v>
      </c>
      <c r="AW100" s="108" t="str">
        <f t="array" ref="AW100">IF(ISNUMBER(AC100),INDEX('All Player Data Store'!$S$8:$S$594,SMALL(IF('All Player Data Store'!$Y$7:$Y$594=AC100,ROW('All Player Data Store'!$Y$7:$Y$594)-ROW('All Player Data Store'!$Y$7)+1),COUNTIF($AC$8:AC100,AC100))),"")</f>
        <v>0*4</v>
      </c>
      <c r="AX100" s="108">
        <f t="shared" si="12"/>
        <v>18.22</v>
      </c>
      <c r="AY100" s="108" t="str">
        <f t="array" ref="AY100">IF(ISNUMBER(AC100),INDEX('All Player Data Store'!$T$8:$T$594,SMALL(IF('All Player Data Store'!$Y$7:$Y$594=AC100,ROW('All Player Data Store'!$Y$7:$Y$594)-ROW('All Player Data Store'!$Y$7)+1),COUNTIF($AC$8:AC100,AC100))),"")</f>
        <v>2*4</v>
      </c>
      <c r="AZ100" s="108">
        <f t="shared" si="13"/>
        <v>19.04</v>
      </c>
      <c r="BA100" s="108" t="str">
        <f t="array" ref="BA100">IF(ISNUMBER(AC100),INDEX('All Player Data Store'!$U$8:$U$594,SMALL(IF('All Player Data Store'!$Y$7:$Y$594=AC100,ROW('All Player Data Store'!$Y$7:$Y$594)-ROW('All Player Data Store'!$Y$7)+1),COUNTIF($AC$8:AC100,AC100))),"")</f>
        <v>0*4</v>
      </c>
      <c r="BB100" s="108">
        <f t="shared" si="14"/>
        <v>19.48</v>
      </c>
      <c r="BC100" s="108" t="str">
        <f t="array" ref="BC100">IF(ISNUMBER(AC100),INDEX('All Player Data Store'!$V$8:$V$594,SMALL(IF('All Player Data Store'!$Y$7:$Y$594=AC100,ROW('All Player Data Store'!$Y$7:$Y$594)-ROW('All Player Data Store'!$Y$7)+1),COUNTIF($AC$8:AC100,AC100))),"")</f>
        <v>2*4</v>
      </c>
      <c r="BD100" s="108">
        <f t="shared" si="15"/>
        <v>20.99</v>
      </c>
      <c r="BE100" s="1"/>
    </row>
    <row r="101" spans="2:57" ht="12" customHeight="1" x14ac:dyDescent="0.2">
      <c r="B101" s="98" t="str">
        <f t="shared" si="0"/>
        <v>Y</v>
      </c>
      <c r="C101" s="1"/>
      <c r="D101" s="68">
        <f t="shared" si="1"/>
        <v>94</v>
      </c>
      <c r="E101" s="2"/>
      <c r="F101" s="78">
        <v>95</v>
      </c>
      <c r="G101" s="110" t="str">
        <f t="array" ref="G101">IF(ISNUMBER(AC101),INDEX('All Player Data Store'!$C$7:$C$594,SMALL(IF('All Player Data Store'!$Y$7:$Y$594=AC101,ROW('All Player Data Store'!$Y$7:$Y$594)-ROW('All Player Data Store'!$Y$7)+1),COUNTIF($AC$8:AC101,AC101))),"")</f>
        <v>Kelvin Wilkie</v>
      </c>
      <c r="H101" s="111" t="str">
        <f t="array" ref="H101">IF(ISNUMBER(AC101),INDEX('All Player Data Store'!$D$7:$D$594,SMALL(IF('All Player Data Store'!$Y$7:$Y$594=AC101,ROW('All Player Data Store'!$Y$7:$Y$594)-ROW('All Player Data Store'!$Y$7)+1),COUNTIF($AC$8:AC101,AC101))),"")</f>
        <v>Por</v>
      </c>
      <c r="I101" s="69">
        <f t="array" ref="I101">IF(ISNUMBER(AC101),INDEX('All Player Data Store'!$E$7:$E$594,SMALL(IF('All Player Data Store'!$Y$7:$Y$594=AC101,ROW('All Player Data Store'!$Y$7:$Y$594)-ROW('All Player Data Store'!$Y$7)+1),COUNTIF($AC$8:AC101,AC101))),"")</f>
        <v>10</v>
      </c>
      <c r="J101" s="70">
        <f t="array" ref="J101">IF(ISNUMBER(AC101),INDEX('All Player Data Store'!$F$7:$F$594,SMALL(IF('All Player Data Store'!$Y$7:$Y$594=AC101,ROW('All Player Data Store'!$Y$7:$Y$594)-ROW('All Player Data Store'!$Y$7)+1),COUNTIF($AC$8:AC101,AC101))),"")</f>
        <v>4</v>
      </c>
      <c r="K101" s="112">
        <f t="array" ref="K101">IF(ISNUMBER(AC101),INDEX('All Player Data Store'!$G$7:$G$594,SMALL(IF('All Player Data Store'!$Y$7:$Y$594=AC101,ROW('All Player Data Store'!$Y$7:$Y$594)-ROW('All Player Data Store'!$Y$7)+1),COUNTIF($AC$8:AC101,AC101))),"")</f>
        <v>6</v>
      </c>
      <c r="L101" s="112">
        <f t="array" ref="L101">IF(ISNUMBER(AC101),INDEX('All Player Data Store'!$H$7:$H$594,SMALL(IF('All Player Data Store'!$Y$7:$Y$594=AC101,ROW('All Player Data Store'!$Y$7:$Y$594)-ROW('All Player Data Store'!$Y$7)+1),COUNTIF($AC$8:AC101,AC101))),"")</f>
        <v>23</v>
      </c>
      <c r="M101" s="113">
        <f t="array" ref="M101">IF(ISNUMBER(AC101),INDEX('All Player Data Store'!$I$7:$I$594,SMALL(IF('All Player Data Store'!$Y$7:$Y$594=AC101,ROW('All Player Data Store'!$Y$7:$Y$594)-ROW('All Player Data Store'!$Y$7)+1),COUNTIF($AC$8:AC101,AC101))),"")</f>
        <v>33</v>
      </c>
      <c r="N101" s="114">
        <f t="array" ref="N101">IF(ISNUMBER(AC101),INDEX('All Player Data Store'!$J$7:$J$594,SMALL(IF('All Player Data Store'!$Y$7:$Y$594=AC101,ROW('All Player Data Store'!$Y$7:$Y$594)-ROW('All Player Data Store'!$Y$7)+1),COUNTIF($AC$8:AC101,AC101))),"")</f>
        <v>20.440000000000001</v>
      </c>
      <c r="O101" s="108">
        <f t="array" ref="O101">IF(ISNUMBER(AC101),INDEX('All Player Data Store'!$K$7:$K$594,SMALL(IF('All Player Data Store'!$Y$7:$Y$594=AC101,ROW('All Player Data Store'!$Y$7:$Y$594)-ROW('All Player Data Store'!$Y$7)+1),COUNTIF($AC$8:AC101,AC101))),"")</f>
        <v>19.87</v>
      </c>
      <c r="P101" s="108" t="str">
        <f t="array" ref="P101">IF(ISNUMBER(AC101),INDEX('All Player Data Store'!$L$7:$L$594,SMALL(IF('All Player Data Store'!$Y$7:$Y$594=AC101,ROW('All Player Data Store'!$Y$7:$Y$594)-ROW('All Player Data Store'!$Y$7)+1),COUNTIF($AC$8:AC101,AC101))),"")</f>
        <v/>
      </c>
      <c r="Q101" s="108" t="str">
        <f t="array" ref="Q101">IF(ISNUMBER(AC101),INDEX('All Player Data Store'!$M$7:$M$594,SMALL(IF('All Player Data Store'!$Y$7:$Y$594=AC101,ROW('All Player Data Store'!$Y$7:$Y$594)-ROW('All Player Data Store'!$Y$7)+1),COUNTIF($AC$8:AC101,AC101))),"")</f>
        <v/>
      </c>
      <c r="R101" s="108">
        <f t="array" ref="R101">IF(ISNUMBER(AC101),INDEX('All Player Data Store'!$N$7:$N$594,SMALL(IF('All Player Data Store'!$Y$7:$Y$594=AC101,ROW('All Player Data Store'!$Y$7:$Y$594)-ROW('All Player Data Store'!$Y$7)+1),COUNTIF($AC$8:AC101,AC101))),"")</f>
        <v>24.19</v>
      </c>
      <c r="S101" s="108">
        <f t="array" ref="S101">IF(ISNUMBER(AC101),INDEX('All Player Data Store'!$O$7:$O$594,SMALL(IF('All Player Data Store'!$Y$7:$Y$594=AC101,ROW('All Player Data Store'!$Y$7:$Y$594)-ROW('All Player Data Store'!$Y$7)+1),COUNTIF($AC$8:AC101,AC101))),"")</f>
        <v>21</v>
      </c>
      <c r="T101" s="108">
        <f t="array" ref="T101">IF(ISNUMBER(AC101),INDEX('All Player Data Store'!$P$7:$P$594,SMALL(IF('All Player Data Store'!$Y$7:$Y$594=AC101,ROW('All Player Data Store'!$Y$7:$Y$594)-ROW('All Player Data Store'!$Y$7)+1),COUNTIF($AC$8:AC101,AC101))),"")</f>
        <v>19.21</v>
      </c>
      <c r="U101" s="108" t="str">
        <f t="array" ref="U101">IF(ISNUMBER(AC101),INDEX('All Player Data Store'!$Q$7:$Q$594,SMALL(IF('All Player Data Store'!$Y$7:$Y$594=AC101,ROW('All Player Data Store'!$Y$7:$Y$594)-ROW('All Player Data Store'!$Y$7)+1),COUNTIF($AC$8:AC101,AC101))),"")</f>
        <v/>
      </c>
      <c r="V101" s="108">
        <f t="array" ref="V101">IF(ISNUMBER(AC101),INDEX('All Player Data Store'!$R$7:$R$594,SMALL(IF('All Player Data Store'!$Y$7:$Y$594=AC101,ROW('All Player Data Store'!$Y$7:$Y$594)-ROW('All Player Data Store'!$Y$7)+1),COUNTIF($AC$8:AC101,AC101))),"")</f>
        <v>16.690000000000001</v>
      </c>
      <c r="W101" s="108">
        <f t="array" ref="W101">IF(ISNUMBER(AC101),INDEX('All Player Data Store'!$S$7:$S$594,SMALL(IF('All Player Data Store'!$Y$7:$Y$594=AC101,ROW('All Player Data Store'!$Y$7:$Y$594)-ROW('All Player Data Store'!$Y$7)+1),COUNTIF($AC$8:AC101,AC101))),"")</f>
        <v>19.97</v>
      </c>
      <c r="X101" s="108">
        <f t="array" ref="X101">IF(ISNUMBER(AC101),INDEX('All Player Data Store'!$T$7:$T$594,SMALL(IF('All Player Data Store'!$Y$7:$Y$594=AC101,ROW('All Player Data Store'!$Y$7:$Y$594)-ROW('All Player Data Store'!$Y$7)+1),COUNTIF($AC$8:AC101,AC101))),"")</f>
        <v>19.12</v>
      </c>
      <c r="Y101" s="108">
        <f t="array" ref="Y101">IF(ISNUMBER(AC101),INDEX('All Player Data Store'!$U$7:$U$594,SMALL(IF('All Player Data Store'!$Y$7:$Y$594=AC101,ROW('All Player Data Store'!$Y$7:$Y$594)-ROW('All Player Data Store'!$Y$7)+1),COUNTIF($AC$8:AC101,AC101))),"")</f>
        <v>19.82</v>
      </c>
      <c r="Z101" s="108">
        <f t="array" ref="Z101">IF(ISNUMBER(AC101),INDEX('All Player Data Store'!$V$7:$V$594,SMALL(IF('All Player Data Store'!$Y$7:$Y$594=AC101,ROW('All Player Data Store'!$Y$7:$Y$594)-ROW('All Player Data Store'!$Y$7)+1),COUNTIF($AC$8:AC101,AC101))),"")</f>
        <v>16.850000000000001</v>
      </c>
      <c r="AA101" s="112" t="str">
        <f t="array" ref="AA101">IF(ISNUMBER(AC101),INDEX('All Player Data Store'!$W$7:$W$594,SMALL(IF('All Player Data Store'!$Y$7:$Y$594=AC101,ROW('All Player Data Store'!$Y$7:$Y$594)-ROW('All Player Data Store'!$Y$7)+1),COUNTIF($AC$8:AC101,AC101))),"")</f>
        <v/>
      </c>
      <c r="AB101" s="108">
        <f t="array" ref="AB101">IF(ISNUMBER(AC101),INDEX('All Player Data Store'!$X$7:$X$594,SMALL(IF('All Player Data Store'!$Y$7:$Y$594=AC101,ROW('All Player Data Store'!$Y$7:$Y$594)-ROW('All Player Data Store'!$Y$7)+1),COUNTIF($AC$8:AC101,AC101))),"")</f>
        <v>19.716000000000001</v>
      </c>
      <c r="AC101" s="115">
        <f>IF(ISERROR(IF(ISERROR(LARGE('All Player Data Store'!$Y$7:$Y$594,94)),"",(LARGE('All Player Data Store'!$Y$7:$Y$594,94)))),"",(IF(ISERROR(LARGE('All Player Data Store'!$Y$7:$Y$594,94)),"",(LARGE('All Player Data Store'!$Y$7:$Y$594,94)))))</f>
        <v>23.716000000000001</v>
      </c>
      <c r="AD101" s="106">
        <f t="shared" si="2"/>
        <v>3</v>
      </c>
      <c r="AE101" s="107" t="str">
        <f t="array" ref="AE101">IF(ISNUMBER(AC101),INDEX('All Player Data Store'!$J$8:$J$594,SMALL(IF('All Player Data Store'!$Y$7:$Y$594=AC101,ROW('All Player Data Store'!$Y$7:$Y$594)-ROW('All Player Data Store'!$Y$7)+1),COUNTIF($AC$8:AC101,AC101))),"")</f>
        <v>4*3</v>
      </c>
      <c r="AF101" s="108">
        <f t="shared" si="3"/>
        <v>21.44</v>
      </c>
      <c r="AG101" s="108" t="str">
        <f t="array" ref="AG101">IF(ISNUMBER(AC101),INDEX('All Player Data Store'!$K$8:$K$594,SMALL(IF('All Player Data Store'!$Y$7:$Y$594=AC101,ROW('All Player Data Store'!$Y$7:$Y$594)-ROW('All Player Data Store'!$Y$7)+1),COUNTIF($AC$8:AC101,AC101))),"")</f>
        <v>3*4</v>
      </c>
      <c r="AH101" s="108">
        <f t="shared" si="4"/>
        <v>19.87</v>
      </c>
      <c r="AI101" s="108" t="str">
        <f t="array" ref="AI101">IF(ISNUMBER(AC101),INDEX('All Player Data Store'!$L$8:$L$594,SMALL(IF('All Player Data Store'!$Y$7:$Y$594=AC101,ROW('All Player Data Store'!$Y$7:$Y$594)-ROW('All Player Data Store'!$Y$7)+1),COUNTIF($AC$8:AC101,AC101))),"")</f>
        <v/>
      </c>
      <c r="AJ101" s="108" t="str">
        <f t="shared" si="5"/>
        <v/>
      </c>
      <c r="AK101" s="108" t="str">
        <f t="array" ref="AK101">IF(ISNUMBER(AC101),INDEX('All Player Data Store'!$M$8:$M$594,SMALL(IF('All Player Data Store'!$Y$7:$Y$594=AC101,ROW('All Player Data Store'!$Y$7:$Y$594)-ROW('All Player Data Store'!$Y$7)+1),COUNTIF($AC$8:AC101,AC101))),"")</f>
        <v/>
      </c>
      <c r="AL101" s="108" t="str">
        <f t="shared" si="6"/>
        <v/>
      </c>
      <c r="AM101" s="108" t="str">
        <f t="array" ref="AM101">IF(ISNUMBER(AC101),INDEX('All Player Data Store'!$N$8:$N$594,SMALL(IF('All Player Data Store'!$Y$7:$Y$594=AC101,ROW('All Player Data Store'!$Y$7:$Y$594)-ROW('All Player Data Store'!$Y$7)+1),COUNTIF($AC$8:AC101,AC101))),"")</f>
        <v>1*4</v>
      </c>
      <c r="AN101" s="108">
        <f t="shared" si="7"/>
        <v>24.19</v>
      </c>
      <c r="AO101" s="108" t="str">
        <f t="array" ref="AO101">IF(ISNUMBER(AC101),INDEX('All Player Data Store'!$O$8:$O$594,SMALL(IF('All Player Data Store'!$Y$7:$Y$594=AC101,ROW('All Player Data Store'!$Y$7:$Y$594)-ROW('All Player Data Store'!$Y$7)+1),COUNTIF($AC$8:AC101,AC101))),"")</f>
        <v>0*4</v>
      </c>
      <c r="AP101" s="108">
        <f t="shared" si="8"/>
        <v>21</v>
      </c>
      <c r="AQ101" s="108" t="str">
        <f t="array" ref="AQ101">IF(ISNUMBER(AC101),INDEX('All Player Data Store'!$P$8:$P$594,SMALL(IF('All Player Data Store'!$Y$7:$Y$594=AC101,ROW('All Player Data Store'!$Y$7:$Y$594)-ROW('All Player Data Store'!$Y$7)+1),COUNTIF($AC$8:AC101,AC101))),"")</f>
        <v>1*4</v>
      </c>
      <c r="AR101" s="108">
        <f t="shared" si="9"/>
        <v>19.21</v>
      </c>
      <c r="AS101" s="108" t="str">
        <f t="array" ref="AS101">IF(ISNUMBER(AC101),INDEX('All Player Data Store'!$Q$8:$Q$594,SMALL(IF('All Player Data Store'!$Y$7:$Y$594=AC101,ROW('All Player Data Store'!$Y$7:$Y$594)-ROW('All Player Data Store'!$Y$7)+1),COUNTIF($AC$8:AC101,AC101))),"")</f>
        <v/>
      </c>
      <c r="AT101" s="108" t="str">
        <f t="shared" si="10"/>
        <v/>
      </c>
      <c r="AU101" s="108" t="str">
        <f t="array" ref="AU101">IF(ISNUMBER(AC101),INDEX('All Player Data Store'!$R$8:$R$594,SMALL(IF('All Player Data Store'!$Y$7:$Y$594=AC101,ROW('All Player Data Store'!$Y$7:$Y$594)-ROW('All Player Data Store'!$Y$7)+1),COUNTIF($AC$8:AC101,AC101))),"")</f>
        <v>2*4</v>
      </c>
      <c r="AV101" s="108">
        <f t="shared" si="11"/>
        <v>16.690000000000001</v>
      </c>
      <c r="AW101" s="108" t="str">
        <f t="array" ref="AW101">IF(ISNUMBER(AC101),INDEX('All Player Data Store'!$S$8:$S$594,SMALL(IF('All Player Data Store'!$Y$7:$Y$594=AC101,ROW('All Player Data Store'!$Y$7:$Y$594)-ROW('All Player Data Store'!$Y$7)+1),COUNTIF($AC$8:AC101,AC101))),"")</f>
        <v>4*3</v>
      </c>
      <c r="AX101" s="108">
        <f t="shared" si="12"/>
        <v>20.97</v>
      </c>
      <c r="AY101" s="108" t="str">
        <f t="array" ref="AY101">IF(ISNUMBER(AC101),INDEX('All Player Data Store'!$T$8:$T$594,SMALL(IF('All Player Data Store'!$Y$7:$Y$594=AC101,ROW('All Player Data Store'!$Y$7:$Y$594)-ROW('All Player Data Store'!$Y$7)+1),COUNTIF($AC$8:AC101,AC101))),"")</f>
        <v>4*1</v>
      </c>
      <c r="AZ101" s="108">
        <f t="shared" si="13"/>
        <v>20.12</v>
      </c>
      <c r="BA101" s="108" t="str">
        <f t="array" ref="BA101">IF(ISNUMBER(AC101),INDEX('All Player Data Store'!$U$8:$U$594,SMALL(IF('All Player Data Store'!$Y$7:$Y$594=AC101,ROW('All Player Data Store'!$Y$7:$Y$594)-ROW('All Player Data Store'!$Y$7)+1),COUNTIF($AC$8:AC101,AC101))),"")</f>
        <v>4*2</v>
      </c>
      <c r="BB101" s="108">
        <f t="shared" si="14"/>
        <v>20.82</v>
      </c>
      <c r="BC101" s="108" t="str">
        <f t="array" ref="BC101">IF(ISNUMBER(AC101),INDEX('All Player Data Store'!$V$8:$V$594,SMALL(IF('All Player Data Store'!$Y$7:$Y$594=AC101,ROW('All Player Data Store'!$Y$7:$Y$594)-ROW('All Player Data Store'!$Y$7)+1),COUNTIF($AC$8:AC101,AC101))),"")</f>
        <v>0*4</v>
      </c>
      <c r="BD101" s="108">
        <f t="shared" si="15"/>
        <v>16.850000000000001</v>
      </c>
      <c r="BE101" s="1"/>
    </row>
    <row r="102" spans="2:57" ht="12" customHeight="1" x14ac:dyDescent="0.2">
      <c r="B102" s="98" t="str">
        <f t="shared" si="0"/>
        <v>Y</v>
      </c>
      <c r="C102" s="1"/>
      <c r="D102" s="68">
        <f t="shared" si="1"/>
        <v>95</v>
      </c>
      <c r="E102" s="2"/>
      <c r="F102" s="78">
        <v>96</v>
      </c>
      <c r="G102" s="110" t="str">
        <f t="array" ref="G102">IF(ISNUMBER(AC102),INDEX('All Player Data Store'!$C$7:$C$594,SMALL(IF('All Player Data Store'!$Y$7:$Y$594=AC102,ROW('All Player Data Store'!$Y$7:$Y$594)-ROW('All Player Data Store'!$Y$7)+1),COUNTIF($AC$8:AC102,AC102))),"")</f>
        <v>Luke Powell</v>
      </c>
      <c r="H102" s="111" t="str">
        <f t="array" ref="H102">IF(ISNUMBER(AC102),INDEX('All Player Data Store'!$D$7:$D$594,SMALL(IF('All Player Data Store'!$Y$7:$Y$594=AC102,ROW('All Player Data Store'!$Y$7:$Y$594)-ROW('All Player Data Store'!$Y$7)+1),COUNTIF($AC$8:AC102,AC102))),"")</f>
        <v>Aly</v>
      </c>
      <c r="I102" s="69">
        <f t="array" ref="I102">IF(ISNUMBER(AC102),INDEX('All Player Data Store'!$E$7:$E$594,SMALL(IF('All Player Data Store'!$Y$7:$Y$594=AC102,ROW('All Player Data Store'!$Y$7:$Y$594)-ROW('All Player Data Store'!$Y$7)+1),COUNTIF($AC$8:AC102,AC102))),"")</f>
        <v>10</v>
      </c>
      <c r="J102" s="70">
        <f t="array" ref="J102">IF(ISNUMBER(AC102),INDEX('All Player Data Store'!$F$7:$F$594,SMALL(IF('All Player Data Store'!$Y$7:$Y$594=AC102,ROW('All Player Data Store'!$Y$7:$Y$594)-ROW('All Player Data Store'!$Y$7)+1),COUNTIF($AC$8:AC102,AC102))),"")</f>
        <v>4</v>
      </c>
      <c r="K102" s="112">
        <f t="array" ref="K102">IF(ISNUMBER(AC102),INDEX('All Player Data Store'!$G$7:$G$594,SMALL(IF('All Player Data Store'!$Y$7:$Y$594=AC102,ROW('All Player Data Store'!$Y$7:$Y$594)-ROW('All Player Data Store'!$Y$7)+1),COUNTIF($AC$8:AC102,AC102))),"")</f>
        <v>6</v>
      </c>
      <c r="L102" s="112">
        <f t="array" ref="L102">IF(ISNUMBER(AC102),INDEX('All Player Data Store'!$H$7:$H$594,SMALL(IF('All Player Data Store'!$Y$7:$Y$594=AC102,ROW('All Player Data Store'!$Y$7:$Y$594)-ROW('All Player Data Store'!$Y$7)+1),COUNTIF($AC$8:AC102,AC102))),"")</f>
        <v>21</v>
      </c>
      <c r="M102" s="113">
        <f t="array" ref="M102">IF(ISNUMBER(AC102),INDEX('All Player Data Store'!$I$7:$I$594,SMALL(IF('All Player Data Store'!$Y$7:$Y$594=AC102,ROW('All Player Data Store'!$Y$7:$Y$594)-ROW('All Player Data Store'!$Y$7)+1),COUNTIF($AC$8:AC102,AC102))),"")</f>
        <v>32</v>
      </c>
      <c r="N102" s="114" t="str">
        <f t="array" ref="N102">IF(ISNUMBER(AC102),INDEX('All Player Data Store'!$J$7:$J$594,SMALL(IF('All Player Data Store'!$Y$7:$Y$594=AC102,ROW('All Player Data Store'!$Y$7:$Y$594)-ROW('All Player Data Store'!$Y$7)+1),COUNTIF($AC$8:AC102,AC102))),"")</f>
        <v/>
      </c>
      <c r="O102" s="108">
        <f t="array" ref="O102">IF(ISNUMBER(AC102),INDEX('All Player Data Store'!$K$7:$K$594,SMALL(IF('All Player Data Store'!$Y$7:$Y$594=AC102,ROW('All Player Data Store'!$Y$7:$Y$594)-ROW('All Player Data Store'!$Y$7)+1),COUNTIF($AC$8:AC102,AC102))),"")</f>
        <v>17.34</v>
      </c>
      <c r="P102" s="108">
        <f t="array" ref="P102">IF(ISNUMBER(AC102),INDEX('All Player Data Store'!$L$7:$L$594,SMALL(IF('All Player Data Store'!$Y$7:$Y$594=AC102,ROW('All Player Data Store'!$Y$7:$Y$594)-ROW('All Player Data Store'!$Y$7)+1),COUNTIF($AC$8:AC102,AC102))),"")</f>
        <v>22.55</v>
      </c>
      <c r="Q102" s="108">
        <f t="array" ref="Q102">IF(ISNUMBER(AC102),INDEX('All Player Data Store'!$M$7:$M$594,SMALL(IF('All Player Data Store'!$Y$7:$Y$594=AC102,ROW('All Player Data Store'!$Y$7:$Y$594)-ROW('All Player Data Store'!$Y$7)+1),COUNTIF($AC$8:AC102,AC102))),"")</f>
        <v>19.309999999999999</v>
      </c>
      <c r="R102" s="108">
        <f t="array" ref="R102">IF(ISNUMBER(AC102),INDEX('All Player Data Store'!$N$7:$N$594,SMALL(IF('All Player Data Store'!$Y$7:$Y$594=AC102,ROW('All Player Data Store'!$Y$7:$Y$594)-ROW('All Player Data Store'!$Y$7)+1),COUNTIF($AC$8:AC102,AC102))),"")</f>
        <v>18.079999999999998</v>
      </c>
      <c r="S102" s="108">
        <f t="array" ref="S102">IF(ISNUMBER(AC102),INDEX('All Player Data Store'!$O$7:$O$594,SMALL(IF('All Player Data Store'!$Y$7:$Y$594=AC102,ROW('All Player Data Store'!$Y$7:$Y$594)-ROW('All Player Data Store'!$Y$7)+1),COUNTIF($AC$8:AC102,AC102))),"")</f>
        <v>18.64</v>
      </c>
      <c r="T102" s="108">
        <f t="array" ref="T102">IF(ISNUMBER(AC102),INDEX('All Player Data Store'!$P$7:$P$594,SMALL(IF('All Player Data Store'!$Y$7:$Y$594=AC102,ROW('All Player Data Store'!$Y$7:$Y$594)-ROW('All Player Data Store'!$Y$7)+1),COUNTIF($AC$8:AC102,AC102))),"")</f>
        <v>19.04</v>
      </c>
      <c r="U102" s="108" t="str">
        <f t="array" ref="U102">IF(ISNUMBER(AC102),INDEX('All Player Data Store'!$Q$7:$Q$594,SMALL(IF('All Player Data Store'!$Y$7:$Y$594=AC102,ROW('All Player Data Store'!$Y$7:$Y$594)-ROW('All Player Data Store'!$Y$7)+1),COUNTIF($AC$8:AC102,AC102))),"")</f>
        <v/>
      </c>
      <c r="V102" s="108">
        <f t="array" ref="V102">IF(ISNUMBER(AC102),INDEX('All Player Data Store'!$R$7:$R$594,SMALL(IF('All Player Data Store'!$Y$7:$Y$594=AC102,ROW('All Player Data Store'!$Y$7:$Y$594)-ROW('All Player Data Store'!$Y$7)+1),COUNTIF($AC$8:AC102,AC102))),"")</f>
        <v>25.05</v>
      </c>
      <c r="W102" s="108" t="str">
        <f t="array" ref="W102">IF(ISNUMBER(AC102),INDEX('All Player Data Store'!$S$7:$S$594,SMALL(IF('All Player Data Store'!$Y$7:$Y$594=AC102,ROW('All Player Data Store'!$Y$7:$Y$594)-ROW('All Player Data Store'!$Y$7)+1),COUNTIF($AC$8:AC102,AC102))),"")</f>
        <v/>
      </c>
      <c r="X102" s="108">
        <f t="array" ref="X102">IF(ISNUMBER(AC102),INDEX('All Player Data Store'!$T$7:$T$594,SMALL(IF('All Player Data Store'!$Y$7:$Y$594=AC102,ROW('All Player Data Store'!$Y$7:$Y$594)-ROW('All Player Data Store'!$Y$7)+1),COUNTIF($AC$8:AC102,AC102))),"")</f>
        <v>16.559999999999999</v>
      </c>
      <c r="Y102" s="108">
        <f t="array" ref="Y102">IF(ISNUMBER(AC102),INDEX('All Player Data Store'!$U$7:$U$594,SMALL(IF('All Player Data Store'!$Y$7:$Y$594=AC102,ROW('All Player Data Store'!$Y$7:$Y$594)-ROW('All Player Data Store'!$Y$7)+1),COUNTIF($AC$8:AC102,AC102))),"")</f>
        <v>20.46</v>
      </c>
      <c r="Z102" s="108">
        <f t="array" ref="Z102">IF(ISNUMBER(AC102),INDEX('All Player Data Store'!$V$7:$V$594,SMALL(IF('All Player Data Store'!$Y$7:$Y$594=AC102,ROW('All Player Data Store'!$Y$7:$Y$594)-ROW('All Player Data Store'!$Y$7)+1),COUNTIF($AC$8:AC102,AC102))),"")</f>
        <v>19.96</v>
      </c>
      <c r="AA102" s="112">
        <f t="array" ref="AA102">IF(ISNUMBER(AC102),INDEX('All Player Data Store'!$W$7:$W$594,SMALL(IF('All Player Data Store'!$Y$7:$Y$594=AC102,ROW('All Player Data Store'!$Y$7:$Y$594)-ROW('All Player Data Store'!$Y$7)+1),COUNTIF($AC$8:AC102,AC102))),"")</f>
        <v>2</v>
      </c>
      <c r="AB102" s="108">
        <f t="array" ref="AB102">IF(ISNUMBER(AC102),INDEX('All Player Data Store'!$X$7:$X$594,SMALL(IF('All Player Data Store'!$Y$7:$Y$594=AC102,ROW('All Player Data Store'!$Y$7:$Y$594)-ROW('All Player Data Store'!$Y$7)+1),COUNTIF($AC$8:AC102,AC102))),"")</f>
        <v>19.699000000000005</v>
      </c>
      <c r="AC102" s="115">
        <f>IF(ISERROR(IF(ISERROR(LARGE('All Player Data Store'!$Y$7:$Y$594,95)),"",(LARGE('All Player Data Store'!$Y$7:$Y$594,95)))),"",(IF(ISERROR(LARGE('All Player Data Store'!$Y$7:$Y$594,95)),"",(LARGE('All Player Data Store'!$Y$7:$Y$594,95)))))</f>
        <v>23.699000000000005</v>
      </c>
      <c r="AD102" s="106">
        <f t="shared" si="2"/>
        <v>3</v>
      </c>
      <c r="AE102" s="107" t="str">
        <f t="array" ref="AE102">IF(ISNUMBER(AC102),INDEX('All Player Data Store'!$J$8:$J$594,SMALL(IF('All Player Data Store'!$Y$7:$Y$594=AC102,ROW('All Player Data Store'!$Y$7:$Y$594)-ROW('All Player Data Store'!$Y$7)+1),COUNTIF($AC$8:AC102,AC102))),"")</f>
        <v/>
      </c>
      <c r="AF102" s="108" t="str">
        <f t="shared" si="3"/>
        <v/>
      </c>
      <c r="AG102" s="108" t="str">
        <f t="array" ref="AG102">IF(ISNUMBER(AC102),INDEX('All Player Data Store'!$K$8:$K$594,SMALL(IF('All Player Data Store'!$Y$7:$Y$594=AC102,ROW('All Player Data Store'!$Y$7:$Y$594)-ROW('All Player Data Store'!$Y$7)+1),COUNTIF($AC$8:AC102,AC102))),"")</f>
        <v>1*4</v>
      </c>
      <c r="AH102" s="108">
        <f t="shared" si="4"/>
        <v>17.34</v>
      </c>
      <c r="AI102" s="108" t="str">
        <f t="array" ref="AI102">IF(ISNUMBER(AC102),INDEX('All Player Data Store'!$L$8:$L$594,SMALL(IF('All Player Data Store'!$Y$7:$Y$594=AC102,ROW('All Player Data Store'!$Y$7:$Y$594)-ROW('All Player Data Store'!$Y$7)+1),COUNTIF($AC$8:AC102,AC102))),"")</f>
        <v>0*4</v>
      </c>
      <c r="AJ102" s="108">
        <f t="shared" si="5"/>
        <v>22.55</v>
      </c>
      <c r="AK102" s="108" t="str">
        <f t="array" ref="AK102">IF(ISNUMBER(AC102),INDEX('All Player Data Store'!$M$8:$M$594,SMALL(IF('All Player Data Store'!$Y$7:$Y$594=AC102,ROW('All Player Data Store'!$Y$7:$Y$594)-ROW('All Player Data Store'!$Y$7)+1),COUNTIF($AC$8:AC102,AC102))),"")</f>
        <v>4*3</v>
      </c>
      <c r="AL102" s="108">
        <f t="shared" si="6"/>
        <v>20.309999999999999</v>
      </c>
      <c r="AM102" s="108" t="str">
        <f t="array" ref="AM102">IF(ISNUMBER(AC102),INDEX('All Player Data Store'!$N$8:$N$594,SMALL(IF('All Player Data Store'!$Y$7:$Y$594=AC102,ROW('All Player Data Store'!$Y$7:$Y$594)-ROW('All Player Data Store'!$Y$7)+1),COUNTIF($AC$8:AC102,AC102))),"")</f>
        <v>2*4(1)</v>
      </c>
      <c r="AN102" s="108">
        <f t="shared" si="7"/>
        <v>18.079999999999998</v>
      </c>
      <c r="AO102" s="108" t="str">
        <f t="array" ref="AO102">IF(ISNUMBER(AC102),INDEX('All Player Data Store'!$O$8:$O$594,SMALL(IF('All Player Data Store'!$Y$7:$Y$594=AC102,ROW('All Player Data Store'!$Y$7:$Y$594)-ROW('All Player Data Store'!$Y$7)+1),COUNTIF($AC$8:AC102,AC102))),"")</f>
        <v>0*4</v>
      </c>
      <c r="AP102" s="108">
        <f t="shared" si="8"/>
        <v>18.64</v>
      </c>
      <c r="AQ102" s="108" t="str">
        <f t="array" ref="AQ102">IF(ISNUMBER(AC102),INDEX('All Player Data Store'!$P$8:$P$594,SMALL(IF('All Player Data Store'!$Y$7:$Y$594=AC102,ROW('All Player Data Store'!$Y$7:$Y$594)-ROW('All Player Data Store'!$Y$7)+1),COUNTIF($AC$8:AC102,AC102))),"")</f>
        <v>4*3</v>
      </c>
      <c r="AR102" s="108">
        <f t="shared" si="9"/>
        <v>20.04</v>
      </c>
      <c r="AS102" s="108" t="str">
        <f t="array" ref="AS102">IF(ISNUMBER(AC102),INDEX('All Player Data Store'!$Q$8:$Q$594,SMALL(IF('All Player Data Store'!$Y$7:$Y$594=AC102,ROW('All Player Data Store'!$Y$7:$Y$594)-ROW('All Player Data Store'!$Y$7)+1),COUNTIF($AC$8:AC102,AC102))),"")</f>
        <v/>
      </c>
      <c r="AT102" s="108" t="str">
        <f t="shared" si="10"/>
        <v/>
      </c>
      <c r="AU102" s="108" t="str">
        <f t="array" ref="AU102">IF(ISNUMBER(AC102),INDEX('All Player Data Store'!$R$8:$R$594,SMALL(IF('All Player Data Store'!$Y$7:$Y$594=AC102,ROW('All Player Data Store'!$Y$7:$Y$594)-ROW('All Player Data Store'!$Y$7)+1),COUNTIF($AC$8:AC102,AC102))),"")</f>
        <v>4*0(1)</v>
      </c>
      <c r="AV102" s="108">
        <f t="shared" si="11"/>
        <v>26.05</v>
      </c>
      <c r="AW102" s="108" t="str">
        <f t="array" ref="AW102">IF(ISNUMBER(AC102),INDEX('All Player Data Store'!$S$8:$S$594,SMALL(IF('All Player Data Store'!$Y$7:$Y$594=AC102,ROW('All Player Data Store'!$Y$7:$Y$594)-ROW('All Player Data Store'!$Y$7)+1),COUNTIF($AC$8:AC102,AC102))),"")</f>
        <v/>
      </c>
      <c r="AX102" s="108" t="str">
        <f t="shared" si="12"/>
        <v/>
      </c>
      <c r="AY102" s="108" t="str">
        <f t="array" ref="AY102">IF(ISNUMBER(AC102),INDEX('All Player Data Store'!$T$8:$T$594,SMALL(IF('All Player Data Store'!$Y$7:$Y$594=AC102,ROW('All Player Data Store'!$Y$7:$Y$594)-ROW('All Player Data Store'!$Y$7)+1),COUNTIF($AC$8:AC102,AC102))),"")</f>
        <v>0*4</v>
      </c>
      <c r="AZ102" s="108">
        <f t="shared" si="13"/>
        <v>16.559999999999999</v>
      </c>
      <c r="BA102" s="108" t="str">
        <f t="array" ref="BA102">IF(ISNUMBER(AC102),INDEX('All Player Data Store'!$U$8:$U$594,SMALL(IF('All Player Data Store'!$Y$7:$Y$594=AC102,ROW('All Player Data Store'!$Y$7:$Y$594)-ROW('All Player Data Store'!$Y$7)+1),COUNTIF($AC$8:AC102,AC102))),"")</f>
        <v>4*2</v>
      </c>
      <c r="BB102" s="108">
        <f t="shared" si="14"/>
        <v>21.46</v>
      </c>
      <c r="BC102" s="108" t="str">
        <f t="array" ref="BC102">IF(ISNUMBER(AC102),INDEX('All Player Data Store'!$V$8:$V$594,SMALL(IF('All Player Data Store'!$Y$7:$Y$594=AC102,ROW('All Player Data Store'!$Y$7:$Y$594)-ROW('All Player Data Store'!$Y$7)+1),COUNTIF($AC$8:AC102,AC102))),"")</f>
        <v>2*4</v>
      </c>
      <c r="BD102" s="108">
        <f t="shared" si="15"/>
        <v>19.96</v>
      </c>
      <c r="BE102" s="1"/>
    </row>
    <row r="103" spans="2:57" ht="12" customHeight="1" x14ac:dyDescent="0.2">
      <c r="B103" s="98" t="str">
        <f t="shared" si="0"/>
        <v>N</v>
      </c>
      <c r="C103" s="1"/>
      <c r="D103" s="68">
        <f t="shared" si="1"/>
        <v>96</v>
      </c>
      <c r="E103" s="2"/>
      <c r="F103" s="78">
        <v>97</v>
      </c>
      <c r="G103" s="110" t="str">
        <f t="array" ref="G103">IF(ISNUMBER(AC103),INDEX('All Player Data Store'!$C$7:$C$594,SMALL(IF('All Player Data Store'!$Y$7:$Y$594=AC103,ROW('All Player Data Store'!$Y$7:$Y$594)-ROW('All Player Data Store'!$Y$7)+1),COUNTIF($AC$8:AC103,AC103))),"")</f>
        <v>Jamie Elm</v>
      </c>
      <c r="H103" s="111" t="str">
        <f t="array" ref="H103">IF(ISNUMBER(AC103),INDEX('All Player Data Store'!$D$7:$D$594,SMALL(IF('All Player Data Store'!$Y$7:$Y$594=AC103,ROW('All Player Data Store'!$Y$7:$Y$594)-ROW('All Player Data Store'!$Y$7)+1),COUNTIF($AC$8:AC103,AC103))),"")</f>
        <v>Swa</v>
      </c>
      <c r="I103" s="69">
        <f t="array" ref="I103">IF(ISNUMBER(AC103),INDEX('All Player Data Store'!$E$7:$E$594,SMALL(IF('All Player Data Store'!$Y$7:$Y$594=AC103,ROW('All Player Data Store'!$Y$7:$Y$594)-ROW('All Player Data Store'!$Y$7)+1),COUNTIF($AC$8:AC103,AC103))),"")</f>
        <v>2</v>
      </c>
      <c r="J103" s="70">
        <f t="array" ref="J103">IF(ISNUMBER(AC103),INDEX('All Player Data Store'!$F$7:$F$594,SMALL(IF('All Player Data Store'!$Y$7:$Y$594=AC103,ROW('All Player Data Store'!$Y$7:$Y$594)-ROW('All Player Data Store'!$Y$7)+1),COUNTIF($AC$8:AC103,AC103))),"")</f>
        <v>2</v>
      </c>
      <c r="K103" s="112" t="str">
        <f t="array" ref="K103">IF(ISNUMBER(AC103),INDEX('All Player Data Store'!$G$7:$G$594,SMALL(IF('All Player Data Store'!$Y$7:$Y$594=AC103,ROW('All Player Data Store'!$Y$7:$Y$594)-ROW('All Player Data Store'!$Y$7)+1),COUNTIF($AC$8:AC103,AC103))),"")</f>
        <v/>
      </c>
      <c r="L103" s="112">
        <f t="array" ref="L103">IF(ISNUMBER(AC103),INDEX('All Player Data Store'!$H$7:$H$594,SMALL(IF('All Player Data Store'!$Y$7:$Y$594=AC103,ROW('All Player Data Store'!$Y$7:$Y$594)-ROW('All Player Data Store'!$Y$7)+1),COUNTIF($AC$8:AC103,AC103))),"")</f>
        <v>8</v>
      </c>
      <c r="M103" s="113">
        <f t="array" ref="M103">IF(ISNUMBER(AC103),INDEX('All Player Data Store'!$I$7:$I$594,SMALL(IF('All Player Data Store'!$Y$7:$Y$594=AC103,ROW('All Player Data Store'!$Y$7:$Y$594)-ROW('All Player Data Store'!$Y$7)+1),COUNTIF($AC$8:AC103,AC103))),"")</f>
        <v>3</v>
      </c>
      <c r="N103" s="114" t="str">
        <f t="array" ref="N103">IF(ISNUMBER(AC103),INDEX('All Player Data Store'!$J$7:$J$594,SMALL(IF('All Player Data Store'!$Y$7:$Y$594=AC103,ROW('All Player Data Store'!$Y$7:$Y$594)-ROW('All Player Data Store'!$Y$7)+1),COUNTIF($AC$8:AC103,AC103))),"")</f>
        <v/>
      </c>
      <c r="O103" s="108">
        <f t="array" ref="O103">IF(ISNUMBER(AC103),INDEX('All Player Data Store'!$K$7:$K$594,SMALL(IF('All Player Data Store'!$Y$7:$Y$594=AC103,ROW('All Player Data Store'!$Y$7:$Y$594)-ROW('All Player Data Store'!$Y$7)+1),COUNTIF($AC$8:AC103,AC103))),"")</f>
        <v>24.63</v>
      </c>
      <c r="P103" s="108">
        <f t="array" ref="P103">IF(ISNUMBER(AC103),INDEX('All Player Data Store'!$L$7:$L$594,SMALL(IF('All Player Data Store'!$Y$7:$Y$594=AC103,ROW('All Player Data Store'!$Y$7:$Y$594)-ROW('All Player Data Store'!$Y$7)+1),COUNTIF($AC$8:AC103,AC103))),"")</f>
        <v>18.73</v>
      </c>
      <c r="Q103" s="108" t="str">
        <f t="array" ref="Q103">IF(ISNUMBER(AC103),INDEX('All Player Data Store'!$M$7:$M$594,SMALL(IF('All Player Data Store'!$Y$7:$Y$594=AC103,ROW('All Player Data Store'!$Y$7:$Y$594)-ROW('All Player Data Store'!$Y$7)+1),COUNTIF($AC$8:AC103,AC103))),"")</f>
        <v/>
      </c>
      <c r="R103" s="108" t="str">
        <f t="array" ref="R103">IF(ISNUMBER(AC103),INDEX('All Player Data Store'!$N$7:$N$594,SMALL(IF('All Player Data Store'!$Y$7:$Y$594=AC103,ROW('All Player Data Store'!$Y$7:$Y$594)-ROW('All Player Data Store'!$Y$7)+1),COUNTIF($AC$8:AC103,AC103))),"")</f>
        <v/>
      </c>
      <c r="S103" s="108" t="str">
        <f t="array" ref="S103">IF(ISNUMBER(AC103),INDEX('All Player Data Store'!$O$7:$O$594,SMALL(IF('All Player Data Store'!$Y$7:$Y$594=AC103,ROW('All Player Data Store'!$Y$7:$Y$594)-ROW('All Player Data Store'!$Y$7)+1),COUNTIF($AC$8:AC103,AC103))),"")</f>
        <v/>
      </c>
      <c r="T103" s="108" t="str">
        <f t="array" ref="T103">IF(ISNUMBER(AC103),INDEX('All Player Data Store'!$P$7:$P$594,SMALL(IF('All Player Data Store'!$Y$7:$Y$594=AC103,ROW('All Player Data Store'!$Y$7:$Y$594)-ROW('All Player Data Store'!$Y$7)+1),COUNTIF($AC$8:AC103,AC103))),"")</f>
        <v/>
      </c>
      <c r="U103" s="108" t="str">
        <f t="array" ref="U103">IF(ISNUMBER(AC103),INDEX('All Player Data Store'!$Q$7:$Q$594,SMALL(IF('All Player Data Store'!$Y$7:$Y$594=AC103,ROW('All Player Data Store'!$Y$7:$Y$594)-ROW('All Player Data Store'!$Y$7)+1),COUNTIF($AC$8:AC103,AC103))),"")</f>
        <v/>
      </c>
      <c r="V103" s="108" t="str">
        <f t="array" ref="V103">IF(ISNUMBER(AC103),INDEX('All Player Data Store'!$R$7:$R$594,SMALL(IF('All Player Data Store'!$Y$7:$Y$594=AC103,ROW('All Player Data Store'!$Y$7:$Y$594)-ROW('All Player Data Store'!$Y$7)+1),COUNTIF($AC$8:AC103,AC103))),"")</f>
        <v/>
      </c>
      <c r="W103" s="108" t="str">
        <f t="array" ref="W103">IF(ISNUMBER(AC103),INDEX('All Player Data Store'!$S$7:$S$594,SMALL(IF('All Player Data Store'!$Y$7:$Y$594=AC103,ROW('All Player Data Store'!$Y$7:$Y$594)-ROW('All Player Data Store'!$Y$7)+1),COUNTIF($AC$8:AC103,AC103))),"")</f>
        <v/>
      </c>
      <c r="X103" s="108" t="str">
        <f t="array" ref="X103">IF(ISNUMBER(AC103),INDEX('All Player Data Store'!$T$7:$T$594,SMALL(IF('All Player Data Store'!$Y$7:$Y$594=AC103,ROW('All Player Data Store'!$Y$7:$Y$594)-ROW('All Player Data Store'!$Y$7)+1),COUNTIF($AC$8:AC103,AC103))),"")</f>
        <v/>
      </c>
      <c r="Y103" s="108" t="str">
        <f t="array" ref="Y103">IF(ISNUMBER(AC103),INDEX('All Player Data Store'!$U$7:$U$594,SMALL(IF('All Player Data Store'!$Y$7:$Y$594=AC103,ROW('All Player Data Store'!$Y$7:$Y$594)-ROW('All Player Data Store'!$Y$7)+1),COUNTIF($AC$8:AC103,AC103))),"")</f>
        <v/>
      </c>
      <c r="Z103" s="108" t="str">
        <f t="array" ref="Z103">IF(ISNUMBER(AC103),INDEX('All Player Data Store'!$V$7:$V$594,SMALL(IF('All Player Data Store'!$Y$7:$Y$594=AC103,ROW('All Player Data Store'!$Y$7:$Y$594)-ROW('All Player Data Store'!$Y$7)+1),COUNTIF($AC$8:AC103,AC103))),"")</f>
        <v/>
      </c>
      <c r="AA103" s="112">
        <f t="array" ref="AA103">IF(ISNUMBER(AC103),INDEX('All Player Data Store'!$W$7:$W$594,SMALL(IF('All Player Data Store'!$Y$7:$Y$594=AC103,ROW('All Player Data Store'!$Y$7:$Y$594)-ROW('All Player Data Store'!$Y$7)+1),COUNTIF($AC$8:AC103,AC103))),"")</f>
        <v>1</v>
      </c>
      <c r="AB103" s="108">
        <f t="array" ref="AB103">IF(ISNUMBER(AC103),INDEX('All Player Data Store'!$X$7:$X$594,SMALL(IF('All Player Data Store'!$Y$7:$Y$594=AC103,ROW('All Player Data Store'!$Y$7:$Y$594)-ROW('All Player Data Store'!$Y$7)+1),COUNTIF($AC$8:AC103,AC103))),"")</f>
        <v>21.68</v>
      </c>
      <c r="AC103" s="115">
        <f>IF(ISERROR(IF(ISERROR(LARGE('All Player Data Store'!$Y$7:$Y$594,96)),"",(LARGE('All Player Data Store'!$Y$7:$Y$594,96)))),"",(IF(ISERROR(LARGE('All Player Data Store'!$Y$7:$Y$594,96)),"",(LARGE('All Player Data Store'!$Y$7:$Y$594,96)))))</f>
        <v>23.68</v>
      </c>
      <c r="AD103" s="106">
        <f t="shared" si="2"/>
        <v>3</v>
      </c>
      <c r="AE103" s="107" t="str">
        <f t="array" ref="AE103">IF(ISNUMBER(AC103),INDEX('All Player Data Store'!$J$8:$J$594,SMALL(IF('All Player Data Store'!$Y$7:$Y$594=AC103,ROW('All Player Data Store'!$Y$7:$Y$594)-ROW('All Player Data Store'!$Y$7)+1),COUNTIF($AC$8:AC103,AC103))),"")</f>
        <v/>
      </c>
      <c r="AF103" s="108" t="str">
        <f t="shared" si="3"/>
        <v/>
      </c>
      <c r="AG103" s="108" t="str">
        <f t="array" ref="AG103">IF(ISNUMBER(AC103),INDEX('All Player Data Store'!$K$8:$K$594,SMALL(IF('All Player Data Store'!$Y$7:$Y$594=AC103,ROW('All Player Data Store'!$Y$7:$Y$594)-ROW('All Player Data Store'!$Y$7)+1),COUNTIF($AC$8:AC103,AC103))),"")</f>
        <v>4*3(1)</v>
      </c>
      <c r="AH103" s="108">
        <f t="shared" si="4"/>
        <v>25.63</v>
      </c>
      <c r="AI103" s="108" t="str">
        <f t="array" ref="AI103">IF(ISNUMBER(AC103),INDEX('All Player Data Store'!$L$8:$L$594,SMALL(IF('All Player Data Store'!$Y$7:$Y$594=AC103,ROW('All Player Data Store'!$Y$7:$Y$594)-ROW('All Player Data Store'!$Y$7)+1),COUNTIF($AC$8:AC103,AC103))),"")</f>
        <v>4*0</v>
      </c>
      <c r="AJ103" s="108">
        <f t="shared" si="5"/>
        <v>19.73</v>
      </c>
      <c r="AK103" s="108" t="str">
        <f t="array" ref="AK103">IF(ISNUMBER(AC103),INDEX('All Player Data Store'!$M$8:$M$594,SMALL(IF('All Player Data Store'!$Y$7:$Y$594=AC103,ROW('All Player Data Store'!$Y$7:$Y$594)-ROW('All Player Data Store'!$Y$7)+1),COUNTIF($AC$8:AC103,AC103))),"")</f>
        <v/>
      </c>
      <c r="AL103" s="108" t="str">
        <f t="shared" si="6"/>
        <v/>
      </c>
      <c r="AM103" s="108" t="str">
        <f t="array" ref="AM103">IF(ISNUMBER(AC103),INDEX('All Player Data Store'!$N$8:$N$594,SMALL(IF('All Player Data Store'!$Y$7:$Y$594=AC103,ROW('All Player Data Store'!$Y$7:$Y$594)-ROW('All Player Data Store'!$Y$7)+1),COUNTIF($AC$8:AC103,AC103))),"")</f>
        <v/>
      </c>
      <c r="AN103" s="108" t="str">
        <f t="shared" si="7"/>
        <v/>
      </c>
      <c r="AO103" s="108" t="str">
        <f t="array" ref="AO103">IF(ISNUMBER(AC103),INDEX('All Player Data Store'!$O$8:$O$594,SMALL(IF('All Player Data Store'!$Y$7:$Y$594=AC103,ROW('All Player Data Store'!$Y$7:$Y$594)-ROW('All Player Data Store'!$Y$7)+1),COUNTIF($AC$8:AC103,AC103))),"")</f>
        <v/>
      </c>
      <c r="AP103" s="108" t="str">
        <f t="shared" si="8"/>
        <v/>
      </c>
      <c r="AQ103" s="108" t="str">
        <f t="array" ref="AQ103">IF(ISNUMBER(AC103),INDEX('All Player Data Store'!$P$8:$P$594,SMALL(IF('All Player Data Store'!$Y$7:$Y$594=AC103,ROW('All Player Data Store'!$Y$7:$Y$594)-ROW('All Player Data Store'!$Y$7)+1),COUNTIF($AC$8:AC103,AC103))),"")</f>
        <v/>
      </c>
      <c r="AR103" s="108" t="str">
        <f t="shared" si="9"/>
        <v/>
      </c>
      <c r="AS103" s="108" t="str">
        <f t="array" ref="AS103">IF(ISNUMBER(AC103),INDEX('All Player Data Store'!$Q$8:$Q$594,SMALL(IF('All Player Data Store'!$Y$7:$Y$594=AC103,ROW('All Player Data Store'!$Y$7:$Y$594)-ROW('All Player Data Store'!$Y$7)+1),COUNTIF($AC$8:AC103,AC103))),"")</f>
        <v/>
      </c>
      <c r="AT103" s="108" t="str">
        <f t="shared" si="10"/>
        <v/>
      </c>
      <c r="AU103" s="108" t="str">
        <f t="array" ref="AU103">IF(ISNUMBER(AC103),INDEX('All Player Data Store'!$R$8:$R$594,SMALL(IF('All Player Data Store'!$Y$7:$Y$594=AC103,ROW('All Player Data Store'!$Y$7:$Y$594)-ROW('All Player Data Store'!$Y$7)+1),COUNTIF($AC$8:AC103,AC103))),"")</f>
        <v/>
      </c>
      <c r="AV103" s="108" t="str">
        <f t="shared" si="11"/>
        <v/>
      </c>
      <c r="AW103" s="108" t="str">
        <f t="array" ref="AW103">IF(ISNUMBER(AC103),INDEX('All Player Data Store'!$S$8:$S$594,SMALL(IF('All Player Data Store'!$Y$7:$Y$594=AC103,ROW('All Player Data Store'!$Y$7:$Y$594)-ROW('All Player Data Store'!$Y$7)+1),COUNTIF($AC$8:AC103,AC103))),"")</f>
        <v/>
      </c>
      <c r="AX103" s="108" t="str">
        <f t="shared" si="12"/>
        <v/>
      </c>
      <c r="AY103" s="108" t="str">
        <f t="array" ref="AY103">IF(ISNUMBER(AC103),INDEX('All Player Data Store'!$T$8:$T$594,SMALL(IF('All Player Data Store'!$Y$7:$Y$594=AC103,ROW('All Player Data Store'!$Y$7:$Y$594)-ROW('All Player Data Store'!$Y$7)+1),COUNTIF($AC$8:AC103,AC103))),"")</f>
        <v/>
      </c>
      <c r="AZ103" s="108" t="str">
        <f t="shared" si="13"/>
        <v/>
      </c>
      <c r="BA103" s="108" t="str">
        <f t="array" ref="BA103">IF(ISNUMBER(AC103),INDEX('All Player Data Store'!$U$8:$U$594,SMALL(IF('All Player Data Store'!$Y$7:$Y$594=AC103,ROW('All Player Data Store'!$Y$7:$Y$594)-ROW('All Player Data Store'!$Y$7)+1),COUNTIF($AC$8:AC103,AC103))),"")</f>
        <v/>
      </c>
      <c r="BB103" s="108" t="str">
        <f t="shared" si="14"/>
        <v/>
      </c>
      <c r="BC103" s="108" t="str">
        <f t="array" ref="BC103">IF(ISNUMBER(AC103),INDEX('All Player Data Store'!$V$8:$V$594,SMALL(IF('All Player Data Store'!$Y$7:$Y$594=AC103,ROW('All Player Data Store'!$Y$7:$Y$594)-ROW('All Player Data Store'!$Y$7)+1),COUNTIF($AC$8:AC103,AC103))),"")</f>
        <v/>
      </c>
      <c r="BD103" s="108" t="str">
        <f t="shared" si="15"/>
        <v/>
      </c>
      <c r="BE103" s="1"/>
    </row>
    <row r="104" spans="2:57" ht="12" customHeight="1" x14ac:dyDescent="0.2">
      <c r="B104" s="98" t="str">
        <f t="shared" si="0"/>
        <v>N</v>
      </c>
      <c r="C104" s="1"/>
      <c r="D104" s="68">
        <f t="shared" si="1"/>
        <v>97</v>
      </c>
      <c r="E104" s="2"/>
      <c r="F104" s="78">
        <v>98</v>
      </c>
      <c r="G104" s="110" t="str">
        <f t="array" ref="G104">IF(ISNUMBER(AC104),INDEX('All Player Data Store'!$C$7:$C$594,SMALL(IF('All Player Data Store'!$Y$7:$Y$594=AC104,ROW('All Player Data Store'!$Y$7:$Y$594)-ROW('All Player Data Store'!$Y$7)+1),COUNTIF($AC$8:AC104,AC104))),"")</f>
        <v>Danny Aplin</v>
      </c>
      <c r="H104" s="111" t="str">
        <f t="array" ref="H104">IF(ISNUMBER(AC104),INDEX('All Player Data Store'!$D$7:$D$594,SMALL(IF('All Player Data Store'!$Y$7:$Y$594=AC104,ROW('All Player Data Store'!$Y$7:$Y$594)-ROW('All Player Data Store'!$Y$7)+1),COUNTIF($AC$8:AC104,AC104))),"")</f>
        <v>Lyt</v>
      </c>
      <c r="I104" s="69">
        <f t="array" ref="I104">IF(ISNUMBER(AC104),INDEX('All Player Data Store'!$E$7:$E$594,SMALL(IF('All Player Data Store'!$Y$7:$Y$594=AC104,ROW('All Player Data Store'!$Y$7:$Y$594)-ROW('All Player Data Store'!$Y$7)+1),COUNTIF($AC$8:AC104,AC104))),"")</f>
        <v>1</v>
      </c>
      <c r="J104" s="70">
        <f t="array" ref="J104">IF(ISNUMBER(AC104),INDEX('All Player Data Store'!$F$7:$F$594,SMALL(IF('All Player Data Store'!$Y$7:$Y$594=AC104,ROW('All Player Data Store'!$Y$7:$Y$594)-ROW('All Player Data Store'!$Y$7)+1),COUNTIF($AC$8:AC104,AC104))),"")</f>
        <v>1</v>
      </c>
      <c r="K104" s="112" t="str">
        <f t="array" ref="K104">IF(ISNUMBER(AC104),INDEX('All Player Data Store'!$G$7:$G$594,SMALL(IF('All Player Data Store'!$Y$7:$Y$594=AC104,ROW('All Player Data Store'!$Y$7:$Y$594)-ROW('All Player Data Store'!$Y$7)+1),COUNTIF($AC$8:AC104,AC104))),"")</f>
        <v/>
      </c>
      <c r="L104" s="112">
        <f t="array" ref="L104">IF(ISNUMBER(AC104),INDEX('All Player Data Store'!$H$7:$H$594,SMALL(IF('All Player Data Store'!$Y$7:$Y$594=AC104,ROW('All Player Data Store'!$Y$7:$Y$594)-ROW('All Player Data Store'!$Y$7)+1),COUNTIF($AC$8:AC104,AC104))),"")</f>
        <v>4</v>
      </c>
      <c r="M104" s="113" t="str">
        <f t="array" ref="M104">IF(ISNUMBER(AC104),INDEX('All Player Data Store'!$I$7:$I$594,SMALL(IF('All Player Data Store'!$Y$7:$Y$594=AC104,ROW('All Player Data Store'!$Y$7:$Y$594)-ROW('All Player Data Store'!$Y$7)+1),COUNTIF($AC$8:AC104,AC104))),"")</f>
        <v/>
      </c>
      <c r="N104" s="114" t="str">
        <f t="array" ref="N104">IF(ISNUMBER(AC104),INDEX('All Player Data Store'!$J$7:$J$594,SMALL(IF('All Player Data Store'!$Y$7:$Y$594=AC104,ROW('All Player Data Store'!$Y$7:$Y$594)-ROW('All Player Data Store'!$Y$7)+1),COUNTIF($AC$8:AC104,AC104))),"")</f>
        <v/>
      </c>
      <c r="O104" s="108" t="str">
        <f t="array" ref="O104">IF(ISNUMBER(AC104),INDEX('All Player Data Store'!$K$7:$K$594,SMALL(IF('All Player Data Store'!$Y$7:$Y$594=AC104,ROW('All Player Data Store'!$Y$7:$Y$594)-ROW('All Player Data Store'!$Y$7)+1),COUNTIF($AC$8:AC104,AC104))),"")</f>
        <v/>
      </c>
      <c r="P104" s="108" t="str">
        <f t="array" ref="P104">IF(ISNUMBER(AC104),INDEX('All Player Data Store'!$L$7:$L$594,SMALL(IF('All Player Data Store'!$Y$7:$Y$594=AC104,ROW('All Player Data Store'!$Y$7:$Y$594)-ROW('All Player Data Store'!$Y$7)+1),COUNTIF($AC$8:AC104,AC104))),"")</f>
        <v/>
      </c>
      <c r="Q104" s="108" t="str">
        <f t="array" ref="Q104">IF(ISNUMBER(AC104),INDEX('All Player Data Store'!$M$7:$M$594,SMALL(IF('All Player Data Store'!$Y$7:$Y$594=AC104,ROW('All Player Data Store'!$Y$7:$Y$594)-ROW('All Player Data Store'!$Y$7)+1),COUNTIF($AC$8:AC104,AC104))),"")</f>
        <v/>
      </c>
      <c r="R104" s="108" t="str">
        <f t="array" ref="R104">IF(ISNUMBER(AC104),INDEX('All Player Data Store'!$N$7:$N$594,SMALL(IF('All Player Data Store'!$Y$7:$Y$594=AC104,ROW('All Player Data Store'!$Y$7:$Y$594)-ROW('All Player Data Store'!$Y$7)+1),COUNTIF($AC$8:AC104,AC104))),"")</f>
        <v/>
      </c>
      <c r="S104" s="108" t="str">
        <f t="array" ref="S104">IF(ISNUMBER(AC104),INDEX('All Player Data Store'!$O$7:$O$594,SMALL(IF('All Player Data Store'!$Y$7:$Y$594=AC104,ROW('All Player Data Store'!$Y$7:$Y$594)-ROW('All Player Data Store'!$Y$7)+1),COUNTIF($AC$8:AC104,AC104))),"")</f>
        <v/>
      </c>
      <c r="T104" s="108" t="str">
        <f t="array" ref="T104">IF(ISNUMBER(AC104),INDEX('All Player Data Store'!$P$7:$P$594,SMALL(IF('All Player Data Store'!$Y$7:$Y$594=AC104,ROW('All Player Data Store'!$Y$7:$Y$594)-ROW('All Player Data Store'!$Y$7)+1),COUNTIF($AC$8:AC104,AC104))),"")</f>
        <v/>
      </c>
      <c r="U104" s="108" t="str">
        <f t="array" ref="U104">IF(ISNUMBER(AC104),INDEX('All Player Data Store'!$Q$7:$Q$594,SMALL(IF('All Player Data Store'!$Y$7:$Y$594=AC104,ROW('All Player Data Store'!$Y$7:$Y$594)-ROW('All Player Data Store'!$Y$7)+1),COUNTIF($AC$8:AC104,AC104))),"")</f>
        <v/>
      </c>
      <c r="V104" s="108">
        <f t="array" ref="V104">IF(ISNUMBER(AC104),INDEX('All Player Data Store'!$R$7:$R$594,SMALL(IF('All Player Data Store'!$Y$7:$Y$594=AC104,ROW('All Player Data Store'!$Y$7:$Y$594)-ROW('All Player Data Store'!$Y$7)+1),COUNTIF($AC$8:AC104,AC104))),"")</f>
        <v>22.52</v>
      </c>
      <c r="W104" s="108" t="str">
        <f t="array" ref="W104">IF(ISNUMBER(AC104),INDEX('All Player Data Store'!$S$7:$S$594,SMALL(IF('All Player Data Store'!$Y$7:$Y$594=AC104,ROW('All Player Data Store'!$Y$7:$Y$594)-ROW('All Player Data Store'!$Y$7)+1),COUNTIF($AC$8:AC104,AC104))),"")</f>
        <v/>
      </c>
      <c r="X104" s="108" t="str">
        <f t="array" ref="X104">IF(ISNUMBER(AC104),INDEX('All Player Data Store'!$T$7:$T$594,SMALL(IF('All Player Data Store'!$Y$7:$Y$594=AC104,ROW('All Player Data Store'!$Y$7:$Y$594)-ROW('All Player Data Store'!$Y$7)+1),COUNTIF($AC$8:AC104,AC104))),"")</f>
        <v/>
      </c>
      <c r="Y104" s="108" t="str">
        <f t="array" ref="Y104">IF(ISNUMBER(AC104),INDEX('All Player Data Store'!$U$7:$U$594,SMALL(IF('All Player Data Store'!$Y$7:$Y$594=AC104,ROW('All Player Data Store'!$Y$7:$Y$594)-ROW('All Player Data Store'!$Y$7)+1),COUNTIF($AC$8:AC104,AC104))),"")</f>
        <v/>
      </c>
      <c r="Z104" s="108" t="str">
        <f t="array" ref="Z104">IF(ISNUMBER(AC104),INDEX('All Player Data Store'!$V$7:$V$594,SMALL(IF('All Player Data Store'!$Y$7:$Y$594=AC104,ROW('All Player Data Store'!$Y$7:$Y$594)-ROW('All Player Data Store'!$Y$7)+1),COUNTIF($AC$8:AC104,AC104))),"")</f>
        <v/>
      </c>
      <c r="AA104" s="112">
        <f t="array" ref="AA104">IF(ISNUMBER(AC104),INDEX('All Player Data Store'!$W$7:$W$594,SMALL(IF('All Player Data Store'!$Y$7:$Y$594=AC104,ROW('All Player Data Store'!$Y$7:$Y$594)-ROW('All Player Data Store'!$Y$7)+1),COUNTIF($AC$8:AC104,AC104))),"")</f>
        <v>1</v>
      </c>
      <c r="AB104" s="108">
        <f t="array" ref="AB104">IF(ISNUMBER(AC104),INDEX('All Player Data Store'!$X$7:$X$594,SMALL(IF('All Player Data Store'!$Y$7:$Y$594=AC104,ROW('All Player Data Store'!$Y$7:$Y$594)-ROW('All Player Data Store'!$Y$7)+1),COUNTIF($AC$8:AC104,AC104))),"")</f>
        <v>22.52</v>
      </c>
      <c r="AC104" s="115">
        <f>IF(ISERROR(IF(ISERROR(LARGE('All Player Data Store'!$Y$7:$Y$594,97)),"",(LARGE('All Player Data Store'!$Y$7:$Y$594,97)))),"",(IF(ISERROR(LARGE('All Player Data Store'!$Y$7:$Y$594,97)),"",(LARGE('All Player Data Store'!$Y$7:$Y$594,97)))))</f>
        <v>23.52</v>
      </c>
      <c r="AD104" s="106">
        <f t="shared" si="2"/>
        <v>3</v>
      </c>
      <c r="AE104" s="107" t="str">
        <f t="array" ref="AE104">IF(ISNUMBER(AC104),INDEX('All Player Data Store'!$J$8:$J$594,SMALL(IF('All Player Data Store'!$Y$7:$Y$594=AC104,ROW('All Player Data Store'!$Y$7:$Y$594)-ROW('All Player Data Store'!$Y$7)+1),COUNTIF($AC$8:AC104,AC104))),"")</f>
        <v/>
      </c>
      <c r="AF104" s="108" t="str">
        <f t="shared" si="3"/>
        <v/>
      </c>
      <c r="AG104" s="108" t="str">
        <f t="array" ref="AG104">IF(ISNUMBER(AC104),INDEX('All Player Data Store'!$K$8:$K$594,SMALL(IF('All Player Data Store'!$Y$7:$Y$594=AC104,ROW('All Player Data Store'!$Y$7:$Y$594)-ROW('All Player Data Store'!$Y$7)+1),COUNTIF($AC$8:AC104,AC104))),"")</f>
        <v/>
      </c>
      <c r="AH104" s="108" t="str">
        <f t="shared" si="4"/>
        <v/>
      </c>
      <c r="AI104" s="108" t="str">
        <f t="array" ref="AI104">IF(ISNUMBER(AC104),INDEX('All Player Data Store'!$L$8:$L$594,SMALL(IF('All Player Data Store'!$Y$7:$Y$594=AC104,ROW('All Player Data Store'!$Y$7:$Y$594)-ROW('All Player Data Store'!$Y$7)+1),COUNTIF($AC$8:AC104,AC104))),"")</f>
        <v/>
      </c>
      <c r="AJ104" s="108" t="str">
        <f t="shared" si="5"/>
        <v/>
      </c>
      <c r="AK104" s="108" t="str">
        <f t="array" ref="AK104">IF(ISNUMBER(AC104),INDEX('All Player Data Store'!$M$8:$M$594,SMALL(IF('All Player Data Store'!$Y$7:$Y$594=AC104,ROW('All Player Data Store'!$Y$7:$Y$594)-ROW('All Player Data Store'!$Y$7)+1),COUNTIF($AC$8:AC104,AC104))),"")</f>
        <v/>
      </c>
      <c r="AL104" s="108" t="str">
        <f t="shared" si="6"/>
        <v/>
      </c>
      <c r="AM104" s="108" t="str">
        <f t="array" ref="AM104">IF(ISNUMBER(AC104),INDEX('All Player Data Store'!$N$8:$N$594,SMALL(IF('All Player Data Store'!$Y$7:$Y$594=AC104,ROW('All Player Data Store'!$Y$7:$Y$594)-ROW('All Player Data Store'!$Y$7)+1),COUNTIF($AC$8:AC104,AC104))),"")</f>
        <v/>
      </c>
      <c r="AN104" s="108" t="str">
        <f t="shared" si="7"/>
        <v/>
      </c>
      <c r="AO104" s="108" t="str">
        <f t="array" ref="AO104">IF(ISNUMBER(AC104),INDEX('All Player Data Store'!$O$8:$O$594,SMALL(IF('All Player Data Store'!$Y$7:$Y$594=AC104,ROW('All Player Data Store'!$Y$7:$Y$594)-ROW('All Player Data Store'!$Y$7)+1),COUNTIF($AC$8:AC104,AC104))),"")</f>
        <v/>
      </c>
      <c r="AP104" s="108" t="str">
        <f t="shared" si="8"/>
        <v/>
      </c>
      <c r="AQ104" s="108" t="str">
        <f t="array" ref="AQ104">IF(ISNUMBER(AC104),INDEX('All Player Data Store'!$P$8:$P$594,SMALL(IF('All Player Data Store'!$Y$7:$Y$594=AC104,ROW('All Player Data Store'!$Y$7:$Y$594)-ROW('All Player Data Store'!$Y$7)+1),COUNTIF($AC$8:AC104,AC104))),"")</f>
        <v/>
      </c>
      <c r="AR104" s="108" t="str">
        <f t="shared" si="9"/>
        <v/>
      </c>
      <c r="AS104" s="108" t="str">
        <f t="array" ref="AS104">IF(ISNUMBER(AC104),INDEX('All Player Data Store'!$Q$8:$Q$594,SMALL(IF('All Player Data Store'!$Y$7:$Y$594=AC104,ROW('All Player Data Store'!$Y$7:$Y$594)-ROW('All Player Data Store'!$Y$7)+1),COUNTIF($AC$8:AC104,AC104))),"")</f>
        <v/>
      </c>
      <c r="AT104" s="108" t="str">
        <f t="shared" si="10"/>
        <v/>
      </c>
      <c r="AU104" s="108" t="str">
        <f t="array" ref="AU104">IF(ISNUMBER(AC104),INDEX('All Player Data Store'!$R$8:$R$594,SMALL(IF('All Player Data Store'!$Y$7:$Y$594=AC104,ROW('All Player Data Store'!$Y$7:$Y$594)-ROW('All Player Data Store'!$Y$7)+1),COUNTIF($AC$8:AC104,AC104))),"")</f>
        <v>4*0(1)</v>
      </c>
      <c r="AV104" s="108">
        <f t="shared" si="11"/>
        <v>23.52</v>
      </c>
      <c r="AW104" s="108" t="str">
        <f t="array" ref="AW104">IF(ISNUMBER(AC104),INDEX('All Player Data Store'!$S$8:$S$594,SMALL(IF('All Player Data Store'!$Y$7:$Y$594=AC104,ROW('All Player Data Store'!$Y$7:$Y$594)-ROW('All Player Data Store'!$Y$7)+1),COUNTIF($AC$8:AC104,AC104))),"")</f>
        <v/>
      </c>
      <c r="AX104" s="108" t="str">
        <f t="shared" si="12"/>
        <v/>
      </c>
      <c r="AY104" s="108" t="str">
        <f t="array" ref="AY104">IF(ISNUMBER(AC104),INDEX('All Player Data Store'!$T$8:$T$594,SMALL(IF('All Player Data Store'!$Y$7:$Y$594=AC104,ROW('All Player Data Store'!$Y$7:$Y$594)-ROW('All Player Data Store'!$Y$7)+1),COUNTIF($AC$8:AC104,AC104))),"")</f>
        <v/>
      </c>
      <c r="AZ104" s="108" t="str">
        <f t="shared" si="13"/>
        <v/>
      </c>
      <c r="BA104" s="108" t="str">
        <f t="array" ref="BA104">IF(ISNUMBER(AC104),INDEX('All Player Data Store'!$U$8:$U$594,SMALL(IF('All Player Data Store'!$Y$7:$Y$594=AC104,ROW('All Player Data Store'!$Y$7:$Y$594)-ROW('All Player Data Store'!$Y$7)+1),COUNTIF($AC$8:AC104,AC104))),"")</f>
        <v/>
      </c>
      <c r="BB104" s="108" t="str">
        <f t="shared" si="14"/>
        <v/>
      </c>
      <c r="BC104" s="108" t="str">
        <f t="array" ref="BC104">IF(ISNUMBER(AC104),INDEX('All Player Data Store'!$V$8:$V$594,SMALL(IF('All Player Data Store'!$Y$7:$Y$594=AC104,ROW('All Player Data Store'!$Y$7:$Y$594)-ROW('All Player Data Store'!$Y$7)+1),COUNTIF($AC$8:AC104,AC104))),"")</f>
        <v/>
      </c>
      <c r="BD104" s="108" t="str">
        <f t="shared" si="15"/>
        <v/>
      </c>
      <c r="BE104" s="1"/>
    </row>
    <row r="105" spans="2:57" ht="12" customHeight="1" x14ac:dyDescent="0.2">
      <c r="B105" s="98" t="str">
        <f t="shared" si="0"/>
        <v>N</v>
      </c>
      <c r="C105" s="1"/>
      <c r="D105" s="68">
        <f t="shared" si="1"/>
        <v>98</v>
      </c>
      <c r="E105" s="2"/>
      <c r="F105" s="78">
        <v>99</v>
      </c>
      <c r="G105" s="110" t="str">
        <f t="array" ref="G105">IF(ISNUMBER(AC105),INDEX('All Player Data Store'!$C$7:$C$594,SMALL(IF('All Player Data Store'!$Y$7:$Y$594=AC105,ROW('All Player Data Store'!$Y$7:$Y$594)-ROW('All Player Data Store'!$Y$7)+1),COUNTIF($AC$8:AC105,AC105))),"")</f>
        <v xml:space="preserve">Tom Moon </v>
      </c>
      <c r="H105" s="111" t="str">
        <f t="array" ref="H105">IF(ISNUMBER(AC105),INDEX('All Player Data Store'!$D$7:$D$594,SMALL(IF('All Player Data Store'!$Y$7:$Y$594=AC105,ROW('All Player Data Store'!$Y$7:$Y$594)-ROW('All Player Data Store'!$Y$7)+1),COUNTIF($AC$8:AC105,AC105))),"")</f>
        <v>Swa</v>
      </c>
      <c r="I105" s="69">
        <f t="array" ref="I105">IF(ISNUMBER(AC105),INDEX('All Player Data Store'!$E$7:$E$594,SMALL(IF('All Player Data Store'!$Y$7:$Y$594=AC105,ROW('All Player Data Store'!$Y$7:$Y$594)-ROW('All Player Data Store'!$Y$7)+1),COUNTIF($AC$8:AC105,AC105))),"")</f>
        <v>2</v>
      </c>
      <c r="J105" s="70">
        <f t="array" ref="J105">IF(ISNUMBER(AC105),INDEX('All Player Data Store'!$F$7:$F$594,SMALL(IF('All Player Data Store'!$Y$7:$Y$594=AC105,ROW('All Player Data Store'!$Y$7:$Y$594)-ROW('All Player Data Store'!$Y$7)+1),COUNTIF($AC$8:AC105,AC105))),"")</f>
        <v>1</v>
      </c>
      <c r="K105" s="112">
        <f t="array" ref="K105">IF(ISNUMBER(AC105),INDEX('All Player Data Store'!$G$7:$G$594,SMALL(IF('All Player Data Store'!$Y$7:$Y$594=AC105,ROW('All Player Data Store'!$Y$7:$Y$594)-ROW('All Player Data Store'!$Y$7)+1),COUNTIF($AC$8:AC105,AC105))),"")</f>
        <v>1</v>
      </c>
      <c r="L105" s="112">
        <f t="array" ref="L105">IF(ISNUMBER(AC105),INDEX('All Player Data Store'!$H$7:$H$594,SMALL(IF('All Player Data Store'!$Y$7:$Y$594=AC105,ROW('All Player Data Store'!$Y$7:$Y$594)-ROW('All Player Data Store'!$Y$7)+1),COUNTIF($AC$8:AC105,AC105))),"")</f>
        <v>6</v>
      </c>
      <c r="M105" s="113">
        <f t="array" ref="M105">IF(ISNUMBER(AC105),INDEX('All Player Data Store'!$I$7:$I$594,SMALL(IF('All Player Data Store'!$Y$7:$Y$594=AC105,ROW('All Player Data Store'!$Y$7:$Y$594)-ROW('All Player Data Store'!$Y$7)+1),COUNTIF($AC$8:AC105,AC105))),"")</f>
        <v>7</v>
      </c>
      <c r="N105" s="114" t="str">
        <f t="array" ref="N105">IF(ISNUMBER(AC105),INDEX('All Player Data Store'!$J$7:$J$594,SMALL(IF('All Player Data Store'!$Y$7:$Y$594=AC105,ROW('All Player Data Store'!$Y$7:$Y$594)-ROW('All Player Data Store'!$Y$7)+1),COUNTIF($AC$8:AC105,AC105))),"")</f>
        <v/>
      </c>
      <c r="O105" s="108" t="str">
        <f t="array" ref="O105">IF(ISNUMBER(AC105),INDEX('All Player Data Store'!$K$7:$K$594,SMALL(IF('All Player Data Store'!$Y$7:$Y$594=AC105,ROW('All Player Data Store'!$Y$7:$Y$594)-ROW('All Player Data Store'!$Y$7)+1),COUNTIF($AC$8:AC105,AC105))),"")</f>
        <v/>
      </c>
      <c r="P105" s="108" t="str">
        <f t="array" ref="P105">IF(ISNUMBER(AC105),INDEX('All Player Data Store'!$L$7:$L$594,SMALL(IF('All Player Data Store'!$Y$7:$Y$594=AC105,ROW('All Player Data Store'!$Y$7:$Y$594)-ROW('All Player Data Store'!$Y$7)+1),COUNTIF($AC$8:AC105,AC105))),"")</f>
        <v/>
      </c>
      <c r="Q105" s="108" t="str">
        <f t="array" ref="Q105">IF(ISNUMBER(AC105),INDEX('All Player Data Store'!$M$7:$M$594,SMALL(IF('All Player Data Store'!$Y$7:$Y$594=AC105,ROW('All Player Data Store'!$Y$7:$Y$594)-ROW('All Player Data Store'!$Y$7)+1),COUNTIF($AC$8:AC105,AC105))),"")</f>
        <v/>
      </c>
      <c r="R105" s="108" t="str">
        <f t="array" ref="R105">IF(ISNUMBER(AC105),INDEX('All Player Data Store'!$N$7:$N$594,SMALL(IF('All Player Data Store'!$Y$7:$Y$594=AC105,ROW('All Player Data Store'!$Y$7:$Y$594)-ROW('All Player Data Store'!$Y$7)+1),COUNTIF($AC$8:AC105,AC105))),"")</f>
        <v/>
      </c>
      <c r="S105" s="108" t="str">
        <f t="array" ref="S105">IF(ISNUMBER(AC105),INDEX('All Player Data Store'!$O$7:$O$594,SMALL(IF('All Player Data Store'!$Y$7:$Y$594=AC105,ROW('All Player Data Store'!$Y$7:$Y$594)-ROW('All Player Data Store'!$Y$7)+1),COUNTIF($AC$8:AC105,AC105))),"")</f>
        <v/>
      </c>
      <c r="T105" s="108" t="str">
        <f t="array" ref="T105">IF(ISNUMBER(AC105),INDEX('All Player Data Store'!$P$7:$P$594,SMALL(IF('All Player Data Store'!$Y$7:$Y$594=AC105,ROW('All Player Data Store'!$Y$7:$Y$594)-ROW('All Player Data Store'!$Y$7)+1),COUNTIF($AC$8:AC105,AC105))),"")</f>
        <v/>
      </c>
      <c r="U105" s="108" t="str">
        <f t="array" ref="U105">IF(ISNUMBER(AC105),INDEX('All Player Data Store'!$Q$7:$Q$594,SMALL(IF('All Player Data Store'!$Y$7:$Y$594=AC105,ROW('All Player Data Store'!$Y$7:$Y$594)-ROW('All Player Data Store'!$Y$7)+1),COUNTIF($AC$8:AC105,AC105))),"")</f>
        <v/>
      </c>
      <c r="V105" s="108" t="str">
        <f t="array" ref="V105">IF(ISNUMBER(AC105),INDEX('All Player Data Store'!$R$7:$R$594,SMALL(IF('All Player Data Store'!$Y$7:$Y$594=AC105,ROW('All Player Data Store'!$Y$7:$Y$594)-ROW('All Player Data Store'!$Y$7)+1),COUNTIF($AC$8:AC105,AC105))),"")</f>
        <v/>
      </c>
      <c r="W105" s="108">
        <f t="array" ref="W105">IF(ISNUMBER(AC105),INDEX('All Player Data Store'!$S$7:$S$594,SMALL(IF('All Player Data Store'!$Y$7:$Y$594=AC105,ROW('All Player Data Store'!$Y$7:$Y$594)-ROW('All Player Data Store'!$Y$7)+1),COUNTIF($AC$8:AC105,AC105))),"")</f>
        <v>23.04</v>
      </c>
      <c r="X105" s="108">
        <f t="array" ref="X105">IF(ISNUMBER(AC105),INDEX('All Player Data Store'!$T$7:$T$594,SMALL(IF('All Player Data Store'!$Y$7:$Y$594=AC105,ROW('All Player Data Store'!$Y$7:$Y$594)-ROW('All Player Data Store'!$Y$7)+1),COUNTIF($AC$8:AC105,AC105))),"")</f>
        <v>21.7</v>
      </c>
      <c r="Y105" s="108" t="str">
        <f t="array" ref="Y105">IF(ISNUMBER(AC105),INDEX('All Player Data Store'!$U$7:$U$594,SMALL(IF('All Player Data Store'!$Y$7:$Y$594=AC105,ROW('All Player Data Store'!$Y$7:$Y$594)-ROW('All Player Data Store'!$Y$7)+1),COUNTIF($AC$8:AC105,AC105))),"")</f>
        <v/>
      </c>
      <c r="Z105" s="108" t="str">
        <f t="array" ref="Z105">IF(ISNUMBER(AC105),INDEX('All Player Data Store'!$V$7:$V$594,SMALL(IF('All Player Data Store'!$Y$7:$Y$594=AC105,ROW('All Player Data Store'!$Y$7:$Y$594)-ROW('All Player Data Store'!$Y$7)+1),COUNTIF($AC$8:AC105,AC105))),"")</f>
        <v/>
      </c>
      <c r="AA105" s="112" t="str">
        <f t="array" ref="AA105">IF(ISNUMBER(AC105),INDEX('All Player Data Store'!$W$7:$W$594,SMALL(IF('All Player Data Store'!$Y$7:$Y$594=AC105,ROW('All Player Data Store'!$Y$7:$Y$594)-ROW('All Player Data Store'!$Y$7)+1),COUNTIF($AC$8:AC105,AC105))),"")</f>
        <v/>
      </c>
      <c r="AB105" s="108">
        <f t="array" ref="AB105">IF(ISNUMBER(AC105),INDEX('All Player Data Store'!$X$7:$X$594,SMALL(IF('All Player Data Store'!$Y$7:$Y$594=AC105,ROW('All Player Data Store'!$Y$7:$Y$594)-ROW('All Player Data Store'!$Y$7)+1),COUNTIF($AC$8:AC105,AC105))),"")</f>
        <v>22.369999999999997</v>
      </c>
      <c r="AC105" s="115">
        <f>IF(ISERROR(IF(ISERROR(LARGE('All Player Data Store'!$Y$7:$Y$594,98)),"",(LARGE('All Player Data Store'!$Y$7:$Y$594,98)))),"",(IF(ISERROR(LARGE('All Player Data Store'!$Y$7:$Y$594,98)),"",(LARGE('All Player Data Store'!$Y$7:$Y$594,98)))))</f>
        <v>23.369999999999997</v>
      </c>
      <c r="AD105" s="106">
        <f t="shared" si="2"/>
        <v>3</v>
      </c>
      <c r="AE105" s="107" t="str">
        <f t="array" ref="AE105">IF(ISNUMBER(AC105),INDEX('All Player Data Store'!$J$8:$J$594,SMALL(IF('All Player Data Store'!$Y$7:$Y$594=AC105,ROW('All Player Data Store'!$Y$7:$Y$594)-ROW('All Player Data Store'!$Y$7)+1),COUNTIF($AC$8:AC105,AC105))),"")</f>
        <v/>
      </c>
      <c r="AF105" s="108" t="str">
        <f t="shared" si="3"/>
        <v/>
      </c>
      <c r="AG105" s="108" t="str">
        <f t="array" ref="AG105">IF(ISNUMBER(AC105),INDEX('All Player Data Store'!$K$8:$K$594,SMALL(IF('All Player Data Store'!$Y$7:$Y$594=AC105,ROW('All Player Data Store'!$Y$7:$Y$594)-ROW('All Player Data Store'!$Y$7)+1),COUNTIF($AC$8:AC105,AC105))),"")</f>
        <v/>
      </c>
      <c r="AH105" s="108" t="str">
        <f t="shared" si="4"/>
        <v/>
      </c>
      <c r="AI105" s="108" t="str">
        <f t="array" ref="AI105">IF(ISNUMBER(AC105),INDEX('All Player Data Store'!$L$8:$L$594,SMALL(IF('All Player Data Store'!$Y$7:$Y$594=AC105,ROW('All Player Data Store'!$Y$7:$Y$594)-ROW('All Player Data Store'!$Y$7)+1),COUNTIF($AC$8:AC105,AC105))),"")</f>
        <v/>
      </c>
      <c r="AJ105" s="108" t="str">
        <f t="shared" si="5"/>
        <v/>
      </c>
      <c r="AK105" s="108" t="str">
        <f t="array" ref="AK105">IF(ISNUMBER(AC105),INDEX('All Player Data Store'!$M$8:$M$594,SMALL(IF('All Player Data Store'!$Y$7:$Y$594=AC105,ROW('All Player Data Store'!$Y$7:$Y$594)-ROW('All Player Data Store'!$Y$7)+1),COUNTIF($AC$8:AC105,AC105))),"")</f>
        <v/>
      </c>
      <c r="AL105" s="108" t="str">
        <f t="shared" si="6"/>
        <v/>
      </c>
      <c r="AM105" s="108" t="str">
        <f t="array" ref="AM105">IF(ISNUMBER(AC105),INDEX('All Player Data Store'!$N$8:$N$594,SMALL(IF('All Player Data Store'!$Y$7:$Y$594=AC105,ROW('All Player Data Store'!$Y$7:$Y$594)-ROW('All Player Data Store'!$Y$7)+1),COUNTIF($AC$8:AC105,AC105))),"")</f>
        <v/>
      </c>
      <c r="AN105" s="108" t="str">
        <f t="shared" si="7"/>
        <v/>
      </c>
      <c r="AO105" s="108" t="str">
        <f t="array" ref="AO105">IF(ISNUMBER(AC105),INDEX('All Player Data Store'!$O$8:$O$594,SMALL(IF('All Player Data Store'!$Y$7:$Y$594=AC105,ROW('All Player Data Store'!$Y$7:$Y$594)-ROW('All Player Data Store'!$Y$7)+1),COUNTIF($AC$8:AC105,AC105))),"")</f>
        <v/>
      </c>
      <c r="AP105" s="108" t="str">
        <f t="shared" si="8"/>
        <v/>
      </c>
      <c r="AQ105" s="108" t="str">
        <f t="array" ref="AQ105">IF(ISNUMBER(AC105),INDEX('All Player Data Store'!$P$8:$P$594,SMALL(IF('All Player Data Store'!$Y$7:$Y$594=AC105,ROW('All Player Data Store'!$Y$7:$Y$594)-ROW('All Player Data Store'!$Y$7)+1),COUNTIF($AC$8:AC105,AC105))),"")</f>
        <v/>
      </c>
      <c r="AR105" s="108" t="str">
        <f t="shared" si="9"/>
        <v/>
      </c>
      <c r="AS105" s="108" t="str">
        <f t="array" ref="AS105">IF(ISNUMBER(AC105),INDEX('All Player Data Store'!$Q$8:$Q$594,SMALL(IF('All Player Data Store'!$Y$7:$Y$594=AC105,ROW('All Player Data Store'!$Y$7:$Y$594)-ROW('All Player Data Store'!$Y$7)+1),COUNTIF($AC$8:AC105,AC105))),"")</f>
        <v/>
      </c>
      <c r="AT105" s="108" t="str">
        <f t="shared" si="10"/>
        <v/>
      </c>
      <c r="AU105" s="108" t="str">
        <f t="array" ref="AU105">IF(ISNUMBER(AC105),INDEX('All Player Data Store'!$R$8:$R$594,SMALL(IF('All Player Data Store'!$Y$7:$Y$594=AC105,ROW('All Player Data Store'!$Y$7:$Y$594)-ROW('All Player Data Store'!$Y$7)+1),COUNTIF($AC$8:AC105,AC105))),"")</f>
        <v/>
      </c>
      <c r="AV105" s="108" t="str">
        <f t="shared" si="11"/>
        <v/>
      </c>
      <c r="AW105" s="108" t="str">
        <f t="array" ref="AW105">IF(ISNUMBER(AC105),INDEX('All Player Data Store'!$S$8:$S$594,SMALL(IF('All Player Data Store'!$Y$7:$Y$594=AC105,ROW('All Player Data Store'!$Y$7:$Y$594)-ROW('All Player Data Store'!$Y$7)+1),COUNTIF($AC$8:AC105,AC105))),"")</f>
        <v>2*4</v>
      </c>
      <c r="AX105" s="108">
        <f t="shared" si="12"/>
        <v>23.04</v>
      </c>
      <c r="AY105" s="108" t="str">
        <f t="array" ref="AY105">IF(ISNUMBER(AC105),INDEX('All Player Data Store'!$T$8:$T$594,SMALL(IF('All Player Data Store'!$Y$7:$Y$594=AC105,ROW('All Player Data Store'!$Y$7:$Y$594)-ROW('All Player Data Store'!$Y$7)+1),COUNTIF($AC$8:AC105,AC105))),"")</f>
        <v>4*3</v>
      </c>
      <c r="AZ105" s="108">
        <f t="shared" si="13"/>
        <v>22.7</v>
      </c>
      <c r="BA105" s="108" t="str">
        <f t="array" ref="BA105">IF(ISNUMBER(AC105),INDEX('All Player Data Store'!$U$8:$U$594,SMALL(IF('All Player Data Store'!$Y$7:$Y$594=AC105,ROW('All Player Data Store'!$Y$7:$Y$594)-ROW('All Player Data Store'!$Y$7)+1),COUNTIF($AC$8:AC105,AC105))),"")</f>
        <v/>
      </c>
      <c r="BB105" s="108" t="str">
        <f t="shared" si="14"/>
        <v/>
      </c>
      <c r="BC105" s="108" t="str">
        <f t="array" ref="BC105">IF(ISNUMBER(AC105),INDEX('All Player Data Store'!$V$8:$V$594,SMALL(IF('All Player Data Store'!$Y$7:$Y$594=AC105,ROW('All Player Data Store'!$Y$7:$Y$594)-ROW('All Player Data Store'!$Y$7)+1),COUNTIF($AC$8:AC105,AC105))),"")</f>
        <v/>
      </c>
      <c r="BD105" s="108" t="str">
        <f t="shared" si="15"/>
        <v/>
      </c>
      <c r="BE105" s="1"/>
    </row>
    <row r="106" spans="2:57" ht="12" customHeight="1" x14ac:dyDescent="0.2">
      <c r="B106" s="98" t="str">
        <f t="shared" si="0"/>
        <v>N</v>
      </c>
      <c r="C106" s="1"/>
      <c r="D106" s="68">
        <f t="shared" si="1"/>
        <v>99</v>
      </c>
      <c r="E106" s="2"/>
      <c r="F106" s="78">
        <v>100</v>
      </c>
      <c r="G106" s="110" t="str">
        <f t="array" ref="G106">IF(ISNUMBER(AC106),INDEX('All Player Data Store'!$C$7:$C$594,SMALL(IF('All Player Data Store'!$Y$7:$Y$594=AC106,ROW('All Player Data Store'!$Y$7:$Y$594)-ROW('All Player Data Store'!$Y$7)+1),COUNTIF($AC$8:AC106,AC106))),"")</f>
        <v>Richard Hutley</v>
      </c>
      <c r="H106" s="111" t="str">
        <f t="array" ref="H106">IF(ISNUMBER(AC106),INDEX('All Player Data Store'!$D$7:$D$594,SMALL(IF('All Player Data Store'!$Y$7:$Y$594=AC106,ROW('All Player Data Store'!$Y$7:$Y$594)-ROW('All Player Data Store'!$Y$7)+1),COUNTIF($AC$8:AC106,AC106))),"")</f>
        <v>Poo</v>
      </c>
      <c r="I106" s="69">
        <f t="array" ref="I106">IF(ISNUMBER(AC106),INDEX('All Player Data Store'!$E$7:$E$594,SMALL(IF('All Player Data Store'!$Y$7:$Y$594=AC106,ROW('All Player Data Store'!$Y$7:$Y$594)-ROW('All Player Data Store'!$Y$7)+1),COUNTIF($AC$8:AC106,AC106))),"")</f>
        <v>6</v>
      </c>
      <c r="J106" s="70">
        <f t="array" ref="J106">IF(ISNUMBER(AC106),INDEX('All Player Data Store'!$F$7:$F$594,SMALL(IF('All Player Data Store'!$Y$7:$Y$594=AC106,ROW('All Player Data Store'!$Y$7:$Y$594)-ROW('All Player Data Store'!$Y$7)+1),COUNTIF($AC$8:AC106,AC106))),"")</f>
        <v>2</v>
      </c>
      <c r="K106" s="112">
        <f t="array" ref="K106">IF(ISNUMBER(AC106),INDEX('All Player Data Store'!$G$7:$G$594,SMALL(IF('All Player Data Store'!$Y$7:$Y$594=AC106,ROW('All Player Data Store'!$Y$7:$Y$594)-ROW('All Player Data Store'!$Y$7)+1),COUNTIF($AC$8:AC106,AC106))),"")</f>
        <v>4</v>
      </c>
      <c r="L106" s="112">
        <f t="array" ref="L106">IF(ISNUMBER(AC106),INDEX('All Player Data Store'!$H$7:$H$594,SMALL(IF('All Player Data Store'!$Y$7:$Y$594=AC106,ROW('All Player Data Store'!$Y$7:$Y$594)-ROW('All Player Data Store'!$Y$7)+1),COUNTIF($AC$8:AC106,AC106))),"")</f>
        <v>14</v>
      </c>
      <c r="M106" s="113">
        <f t="array" ref="M106">IF(ISNUMBER(AC106),INDEX('All Player Data Store'!$I$7:$I$594,SMALL(IF('All Player Data Store'!$Y$7:$Y$594=AC106,ROW('All Player Data Store'!$Y$7:$Y$594)-ROW('All Player Data Store'!$Y$7)+1),COUNTIF($AC$8:AC106,AC106))),"")</f>
        <v>18</v>
      </c>
      <c r="N106" s="114" t="str">
        <f t="array" ref="N106">IF(ISNUMBER(AC106),INDEX('All Player Data Store'!$J$7:$J$594,SMALL(IF('All Player Data Store'!$Y$7:$Y$594=AC106,ROW('All Player Data Store'!$Y$7:$Y$594)-ROW('All Player Data Store'!$Y$7)+1),COUNTIF($AC$8:AC106,AC106))),"")</f>
        <v/>
      </c>
      <c r="O106" s="108">
        <f t="array" ref="O106">IF(ISNUMBER(AC106),INDEX('All Player Data Store'!$K$7:$K$594,SMALL(IF('All Player Data Store'!$Y$7:$Y$594=AC106,ROW('All Player Data Store'!$Y$7:$Y$594)-ROW('All Player Data Store'!$Y$7)+1),COUNTIF($AC$8:AC106,AC106))),"")</f>
        <v>16.670000000000002</v>
      </c>
      <c r="P106" s="108" t="str">
        <f t="array" ref="P106">IF(ISNUMBER(AC106),INDEX('All Player Data Store'!$L$7:$L$594,SMALL(IF('All Player Data Store'!$Y$7:$Y$594=AC106,ROW('All Player Data Store'!$Y$7:$Y$594)-ROW('All Player Data Store'!$Y$7)+1),COUNTIF($AC$8:AC106,AC106))),"")</f>
        <v/>
      </c>
      <c r="Q106" s="108">
        <f t="array" ref="Q106">IF(ISNUMBER(AC106),INDEX('All Player Data Store'!$M$7:$M$594,SMALL(IF('All Player Data Store'!$Y$7:$Y$594=AC106,ROW('All Player Data Store'!$Y$7:$Y$594)-ROW('All Player Data Store'!$Y$7)+1),COUNTIF($AC$8:AC106,AC106))),"")</f>
        <v>22.44</v>
      </c>
      <c r="R106" s="108">
        <f t="array" ref="R106">IF(ISNUMBER(AC106),INDEX('All Player Data Store'!$N$7:$N$594,SMALL(IF('All Player Data Store'!$Y$7:$Y$594=AC106,ROW('All Player Data Store'!$Y$7:$Y$594)-ROW('All Player Data Store'!$Y$7)+1),COUNTIF($AC$8:AC106,AC106))),"")</f>
        <v>24.46</v>
      </c>
      <c r="S106" s="108" t="str">
        <f t="array" ref="S106">IF(ISNUMBER(AC106),INDEX('All Player Data Store'!$O$7:$O$594,SMALL(IF('All Player Data Store'!$Y$7:$Y$594=AC106,ROW('All Player Data Store'!$Y$7:$Y$594)-ROW('All Player Data Store'!$Y$7)+1),COUNTIF($AC$8:AC106,AC106))),"")</f>
        <v/>
      </c>
      <c r="T106" s="108">
        <f t="array" ref="T106">IF(ISNUMBER(AC106),INDEX('All Player Data Store'!$P$7:$P$594,SMALL(IF('All Player Data Store'!$Y$7:$Y$594=AC106,ROW('All Player Data Store'!$Y$7:$Y$594)-ROW('All Player Data Store'!$Y$7)+1),COUNTIF($AC$8:AC106,AC106))),"")</f>
        <v>21.56</v>
      </c>
      <c r="U106" s="108" t="str">
        <f t="array" ref="U106">IF(ISNUMBER(AC106),INDEX('All Player Data Store'!$Q$7:$Q$594,SMALL(IF('All Player Data Store'!$Y$7:$Y$594=AC106,ROW('All Player Data Store'!$Y$7:$Y$594)-ROW('All Player Data Store'!$Y$7)+1),COUNTIF($AC$8:AC106,AC106))),"")</f>
        <v/>
      </c>
      <c r="V106" s="108">
        <f t="array" ref="V106">IF(ISNUMBER(AC106),INDEX('All Player Data Store'!$R$7:$R$594,SMALL(IF('All Player Data Store'!$Y$7:$Y$594=AC106,ROW('All Player Data Store'!$Y$7:$Y$594)-ROW('All Player Data Store'!$Y$7)+1),COUNTIF($AC$8:AC106,AC106))),"")</f>
        <v>20.239999999999998</v>
      </c>
      <c r="W106" s="108" t="str">
        <f t="array" ref="W106">IF(ISNUMBER(AC106),INDEX('All Player Data Store'!$S$7:$S$594,SMALL(IF('All Player Data Store'!$Y$7:$Y$594=AC106,ROW('All Player Data Store'!$Y$7:$Y$594)-ROW('All Player Data Store'!$Y$7)+1),COUNTIF($AC$8:AC106,AC106))),"")</f>
        <v/>
      </c>
      <c r="X106" s="108" t="str">
        <f t="array" ref="X106">IF(ISNUMBER(AC106),INDEX('All Player Data Store'!$T$7:$T$594,SMALL(IF('All Player Data Store'!$Y$7:$Y$594=AC106,ROW('All Player Data Store'!$Y$7:$Y$594)-ROW('All Player Data Store'!$Y$7)+1),COUNTIF($AC$8:AC106,AC106))),"")</f>
        <v/>
      </c>
      <c r="Y106" s="108">
        <f t="array" ref="Y106">IF(ISNUMBER(AC106),INDEX('All Player Data Store'!$U$7:$U$594,SMALL(IF('All Player Data Store'!$Y$7:$Y$594=AC106,ROW('All Player Data Store'!$Y$7:$Y$594)-ROW('All Player Data Store'!$Y$7)+1),COUNTIF($AC$8:AC106,AC106))),"")</f>
        <v>22.77</v>
      </c>
      <c r="Z106" s="108" t="str">
        <f t="array" ref="Z106">IF(ISNUMBER(AC106),INDEX('All Player Data Store'!$V$7:$V$594,SMALL(IF('All Player Data Store'!$Y$7:$Y$594=AC106,ROW('All Player Data Store'!$Y$7:$Y$594)-ROW('All Player Data Store'!$Y$7)+1),COUNTIF($AC$8:AC106,AC106))),"")</f>
        <v/>
      </c>
      <c r="AA106" s="112" t="str">
        <f t="array" ref="AA106">IF(ISNUMBER(AC106),INDEX('All Player Data Store'!$W$7:$W$594,SMALL(IF('All Player Data Store'!$Y$7:$Y$594=AC106,ROW('All Player Data Store'!$Y$7:$Y$594)-ROW('All Player Data Store'!$Y$7)+1),COUNTIF($AC$8:AC106,AC106))),"")</f>
        <v/>
      </c>
      <c r="AB106" s="108">
        <f t="array" ref="AB106">IF(ISNUMBER(AC106),INDEX('All Player Data Store'!$X$7:$X$594,SMALL(IF('All Player Data Store'!$Y$7:$Y$594=AC106,ROW('All Player Data Store'!$Y$7:$Y$594)-ROW('All Player Data Store'!$Y$7)+1),COUNTIF($AC$8:AC106,AC106))),"")</f>
        <v>21.356666666666666</v>
      </c>
      <c r="AC106" s="115">
        <f>IF(ISERROR(IF(ISERROR(LARGE('All Player Data Store'!$Y$7:$Y$594,99)),"",(LARGE('All Player Data Store'!$Y$7:$Y$594,99)))),"",(IF(ISERROR(LARGE('All Player Data Store'!$Y$7:$Y$594,99)),"",(LARGE('All Player Data Store'!$Y$7:$Y$594,99)))))</f>
        <v>23.356666666666666</v>
      </c>
      <c r="AD106" s="106">
        <f t="shared" si="2"/>
        <v>3</v>
      </c>
      <c r="AE106" s="107" t="str">
        <f t="array" ref="AE106">IF(ISNUMBER(AC106),INDEX('All Player Data Store'!$J$8:$J$594,SMALL(IF('All Player Data Store'!$Y$7:$Y$594=AC106,ROW('All Player Data Store'!$Y$7:$Y$594)-ROW('All Player Data Store'!$Y$7)+1),COUNTIF($AC$8:AC106,AC106))),"")</f>
        <v/>
      </c>
      <c r="AF106" s="108" t="str">
        <f t="shared" si="3"/>
        <v/>
      </c>
      <c r="AG106" s="108" t="str">
        <f t="array" ref="AG106">IF(ISNUMBER(AC106),INDEX('All Player Data Store'!$K$8:$K$594,SMALL(IF('All Player Data Store'!$Y$7:$Y$594=AC106,ROW('All Player Data Store'!$Y$7:$Y$594)-ROW('All Player Data Store'!$Y$7)+1),COUNTIF($AC$8:AC106,AC106))),"")</f>
        <v>2*4</v>
      </c>
      <c r="AH106" s="108">
        <f t="shared" si="4"/>
        <v>16.670000000000002</v>
      </c>
      <c r="AI106" s="108" t="str">
        <f t="array" ref="AI106">IF(ISNUMBER(AC106),INDEX('All Player Data Store'!$L$8:$L$594,SMALL(IF('All Player Data Store'!$Y$7:$Y$594=AC106,ROW('All Player Data Store'!$Y$7:$Y$594)-ROW('All Player Data Store'!$Y$7)+1),COUNTIF($AC$8:AC106,AC106))),"")</f>
        <v/>
      </c>
      <c r="AJ106" s="108" t="str">
        <f t="shared" si="5"/>
        <v/>
      </c>
      <c r="AK106" s="108" t="str">
        <f t="array" ref="AK106">IF(ISNUMBER(AC106),INDEX('All Player Data Store'!$M$8:$M$594,SMALL(IF('All Player Data Store'!$Y$7:$Y$594=AC106,ROW('All Player Data Store'!$Y$7:$Y$594)-ROW('All Player Data Store'!$Y$7)+1),COUNTIF($AC$8:AC106,AC106))),"")</f>
        <v>2*4</v>
      </c>
      <c r="AL106" s="108">
        <f t="shared" si="6"/>
        <v>22.44</v>
      </c>
      <c r="AM106" s="108" t="str">
        <f t="array" ref="AM106">IF(ISNUMBER(AC106),INDEX('All Player Data Store'!$N$8:$N$594,SMALL(IF('All Player Data Store'!$Y$7:$Y$594=AC106,ROW('All Player Data Store'!$Y$7:$Y$594)-ROW('All Player Data Store'!$Y$7)+1),COUNTIF($AC$8:AC106,AC106))),"")</f>
        <v>4*2</v>
      </c>
      <c r="AN106" s="108">
        <f t="shared" si="7"/>
        <v>25.46</v>
      </c>
      <c r="AO106" s="108" t="str">
        <f t="array" ref="AO106">IF(ISNUMBER(AC106),INDEX('All Player Data Store'!$O$8:$O$594,SMALL(IF('All Player Data Store'!$Y$7:$Y$594=AC106,ROW('All Player Data Store'!$Y$7:$Y$594)-ROW('All Player Data Store'!$Y$7)+1),COUNTIF($AC$8:AC106,AC106))),"")</f>
        <v/>
      </c>
      <c r="AP106" s="108" t="str">
        <f t="shared" si="8"/>
        <v/>
      </c>
      <c r="AQ106" s="108" t="str">
        <f t="array" ref="AQ106">IF(ISNUMBER(AC106),INDEX('All Player Data Store'!$P$8:$P$594,SMALL(IF('All Player Data Store'!$Y$7:$Y$594=AC106,ROW('All Player Data Store'!$Y$7:$Y$594)-ROW('All Player Data Store'!$Y$7)+1),COUNTIF($AC$8:AC106,AC106))),"")</f>
        <v>2*4</v>
      </c>
      <c r="AR106" s="108">
        <f t="shared" si="9"/>
        <v>21.56</v>
      </c>
      <c r="AS106" s="108" t="str">
        <f t="array" ref="AS106">IF(ISNUMBER(AC106),INDEX('All Player Data Store'!$Q$8:$Q$594,SMALL(IF('All Player Data Store'!$Y$7:$Y$594=AC106,ROW('All Player Data Store'!$Y$7:$Y$594)-ROW('All Player Data Store'!$Y$7)+1),COUNTIF($AC$8:AC106,AC106))),"")</f>
        <v/>
      </c>
      <c r="AT106" s="108" t="str">
        <f t="shared" si="10"/>
        <v/>
      </c>
      <c r="AU106" s="108" t="str">
        <f t="array" ref="AU106">IF(ISNUMBER(AC106),INDEX('All Player Data Store'!$R$8:$R$594,SMALL(IF('All Player Data Store'!$Y$7:$Y$594=AC106,ROW('All Player Data Store'!$Y$7:$Y$594)-ROW('All Player Data Store'!$Y$7)+1),COUNTIF($AC$8:AC106,AC106))),"")</f>
        <v>0*4</v>
      </c>
      <c r="AV106" s="108">
        <f t="shared" si="11"/>
        <v>20.239999999999998</v>
      </c>
      <c r="AW106" s="108" t="str">
        <f t="array" ref="AW106">IF(ISNUMBER(AC106),INDEX('All Player Data Store'!$S$8:$S$594,SMALL(IF('All Player Data Store'!$Y$7:$Y$594=AC106,ROW('All Player Data Store'!$Y$7:$Y$594)-ROW('All Player Data Store'!$Y$7)+1),COUNTIF($AC$8:AC106,AC106))),"")</f>
        <v/>
      </c>
      <c r="AX106" s="108" t="str">
        <f t="shared" si="12"/>
        <v/>
      </c>
      <c r="AY106" s="108" t="str">
        <f t="array" ref="AY106">IF(ISNUMBER(AC106),INDEX('All Player Data Store'!$T$8:$T$594,SMALL(IF('All Player Data Store'!$Y$7:$Y$594=AC106,ROW('All Player Data Store'!$Y$7:$Y$594)-ROW('All Player Data Store'!$Y$7)+1),COUNTIF($AC$8:AC106,AC106))),"")</f>
        <v/>
      </c>
      <c r="AZ106" s="108" t="str">
        <f t="shared" si="13"/>
        <v/>
      </c>
      <c r="BA106" s="108" t="str">
        <f t="array" ref="BA106">IF(ISNUMBER(AC106),INDEX('All Player Data Store'!$U$8:$U$594,SMALL(IF('All Player Data Store'!$Y$7:$Y$594=AC106,ROW('All Player Data Store'!$Y$7:$Y$594)-ROW('All Player Data Store'!$Y$7)+1),COUNTIF($AC$8:AC106,AC106))),"")</f>
        <v>4*0</v>
      </c>
      <c r="BB106" s="108">
        <f t="shared" si="14"/>
        <v>23.77</v>
      </c>
      <c r="BC106" s="108" t="str">
        <f t="array" ref="BC106">IF(ISNUMBER(AC106),INDEX('All Player Data Store'!$V$8:$V$594,SMALL(IF('All Player Data Store'!$Y$7:$Y$594=AC106,ROW('All Player Data Store'!$Y$7:$Y$594)-ROW('All Player Data Store'!$Y$7)+1),COUNTIF($AC$8:AC106,AC106))),"")</f>
        <v/>
      </c>
      <c r="BD106" s="108" t="str">
        <f t="shared" si="15"/>
        <v/>
      </c>
      <c r="BE106" s="1"/>
    </row>
    <row r="107" spans="2:57" ht="12" customHeight="1" x14ac:dyDescent="0.2">
      <c r="B107" s="98" t="str">
        <f t="shared" si="0"/>
        <v>N</v>
      </c>
      <c r="C107" s="1"/>
      <c r="D107" s="68">
        <f t="shared" si="1"/>
        <v>100</v>
      </c>
      <c r="E107" s="2"/>
      <c r="F107" s="78">
        <v>101</v>
      </c>
      <c r="G107" s="110" t="str">
        <f t="array" ref="G107">IF(ISNUMBER(AC107),INDEX('All Player Data Store'!$C$7:$C$594,SMALL(IF('All Player Data Store'!$Y$7:$Y$594=AC107,ROW('All Player Data Store'!$Y$7:$Y$594)-ROW('All Player Data Store'!$Y$7)+1),COUNTIF($AC$8:AC107,AC107))),"")</f>
        <v>Jason James</v>
      </c>
      <c r="H107" s="111" t="str">
        <f t="array" ref="H107">IF(ISNUMBER(AC107),INDEX('All Player Data Store'!$D$7:$D$594,SMALL(IF('All Player Data Store'!$Y$7:$Y$594=AC107,ROW('All Player Data Store'!$Y$7:$Y$594)-ROW('All Player Data Store'!$Y$7)+1),COUNTIF($AC$8:AC107,AC107))),"")</f>
        <v>Par</v>
      </c>
      <c r="I107" s="69">
        <f t="array" ref="I107">IF(ISNUMBER(AC107),INDEX('All Player Data Store'!$E$7:$E$594,SMALL(IF('All Player Data Store'!$Y$7:$Y$594=AC107,ROW('All Player Data Store'!$Y$7:$Y$594)-ROW('All Player Data Store'!$Y$7)+1),COUNTIF($AC$8:AC107,AC107))),"")</f>
        <v>3</v>
      </c>
      <c r="J107" s="70">
        <f t="array" ref="J107">IF(ISNUMBER(AC107),INDEX('All Player Data Store'!$F$7:$F$594,SMALL(IF('All Player Data Store'!$Y$7:$Y$594=AC107,ROW('All Player Data Store'!$Y$7:$Y$594)-ROW('All Player Data Store'!$Y$7)+1),COUNTIF($AC$8:AC107,AC107))),"")</f>
        <v>3</v>
      </c>
      <c r="K107" s="112" t="str">
        <f t="array" ref="K107">IF(ISNUMBER(AC107),INDEX('All Player Data Store'!$G$7:$G$594,SMALL(IF('All Player Data Store'!$Y$7:$Y$594=AC107,ROW('All Player Data Store'!$Y$7:$Y$594)-ROW('All Player Data Store'!$Y$7)+1),COUNTIF($AC$8:AC107,AC107))),"")</f>
        <v/>
      </c>
      <c r="L107" s="112">
        <f t="array" ref="L107">IF(ISNUMBER(AC107),INDEX('All Player Data Store'!$H$7:$H$594,SMALL(IF('All Player Data Store'!$Y$7:$Y$594=AC107,ROW('All Player Data Store'!$Y$7:$Y$594)-ROW('All Player Data Store'!$Y$7)+1),COUNTIF($AC$8:AC107,AC107))),"")</f>
        <v>12</v>
      </c>
      <c r="M107" s="113">
        <f t="array" ref="M107">IF(ISNUMBER(AC107),INDEX('All Player Data Store'!$I$7:$I$594,SMALL(IF('All Player Data Store'!$Y$7:$Y$594=AC107,ROW('All Player Data Store'!$Y$7:$Y$594)-ROW('All Player Data Store'!$Y$7)+1),COUNTIF($AC$8:AC107,AC107))),"")</f>
        <v>6</v>
      </c>
      <c r="N107" s="114" t="str">
        <f t="array" ref="N107">IF(ISNUMBER(AC107),INDEX('All Player Data Store'!$J$7:$J$594,SMALL(IF('All Player Data Store'!$Y$7:$Y$594=AC107,ROW('All Player Data Store'!$Y$7:$Y$594)-ROW('All Player Data Store'!$Y$7)+1),COUNTIF($AC$8:AC107,AC107))),"")</f>
        <v/>
      </c>
      <c r="O107" s="108" t="str">
        <f t="array" ref="O107">IF(ISNUMBER(AC107),INDEX('All Player Data Store'!$K$7:$K$594,SMALL(IF('All Player Data Store'!$Y$7:$Y$594=AC107,ROW('All Player Data Store'!$Y$7:$Y$594)-ROW('All Player Data Store'!$Y$7)+1),COUNTIF($AC$8:AC107,AC107))),"")</f>
        <v/>
      </c>
      <c r="P107" s="108" t="str">
        <f t="array" ref="P107">IF(ISNUMBER(AC107),INDEX('All Player Data Store'!$L$7:$L$594,SMALL(IF('All Player Data Store'!$Y$7:$Y$594=AC107,ROW('All Player Data Store'!$Y$7:$Y$594)-ROW('All Player Data Store'!$Y$7)+1),COUNTIF($AC$8:AC107,AC107))),"")</f>
        <v/>
      </c>
      <c r="Q107" s="108" t="str">
        <f t="array" ref="Q107">IF(ISNUMBER(AC107),INDEX('All Player Data Store'!$M$7:$M$594,SMALL(IF('All Player Data Store'!$Y$7:$Y$594=AC107,ROW('All Player Data Store'!$Y$7:$Y$594)-ROW('All Player Data Store'!$Y$7)+1),COUNTIF($AC$8:AC107,AC107))),"")</f>
        <v/>
      </c>
      <c r="R107" s="108">
        <f t="array" ref="R107">IF(ISNUMBER(AC107),INDEX('All Player Data Store'!$N$7:$N$594,SMALL(IF('All Player Data Store'!$Y$7:$Y$594=AC107,ROW('All Player Data Store'!$Y$7:$Y$594)-ROW('All Player Data Store'!$Y$7)+1),COUNTIF($AC$8:AC107,AC107))),"")</f>
        <v>18.37</v>
      </c>
      <c r="S107" s="108" t="str">
        <f t="array" ref="S107">IF(ISNUMBER(AC107),INDEX('All Player Data Store'!$O$7:$O$594,SMALL(IF('All Player Data Store'!$Y$7:$Y$594=AC107,ROW('All Player Data Store'!$Y$7:$Y$594)-ROW('All Player Data Store'!$Y$7)+1),COUNTIF($AC$8:AC107,AC107))),"")</f>
        <v/>
      </c>
      <c r="T107" s="108" t="str">
        <f t="array" ref="T107">IF(ISNUMBER(AC107),INDEX('All Player Data Store'!$P$7:$P$594,SMALL(IF('All Player Data Store'!$Y$7:$Y$594=AC107,ROW('All Player Data Store'!$Y$7:$Y$594)-ROW('All Player Data Store'!$Y$7)+1),COUNTIF($AC$8:AC107,AC107))),"")</f>
        <v/>
      </c>
      <c r="U107" s="108" t="str">
        <f t="array" ref="U107">IF(ISNUMBER(AC107),INDEX('All Player Data Store'!$Q$7:$Q$594,SMALL(IF('All Player Data Store'!$Y$7:$Y$594=AC107,ROW('All Player Data Store'!$Y$7:$Y$594)-ROW('All Player Data Store'!$Y$7)+1),COUNTIF($AC$8:AC107,AC107))),"")</f>
        <v/>
      </c>
      <c r="V107" s="108" t="str">
        <f t="array" ref="V107">IF(ISNUMBER(AC107),INDEX('All Player Data Store'!$R$7:$R$594,SMALL(IF('All Player Data Store'!$Y$7:$Y$594=AC107,ROW('All Player Data Store'!$Y$7:$Y$594)-ROW('All Player Data Store'!$Y$7)+1),COUNTIF($AC$8:AC107,AC107))),"")</f>
        <v/>
      </c>
      <c r="W107" s="108" t="str">
        <f t="array" ref="W107">IF(ISNUMBER(AC107),INDEX('All Player Data Store'!$S$7:$S$594,SMALL(IF('All Player Data Store'!$Y$7:$Y$594=AC107,ROW('All Player Data Store'!$Y$7:$Y$594)-ROW('All Player Data Store'!$Y$7)+1),COUNTIF($AC$8:AC107,AC107))),"")</f>
        <v/>
      </c>
      <c r="X107" s="108">
        <f t="array" ref="X107">IF(ISNUMBER(AC107),INDEX('All Player Data Store'!$T$7:$T$594,SMALL(IF('All Player Data Store'!$Y$7:$Y$594=AC107,ROW('All Player Data Store'!$Y$7:$Y$594)-ROW('All Player Data Store'!$Y$7)+1),COUNTIF($AC$8:AC107,AC107))),"")</f>
        <v>21.41</v>
      </c>
      <c r="Y107" s="108" t="str">
        <f t="array" ref="Y107">IF(ISNUMBER(AC107),INDEX('All Player Data Store'!$U$7:$U$594,SMALL(IF('All Player Data Store'!$Y$7:$Y$594=AC107,ROW('All Player Data Store'!$Y$7:$Y$594)-ROW('All Player Data Store'!$Y$7)+1),COUNTIF($AC$8:AC107,AC107))),"")</f>
        <v/>
      </c>
      <c r="Z107" s="108">
        <f t="array" ref="Z107">IF(ISNUMBER(AC107),INDEX('All Player Data Store'!$V$7:$V$594,SMALL(IF('All Player Data Store'!$Y$7:$Y$594=AC107,ROW('All Player Data Store'!$Y$7:$Y$594)-ROW('All Player Data Store'!$Y$7)+1),COUNTIF($AC$8:AC107,AC107))),"")</f>
        <v>21.18</v>
      </c>
      <c r="AA107" s="112" t="str">
        <f t="array" ref="AA107">IF(ISNUMBER(AC107),INDEX('All Player Data Store'!$W$7:$W$594,SMALL(IF('All Player Data Store'!$Y$7:$Y$594=AC107,ROW('All Player Data Store'!$Y$7:$Y$594)-ROW('All Player Data Store'!$Y$7)+1),COUNTIF($AC$8:AC107,AC107))),"")</f>
        <v/>
      </c>
      <c r="AB107" s="108">
        <f t="array" ref="AB107">IF(ISNUMBER(AC107),INDEX('All Player Data Store'!$X$7:$X$594,SMALL(IF('All Player Data Store'!$Y$7:$Y$594=AC107,ROW('All Player Data Store'!$Y$7:$Y$594)-ROW('All Player Data Store'!$Y$7)+1),COUNTIF($AC$8:AC107,AC107))),"")</f>
        <v>20.32</v>
      </c>
      <c r="AC107" s="115">
        <f>IF(ISERROR(IF(ISERROR(LARGE('All Player Data Store'!$Y$7:$Y$594,100)),"",(LARGE('All Player Data Store'!$Y$7:$Y$594,100)))),"",(IF(ISERROR(LARGE('All Player Data Store'!$Y$7:$Y$594,100)),"",(LARGE('All Player Data Store'!$Y$7:$Y$594,100)))))</f>
        <v>23.32</v>
      </c>
      <c r="AD107" s="106">
        <f t="shared" si="2"/>
        <v>3</v>
      </c>
      <c r="AE107" s="107" t="str">
        <f t="array" ref="AE107">IF(ISNUMBER(AC107),INDEX('All Player Data Store'!$J$8:$J$594,SMALL(IF('All Player Data Store'!$Y$7:$Y$594=AC107,ROW('All Player Data Store'!$Y$7:$Y$594)-ROW('All Player Data Store'!$Y$7)+1),COUNTIF($AC$8:AC107,AC107))),"")</f>
        <v/>
      </c>
      <c r="AF107" s="108" t="str">
        <f t="shared" si="3"/>
        <v/>
      </c>
      <c r="AG107" s="108" t="str">
        <f t="array" ref="AG107">IF(ISNUMBER(AC107),INDEX('All Player Data Store'!$K$8:$K$594,SMALL(IF('All Player Data Store'!$Y$7:$Y$594=AC107,ROW('All Player Data Store'!$Y$7:$Y$594)-ROW('All Player Data Store'!$Y$7)+1),COUNTIF($AC$8:AC107,AC107))),"")</f>
        <v/>
      </c>
      <c r="AH107" s="108" t="str">
        <f t="shared" si="4"/>
        <v/>
      </c>
      <c r="AI107" s="108" t="str">
        <f t="array" ref="AI107">IF(ISNUMBER(AC107),INDEX('All Player Data Store'!$L$8:$L$594,SMALL(IF('All Player Data Store'!$Y$7:$Y$594=AC107,ROW('All Player Data Store'!$Y$7:$Y$594)-ROW('All Player Data Store'!$Y$7)+1),COUNTIF($AC$8:AC107,AC107))),"")</f>
        <v/>
      </c>
      <c r="AJ107" s="108" t="str">
        <f t="shared" si="5"/>
        <v/>
      </c>
      <c r="AK107" s="108" t="str">
        <f t="array" ref="AK107">IF(ISNUMBER(AC107),INDEX('All Player Data Store'!$M$8:$M$594,SMALL(IF('All Player Data Store'!$Y$7:$Y$594=AC107,ROW('All Player Data Store'!$Y$7:$Y$594)-ROW('All Player Data Store'!$Y$7)+1),COUNTIF($AC$8:AC107,AC107))),"")</f>
        <v/>
      </c>
      <c r="AL107" s="108" t="str">
        <f t="shared" si="6"/>
        <v/>
      </c>
      <c r="AM107" s="108" t="str">
        <f t="array" ref="AM107">IF(ISNUMBER(AC107),INDEX('All Player Data Store'!$N$8:$N$594,SMALL(IF('All Player Data Store'!$Y$7:$Y$594=AC107,ROW('All Player Data Store'!$Y$7:$Y$594)-ROW('All Player Data Store'!$Y$7)+1),COUNTIF($AC$8:AC107,AC107))),"")</f>
        <v>4*1</v>
      </c>
      <c r="AN107" s="108">
        <f t="shared" si="7"/>
        <v>19.37</v>
      </c>
      <c r="AO107" s="108" t="str">
        <f t="array" ref="AO107">IF(ISNUMBER(AC107),INDEX('All Player Data Store'!$O$8:$O$594,SMALL(IF('All Player Data Store'!$Y$7:$Y$594=AC107,ROW('All Player Data Store'!$Y$7:$Y$594)-ROW('All Player Data Store'!$Y$7)+1),COUNTIF($AC$8:AC107,AC107))),"")</f>
        <v/>
      </c>
      <c r="AP107" s="108" t="str">
        <f t="shared" si="8"/>
        <v/>
      </c>
      <c r="AQ107" s="108" t="str">
        <f t="array" ref="AQ107">IF(ISNUMBER(AC107),INDEX('All Player Data Store'!$P$8:$P$594,SMALL(IF('All Player Data Store'!$Y$7:$Y$594=AC107,ROW('All Player Data Store'!$Y$7:$Y$594)-ROW('All Player Data Store'!$Y$7)+1),COUNTIF($AC$8:AC107,AC107))),"")</f>
        <v/>
      </c>
      <c r="AR107" s="108" t="str">
        <f t="shared" si="9"/>
        <v/>
      </c>
      <c r="AS107" s="108" t="str">
        <f t="array" ref="AS107">IF(ISNUMBER(AC107),INDEX('All Player Data Store'!$Q$8:$Q$594,SMALL(IF('All Player Data Store'!$Y$7:$Y$594=AC107,ROW('All Player Data Store'!$Y$7:$Y$594)-ROW('All Player Data Store'!$Y$7)+1),COUNTIF($AC$8:AC107,AC107))),"")</f>
        <v/>
      </c>
      <c r="AT107" s="108" t="str">
        <f t="shared" si="10"/>
        <v/>
      </c>
      <c r="AU107" s="108" t="str">
        <f t="array" ref="AU107">IF(ISNUMBER(AC107),INDEX('All Player Data Store'!$R$8:$R$594,SMALL(IF('All Player Data Store'!$Y$7:$Y$594=AC107,ROW('All Player Data Store'!$Y$7:$Y$594)-ROW('All Player Data Store'!$Y$7)+1),COUNTIF($AC$8:AC107,AC107))),"")</f>
        <v/>
      </c>
      <c r="AV107" s="108" t="str">
        <f t="shared" si="11"/>
        <v/>
      </c>
      <c r="AW107" s="108" t="str">
        <f t="array" ref="AW107">IF(ISNUMBER(AC107),INDEX('All Player Data Store'!$S$8:$S$594,SMALL(IF('All Player Data Store'!$Y$7:$Y$594=AC107,ROW('All Player Data Store'!$Y$7:$Y$594)-ROW('All Player Data Store'!$Y$7)+1),COUNTIF($AC$8:AC107,AC107))),"")</f>
        <v/>
      </c>
      <c r="AX107" s="108" t="str">
        <f t="shared" si="12"/>
        <v/>
      </c>
      <c r="AY107" s="108" t="str">
        <f t="array" ref="AY107">IF(ISNUMBER(AC107),INDEX('All Player Data Store'!$T$8:$T$594,SMALL(IF('All Player Data Store'!$Y$7:$Y$594=AC107,ROW('All Player Data Store'!$Y$7:$Y$594)-ROW('All Player Data Store'!$Y$7)+1),COUNTIF($AC$8:AC107,AC107))),"")</f>
        <v>4*3</v>
      </c>
      <c r="AZ107" s="108">
        <f t="shared" si="13"/>
        <v>22.41</v>
      </c>
      <c r="BA107" s="108" t="str">
        <f t="array" ref="BA107">IF(ISNUMBER(AC107),INDEX('All Player Data Store'!$U$8:$U$594,SMALL(IF('All Player Data Store'!$Y$7:$Y$594=AC107,ROW('All Player Data Store'!$Y$7:$Y$594)-ROW('All Player Data Store'!$Y$7)+1),COUNTIF($AC$8:AC107,AC107))),"")</f>
        <v/>
      </c>
      <c r="BB107" s="108" t="str">
        <f t="shared" si="14"/>
        <v/>
      </c>
      <c r="BC107" s="108" t="str">
        <f t="array" ref="BC107">IF(ISNUMBER(AC107),INDEX('All Player Data Store'!$V$8:$V$594,SMALL(IF('All Player Data Store'!$Y$7:$Y$594=AC107,ROW('All Player Data Store'!$Y$7:$Y$594)-ROW('All Player Data Store'!$Y$7)+1),COUNTIF($AC$8:AC107,AC107))),"")</f>
        <v>4*2</v>
      </c>
      <c r="BD107" s="108">
        <f t="shared" si="15"/>
        <v>22.18</v>
      </c>
      <c r="BE107" s="1"/>
    </row>
    <row r="108" spans="2:57" ht="12" customHeight="1" x14ac:dyDescent="0.2">
      <c r="B108" s="98" t="str">
        <f t="shared" si="0"/>
        <v>Y</v>
      </c>
      <c r="C108" s="1"/>
      <c r="D108" s="68">
        <f t="shared" si="1"/>
        <v>101</v>
      </c>
      <c r="E108" s="2"/>
      <c r="F108" s="78">
        <v>102</v>
      </c>
      <c r="G108" s="110" t="str">
        <f t="array" ref="G108">IF(ISNUMBER(AC108),INDEX('All Player Data Store'!$C$7:$C$594,SMALL(IF('All Player Data Store'!$Y$7:$Y$594=AC108,ROW('All Player Data Store'!$Y$7:$Y$594)-ROW('All Player Data Store'!$Y$7)+1),COUNTIF($AC$8:AC108,AC108))),"")</f>
        <v>Len Pitman</v>
      </c>
      <c r="H108" s="111" t="str">
        <f t="array" ref="H108">IF(ISNUMBER(AC108),INDEX('All Player Data Store'!$D$7:$D$594,SMALL(IF('All Player Data Store'!$Y$7:$Y$594=AC108,ROW('All Player Data Store'!$Y$7:$Y$594)-ROW('All Player Data Store'!$Y$7)+1),COUNTIF($AC$8:AC108,AC108))),"")</f>
        <v>Por</v>
      </c>
      <c r="I108" s="69">
        <f t="array" ref="I108">IF(ISNUMBER(AC108),INDEX('All Player Data Store'!$E$7:$E$594,SMALL(IF('All Player Data Store'!$Y$7:$Y$594=AC108,ROW('All Player Data Store'!$Y$7:$Y$594)-ROW('All Player Data Store'!$Y$7)+1),COUNTIF($AC$8:AC108,AC108))),"")</f>
        <v>10</v>
      </c>
      <c r="J108" s="70">
        <f t="array" ref="J108">IF(ISNUMBER(AC108),INDEX('All Player Data Store'!$F$7:$F$594,SMALL(IF('All Player Data Store'!$Y$7:$Y$594=AC108,ROW('All Player Data Store'!$Y$7:$Y$594)-ROW('All Player Data Store'!$Y$7)+1),COUNTIF($AC$8:AC108,AC108))),"")</f>
        <v>3</v>
      </c>
      <c r="K108" s="112">
        <f t="array" ref="K108">IF(ISNUMBER(AC108),INDEX('All Player Data Store'!$G$7:$G$594,SMALL(IF('All Player Data Store'!$Y$7:$Y$594=AC108,ROW('All Player Data Store'!$Y$7:$Y$594)-ROW('All Player Data Store'!$Y$7)+1),COUNTIF($AC$8:AC108,AC108))),"")</f>
        <v>7</v>
      </c>
      <c r="L108" s="112">
        <f t="array" ref="L108">IF(ISNUMBER(AC108),INDEX('All Player Data Store'!$H$7:$H$594,SMALL(IF('All Player Data Store'!$Y$7:$Y$594=AC108,ROW('All Player Data Store'!$Y$7:$Y$594)-ROW('All Player Data Store'!$Y$7)+1),COUNTIF($AC$8:AC108,AC108))),"")</f>
        <v>18</v>
      </c>
      <c r="M108" s="113">
        <f t="array" ref="M108">IF(ISNUMBER(AC108),INDEX('All Player Data Store'!$I$7:$I$594,SMALL(IF('All Player Data Store'!$Y$7:$Y$594=AC108,ROW('All Player Data Store'!$Y$7:$Y$594)-ROW('All Player Data Store'!$Y$7)+1),COUNTIF($AC$8:AC108,AC108))),"")</f>
        <v>31</v>
      </c>
      <c r="N108" s="114">
        <f t="array" ref="N108">IF(ISNUMBER(AC108),INDEX('All Player Data Store'!$J$7:$J$594,SMALL(IF('All Player Data Store'!$Y$7:$Y$594=AC108,ROW('All Player Data Store'!$Y$7:$Y$594)-ROW('All Player Data Store'!$Y$7)+1),COUNTIF($AC$8:AC108,AC108))),"")</f>
        <v>19.850000000000001</v>
      </c>
      <c r="O108" s="108">
        <f t="array" ref="O108">IF(ISNUMBER(AC108),INDEX('All Player Data Store'!$K$7:$K$594,SMALL(IF('All Player Data Store'!$Y$7:$Y$594=AC108,ROW('All Player Data Store'!$Y$7:$Y$594)-ROW('All Player Data Store'!$Y$7)+1),COUNTIF($AC$8:AC108,AC108))),"")</f>
        <v>25.37</v>
      </c>
      <c r="P108" s="108">
        <f t="array" ref="P108">IF(ISNUMBER(AC108),INDEX('All Player Data Store'!$L$7:$L$594,SMALL(IF('All Player Data Store'!$Y$7:$Y$594=AC108,ROW('All Player Data Store'!$Y$7:$Y$594)-ROW('All Player Data Store'!$Y$7)+1),COUNTIF($AC$8:AC108,AC108))),"")</f>
        <v>16.5</v>
      </c>
      <c r="Q108" s="108">
        <f t="array" ref="Q108">IF(ISNUMBER(AC108),INDEX('All Player Data Store'!$M$7:$M$594,SMALL(IF('All Player Data Store'!$Y$7:$Y$594=AC108,ROW('All Player Data Store'!$Y$7:$Y$594)-ROW('All Player Data Store'!$Y$7)+1),COUNTIF($AC$8:AC108,AC108))),"")</f>
        <v>19.52</v>
      </c>
      <c r="R108" s="108">
        <f t="array" ref="R108">IF(ISNUMBER(AC108),INDEX('All Player Data Store'!$N$7:$N$594,SMALL(IF('All Player Data Store'!$Y$7:$Y$594=AC108,ROW('All Player Data Store'!$Y$7:$Y$594)-ROW('All Player Data Store'!$Y$7)+1),COUNTIF($AC$8:AC108,AC108))),"")</f>
        <v>18.68</v>
      </c>
      <c r="S108" s="108">
        <f t="array" ref="S108">IF(ISNUMBER(AC108),INDEX('All Player Data Store'!$O$7:$O$594,SMALL(IF('All Player Data Store'!$Y$7:$Y$594=AC108,ROW('All Player Data Store'!$Y$7:$Y$594)-ROW('All Player Data Store'!$Y$7)+1),COUNTIF($AC$8:AC108,AC108))),"")</f>
        <v>21.08</v>
      </c>
      <c r="T108" s="108">
        <f t="array" ref="T108">IF(ISNUMBER(AC108),INDEX('All Player Data Store'!$P$7:$P$594,SMALL(IF('All Player Data Store'!$Y$7:$Y$594=AC108,ROW('All Player Data Store'!$Y$7:$Y$594)-ROW('All Player Data Store'!$Y$7)+1),COUNTIF($AC$8:AC108,AC108))),"")</f>
        <v>21.72</v>
      </c>
      <c r="U108" s="108">
        <f t="array" ref="U108">IF(ISNUMBER(AC108),INDEX('All Player Data Store'!$Q$7:$Q$594,SMALL(IF('All Player Data Store'!$Y$7:$Y$594=AC108,ROW('All Player Data Store'!$Y$7:$Y$594)-ROW('All Player Data Store'!$Y$7)+1),COUNTIF($AC$8:AC108,AC108))),"")</f>
        <v>21.88</v>
      </c>
      <c r="V108" s="108">
        <f t="array" ref="V108">IF(ISNUMBER(AC108),INDEX('All Player Data Store'!$R$7:$R$594,SMALL(IF('All Player Data Store'!$Y$7:$Y$594=AC108,ROW('All Player Data Store'!$Y$7:$Y$594)-ROW('All Player Data Store'!$Y$7)+1),COUNTIF($AC$8:AC108,AC108))),"")</f>
        <v>20.36</v>
      </c>
      <c r="W108" s="108">
        <f t="array" ref="W108">IF(ISNUMBER(AC108),INDEX('All Player Data Store'!$S$7:$S$594,SMALL(IF('All Player Data Store'!$Y$7:$Y$594=AC108,ROW('All Player Data Store'!$Y$7:$Y$594)-ROW('All Player Data Store'!$Y$7)+1),COUNTIF($AC$8:AC108,AC108))),"")</f>
        <v>17.309999999999999</v>
      </c>
      <c r="X108" s="108" t="str">
        <f t="array" ref="X108">IF(ISNUMBER(AC108),INDEX('All Player Data Store'!$T$7:$T$594,SMALL(IF('All Player Data Store'!$Y$7:$Y$594=AC108,ROW('All Player Data Store'!$Y$7:$Y$594)-ROW('All Player Data Store'!$Y$7)+1),COUNTIF($AC$8:AC108,AC108))),"")</f>
        <v/>
      </c>
      <c r="Y108" s="108" t="str">
        <f t="array" ref="Y108">IF(ISNUMBER(AC108),INDEX('All Player Data Store'!$U$7:$U$594,SMALL(IF('All Player Data Store'!$Y$7:$Y$594=AC108,ROW('All Player Data Store'!$Y$7:$Y$594)-ROW('All Player Data Store'!$Y$7)+1),COUNTIF($AC$8:AC108,AC108))),"")</f>
        <v/>
      </c>
      <c r="Z108" s="108" t="str">
        <f t="array" ref="Z108">IF(ISNUMBER(AC108),INDEX('All Player Data Store'!$V$7:$V$594,SMALL(IF('All Player Data Store'!$Y$7:$Y$594=AC108,ROW('All Player Data Store'!$Y$7:$Y$594)-ROW('All Player Data Store'!$Y$7)+1),COUNTIF($AC$8:AC108,AC108))),"")</f>
        <v/>
      </c>
      <c r="AA108" s="112">
        <f t="array" ref="AA108">IF(ISNUMBER(AC108),INDEX('All Player Data Store'!$W$7:$W$594,SMALL(IF('All Player Data Store'!$Y$7:$Y$594=AC108,ROW('All Player Data Store'!$Y$7:$Y$594)-ROW('All Player Data Store'!$Y$7)+1),COUNTIF($AC$8:AC108,AC108))),"")</f>
        <v>2</v>
      </c>
      <c r="AB108" s="108">
        <f t="array" ref="AB108">IF(ISNUMBER(AC108),INDEX('All Player Data Store'!$X$7:$X$594,SMALL(IF('All Player Data Store'!$Y$7:$Y$594=AC108,ROW('All Player Data Store'!$Y$7:$Y$594)-ROW('All Player Data Store'!$Y$7)+1),COUNTIF($AC$8:AC108,AC108))),"")</f>
        <v>20.226999999999997</v>
      </c>
      <c r="AC108" s="115">
        <f>IF(ISERROR(IF(ISERROR(LARGE('All Player Data Store'!$Y$7:$Y$594,101)),"",(LARGE('All Player Data Store'!$Y$7:$Y$594,101)))),"",(IF(ISERROR(LARGE('All Player Data Store'!$Y$7:$Y$594,101)),"",(LARGE('All Player Data Store'!$Y$7:$Y$594,101)))))</f>
        <v>23.226999999999997</v>
      </c>
      <c r="AD108" s="106">
        <f t="shared" si="2"/>
        <v>3</v>
      </c>
      <c r="AE108" s="107" t="str">
        <f t="array" ref="AE108">IF(ISNUMBER(AC108),INDEX('All Player Data Store'!$J$8:$J$594,SMALL(IF('All Player Data Store'!$Y$7:$Y$594=AC108,ROW('All Player Data Store'!$Y$7:$Y$594)-ROW('All Player Data Store'!$Y$7)+1),COUNTIF($AC$8:AC108,AC108))),"")</f>
        <v>3*4</v>
      </c>
      <c r="AF108" s="108">
        <f t="shared" si="3"/>
        <v>19.850000000000001</v>
      </c>
      <c r="AG108" s="108" t="str">
        <f t="array" ref="AG108">IF(ISNUMBER(AC108),INDEX('All Player Data Store'!$K$8:$K$594,SMALL(IF('All Player Data Store'!$Y$7:$Y$594=AC108,ROW('All Player Data Store'!$Y$7:$Y$594)-ROW('All Player Data Store'!$Y$7)+1),COUNTIF($AC$8:AC108,AC108))),"")</f>
        <v>4*0</v>
      </c>
      <c r="AH108" s="108">
        <f t="shared" si="4"/>
        <v>26.37</v>
      </c>
      <c r="AI108" s="108" t="str">
        <f t="array" ref="AI108">IF(ISNUMBER(AC108),INDEX('All Player Data Store'!$L$8:$L$594,SMALL(IF('All Player Data Store'!$Y$7:$Y$594=AC108,ROW('All Player Data Store'!$Y$7:$Y$594)-ROW('All Player Data Store'!$Y$7)+1),COUNTIF($AC$8:AC108,AC108))),"")</f>
        <v>0*4</v>
      </c>
      <c r="AJ108" s="108">
        <f t="shared" si="5"/>
        <v>16.5</v>
      </c>
      <c r="AK108" s="108" t="str">
        <f t="array" ref="AK108">IF(ISNUMBER(AC108),INDEX('All Player Data Store'!$M$8:$M$594,SMALL(IF('All Player Data Store'!$Y$7:$Y$594=AC108,ROW('All Player Data Store'!$Y$7:$Y$594)-ROW('All Player Data Store'!$Y$7)+1),COUNTIF($AC$8:AC108,AC108))),"")</f>
        <v>4*2(2)</v>
      </c>
      <c r="AL108" s="108">
        <f t="shared" si="6"/>
        <v>20.52</v>
      </c>
      <c r="AM108" s="108" t="str">
        <f t="array" ref="AM108">IF(ISNUMBER(AC108),INDEX('All Player Data Store'!$N$8:$N$594,SMALL(IF('All Player Data Store'!$Y$7:$Y$594=AC108,ROW('All Player Data Store'!$Y$7:$Y$594)-ROW('All Player Data Store'!$Y$7)+1),COUNTIF($AC$8:AC108,AC108))),"")</f>
        <v>1*4</v>
      </c>
      <c r="AN108" s="108">
        <f t="shared" si="7"/>
        <v>18.68</v>
      </c>
      <c r="AO108" s="108" t="str">
        <f t="array" ref="AO108">IF(ISNUMBER(AC108),INDEX('All Player Data Store'!$O$8:$O$594,SMALL(IF('All Player Data Store'!$Y$7:$Y$594=AC108,ROW('All Player Data Store'!$Y$7:$Y$594)-ROW('All Player Data Store'!$Y$7)+1),COUNTIF($AC$8:AC108,AC108))),"")</f>
        <v>4*1</v>
      </c>
      <c r="AP108" s="108">
        <f t="shared" si="8"/>
        <v>22.08</v>
      </c>
      <c r="AQ108" s="108" t="str">
        <f t="array" ref="AQ108">IF(ISNUMBER(AC108),INDEX('All Player Data Store'!$P$8:$P$594,SMALL(IF('All Player Data Store'!$Y$7:$Y$594=AC108,ROW('All Player Data Store'!$Y$7:$Y$594)-ROW('All Player Data Store'!$Y$7)+1),COUNTIF($AC$8:AC108,AC108))),"")</f>
        <v>0*4</v>
      </c>
      <c r="AR108" s="108">
        <f t="shared" si="9"/>
        <v>21.72</v>
      </c>
      <c r="AS108" s="108" t="str">
        <f t="array" ref="AS108">IF(ISNUMBER(AC108),INDEX('All Player Data Store'!$Q$8:$Q$594,SMALL(IF('All Player Data Store'!$Y$7:$Y$594=AC108,ROW('All Player Data Store'!$Y$7:$Y$594)-ROW('All Player Data Store'!$Y$7)+1),COUNTIF($AC$8:AC108,AC108))),"")</f>
        <v>0*4</v>
      </c>
      <c r="AT108" s="108">
        <f t="shared" si="10"/>
        <v>21.88</v>
      </c>
      <c r="AU108" s="108" t="str">
        <f t="array" ref="AU108">IF(ISNUMBER(AC108),INDEX('All Player Data Store'!$R$8:$R$594,SMALL(IF('All Player Data Store'!$Y$7:$Y$594=AC108,ROW('All Player Data Store'!$Y$7:$Y$594)-ROW('All Player Data Store'!$Y$7)+1),COUNTIF($AC$8:AC108,AC108))),"")</f>
        <v>1*4</v>
      </c>
      <c r="AV108" s="108">
        <f t="shared" si="11"/>
        <v>20.36</v>
      </c>
      <c r="AW108" s="108" t="str">
        <f t="array" ref="AW108">IF(ISNUMBER(AC108),INDEX('All Player Data Store'!$S$8:$S$594,SMALL(IF('All Player Data Store'!$Y$7:$Y$594=AC108,ROW('All Player Data Store'!$Y$7:$Y$594)-ROW('All Player Data Store'!$Y$7)+1),COUNTIF($AC$8:AC108,AC108))),"")</f>
        <v>1*4</v>
      </c>
      <c r="AX108" s="108">
        <f t="shared" si="12"/>
        <v>17.309999999999999</v>
      </c>
      <c r="AY108" s="108" t="str">
        <f t="array" ref="AY108">IF(ISNUMBER(AC108),INDEX('All Player Data Store'!$T$8:$T$594,SMALL(IF('All Player Data Store'!$Y$7:$Y$594=AC108,ROW('All Player Data Store'!$Y$7:$Y$594)-ROW('All Player Data Store'!$Y$7)+1),COUNTIF($AC$8:AC108,AC108))),"")</f>
        <v/>
      </c>
      <c r="AZ108" s="108" t="str">
        <f t="shared" si="13"/>
        <v/>
      </c>
      <c r="BA108" s="108" t="str">
        <f t="array" ref="BA108">IF(ISNUMBER(AC108),INDEX('All Player Data Store'!$U$8:$U$594,SMALL(IF('All Player Data Store'!$Y$7:$Y$594=AC108,ROW('All Player Data Store'!$Y$7:$Y$594)-ROW('All Player Data Store'!$Y$7)+1),COUNTIF($AC$8:AC108,AC108))),"")</f>
        <v/>
      </c>
      <c r="BB108" s="108" t="str">
        <f t="shared" si="14"/>
        <v/>
      </c>
      <c r="BC108" s="108" t="str">
        <f t="array" ref="BC108">IF(ISNUMBER(AC108),INDEX('All Player Data Store'!$V$8:$V$594,SMALL(IF('All Player Data Store'!$Y$7:$Y$594=AC108,ROW('All Player Data Store'!$Y$7:$Y$594)-ROW('All Player Data Store'!$Y$7)+1),COUNTIF($AC$8:AC108,AC108))),"")</f>
        <v/>
      </c>
      <c r="BD108" s="108" t="str">
        <f t="shared" si="15"/>
        <v/>
      </c>
      <c r="BE108" s="1"/>
    </row>
    <row r="109" spans="2:57" ht="12" customHeight="1" x14ac:dyDescent="0.2">
      <c r="B109" s="98" t="str">
        <f t="shared" si="0"/>
        <v>N</v>
      </c>
      <c r="C109" s="1"/>
      <c r="D109" s="68">
        <f t="shared" si="1"/>
        <v>102</v>
      </c>
      <c r="E109" s="2"/>
      <c r="F109" s="78">
        <v>103</v>
      </c>
      <c r="G109" s="110" t="str">
        <f t="array" ref="G109">IF(ISNUMBER(AC109),INDEX('All Player Data Store'!$C$7:$C$594,SMALL(IF('All Player Data Store'!$Y$7:$Y$594=AC109,ROW('All Player Data Store'!$Y$7:$Y$594)-ROW('All Player Data Store'!$Y$7)+1),COUNTIF($AC$8:AC109,AC109))),"")</f>
        <v>Liam Kemp</v>
      </c>
      <c r="H109" s="111" t="str">
        <f t="array" ref="H109">IF(ISNUMBER(AC109),INDEX('All Player Data Store'!$D$7:$D$594,SMALL(IF('All Player Data Store'!$Y$7:$Y$594=AC109,ROW('All Player Data Store'!$Y$7:$Y$594)-ROW('All Player Data Store'!$Y$7)+1),COUNTIF($AC$8:AC109,AC109))),"")</f>
        <v>Bos</v>
      </c>
      <c r="I109" s="69">
        <f t="array" ref="I109">IF(ISNUMBER(AC109),INDEX('All Player Data Store'!$E$7:$E$594,SMALL(IF('All Player Data Store'!$Y$7:$Y$594=AC109,ROW('All Player Data Store'!$Y$7:$Y$594)-ROW('All Player Data Store'!$Y$7)+1),COUNTIF($AC$8:AC109,AC109))),"")</f>
        <v>3</v>
      </c>
      <c r="J109" s="70" t="str">
        <f t="array" ref="J109">IF(ISNUMBER(AC109),INDEX('All Player Data Store'!$F$7:$F$594,SMALL(IF('All Player Data Store'!$Y$7:$Y$594=AC109,ROW('All Player Data Store'!$Y$7:$Y$594)-ROW('All Player Data Store'!$Y$7)+1),COUNTIF($AC$8:AC109,AC109))),"")</f>
        <v/>
      </c>
      <c r="K109" s="112">
        <f t="array" ref="K109">IF(ISNUMBER(AC109),INDEX('All Player Data Store'!$G$7:$G$594,SMALL(IF('All Player Data Store'!$Y$7:$Y$594=AC109,ROW('All Player Data Store'!$Y$7:$Y$594)-ROW('All Player Data Store'!$Y$7)+1),COUNTIF($AC$8:AC109,AC109))),"")</f>
        <v>3</v>
      </c>
      <c r="L109" s="112">
        <f t="array" ref="L109">IF(ISNUMBER(AC109),INDEX('All Player Data Store'!$H$7:$H$594,SMALL(IF('All Player Data Store'!$Y$7:$Y$594=AC109,ROW('All Player Data Store'!$Y$7:$Y$594)-ROW('All Player Data Store'!$Y$7)+1),COUNTIF($AC$8:AC109,AC109))),"")</f>
        <v>5</v>
      </c>
      <c r="M109" s="113">
        <f t="array" ref="M109">IF(ISNUMBER(AC109),INDEX('All Player Data Store'!$I$7:$I$594,SMALL(IF('All Player Data Store'!$Y$7:$Y$594=AC109,ROW('All Player Data Store'!$Y$7:$Y$594)-ROW('All Player Data Store'!$Y$7)+1),COUNTIF($AC$8:AC109,AC109))),"")</f>
        <v>12</v>
      </c>
      <c r="N109" s="114">
        <f t="array" ref="N109">IF(ISNUMBER(AC109),INDEX('All Player Data Store'!$J$7:$J$594,SMALL(IF('All Player Data Store'!$Y$7:$Y$594=AC109,ROW('All Player Data Store'!$Y$7:$Y$594)-ROW('All Player Data Store'!$Y$7)+1),COUNTIF($AC$8:AC109,AC109))),"")</f>
        <v>20.86</v>
      </c>
      <c r="O109" s="108" t="str">
        <f t="array" ref="O109">IF(ISNUMBER(AC109),INDEX('All Player Data Store'!$K$7:$K$594,SMALL(IF('All Player Data Store'!$Y$7:$Y$594=AC109,ROW('All Player Data Store'!$Y$7:$Y$594)-ROW('All Player Data Store'!$Y$7)+1),COUNTIF($AC$8:AC109,AC109))),"")</f>
        <v/>
      </c>
      <c r="P109" s="108">
        <f t="array" ref="P109">IF(ISNUMBER(AC109),INDEX('All Player Data Store'!$L$7:$L$594,SMALL(IF('All Player Data Store'!$Y$7:$Y$594=AC109,ROW('All Player Data Store'!$Y$7:$Y$594)-ROW('All Player Data Store'!$Y$7)+1),COUNTIF($AC$8:AC109,AC109))),"")</f>
        <v>25.59</v>
      </c>
      <c r="Q109" s="108" t="str">
        <f t="array" ref="Q109">IF(ISNUMBER(AC109),INDEX('All Player Data Store'!$M$7:$M$594,SMALL(IF('All Player Data Store'!$Y$7:$Y$594=AC109,ROW('All Player Data Store'!$Y$7:$Y$594)-ROW('All Player Data Store'!$Y$7)+1),COUNTIF($AC$8:AC109,AC109))),"")</f>
        <v/>
      </c>
      <c r="R109" s="108">
        <f t="array" ref="R109">IF(ISNUMBER(AC109),INDEX('All Player Data Store'!$N$7:$N$594,SMALL(IF('All Player Data Store'!$Y$7:$Y$594=AC109,ROW('All Player Data Store'!$Y$7:$Y$594)-ROW('All Player Data Store'!$Y$7)+1),COUNTIF($AC$8:AC109,AC109))),"")</f>
        <v>23.01</v>
      </c>
      <c r="S109" s="108" t="str">
        <f t="array" ref="S109">IF(ISNUMBER(AC109),INDEX('All Player Data Store'!$O$7:$O$594,SMALL(IF('All Player Data Store'!$Y$7:$Y$594=AC109,ROW('All Player Data Store'!$Y$7:$Y$594)-ROW('All Player Data Store'!$Y$7)+1),COUNTIF($AC$8:AC109,AC109))),"")</f>
        <v/>
      </c>
      <c r="T109" s="108" t="str">
        <f t="array" ref="T109">IF(ISNUMBER(AC109),INDEX('All Player Data Store'!$P$7:$P$594,SMALL(IF('All Player Data Store'!$Y$7:$Y$594=AC109,ROW('All Player Data Store'!$Y$7:$Y$594)-ROW('All Player Data Store'!$Y$7)+1),COUNTIF($AC$8:AC109,AC109))),"")</f>
        <v/>
      </c>
      <c r="U109" s="108" t="str">
        <f t="array" ref="U109">IF(ISNUMBER(AC109),INDEX('All Player Data Store'!$Q$7:$Q$594,SMALL(IF('All Player Data Store'!$Y$7:$Y$594=AC109,ROW('All Player Data Store'!$Y$7:$Y$594)-ROW('All Player Data Store'!$Y$7)+1),COUNTIF($AC$8:AC109,AC109))),"")</f>
        <v/>
      </c>
      <c r="V109" s="108" t="str">
        <f t="array" ref="V109">IF(ISNUMBER(AC109),INDEX('All Player Data Store'!$R$7:$R$594,SMALL(IF('All Player Data Store'!$Y$7:$Y$594=AC109,ROW('All Player Data Store'!$Y$7:$Y$594)-ROW('All Player Data Store'!$Y$7)+1),COUNTIF($AC$8:AC109,AC109))),"")</f>
        <v/>
      </c>
      <c r="W109" s="108" t="str">
        <f t="array" ref="W109">IF(ISNUMBER(AC109),INDEX('All Player Data Store'!$S$7:$S$594,SMALL(IF('All Player Data Store'!$Y$7:$Y$594=AC109,ROW('All Player Data Store'!$Y$7:$Y$594)-ROW('All Player Data Store'!$Y$7)+1),COUNTIF($AC$8:AC109,AC109))),"")</f>
        <v/>
      </c>
      <c r="X109" s="108" t="str">
        <f t="array" ref="X109">IF(ISNUMBER(AC109),INDEX('All Player Data Store'!$T$7:$T$594,SMALL(IF('All Player Data Store'!$Y$7:$Y$594=AC109,ROW('All Player Data Store'!$Y$7:$Y$594)-ROW('All Player Data Store'!$Y$7)+1),COUNTIF($AC$8:AC109,AC109))),"")</f>
        <v/>
      </c>
      <c r="Y109" s="108" t="str">
        <f t="array" ref="Y109">IF(ISNUMBER(AC109),INDEX('All Player Data Store'!$U$7:$U$594,SMALL(IF('All Player Data Store'!$Y$7:$Y$594=AC109,ROW('All Player Data Store'!$Y$7:$Y$594)-ROW('All Player Data Store'!$Y$7)+1),COUNTIF($AC$8:AC109,AC109))),"")</f>
        <v/>
      </c>
      <c r="Z109" s="108" t="str">
        <f t="array" ref="Z109">IF(ISNUMBER(AC109),INDEX('All Player Data Store'!$V$7:$V$594,SMALL(IF('All Player Data Store'!$Y$7:$Y$594=AC109,ROW('All Player Data Store'!$Y$7:$Y$594)-ROW('All Player Data Store'!$Y$7)+1),COUNTIF($AC$8:AC109,AC109))),"")</f>
        <v/>
      </c>
      <c r="AA109" s="112">
        <f t="array" ref="AA109">IF(ISNUMBER(AC109),INDEX('All Player Data Store'!$W$7:$W$594,SMALL(IF('All Player Data Store'!$Y$7:$Y$594=AC109,ROW('All Player Data Store'!$Y$7:$Y$594)-ROW('All Player Data Store'!$Y$7)+1),COUNTIF($AC$8:AC109,AC109))),"")</f>
        <v>1</v>
      </c>
      <c r="AB109" s="108">
        <f t="array" ref="AB109">IF(ISNUMBER(AC109),INDEX('All Player Data Store'!$X$7:$X$594,SMALL(IF('All Player Data Store'!$Y$7:$Y$594=AC109,ROW('All Player Data Store'!$Y$7:$Y$594)-ROW('All Player Data Store'!$Y$7)+1),COUNTIF($AC$8:AC109,AC109))),"")</f>
        <v>23.153333333333336</v>
      </c>
      <c r="AC109" s="115">
        <f>IF(ISERROR(IF(ISERROR(LARGE('All Player Data Store'!$Y$7:$Y$594,101)),"",(LARGE('All Player Data Store'!$Y$7:$Y$594,101)))),"",(IF(ISERROR(LARGE('All Player Data Store'!$Y$7:$Y$594,101)),"",(LARGE('All Player Data Store'!$Y$7:$Y$594,102)))))</f>
        <v>23.153333333333336</v>
      </c>
      <c r="AD109" s="106"/>
      <c r="AE109" s="107" t="str">
        <f t="array" ref="AE109">IF(ISNUMBER(AC109),INDEX('All Player Data Store'!$J$8:$J$594,SMALL(IF('All Player Data Store'!$Y$7:$Y$594=AC109,ROW('All Player Data Store'!$Y$7:$Y$594)-ROW('All Player Data Store'!$Y$7)+1),COUNTIF($AC$8:AC109,AC109))),"")</f>
        <v>0*4</v>
      </c>
      <c r="AF109" s="108">
        <f t="shared" si="3"/>
        <v>20.86</v>
      </c>
      <c r="AG109" s="108" t="str">
        <f t="array" ref="AG109">IF(ISNUMBER(AC109),INDEX('All Player Data Store'!$K$8:$K$594,SMALL(IF('All Player Data Store'!$Y$7:$Y$594=AC109,ROW('All Player Data Store'!$Y$7:$Y$594)-ROW('All Player Data Store'!$Y$7)+1),COUNTIF($AC$8:AC109,AC109))),"")</f>
        <v/>
      </c>
      <c r="AH109" s="108" t="str">
        <f t="shared" si="4"/>
        <v/>
      </c>
      <c r="AI109" s="108" t="str">
        <f t="array" ref="AI109">IF(ISNUMBER(AC109),INDEX('All Player Data Store'!$L$8:$L$594,SMALL(IF('All Player Data Store'!$Y$7:$Y$594=AC109,ROW('All Player Data Store'!$Y$7:$Y$594)-ROW('All Player Data Store'!$Y$7)+1),COUNTIF($AC$8:AC109,AC109))),"")</f>
        <v>2*4</v>
      </c>
      <c r="AJ109" s="108">
        <f t="shared" si="5"/>
        <v>25.59</v>
      </c>
      <c r="AK109" s="108" t="str">
        <f t="array" ref="AK109">IF(ISNUMBER(AC109),INDEX('All Player Data Store'!$M$8:$M$594,SMALL(IF('All Player Data Store'!$Y$7:$Y$594=AC109,ROW('All Player Data Store'!$Y$7:$Y$594)-ROW('All Player Data Store'!$Y$7)+1),COUNTIF($AC$8:AC109,AC109))),"")</f>
        <v/>
      </c>
      <c r="AL109" s="108" t="str">
        <f t="shared" si="6"/>
        <v/>
      </c>
      <c r="AM109" s="108" t="str">
        <f t="array" ref="AM109">IF(ISNUMBER(AC109),INDEX('All Player Data Store'!$N$8:$N$594,SMALL(IF('All Player Data Store'!$Y$7:$Y$594=AC109,ROW('All Player Data Store'!$Y$7:$Y$594)-ROW('All Player Data Store'!$Y$7)+1),COUNTIF($AC$8:AC109,AC109))),"")</f>
        <v>3*4(1)</v>
      </c>
      <c r="AN109" s="108">
        <f t="shared" si="7"/>
        <v>23.01</v>
      </c>
      <c r="AO109" s="108" t="str">
        <f t="array" ref="AO109">IF(ISNUMBER(AC109),INDEX('All Player Data Store'!$O$8:$O$594,SMALL(IF('All Player Data Store'!$Y$7:$Y$594=AC109,ROW('All Player Data Store'!$Y$7:$Y$594)-ROW('All Player Data Store'!$Y$7)+1),COUNTIF($AC$8:AC109,AC109))),"")</f>
        <v/>
      </c>
      <c r="AP109" s="108" t="str">
        <f t="shared" si="8"/>
        <v/>
      </c>
      <c r="AQ109" s="108" t="str">
        <f t="array" ref="AQ109">IF(ISNUMBER(AC109),INDEX('All Player Data Store'!$P$8:$P$594,SMALL(IF('All Player Data Store'!$Y$7:$Y$594=AC109,ROW('All Player Data Store'!$Y$7:$Y$594)-ROW('All Player Data Store'!$Y$7)+1),COUNTIF($AC$8:AC109,AC109))),"")</f>
        <v/>
      </c>
      <c r="AR109" s="108" t="str">
        <f t="shared" si="9"/>
        <v/>
      </c>
      <c r="AS109" s="108" t="str">
        <f t="array" ref="AS109">IF(ISNUMBER(AC109),INDEX('All Player Data Store'!$Q$8:$Q$594,SMALL(IF('All Player Data Store'!$Y$7:$Y$594=AC109,ROW('All Player Data Store'!$Y$7:$Y$594)-ROW('All Player Data Store'!$Y$7)+1),COUNTIF($AC$8:AC109,AC109))),"")</f>
        <v/>
      </c>
      <c r="AT109" s="108" t="str">
        <f t="shared" si="10"/>
        <v/>
      </c>
      <c r="AU109" s="108" t="str">
        <f t="array" ref="AU109">IF(ISNUMBER(AC109),INDEX('All Player Data Store'!$R$8:$R$594,SMALL(IF('All Player Data Store'!$Y$7:$Y$594=AC109,ROW('All Player Data Store'!$Y$7:$Y$594)-ROW('All Player Data Store'!$Y$7)+1),COUNTIF($AC$8:AC109,AC109))),"")</f>
        <v/>
      </c>
      <c r="AV109" s="108" t="str">
        <f t="shared" si="11"/>
        <v/>
      </c>
      <c r="AW109" s="108" t="str">
        <f t="array" ref="AW109">IF(ISNUMBER(AC109),INDEX('All Player Data Store'!$S$8:$S$594,SMALL(IF('All Player Data Store'!$Y$7:$Y$594=AC109,ROW('All Player Data Store'!$Y$7:$Y$594)-ROW('All Player Data Store'!$Y$7)+1),COUNTIF($AC$8:AC109,AC109))),"")</f>
        <v/>
      </c>
      <c r="AX109" s="108" t="str">
        <f t="shared" si="12"/>
        <v/>
      </c>
      <c r="AY109" s="108" t="str">
        <f t="array" ref="AY109">IF(ISNUMBER(AC109),INDEX('All Player Data Store'!$T$8:$T$594,SMALL(IF('All Player Data Store'!$Y$7:$Y$594=AC109,ROW('All Player Data Store'!$Y$7:$Y$594)-ROW('All Player Data Store'!$Y$7)+1),COUNTIF($AC$8:AC109,AC109))),"")</f>
        <v/>
      </c>
      <c r="AZ109" s="108" t="str">
        <f t="shared" si="13"/>
        <v/>
      </c>
      <c r="BA109" s="108" t="str">
        <f t="array" ref="BA109">IF(ISNUMBER(AC109),INDEX('All Player Data Store'!$U$8:$U$594,SMALL(IF('All Player Data Store'!$Y$7:$Y$594=AC109,ROW('All Player Data Store'!$Y$7:$Y$594)-ROW('All Player Data Store'!$Y$7)+1),COUNTIF($AC$8:AC109,AC109))),"")</f>
        <v/>
      </c>
      <c r="BB109" s="108" t="str">
        <f t="shared" si="14"/>
        <v/>
      </c>
      <c r="BC109" s="108" t="str">
        <f t="array" ref="BC109">IF(ISNUMBER(AC109),INDEX('All Player Data Store'!$V$8:$V$594,SMALL(IF('All Player Data Store'!$Y$7:$Y$594=AC109,ROW('All Player Data Store'!$Y$7:$Y$594)-ROW('All Player Data Store'!$Y$7)+1),COUNTIF($AC$8:AC109,AC109))),"")</f>
        <v/>
      </c>
      <c r="BD109" s="108" t="str">
        <f t="shared" si="15"/>
        <v/>
      </c>
      <c r="BE109" s="1"/>
    </row>
    <row r="110" spans="2:57" ht="12" customHeight="1" x14ac:dyDescent="0.2">
      <c r="B110" s="98" t="str">
        <f t="shared" si="0"/>
        <v>N</v>
      </c>
      <c r="C110" s="1"/>
      <c r="D110" s="68">
        <f t="shared" si="1"/>
        <v>103</v>
      </c>
      <c r="E110" s="2"/>
      <c r="F110" s="78">
        <v>103</v>
      </c>
      <c r="G110" s="110" t="str">
        <f t="array" ref="G110">IF(ISNUMBER(AC110),INDEX('All Player Data Store'!$C$7:$C$594,SMALL(IF('All Player Data Store'!$Y$7:$Y$594=AC110,ROW('All Player Data Store'!$Y$7:$Y$594)-ROW('All Player Data Store'!$Y$7)+1),COUNTIF($AC$8:AC110,AC110))),"")</f>
        <v>Sonny Mabey</v>
      </c>
      <c r="H110" s="111" t="str">
        <f t="array" ref="H110">IF(ISNUMBER(AC110),INDEX('All Player Data Store'!$D$7:$D$594,SMALL(IF('All Player Data Store'!$Y$7:$Y$594=AC110,ROW('All Player Data Store'!$Y$7:$Y$594)-ROW('All Player Data Store'!$Y$7)+1),COUNTIF($AC$8:AC110,AC110))),"")</f>
        <v>Por</v>
      </c>
      <c r="I110" s="69">
        <f t="array" ref="I110">IF(ISNUMBER(AC110),INDEX('All Player Data Store'!$E$7:$E$594,SMALL(IF('All Player Data Store'!$Y$7:$Y$594=AC110,ROW('All Player Data Store'!$Y$7:$Y$594)-ROW('All Player Data Store'!$Y$7)+1),COUNTIF($AC$8:AC110,AC110))),"")</f>
        <v>9</v>
      </c>
      <c r="J110" s="70">
        <f t="array" ref="J110">IF(ISNUMBER(AC110),INDEX('All Player Data Store'!$F$7:$F$594,SMALL(IF('All Player Data Store'!$Y$7:$Y$594=AC110,ROW('All Player Data Store'!$Y$7:$Y$594)-ROW('All Player Data Store'!$Y$7)+1),COUNTIF($AC$8:AC110,AC110))),"")</f>
        <v>3</v>
      </c>
      <c r="K110" s="112">
        <f t="array" ref="K110">IF(ISNUMBER(AC110),INDEX('All Player Data Store'!$G$7:$G$594,SMALL(IF('All Player Data Store'!$Y$7:$Y$594=AC110,ROW('All Player Data Store'!$Y$7:$Y$594)-ROW('All Player Data Store'!$Y$7)+1),COUNTIF($AC$8:AC110,AC110))),"")</f>
        <v>6</v>
      </c>
      <c r="L110" s="112">
        <f t="array" ref="L110">IF(ISNUMBER(AC110),INDEX('All Player Data Store'!$H$7:$H$594,SMALL(IF('All Player Data Store'!$Y$7:$Y$594=AC110,ROW('All Player Data Store'!$Y$7:$Y$594)-ROW('All Player Data Store'!$Y$7)+1),COUNTIF($AC$8:AC110,AC110))),"")</f>
        <v>17</v>
      </c>
      <c r="M110" s="113">
        <f t="array" ref="M110">IF(ISNUMBER(AC110),INDEX('All Player Data Store'!$I$7:$I$594,SMALL(IF('All Player Data Store'!$Y$7:$Y$594=AC110,ROW('All Player Data Store'!$Y$7:$Y$594)-ROW('All Player Data Store'!$Y$7)+1),COUNTIF($AC$8:AC110,AC110))),"")</f>
        <v>25</v>
      </c>
      <c r="N110" s="114">
        <f t="array" ref="N110">IF(ISNUMBER(AC110),INDEX('All Player Data Store'!$J$7:$J$594,SMALL(IF('All Player Data Store'!$Y$7:$Y$594=AC110,ROW('All Player Data Store'!$Y$7:$Y$594)-ROW('All Player Data Store'!$Y$7)+1),COUNTIF($AC$8:AC110,AC110))),"")</f>
        <v>20.079999999999998</v>
      </c>
      <c r="O110" s="108" t="str">
        <f t="array" ref="O110">IF(ISNUMBER(AC110),INDEX('All Player Data Store'!$K$7:$K$594,SMALL(IF('All Player Data Store'!$Y$7:$Y$594=AC110,ROW('All Player Data Store'!$Y$7:$Y$594)-ROW('All Player Data Store'!$Y$7)+1),COUNTIF($AC$8:AC110,AC110))),"")</f>
        <v/>
      </c>
      <c r="P110" s="108">
        <f t="array" ref="P110">IF(ISNUMBER(AC110),INDEX('All Player Data Store'!$L$7:$L$594,SMALL(IF('All Player Data Store'!$Y$7:$Y$594=AC110,ROW('All Player Data Store'!$Y$7:$Y$594)-ROW('All Player Data Store'!$Y$7)+1),COUNTIF($AC$8:AC110,AC110))),"")</f>
        <v>17.78</v>
      </c>
      <c r="Q110" s="108" t="str">
        <f t="array" ref="Q110">IF(ISNUMBER(AC110),INDEX('All Player Data Store'!$M$7:$M$594,SMALL(IF('All Player Data Store'!$Y$7:$Y$594=AC110,ROW('All Player Data Store'!$Y$7:$Y$594)-ROW('All Player Data Store'!$Y$7)+1),COUNTIF($AC$8:AC110,AC110))),"")</f>
        <v/>
      </c>
      <c r="R110" s="108">
        <f t="array" ref="R110">IF(ISNUMBER(AC110),INDEX('All Player Data Store'!$N$7:$N$594,SMALL(IF('All Player Data Store'!$Y$7:$Y$594=AC110,ROW('All Player Data Store'!$Y$7:$Y$594)-ROW('All Player Data Store'!$Y$7)+1),COUNTIF($AC$8:AC110,AC110))),"")</f>
        <v>19.98</v>
      </c>
      <c r="S110" s="108">
        <f t="array" ref="S110">IF(ISNUMBER(AC110),INDEX('All Player Data Store'!$O$7:$O$594,SMALL(IF('All Player Data Store'!$Y$7:$Y$594=AC110,ROW('All Player Data Store'!$Y$7:$Y$594)-ROW('All Player Data Store'!$Y$7)+1),COUNTIF($AC$8:AC110,AC110))),"")</f>
        <v>22.33</v>
      </c>
      <c r="T110" s="108">
        <f t="array" ref="T110">IF(ISNUMBER(AC110),INDEX('All Player Data Store'!$P$7:$P$594,SMALL(IF('All Player Data Store'!$Y$7:$Y$594=AC110,ROW('All Player Data Store'!$Y$7:$Y$594)-ROW('All Player Data Store'!$Y$7)+1),COUNTIF($AC$8:AC110,AC110))),"")</f>
        <v>19.28</v>
      </c>
      <c r="U110" s="108" t="str">
        <f t="array" ref="U110">IF(ISNUMBER(AC110),INDEX('All Player Data Store'!$Q$7:$Q$594,SMALL(IF('All Player Data Store'!$Y$7:$Y$594=AC110,ROW('All Player Data Store'!$Y$7:$Y$594)-ROW('All Player Data Store'!$Y$7)+1),COUNTIF($AC$8:AC110,AC110))),"")</f>
        <v/>
      </c>
      <c r="V110" s="108">
        <f t="array" ref="V110">IF(ISNUMBER(AC110),INDEX('All Player Data Store'!$R$7:$R$594,SMALL(IF('All Player Data Store'!$Y$7:$Y$594=AC110,ROW('All Player Data Store'!$Y$7:$Y$594)-ROW('All Player Data Store'!$Y$7)+1),COUNTIF($AC$8:AC110,AC110))),"")</f>
        <v>20.54</v>
      </c>
      <c r="W110" s="108">
        <f t="array" ref="W110">IF(ISNUMBER(AC110),INDEX('All Player Data Store'!$S$7:$S$594,SMALL(IF('All Player Data Store'!$Y$7:$Y$594=AC110,ROW('All Player Data Store'!$Y$7:$Y$594)-ROW('All Player Data Store'!$Y$7)+1),COUNTIF($AC$8:AC110,AC110))),"")</f>
        <v>17.13</v>
      </c>
      <c r="X110" s="108">
        <f t="array" ref="X110">IF(ISNUMBER(AC110),INDEX('All Player Data Store'!$T$7:$T$594,SMALL(IF('All Player Data Store'!$Y$7:$Y$594=AC110,ROW('All Player Data Store'!$Y$7:$Y$594)-ROW('All Player Data Store'!$Y$7)+1),COUNTIF($AC$8:AC110,AC110))),"")</f>
        <v>20.86</v>
      </c>
      <c r="Y110" s="108" t="str">
        <f t="array" ref="Y110">IF(ISNUMBER(AC110),INDEX('All Player Data Store'!$U$7:$U$594,SMALL(IF('All Player Data Store'!$Y$7:$Y$594=AC110,ROW('All Player Data Store'!$Y$7:$Y$594)-ROW('All Player Data Store'!$Y$7)+1),COUNTIF($AC$8:AC110,AC110))),"")</f>
        <v/>
      </c>
      <c r="Z110" s="108">
        <f t="array" ref="Z110">IF(ISNUMBER(AC110),INDEX('All Player Data Store'!$V$7:$V$594,SMALL(IF('All Player Data Store'!$Y$7:$Y$594=AC110,ROW('All Player Data Store'!$Y$7:$Y$594)-ROW('All Player Data Store'!$Y$7)+1),COUNTIF($AC$8:AC110,AC110))),"")</f>
        <v>23.3</v>
      </c>
      <c r="AA110" s="112">
        <f t="array" ref="AA110">IF(ISNUMBER(AC110),INDEX('All Player Data Store'!$W$7:$W$594,SMALL(IF('All Player Data Store'!$Y$7:$Y$594=AC110,ROW('All Player Data Store'!$Y$7:$Y$594)-ROW('All Player Data Store'!$Y$7)+1),COUNTIF($AC$8:AC110,AC110))),"")</f>
        <v>2</v>
      </c>
      <c r="AB110" s="108">
        <f t="array" ref="AB110">IF(ISNUMBER(AC110),INDEX('All Player Data Store'!$X$7:$X$594,SMALL(IF('All Player Data Store'!$Y$7:$Y$594=AC110,ROW('All Player Data Store'!$Y$7:$Y$594)-ROW('All Player Data Store'!$Y$7)+1),COUNTIF($AC$8:AC110,AC110))),"")</f>
        <v>20.142222222222227</v>
      </c>
      <c r="AC110" s="115">
        <f>IF(ISERROR(IF(ISERROR(LARGE('All Player Data Store'!$Y$7:$Y$594,102)),"",(LARGE('All Player Data Store'!$Y$7:$Y$594,102)))),"",(IF(ISERROR(LARGE('All Player Data Store'!$Y$7:$Y$594,102)),"",(LARGE('All Player Data Store'!$Y$7:$Y$594,103)))))</f>
        <v>23.142222222222227</v>
      </c>
      <c r="AD110" s="106">
        <f t="shared" ref="AD110:AD343" si="16">IF(AND(I110&lt;&gt;"",G110&lt;&gt;""),3,IF(AND(G110&lt;&gt;"",I110=""),2,1))</f>
        <v>3</v>
      </c>
      <c r="AE110" s="107" t="str">
        <f t="array" ref="AE110">IF(ISNUMBER(AC110),INDEX('All Player Data Store'!$J$8:$J$594,SMALL(IF('All Player Data Store'!$Y$7:$Y$594=AC110,ROW('All Player Data Store'!$Y$7:$Y$594)-ROW('All Player Data Store'!$Y$7)+1),COUNTIF($AC$8:AC110,AC110))),"")</f>
        <v>0*4</v>
      </c>
      <c r="AF110" s="108">
        <f t="shared" si="3"/>
        <v>20.079999999999998</v>
      </c>
      <c r="AG110" s="108" t="str">
        <f t="array" ref="AG110">IF(ISNUMBER(AC110),INDEX('All Player Data Store'!$K$8:$K$594,SMALL(IF('All Player Data Store'!$Y$7:$Y$594=AC110,ROW('All Player Data Store'!$Y$7:$Y$594)-ROW('All Player Data Store'!$Y$7)+1),COUNTIF($AC$8:AC110,AC110))),"")</f>
        <v/>
      </c>
      <c r="AH110" s="108" t="str">
        <f t="shared" si="4"/>
        <v/>
      </c>
      <c r="AI110" s="108" t="str">
        <f t="array" ref="AI110">IF(ISNUMBER(AC110),INDEX('All Player Data Store'!$L$8:$L$594,SMALL(IF('All Player Data Store'!$Y$7:$Y$594=AC110,ROW('All Player Data Store'!$Y$7:$Y$594)-ROW('All Player Data Store'!$Y$7)+1),COUNTIF($AC$8:AC110,AC110))),"")</f>
        <v>1*4</v>
      </c>
      <c r="AJ110" s="108">
        <f t="shared" si="5"/>
        <v>17.78</v>
      </c>
      <c r="AK110" s="108" t="str">
        <f t="array" ref="AK110">IF(ISNUMBER(AC110),INDEX('All Player Data Store'!$M$8:$M$594,SMALL(IF('All Player Data Store'!$Y$7:$Y$594=AC110,ROW('All Player Data Store'!$Y$7:$Y$594)-ROW('All Player Data Store'!$Y$7)+1),COUNTIF($AC$8:AC110,AC110))),"")</f>
        <v/>
      </c>
      <c r="AL110" s="108" t="str">
        <f t="shared" si="6"/>
        <v/>
      </c>
      <c r="AM110" s="108" t="str">
        <f t="array" ref="AM110">IF(ISNUMBER(AC110),INDEX('All Player Data Store'!$N$8:$N$594,SMALL(IF('All Player Data Store'!$Y$7:$Y$594=AC110,ROW('All Player Data Store'!$Y$7:$Y$594)-ROW('All Player Data Store'!$Y$7)+1),COUNTIF($AC$8:AC110,AC110))),"")</f>
        <v>0*4</v>
      </c>
      <c r="AN110" s="108">
        <f t="shared" si="7"/>
        <v>19.98</v>
      </c>
      <c r="AO110" s="108" t="str">
        <f t="array" ref="AO110">IF(ISNUMBER(AC110),INDEX('All Player Data Store'!$O$8:$O$594,SMALL(IF('All Player Data Store'!$Y$7:$Y$594=AC110,ROW('All Player Data Store'!$Y$7:$Y$594)-ROW('All Player Data Store'!$Y$7)+1),COUNTIF($AC$8:AC110,AC110))),"")</f>
        <v>4*1(1)</v>
      </c>
      <c r="AP110" s="108">
        <f t="shared" si="8"/>
        <v>23.33</v>
      </c>
      <c r="AQ110" s="108" t="str">
        <f t="array" ref="AQ110">IF(ISNUMBER(AC110),INDEX('All Player Data Store'!$P$8:$P$594,SMALL(IF('All Player Data Store'!$Y$7:$Y$594=AC110,ROW('All Player Data Store'!$Y$7:$Y$594)-ROW('All Player Data Store'!$Y$7)+1),COUNTIF($AC$8:AC110,AC110))),"")</f>
        <v>2*4</v>
      </c>
      <c r="AR110" s="108">
        <f t="shared" si="9"/>
        <v>19.28</v>
      </c>
      <c r="AS110" s="108" t="str">
        <f t="array" ref="AS110">IF(ISNUMBER(AC110),INDEX('All Player Data Store'!$Q$8:$Q$594,SMALL(IF('All Player Data Store'!$Y$7:$Y$594=AC110,ROW('All Player Data Store'!$Y$7:$Y$594)-ROW('All Player Data Store'!$Y$7)+1),COUNTIF($AC$8:AC110,AC110))),"")</f>
        <v/>
      </c>
      <c r="AT110" s="108" t="str">
        <f t="shared" si="10"/>
        <v/>
      </c>
      <c r="AU110" s="108" t="str">
        <f t="array" ref="AU110">IF(ISNUMBER(AC110),INDEX('All Player Data Store'!$R$8:$R$594,SMALL(IF('All Player Data Store'!$Y$7:$Y$594=AC110,ROW('All Player Data Store'!$Y$7:$Y$594)-ROW('All Player Data Store'!$Y$7)+1),COUNTIF($AC$8:AC110,AC110))),"")</f>
        <v>0*4</v>
      </c>
      <c r="AV110" s="108">
        <f t="shared" si="11"/>
        <v>20.54</v>
      </c>
      <c r="AW110" s="108" t="str">
        <f t="array" ref="AW110">IF(ISNUMBER(AC110),INDEX('All Player Data Store'!$S$8:$S$594,SMALL(IF('All Player Data Store'!$Y$7:$Y$594=AC110,ROW('All Player Data Store'!$Y$7:$Y$594)-ROW('All Player Data Store'!$Y$7)+1),COUNTIF($AC$8:AC110,AC110))),"")</f>
        <v>4*0</v>
      </c>
      <c r="AX110" s="108">
        <f t="shared" si="12"/>
        <v>18.13</v>
      </c>
      <c r="AY110" s="108" t="str">
        <f t="array" ref="AY110">IF(ISNUMBER(AC110),INDEX('All Player Data Store'!$T$8:$T$594,SMALL(IF('All Player Data Store'!$Y$7:$Y$594=AC110,ROW('All Player Data Store'!$Y$7:$Y$594)-ROW('All Player Data Store'!$Y$7)+1),COUNTIF($AC$8:AC110,AC110))),"")</f>
        <v>2*4</v>
      </c>
      <c r="AZ110" s="108">
        <f t="shared" si="13"/>
        <v>20.86</v>
      </c>
      <c r="BA110" s="108" t="str">
        <f t="array" ref="BA110">IF(ISNUMBER(AC110),INDEX('All Player Data Store'!$U$8:$U$594,SMALL(IF('All Player Data Store'!$Y$7:$Y$594=AC110,ROW('All Player Data Store'!$Y$7:$Y$594)-ROW('All Player Data Store'!$Y$7)+1),COUNTIF($AC$8:AC110,AC110))),"")</f>
        <v/>
      </c>
      <c r="BB110" s="108" t="str">
        <f t="shared" si="14"/>
        <v/>
      </c>
      <c r="BC110" s="108" t="str">
        <f t="array" ref="BC110">IF(ISNUMBER(AC110),INDEX('All Player Data Store'!$V$8:$V$594,SMALL(IF('All Player Data Store'!$Y$7:$Y$594=AC110,ROW('All Player Data Store'!$Y$7:$Y$594)-ROW('All Player Data Store'!$Y$7)+1),COUNTIF($AC$8:AC110,AC110))),"")</f>
        <v>4*0(1)</v>
      </c>
      <c r="BD110" s="108">
        <f t="shared" si="15"/>
        <v>24.3</v>
      </c>
      <c r="BE110" s="1"/>
    </row>
    <row r="111" spans="2:57" ht="12" customHeight="1" x14ac:dyDescent="0.2">
      <c r="B111" s="98" t="str">
        <f t="shared" si="0"/>
        <v>N</v>
      </c>
      <c r="C111" s="1"/>
      <c r="D111" s="68">
        <f t="shared" si="1"/>
        <v>104</v>
      </c>
      <c r="E111" s="2"/>
      <c r="F111" s="78">
        <v>104</v>
      </c>
      <c r="G111" s="110" t="str">
        <f t="array" ref="G111">IF(ISNUMBER(AC111),INDEX('All Player Data Store'!$C$7:$C$594,SMALL(IF('All Player Data Store'!$Y$7:$Y$594=AC111,ROW('All Player Data Store'!$Y$7:$Y$594)-ROW('All Player Data Store'!$Y$7)+1),COUNTIF($AC$8:AC111,AC111))),"")</f>
        <v>John Clark</v>
      </c>
      <c r="H111" s="111" t="str">
        <f t="array" ref="H111">IF(ISNUMBER(AC111),INDEX('All Player Data Store'!$D$7:$D$594,SMALL(IF('All Player Data Store'!$Y$7:$Y$594=AC111,ROW('All Player Data Store'!$Y$7:$Y$594)-ROW('All Player Data Store'!$Y$7)+1),COUNTIF($AC$8:AC111,AC111))),"")</f>
        <v>Lyt</v>
      </c>
      <c r="I111" s="69">
        <f t="array" ref="I111">IF(ISNUMBER(AC111),INDEX('All Player Data Store'!$E$7:$E$594,SMALL(IF('All Player Data Store'!$Y$7:$Y$594=AC111,ROW('All Player Data Store'!$Y$7:$Y$594)-ROW('All Player Data Store'!$Y$7)+1),COUNTIF($AC$8:AC111,AC111))),"")</f>
        <v>5</v>
      </c>
      <c r="J111" s="70">
        <f t="array" ref="J111">IF(ISNUMBER(AC111),INDEX('All Player Data Store'!$F$7:$F$594,SMALL(IF('All Player Data Store'!$Y$7:$Y$594=AC111,ROW('All Player Data Store'!$Y$7:$Y$594)-ROW('All Player Data Store'!$Y$7)+1),COUNTIF($AC$8:AC111,AC111))),"")</f>
        <v>3</v>
      </c>
      <c r="K111" s="112">
        <f t="array" ref="K111">IF(ISNUMBER(AC111),INDEX('All Player Data Store'!$G$7:$G$594,SMALL(IF('All Player Data Store'!$Y$7:$Y$594=AC111,ROW('All Player Data Store'!$Y$7:$Y$594)-ROW('All Player Data Store'!$Y$7)+1),COUNTIF($AC$8:AC111,AC111))),"")</f>
        <v>2</v>
      </c>
      <c r="L111" s="112">
        <f t="array" ref="L111">IF(ISNUMBER(AC111),INDEX('All Player Data Store'!$H$7:$H$594,SMALL(IF('All Player Data Store'!$Y$7:$Y$594=AC111,ROW('All Player Data Store'!$Y$7:$Y$594)-ROW('All Player Data Store'!$Y$7)+1),COUNTIF($AC$8:AC111,AC111))),"")</f>
        <v>15</v>
      </c>
      <c r="M111" s="113">
        <f t="array" ref="M111">IF(ISNUMBER(AC111),INDEX('All Player Data Store'!$I$7:$I$594,SMALL(IF('All Player Data Store'!$Y$7:$Y$594=AC111,ROW('All Player Data Store'!$Y$7:$Y$594)-ROW('All Player Data Store'!$Y$7)+1),COUNTIF($AC$8:AC111,AC111))),"")</f>
        <v>13</v>
      </c>
      <c r="N111" s="114" t="str">
        <f t="array" ref="N111">IF(ISNUMBER(AC111),INDEX('All Player Data Store'!$J$7:$J$594,SMALL(IF('All Player Data Store'!$Y$7:$Y$594=AC111,ROW('All Player Data Store'!$Y$7:$Y$594)-ROW('All Player Data Store'!$Y$7)+1),COUNTIF($AC$8:AC111,AC111))),"")</f>
        <v/>
      </c>
      <c r="O111" s="108" t="str">
        <f t="array" ref="O111">IF(ISNUMBER(AC111),INDEX('All Player Data Store'!$K$7:$K$594,SMALL(IF('All Player Data Store'!$Y$7:$Y$594=AC111,ROW('All Player Data Store'!$Y$7:$Y$594)-ROW('All Player Data Store'!$Y$7)+1),COUNTIF($AC$8:AC111,AC111))),"")</f>
        <v/>
      </c>
      <c r="P111" s="108" t="str">
        <f t="array" ref="P111">IF(ISNUMBER(AC111),INDEX('All Player Data Store'!$L$7:$L$594,SMALL(IF('All Player Data Store'!$Y$7:$Y$594=AC111,ROW('All Player Data Store'!$Y$7:$Y$594)-ROW('All Player Data Store'!$Y$7)+1),COUNTIF($AC$8:AC111,AC111))),"")</f>
        <v/>
      </c>
      <c r="Q111" s="108" t="str">
        <f t="array" ref="Q111">IF(ISNUMBER(AC111),INDEX('All Player Data Store'!$M$7:$M$594,SMALL(IF('All Player Data Store'!$Y$7:$Y$594=AC111,ROW('All Player Data Store'!$Y$7:$Y$594)-ROW('All Player Data Store'!$Y$7)+1),COUNTIF($AC$8:AC111,AC111))),"")</f>
        <v/>
      </c>
      <c r="R111" s="108" t="str">
        <f t="array" ref="R111">IF(ISNUMBER(AC111),INDEX('All Player Data Store'!$N$7:$N$594,SMALL(IF('All Player Data Store'!$Y$7:$Y$594=AC111,ROW('All Player Data Store'!$Y$7:$Y$594)-ROW('All Player Data Store'!$Y$7)+1),COUNTIF($AC$8:AC111,AC111))),"")</f>
        <v/>
      </c>
      <c r="S111" s="108">
        <f t="array" ref="S111">IF(ISNUMBER(AC111),INDEX('All Player Data Store'!$O$7:$O$594,SMALL(IF('All Player Data Store'!$Y$7:$Y$594=AC111,ROW('All Player Data Store'!$Y$7:$Y$594)-ROW('All Player Data Store'!$Y$7)+1),COUNTIF($AC$8:AC111,AC111))),"")</f>
        <v>19.920000000000002</v>
      </c>
      <c r="T111" s="108">
        <f t="array" ref="T111">IF(ISNUMBER(AC111),INDEX('All Player Data Store'!$P$7:$P$594,SMALL(IF('All Player Data Store'!$Y$7:$Y$594=AC111,ROW('All Player Data Store'!$Y$7:$Y$594)-ROW('All Player Data Store'!$Y$7)+1),COUNTIF($AC$8:AC111,AC111))),"")</f>
        <v>20.91</v>
      </c>
      <c r="U111" s="108" t="str">
        <f t="array" ref="U111">IF(ISNUMBER(AC111),INDEX('All Player Data Store'!$Q$7:$Q$594,SMALL(IF('All Player Data Store'!$Y$7:$Y$594=AC111,ROW('All Player Data Store'!$Y$7:$Y$594)-ROW('All Player Data Store'!$Y$7)+1),COUNTIF($AC$8:AC111,AC111))),"")</f>
        <v/>
      </c>
      <c r="V111" s="108">
        <f t="array" ref="V111">IF(ISNUMBER(AC111),INDEX('All Player Data Store'!$R$7:$R$594,SMALL(IF('All Player Data Store'!$Y$7:$Y$594=AC111,ROW('All Player Data Store'!$Y$7:$Y$594)-ROW('All Player Data Store'!$Y$7)+1),COUNTIF($AC$8:AC111,AC111))),"")</f>
        <v>21.55</v>
      </c>
      <c r="W111" s="108" t="str">
        <f t="array" ref="W111">IF(ISNUMBER(AC111),INDEX('All Player Data Store'!$S$7:$S$594,SMALL(IF('All Player Data Store'!$Y$7:$Y$594=AC111,ROW('All Player Data Store'!$Y$7:$Y$594)-ROW('All Player Data Store'!$Y$7)+1),COUNTIF($AC$8:AC111,AC111))),"")</f>
        <v/>
      </c>
      <c r="X111" s="108" t="str">
        <f t="array" ref="X111">IF(ISNUMBER(AC111),INDEX('All Player Data Store'!$T$7:$T$594,SMALL(IF('All Player Data Store'!$Y$7:$Y$594=AC111,ROW('All Player Data Store'!$Y$7:$Y$594)-ROW('All Player Data Store'!$Y$7)+1),COUNTIF($AC$8:AC111,AC111))),"")</f>
        <v/>
      </c>
      <c r="Y111" s="108">
        <f t="array" ref="Y111">IF(ISNUMBER(AC111),INDEX('All Player Data Store'!$U$7:$U$594,SMALL(IF('All Player Data Store'!$Y$7:$Y$594=AC111,ROW('All Player Data Store'!$Y$7:$Y$594)-ROW('All Player Data Store'!$Y$7)+1),COUNTIF($AC$8:AC111,AC111))),"")</f>
        <v>18.18</v>
      </c>
      <c r="Z111" s="108">
        <f t="array" ref="Z111">IF(ISNUMBER(AC111),INDEX('All Player Data Store'!$V$7:$V$594,SMALL(IF('All Player Data Store'!$Y$7:$Y$594=AC111,ROW('All Player Data Store'!$Y$7:$Y$594)-ROW('All Player Data Store'!$Y$7)+1),COUNTIF($AC$8:AC111,AC111))),"")</f>
        <v>20.059999999999999</v>
      </c>
      <c r="AA111" s="112" t="str">
        <f t="array" ref="AA111">IF(ISNUMBER(AC111),INDEX('All Player Data Store'!$W$7:$W$594,SMALL(IF('All Player Data Store'!$Y$7:$Y$594=AC111,ROW('All Player Data Store'!$Y$7:$Y$594)-ROW('All Player Data Store'!$Y$7)+1),COUNTIF($AC$8:AC111,AC111))),"")</f>
        <v/>
      </c>
      <c r="AB111" s="108">
        <f t="array" ref="AB111">IF(ISNUMBER(AC111),INDEX('All Player Data Store'!$X$7:$X$594,SMALL(IF('All Player Data Store'!$Y$7:$Y$594=AC111,ROW('All Player Data Store'!$Y$7:$Y$594)-ROW('All Player Data Store'!$Y$7)+1),COUNTIF($AC$8:AC111,AC111))),"")</f>
        <v>20.124000000000002</v>
      </c>
      <c r="AC111" s="115">
        <f>IF(ISERROR(IF(ISERROR(LARGE('All Player Data Store'!$Y$7:$Y$594,104)),"",(LARGE('All Player Data Store'!$Y$7:$Y$594,104)))),"",(IF(ISERROR(LARGE('All Player Data Store'!$Y$7:$Y$594,104)),"",(LARGE('All Player Data Store'!$Y$7:$Y$594,104)))))</f>
        <v>23.124000000000002</v>
      </c>
      <c r="AD111" s="106">
        <f t="shared" si="16"/>
        <v>3</v>
      </c>
      <c r="AE111" s="107" t="str">
        <f t="array" ref="AE111">IF(ISNUMBER(AC111),INDEX('All Player Data Store'!$J$8:$J$594,SMALL(IF('All Player Data Store'!$Y$7:$Y$594=AC111,ROW('All Player Data Store'!$Y$7:$Y$594)-ROW('All Player Data Store'!$Y$7)+1),COUNTIF($AC$8:AC111,AC111))),"")</f>
        <v/>
      </c>
      <c r="AF111" s="108" t="str">
        <f t="shared" si="3"/>
        <v/>
      </c>
      <c r="AG111" s="108" t="str">
        <f t="array" ref="AG111">IF(ISNUMBER(AC111),INDEX('All Player Data Store'!$K$8:$K$594,SMALL(IF('All Player Data Store'!$Y$7:$Y$594=AC111,ROW('All Player Data Store'!$Y$7:$Y$594)-ROW('All Player Data Store'!$Y$7)+1),COUNTIF($AC$8:AC111,AC111))),"")</f>
        <v/>
      </c>
      <c r="AH111" s="108" t="str">
        <f t="shared" si="4"/>
        <v/>
      </c>
      <c r="AI111" s="108" t="str">
        <f t="array" ref="AI111">IF(ISNUMBER(AC111),INDEX('All Player Data Store'!$L$8:$L$594,SMALL(IF('All Player Data Store'!$Y$7:$Y$594=AC111,ROW('All Player Data Store'!$Y$7:$Y$594)-ROW('All Player Data Store'!$Y$7)+1),COUNTIF($AC$8:AC111,AC111))),"")</f>
        <v/>
      </c>
      <c r="AJ111" s="108" t="str">
        <f t="shared" si="5"/>
        <v/>
      </c>
      <c r="AK111" s="108" t="str">
        <f t="array" ref="AK111">IF(ISNUMBER(AC111),INDEX('All Player Data Store'!$M$8:$M$594,SMALL(IF('All Player Data Store'!$Y$7:$Y$594=AC111,ROW('All Player Data Store'!$Y$7:$Y$594)-ROW('All Player Data Store'!$Y$7)+1),COUNTIF($AC$8:AC111,AC111))),"")</f>
        <v/>
      </c>
      <c r="AL111" s="108" t="str">
        <f t="shared" si="6"/>
        <v/>
      </c>
      <c r="AM111" s="108" t="str">
        <f t="array" ref="AM111">IF(ISNUMBER(AC111),INDEX('All Player Data Store'!$N$8:$N$594,SMALL(IF('All Player Data Store'!$Y$7:$Y$594=AC111,ROW('All Player Data Store'!$Y$7:$Y$594)-ROW('All Player Data Store'!$Y$7)+1),COUNTIF($AC$8:AC111,AC111))),"")</f>
        <v/>
      </c>
      <c r="AN111" s="108" t="str">
        <f t="shared" si="7"/>
        <v/>
      </c>
      <c r="AO111" s="108" t="str">
        <f t="array" ref="AO111">IF(ISNUMBER(AC111),INDEX('All Player Data Store'!$O$8:$O$594,SMALL(IF('All Player Data Store'!$Y$7:$Y$594=AC111,ROW('All Player Data Store'!$Y$7:$Y$594)-ROW('All Player Data Store'!$Y$7)+1),COUNTIF($AC$8:AC111,AC111))),"")</f>
        <v>2*4</v>
      </c>
      <c r="AP111" s="108">
        <f t="shared" si="8"/>
        <v>19.920000000000002</v>
      </c>
      <c r="AQ111" s="108" t="str">
        <f t="array" ref="AQ111">IF(ISNUMBER(AC111),INDEX('All Player Data Store'!$P$8:$P$594,SMALL(IF('All Player Data Store'!$Y$7:$Y$594=AC111,ROW('All Player Data Store'!$Y$7:$Y$594)-ROW('All Player Data Store'!$Y$7)+1),COUNTIF($AC$8:AC111,AC111))),"")</f>
        <v>4*3</v>
      </c>
      <c r="AR111" s="108">
        <f t="shared" si="9"/>
        <v>21.91</v>
      </c>
      <c r="AS111" s="108" t="str">
        <f t="array" ref="AS111">IF(ISNUMBER(AC111),INDEX('All Player Data Store'!$Q$8:$Q$594,SMALL(IF('All Player Data Store'!$Y$7:$Y$594=AC111,ROW('All Player Data Store'!$Y$7:$Y$594)-ROW('All Player Data Store'!$Y$7)+1),COUNTIF($AC$8:AC111,AC111))),"")</f>
        <v/>
      </c>
      <c r="AT111" s="108" t="str">
        <f t="shared" si="10"/>
        <v/>
      </c>
      <c r="AU111" s="108" t="str">
        <f t="array" ref="AU111">IF(ISNUMBER(AC111),INDEX('All Player Data Store'!$R$8:$R$594,SMALL(IF('All Player Data Store'!$Y$7:$Y$594=AC111,ROW('All Player Data Store'!$Y$7:$Y$594)-ROW('All Player Data Store'!$Y$7)+1),COUNTIF($AC$8:AC111,AC111))),"")</f>
        <v>4*0</v>
      </c>
      <c r="AV111" s="108">
        <f t="shared" si="11"/>
        <v>22.55</v>
      </c>
      <c r="AW111" s="108" t="str">
        <f t="array" ref="AW111">IF(ISNUMBER(AC111),INDEX('All Player Data Store'!$S$8:$S$594,SMALL(IF('All Player Data Store'!$Y$7:$Y$594=AC111,ROW('All Player Data Store'!$Y$7:$Y$594)-ROW('All Player Data Store'!$Y$7)+1),COUNTIF($AC$8:AC111,AC111))),"")</f>
        <v/>
      </c>
      <c r="AX111" s="108" t="str">
        <f t="shared" si="12"/>
        <v/>
      </c>
      <c r="AY111" s="108" t="str">
        <f t="array" ref="AY111">IF(ISNUMBER(AC111),INDEX('All Player Data Store'!$T$8:$T$594,SMALL(IF('All Player Data Store'!$Y$7:$Y$594=AC111,ROW('All Player Data Store'!$Y$7:$Y$594)-ROW('All Player Data Store'!$Y$7)+1),COUNTIF($AC$8:AC111,AC111))),"")</f>
        <v/>
      </c>
      <c r="AZ111" s="108" t="str">
        <f t="shared" si="13"/>
        <v/>
      </c>
      <c r="BA111" s="108" t="str">
        <f t="array" ref="BA111">IF(ISNUMBER(AC111),INDEX('All Player Data Store'!$U$8:$U$594,SMALL(IF('All Player Data Store'!$Y$7:$Y$594=AC111,ROW('All Player Data Store'!$Y$7:$Y$594)-ROW('All Player Data Store'!$Y$7)+1),COUNTIF($AC$8:AC111,AC111))),"")</f>
        <v>4*2</v>
      </c>
      <c r="BB111" s="108">
        <f t="shared" si="14"/>
        <v>19.18</v>
      </c>
      <c r="BC111" s="108" t="str">
        <f t="array" ref="BC111">IF(ISNUMBER(AC111),INDEX('All Player Data Store'!$V$8:$V$594,SMALL(IF('All Player Data Store'!$Y$7:$Y$594=AC111,ROW('All Player Data Store'!$Y$7:$Y$594)-ROW('All Player Data Store'!$Y$7)+1),COUNTIF($AC$8:AC111,AC111))),"")</f>
        <v>1*4</v>
      </c>
      <c r="BD111" s="108">
        <f t="shared" si="15"/>
        <v>20.059999999999999</v>
      </c>
      <c r="BE111" s="1"/>
    </row>
    <row r="112" spans="2:57" ht="12" customHeight="1" x14ac:dyDescent="0.2">
      <c r="B112" s="98" t="str">
        <f t="shared" si="0"/>
        <v>N</v>
      </c>
      <c r="C112" s="1"/>
      <c r="D112" s="68">
        <f t="shared" si="1"/>
        <v>105</v>
      </c>
      <c r="E112" s="2"/>
      <c r="F112" s="78">
        <v>105</v>
      </c>
      <c r="G112" s="110" t="str">
        <f t="array" ref="G112">IF(ISNUMBER(AC112),INDEX('All Player Data Store'!$C$7:$C$594,SMALL(IF('All Player Data Store'!$Y$7:$Y$594=AC112,ROW('All Player Data Store'!$Y$7:$Y$594)-ROW('All Player Data Store'!$Y$7)+1),COUNTIF($AC$8:AC112,AC112))),"")</f>
        <v>Ray Atree</v>
      </c>
      <c r="H112" s="111" t="str">
        <f t="array" ref="H112">IF(ISNUMBER(AC112),INDEX('All Player Data Store'!$D$7:$D$594,SMALL(IF('All Player Data Store'!$Y$7:$Y$594=AC112,ROW('All Player Data Store'!$Y$7:$Y$594)-ROW('All Player Data Store'!$Y$7)+1),COUNTIF($AC$8:AC112,AC112))),"")</f>
        <v>Wey</v>
      </c>
      <c r="I112" s="69">
        <f t="array" ref="I112">IF(ISNUMBER(AC112),INDEX('All Player Data Store'!$E$7:$E$594,SMALL(IF('All Player Data Store'!$Y$7:$Y$594=AC112,ROW('All Player Data Store'!$Y$7:$Y$594)-ROW('All Player Data Store'!$Y$7)+1),COUNTIF($AC$8:AC112,AC112))),"")</f>
        <v>9</v>
      </c>
      <c r="J112" s="70">
        <f t="array" ref="J112">IF(ISNUMBER(AC112),INDEX('All Player Data Store'!$F$7:$F$594,SMALL(IF('All Player Data Store'!$Y$7:$Y$594=AC112,ROW('All Player Data Store'!$Y$7:$Y$594)-ROW('All Player Data Store'!$Y$7)+1),COUNTIF($AC$8:AC112,AC112))),"")</f>
        <v>3</v>
      </c>
      <c r="K112" s="112">
        <f t="array" ref="K112">IF(ISNUMBER(AC112),INDEX('All Player Data Store'!$G$7:$G$594,SMALL(IF('All Player Data Store'!$Y$7:$Y$594=AC112,ROW('All Player Data Store'!$Y$7:$Y$594)-ROW('All Player Data Store'!$Y$7)+1),COUNTIF($AC$8:AC112,AC112))),"")</f>
        <v>6</v>
      </c>
      <c r="L112" s="112">
        <f t="array" ref="L112">IF(ISNUMBER(AC112),INDEX('All Player Data Store'!$H$7:$H$594,SMALL(IF('All Player Data Store'!$Y$7:$Y$594=AC112,ROW('All Player Data Store'!$Y$7:$Y$594)-ROW('All Player Data Store'!$Y$7)+1),COUNTIF($AC$8:AC112,AC112))),"")</f>
        <v>23</v>
      </c>
      <c r="M112" s="113">
        <f t="array" ref="M112">IF(ISNUMBER(AC112),INDEX('All Player Data Store'!$I$7:$I$594,SMALL(IF('All Player Data Store'!$Y$7:$Y$594=AC112,ROW('All Player Data Store'!$Y$7:$Y$594)-ROW('All Player Data Store'!$Y$7)+1),COUNTIF($AC$8:AC112,AC112))),"")</f>
        <v>28</v>
      </c>
      <c r="N112" s="114">
        <f t="array" ref="N112">IF(ISNUMBER(AC112),INDEX('All Player Data Store'!$J$7:$J$594,SMALL(IF('All Player Data Store'!$Y$7:$Y$594=AC112,ROW('All Player Data Store'!$Y$7:$Y$594)-ROW('All Player Data Store'!$Y$7)+1),COUNTIF($AC$8:AC112,AC112))),"")</f>
        <v>20.04</v>
      </c>
      <c r="O112" s="108">
        <f t="array" ref="O112">IF(ISNUMBER(AC112),INDEX('All Player Data Store'!$K$7:$K$594,SMALL(IF('All Player Data Store'!$Y$7:$Y$594=AC112,ROW('All Player Data Store'!$Y$7:$Y$594)-ROW('All Player Data Store'!$Y$7)+1),COUNTIF($AC$8:AC112,AC112))),"")</f>
        <v>20.57</v>
      </c>
      <c r="P112" s="108">
        <f t="array" ref="P112">IF(ISNUMBER(AC112),INDEX('All Player Data Store'!$L$7:$L$594,SMALL(IF('All Player Data Store'!$Y$7:$Y$594=AC112,ROW('All Player Data Store'!$Y$7:$Y$594)-ROW('All Player Data Store'!$Y$7)+1),COUNTIF($AC$8:AC112,AC112))),"")</f>
        <v>19.420000000000002</v>
      </c>
      <c r="Q112" s="108" t="str">
        <f t="array" ref="Q112">IF(ISNUMBER(AC112),INDEX('All Player Data Store'!$M$7:$M$594,SMALL(IF('All Player Data Store'!$Y$7:$Y$594=AC112,ROW('All Player Data Store'!$Y$7:$Y$594)-ROW('All Player Data Store'!$Y$7)+1),COUNTIF($AC$8:AC112,AC112))),"")</f>
        <v/>
      </c>
      <c r="R112" s="108" t="str">
        <f t="array" ref="R112">IF(ISNUMBER(AC112),INDEX('All Player Data Store'!$N$7:$N$594,SMALL(IF('All Player Data Store'!$Y$7:$Y$594=AC112,ROW('All Player Data Store'!$Y$7:$Y$594)-ROW('All Player Data Store'!$Y$7)+1),COUNTIF($AC$8:AC112,AC112))),"")</f>
        <v/>
      </c>
      <c r="S112" s="108">
        <f t="array" ref="S112">IF(ISNUMBER(AC112),INDEX('All Player Data Store'!$O$7:$O$594,SMALL(IF('All Player Data Store'!$Y$7:$Y$594=AC112,ROW('All Player Data Store'!$Y$7:$Y$594)-ROW('All Player Data Store'!$Y$7)+1),COUNTIF($AC$8:AC112,AC112))),"")</f>
        <v>21.43</v>
      </c>
      <c r="T112" s="108">
        <f t="array" ref="T112">IF(ISNUMBER(AC112),INDEX('All Player Data Store'!$P$7:$P$594,SMALL(IF('All Player Data Store'!$Y$7:$Y$594=AC112,ROW('All Player Data Store'!$Y$7:$Y$594)-ROW('All Player Data Store'!$Y$7)+1),COUNTIF($AC$8:AC112,AC112))),"")</f>
        <v>21.11</v>
      </c>
      <c r="U112" s="108" t="str">
        <f t="array" ref="U112">IF(ISNUMBER(AC112),INDEX('All Player Data Store'!$Q$7:$Q$594,SMALL(IF('All Player Data Store'!$Y$7:$Y$594=AC112,ROW('All Player Data Store'!$Y$7:$Y$594)-ROW('All Player Data Store'!$Y$7)+1),COUNTIF($AC$8:AC112,AC112))),"")</f>
        <v/>
      </c>
      <c r="V112" s="108">
        <f t="array" ref="V112">IF(ISNUMBER(AC112),INDEX('All Player Data Store'!$R$7:$R$594,SMALL(IF('All Player Data Store'!$Y$7:$Y$594=AC112,ROW('All Player Data Store'!$Y$7:$Y$594)-ROW('All Player Data Store'!$Y$7)+1),COUNTIF($AC$8:AC112,AC112))),"")</f>
        <v>20.78</v>
      </c>
      <c r="W112" s="108">
        <f t="array" ref="W112">IF(ISNUMBER(AC112),INDEX('All Player Data Store'!$S$7:$S$594,SMALL(IF('All Player Data Store'!$Y$7:$Y$594=AC112,ROW('All Player Data Store'!$Y$7:$Y$594)-ROW('All Player Data Store'!$Y$7)+1),COUNTIF($AC$8:AC112,AC112))),"")</f>
        <v>18.34</v>
      </c>
      <c r="X112" s="108" t="str">
        <f t="array" ref="X112">IF(ISNUMBER(AC112),INDEX('All Player Data Store'!$T$7:$T$594,SMALL(IF('All Player Data Store'!$Y$7:$Y$594=AC112,ROW('All Player Data Store'!$Y$7:$Y$594)-ROW('All Player Data Store'!$Y$7)+1),COUNTIF($AC$8:AC112,AC112))),"")</f>
        <v/>
      </c>
      <c r="Y112" s="108">
        <f t="array" ref="Y112">IF(ISNUMBER(AC112),INDEX('All Player Data Store'!$U$7:$U$594,SMALL(IF('All Player Data Store'!$Y$7:$Y$594=AC112,ROW('All Player Data Store'!$Y$7:$Y$594)-ROW('All Player Data Store'!$Y$7)+1),COUNTIF($AC$8:AC112,AC112))),"")</f>
        <v>22.85</v>
      </c>
      <c r="Z112" s="108">
        <f t="array" ref="Z112">IF(ISNUMBER(AC112),INDEX('All Player Data Store'!$V$7:$V$594,SMALL(IF('All Player Data Store'!$Y$7:$Y$594=AC112,ROW('All Player Data Store'!$Y$7:$Y$594)-ROW('All Player Data Store'!$Y$7)+1),COUNTIF($AC$8:AC112,AC112))),"")</f>
        <v>16.57</v>
      </c>
      <c r="AA112" s="112">
        <f t="array" ref="AA112">IF(ISNUMBER(AC112),INDEX('All Player Data Store'!$W$7:$W$594,SMALL(IF('All Player Data Store'!$Y$7:$Y$594=AC112,ROW('All Player Data Store'!$Y$7:$Y$594)-ROW('All Player Data Store'!$Y$7)+1),COUNTIF($AC$8:AC112,AC112))),"")</f>
        <v>7</v>
      </c>
      <c r="AB112" s="108">
        <f t="array" ref="AB112">IF(ISNUMBER(AC112),INDEX('All Player Data Store'!$X$7:$X$594,SMALL(IF('All Player Data Store'!$Y$7:$Y$594=AC112,ROW('All Player Data Store'!$Y$7:$Y$594)-ROW('All Player Data Store'!$Y$7)+1),COUNTIF($AC$8:AC112,AC112))),"")</f>
        <v>20.123333333333331</v>
      </c>
      <c r="AC112" s="115">
        <f>IF(ISERROR(IF(ISERROR(LARGE('All Player Data Store'!$Y$7:$Y$594,105)),"",(LARGE('All Player Data Store'!$Y$7:$Y$594,105)))),"",(IF(ISERROR(LARGE('All Player Data Store'!$Y$7:$Y$594,105)),"",(LARGE('All Player Data Store'!$Y$7:$Y$594,105)))))</f>
        <v>23.123333333333331</v>
      </c>
      <c r="AD112" s="106">
        <f t="shared" si="16"/>
        <v>3</v>
      </c>
      <c r="AE112" s="107" t="str">
        <f t="array" ref="AE112">IF(ISNUMBER(AC112),INDEX('All Player Data Store'!$J$8:$J$594,SMALL(IF('All Player Data Store'!$Y$7:$Y$594=AC112,ROW('All Player Data Store'!$Y$7:$Y$594)-ROW('All Player Data Store'!$Y$7)+1),COUNTIF($AC$8:AC112,AC112))),"")</f>
        <v>4*0(1)</v>
      </c>
      <c r="AF112" s="108">
        <f t="shared" si="3"/>
        <v>21.04</v>
      </c>
      <c r="AG112" s="108" t="str">
        <f t="array" ref="AG112">IF(ISNUMBER(AC112),INDEX('All Player Data Store'!$K$8:$K$594,SMALL(IF('All Player Data Store'!$Y$7:$Y$594=AC112,ROW('All Player Data Store'!$Y$7:$Y$594)-ROW('All Player Data Store'!$Y$7)+1),COUNTIF($AC$8:AC112,AC112))),"")</f>
        <v>4*2</v>
      </c>
      <c r="AH112" s="108">
        <f t="shared" si="4"/>
        <v>21.57</v>
      </c>
      <c r="AI112" s="108" t="str">
        <f t="array" ref="AI112">IF(ISNUMBER(AC112),INDEX('All Player Data Store'!$L$8:$L$594,SMALL(IF('All Player Data Store'!$Y$7:$Y$594=AC112,ROW('All Player Data Store'!$Y$7:$Y$594)-ROW('All Player Data Store'!$Y$7)+1),COUNTIF($AC$8:AC112,AC112))),"")</f>
        <v>3*4</v>
      </c>
      <c r="AJ112" s="108">
        <f t="shared" si="5"/>
        <v>19.420000000000002</v>
      </c>
      <c r="AK112" s="108" t="str">
        <f t="array" ref="AK112">IF(ISNUMBER(AC112),INDEX('All Player Data Store'!$M$8:$M$594,SMALL(IF('All Player Data Store'!$Y$7:$Y$594=AC112,ROW('All Player Data Store'!$Y$7:$Y$594)-ROW('All Player Data Store'!$Y$7)+1),COUNTIF($AC$8:AC112,AC112))),"")</f>
        <v/>
      </c>
      <c r="AL112" s="108" t="str">
        <f t="shared" si="6"/>
        <v/>
      </c>
      <c r="AM112" s="108" t="str">
        <f t="array" ref="AM112">IF(ISNUMBER(AC112),INDEX('All Player Data Store'!$N$8:$N$594,SMALL(IF('All Player Data Store'!$Y$7:$Y$594=AC112,ROW('All Player Data Store'!$Y$7:$Y$594)-ROW('All Player Data Store'!$Y$7)+1),COUNTIF($AC$8:AC112,AC112))),"")</f>
        <v/>
      </c>
      <c r="AN112" s="108" t="str">
        <f t="shared" si="7"/>
        <v/>
      </c>
      <c r="AO112" s="108" t="str">
        <f t="array" ref="AO112">IF(ISNUMBER(AC112),INDEX('All Player Data Store'!$O$8:$O$594,SMALL(IF('All Player Data Store'!$Y$7:$Y$594=AC112,ROW('All Player Data Store'!$Y$7:$Y$594)-ROW('All Player Data Store'!$Y$7)+1),COUNTIF($AC$8:AC112,AC112))),"")</f>
        <v>0*4(1)</v>
      </c>
      <c r="AP112" s="108">
        <f t="shared" si="8"/>
        <v>21.43</v>
      </c>
      <c r="AQ112" s="108" t="str">
        <f t="array" ref="AQ112">IF(ISNUMBER(AC112),INDEX('All Player Data Store'!$P$8:$P$594,SMALL(IF('All Player Data Store'!$Y$7:$Y$594=AC112,ROW('All Player Data Store'!$Y$7:$Y$594)-ROW('All Player Data Store'!$Y$7)+1),COUNTIF($AC$8:AC112,AC112))),"")</f>
        <v>3*4(1)</v>
      </c>
      <c r="AR112" s="108">
        <f t="shared" si="9"/>
        <v>21.11</v>
      </c>
      <c r="AS112" s="108" t="str">
        <f t="array" ref="AS112">IF(ISNUMBER(AC112),INDEX('All Player Data Store'!$Q$8:$Q$594,SMALL(IF('All Player Data Store'!$Y$7:$Y$594=AC112,ROW('All Player Data Store'!$Y$7:$Y$594)-ROW('All Player Data Store'!$Y$7)+1),COUNTIF($AC$8:AC112,AC112))),"")</f>
        <v/>
      </c>
      <c r="AT112" s="108" t="str">
        <f t="shared" si="10"/>
        <v/>
      </c>
      <c r="AU112" s="108" t="str">
        <f t="array" ref="AU112">IF(ISNUMBER(AC112),INDEX('All Player Data Store'!$R$8:$R$594,SMALL(IF('All Player Data Store'!$Y$7:$Y$594=AC112,ROW('All Player Data Store'!$Y$7:$Y$594)-ROW('All Player Data Store'!$Y$7)+1),COUNTIF($AC$8:AC112,AC112))),"")</f>
        <v>2*4(2)</v>
      </c>
      <c r="AV112" s="108">
        <f t="shared" si="11"/>
        <v>20.78</v>
      </c>
      <c r="AW112" s="108" t="str">
        <f t="array" ref="AW112">IF(ISNUMBER(AC112),INDEX('All Player Data Store'!$S$8:$S$594,SMALL(IF('All Player Data Store'!$Y$7:$Y$594=AC112,ROW('All Player Data Store'!$Y$7:$Y$594)-ROW('All Player Data Store'!$Y$7)+1),COUNTIF($AC$8:AC112,AC112))),"")</f>
        <v>4*2</v>
      </c>
      <c r="AX112" s="108">
        <f t="shared" si="12"/>
        <v>19.34</v>
      </c>
      <c r="AY112" s="108" t="str">
        <f t="array" ref="AY112">IF(ISNUMBER(AC112),INDEX('All Player Data Store'!$T$8:$T$594,SMALL(IF('All Player Data Store'!$Y$7:$Y$594=AC112,ROW('All Player Data Store'!$Y$7:$Y$594)-ROW('All Player Data Store'!$Y$7)+1),COUNTIF($AC$8:AC112,AC112))),"")</f>
        <v/>
      </c>
      <c r="AZ112" s="108" t="str">
        <f t="shared" si="13"/>
        <v/>
      </c>
      <c r="BA112" s="108" t="str">
        <f t="array" ref="BA112">IF(ISNUMBER(AC112),INDEX('All Player Data Store'!$U$8:$U$594,SMALL(IF('All Player Data Store'!$Y$7:$Y$594=AC112,ROW('All Player Data Store'!$Y$7:$Y$594)-ROW('All Player Data Store'!$Y$7)+1),COUNTIF($AC$8:AC112,AC112))),"")</f>
        <v>2*4(1)</v>
      </c>
      <c r="BB112" s="108">
        <f t="shared" si="14"/>
        <v>22.85</v>
      </c>
      <c r="BC112" s="108" t="str">
        <f t="array" ref="BC112">IF(ISNUMBER(AC112),INDEX('All Player Data Store'!$V$8:$V$594,SMALL(IF('All Player Data Store'!$Y$7:$Y$594=AC112,ROW('All Player Data Store'!$Y$7:$Y$594)-ROW('All Player Data Store'!$Y$7)+1),COUNTIF($AC$8:AC112,AC112))),"")</f>
        <v>1*4(1)</v>
      </c>
      <c r="BD112" s="108">
        <f t="shared" si="15"/>
        <v>16.57</v>
      </c>
      <c r="BE112" s="1"/>
    </row>
    <row r="113" spans="2:57" ht="12" customHeight="1" x14ac:dyDescent="0.2">
      <c r="B113" s="98" t="str">
        <f t="shared" si="0"/>
        <v>N</v>
      </c>
      <c r="C113" s="1"/>
      <c r="D113" s="68">
        <f t="shared" si="1"/>
        <v>106</v>
      </c>
      <c r="E113" s="2"/>
      <c r="F113" s="78">
        <v>106</v>
      </c>
      <c r="G113" s="110" t="str">
        <f t="array" ref="G113">IF(ISNUMBER(AC113),INDEX('All Player Data Store'!$C$7:$C$594,SMALL(IF('All Player Data Store'!$Y$7:$Y$594=AC113,ROW('All Player Data Store'!$Y$7:$Y$594)-ROW('All Player Data Store'!$Y$7)+1),COUNTIF($AC$8:AC113,AC113))),"")</f>
        <v>Scott Bailey</v>
      </c>
      <c r="H113" s="111" t="str">
        <f t="array" ref="H113">IF(ISNUMBER(AC113),INDEX('All Player Data Store'!$D$7:$D$594,SMALL(IF('All Player Data Store'!$Y$7:$Y$594=AC113,ROW('All Player Data Store'!$Y$7:$Y$594)-ROW('All Player Data Store'!$Y$7)+1),COUNTIF($AC$8:AC113,AC113))),"")</f>
        <v>Chr</v>
      </c>
      <c r="I113" s="69">
        <f t="array" ref="I113">IF(ISNUMBER(AC113),INDEX('All Player Data Store'!$E$7:$E$594,SMALL(IF('All Player Data Store'!$Y$7:$Y$594=AC113,ROW('All Player Data Store'!$Y$7:$Y$594)-ROW('All Player Data Store'!$Y$7)+1),COUNTIF($AC$8:AC113,AC113))),"")</f>
        <v>3</v>
      </c>
      <c r="J113" s="70">
        <f t="array" ref="J113">IF(ISNUMBER(AC113),INDEX('All Player Data Store'!$F$7:$F$594,SMALL(IF('All Player Data Store'!$Y$7:$Y$594=AC113,ROW('All Player Data Store'!$Y$7:$Y$594)-ROW('All Player Data Store'!$Y$7)+1),COUNTIF($AC$8:AC113,AC113))),"")</f>
        <v>2</v>
      </c>
      <c r="K113" s="112">
        <f t="array" ref="K113">IF(ISNUMBER(AC113),INDEX('All Player Data Store'!$G$7:$G$594,SMALL(IF('All Player Data Store'!$Y$7:$Y$594=AC113,ROW('All Player Data Store'!$Y$7:$Y$594)-ROW('All Player Data Store'!$Y$7)+1),COUNTIF($AC$8:AC113,AC113))),"")</f>
        <v>1</v>
      </c>
      <c r="L113" s="112">
        <f t="array" ref="L113">IF(ISNUMBER(AC113),INDEX('All Player Data Store'!$H$7:$H$594,SMALL(IF('All Player Data Store'!$Y$7:$Y$594=AC113,ROW('All Player Data Store'!$Y$7:$Y$594)-ROW('All Player Data Store'!$Y$7)+1),COUNTIF($AC$8:AC113,AC113))),"")</f>
        <v>11</v>
      </c>
      <c r="M113" s="113">
        <f t="array" ref="M113">IF(ISNUMBER(AC113),INDEX('All Player Data Store'!$I$7:$I$594,SMALL(IF('All Player Data Store'!$Y$7:$Y$594=AC113,ROW('All Player Data Store'!$Y$7:$Y$594)-ROW('All Player Data Store'!$Y$7)+1),COUNTIF($AC$8:AC113,AC113))),"")</f>
        <v>5</v>
      </c>
      <c r="N113" s="114" t="str">
        <f t="array" ref="N113">IF(ISNUMBER(AC113),INDEX('All Player Data Store'!$J$7:$J$594,SMALL(IF('All Player Data Store'!$Y$7:$Y$594=AC113,ROW('All Player Data Store'!$Y$7:$Y$594)-ROW('All Player Data Store'!$Y$7)+1),COUNTIF($AC$8:AC113,AC113))),"")</f>
        <v/>
      </c>
      <c r="O113" s="108" t="str">
        <f t="array" ref="O113">IF(ISNUMBER(AC113),INDEX('All Player Data Store'!$K$7:$K$594,SMALL(IF('All Player Data Store'!$Y$7:$Y$594=AC113,ROW('All Player Data Store'!$Y$7:$Y$594)-ROW('All Player Data Store'!$Y$7)+1),COUNTIF($AC$8:AC113,AC113))),"")</f>
        <v/>
      </c>
      <c r="P113" s="108" t="str">
        <f t="array" ref="P113">IF(ISNUMBER(AC113),INDEX('All Player Data Store'!$L$7:$L$594,SMALL(IF('All Player Data Store'!$Y$7:$Y$594=AC113,ROW('All Player Data Store'!$Y$7:$Y$594)-ROW('All Player Data Store'!$Y$7)+1),COUNTIF($AC$8:AC113,AC113))),"")</f>
        <v/>
      </c>
      <c r="Q113" s="108" t="str">
        <f t="array" ref="Q113">IF(ISNUMBER(AC113),INDEX('All Player Data Store'!$M$7:$M$594,SMALL(IF('All Player Data Store'!$Y$7:$Y$594=AC113,ROW('All Player Data Store'!$Y$7:$Y$594)-ROW('All Player Data Store'!$Y$7)+1),COUNTIF($AC$8:AC113,AC113))),"")</f>
        <v/>
      </c>
      <c r="R113" s="108" t="str">
        <f t="array" ref="R113">IF(ISNUMBER(AC113),INDEX('All Player Data Store'!$N$7:$N$594,SMALL(IF('All Player Data Store'!$Y$7:$Y$594=AC113,ROW('All Player Data Store'!$Y$7:$Y$594)-ROW('All Player Data Store'!$Y$7)+1),COUNTIF($AC$8:AC113,AC113))),"")</f>
        <v/>
      </c>
      <c r="S113" s="108" t="str">
        <f t="array" ref="S113">IF(ISNUMBER(AC113),INDEX('All Player Data Store'!$O$7:$O$594,SMALL(IF('All Player Data Store'!$Y$7:$Y$594=AC113,ROW('All Player Data Store'!$Y$7:$Y$594)-ROW('All Player Data Store'!$Y$7)+1),COUNTIF($AC$8:AC113,AC113))),"")</f>
        <v/>
      </c>
      <c r="T113" s="108" t="str">
        <f t="array" ref="T113">IF(ISNUMBER(AC113),INDEX('All Player Data Store'!$P$7:$P$594,SMALL(IF('All Player Data Store'!$Y$7:$Y$594=AC113,ROW('All Player Data Store'!$Y$7:$Y$594)-ROW('All Player Data Store'!$Y$7)+1),COUNTIF($AC$8:AC113,AC113))),"")</f>
        <v/>
      </c>
      <c r="U113" s="108" t="str">
        <f t="array" ref="U113">IF(ISNUMBER(AC113),INDEX('All Player Data Store'!$Q$7:$Q$594,SMALL(IF('All Player Data Store'!$Y$7:$Y$594=AC113,ROW('All Player Data Store'!$Y$7:$Y$594)-ROW('All Player Data Store'!$Y$7)+1),COUNTIF($AC$8:AC113,AC113))),"")</f>
        <v/>
      </c>
      <c r="V113" s="108">
        <f t="array" ref="V113">IF(ISNUMBER(AC113),INDEX('All Player Data Store'!$R$7:$R$594,SMALL(IF('All Player Data Store'!$Y$7:$Y$594=AC113,ROW('All Player Data Store'!$Y$7:$Y$594)-ROW('All Player Data Store'!$Y$7)+1),COUNTIF($AC$8:AC113,AC113))),"")</f>
        <v>20.04</v>
      </c>
      <c r="W113" s="108" t="str">
        <f t="array" ref="W113">IF(ISNUMBER(AC113),INDEX('All Player Data Store'!$S$7:$S$594,SMALL(IF('All Player Data Store'!$Y$7:$Y$594=AC113,ROW('All Player Data Store'!$Y$7:$Y$594)-ROW('All Player Data Store'!$Y$7)+1),COUNTIF($AC$8:AC113,AC113))),"")</f>
        <v/>
      </c>
      <c r="X113" s="108">
        <f t="array" ref="X113">IF(ISNUMBER(AC113),INDEX('All Player Data Store'!$T$7:$T$594,SMALL(IF('All Player Data Store'!$Y$7:$Y$594=AC113,ROW('All Player Data Store'!$Y$7:$Y$594)-ROW('All Player Data Store'!$Y$7)+1),COUNTIF($AC$8:AC113,AC113))),"")</f>
        <v>19.79</v>
      </c>
      <c r="Y113" s="108">
        <f t="array" ref="Y113">IF(ISNUMBER(AC113),INDEX('All Player Data Store'!$U$7:$U$594,SMALL(IF('All Player Data Store'!$Y$7:$Y$594=AC113,ROW('All Player Data Store'!$Y$7:$Y$594)-ROW('All Player Data Store'!$Y$7)+1),COUNTIF($AC$8:AC113,AC113))),"")</f>
        <v>23.49</v>
      </c>
      <c r="Z113" s="108" t="str">
        <f t="array" ref="Z113">IF(ISNUMBER(AC113),INDEX('All Player Data Store'!$V$7:$V$594,SMALL(IF('All Player Data Store'!$Y$7:$Y$594=AC113,ROW('All Player Data Store'!$Y$7:$Y$594)-ROW('All Player Data Store'!$Y$7)+1),COUNTIF($AC$8:AC113,AC113))),"")</f>
        <v/>
      </c>
      <c r="AA113" s="112" t="str">
        <f t="array" ref="AA113">IF(ISNUMBER(AC113),INDEX('All Player Data Store'!$W$7:$W$594,SMALL(IF('All Player Data Store'!$Y$7:$Y$594=AC113,ROW('All Player Data Store'!$Y$7:$Y$594)-ROW('All Player Data Store'!$Y$7)+1),COUNTIF($AC$8:AC113,AC113))),"")</f>
        <v/>
      </c>
      <c r="AB113" s="108">
        <f t="array" ref="AB113">IF(ISNUMBER(AC113),INDEX('All Player Data Store'!$X$7:$X$594,SMALL(IF('All Player Data Store'!$Y$7:$Y$594=AC113,ROW('All Player Data Store'!$Y$7:$Y$594)-ROW('All Player Data Store'!$Y$7)+1),COUNTIF($AC$8:AC113,AC113))),"")</f>
        <v>21.106666666666666</v>
      </c>
      <c r="AC113" s="115">
        <f>IF(ISERROR(IF(ISERROR(LARGE('All Player Data Store'!$Y$7:$Y$594,106)),"",(LARGE('All Player Data Store'!$Y$7:$Y$594,106)))),"",(IF(ISERROR(LARGE('All Player Data Store'!$Y$7:$Y$594,106)),"",(LARGE('All Player Data Store'!$Y$7:$Y$594,106)))))</f>
        <v>23.106666666666666</v>
      </c>
      <c r="AD113" s="106">
        <f t="shared" si="16"/>
        <v>3</v>
      </c>
      <c r="AE113" s="107" t="str">
        <f t="array" ref="AE113">IF(ISNUMBER(AC113),INDEX('All Player Data Store'!$J$8:$J$594,SMALL(IF('All Player Data Store'!$Y$7:$Y$594=AC113,ROW('All Player Data Store'!$Y$7:$Y$594)-ROW('All Player Data Store'!$Y$7)+1),COUNTIF($AC$8:AC113,AC113))),"")</f>
        <v/>
      </c>
      <c r="AF113" s="108" t="str">
        <f t="shared" si="3"/>
        <v/>
      </c>
      <c r="AG113" s="108" t="str">
        <f t="array" ref="AG113">IF(ISNUMBER(AC113),INDEX('All Player Data Store'!$K$8:$K$594,SMALL(IF('All Player Data Store'!$Y$7:$Y$594=AC113,ROW('All Player Data Store'!$Y$7:$Y$594)-ROW('All Player Data Store'!$Y$7)+1),COUNTIF($AC$8:AC113,AC113))),"")</f>
        <v/>
      </c>
      <c r="AH113" s="108" t="str">
        <f t="shared" si="4"/>
        <v/>
      </c>
      <c r="AI113" s="108" t="str">
        <f t="array" ref="AI113">IF(ISNUMBER(AC113),INDEX('All Player Data Store'!$L$8:$L$594,SMALL(IF('All Player Data Store'!$Y$7:$Y$594=AC113,ROW('All Player Data Store'!$Y$7:$Y$594)-ROW('All Player Data Store'!$Y$7)+1),COUNTIF($AC$8:AC113,AC113))),"")</f>
        <v/>
      </c>
      <c r="AJ113" s="108" t="str">
        <f t="shared" si="5"/>
        <v/>
      </c>
      <c r="AK113" s="108" t="str">
        <f t="array" ref="AK113">IF(ISNUMBER(AC113),INDEX('All Player Data Store'!$M$8:$M$594,SMALL(IF('All Player Data Store'!$Y$7:$Y$594=AC113,ROW('All Player Data Store'!$Y$7:$Y$594)-ROW('All Player Data Store'!$Y$7)+1),COUNTIF($AC$8:AC113,AC113))),"")</f>
        <v/>
      </c>
      <c r="AL113" s="108" t="str">
        <f t="shared" si="6"/>
        <v/>
      </c>
      <c r="AM113" s="108" t="str">
        <f t="array" ref="AM113">IF(ISNUMBER(AC113),INDEX('All Player Data Store'!$N$8:$N$594,SMALL(IF('All Player Data Store'!$Y$7:$Y$594=AC113,ROW('All Player Data Store'!$Y$7:$Y$594)-ROW('All Player Data Store'!$Y$7)+1),COUNTIF($AC$8:AC113,AC113))),"")</f>
        <v/>
      </c>
      <c r="AN113" s="108" t="str">
        <f t="shared" si="7"/>
        <v/>
      </c>
      <c r="AO113" s="108" t="str">
        <f t="array" ref="AO113">IF(ISNUMBER(AC113),INDEX('All Player Data Store'!$O$8:$O$594,SMALL(IF('All Player Data Store'!$Y$7:$Y$594=AC113,ROW('All Player Data Store'!$Y$7:$Y$594)-ROW('All Player Data Store'!$Y$7)+1),COUNTIF($AC$8:AC113,AC113))),"")</f>
        <v/>
      </c>
      <c r="AP113" s="108" t="str">
        <f t="shared" si="8"/>
        <v/>
      </c>
      <c r="AQ113" s="108" t="str">
        <f t="array" ref="AQ113">IF(ISNUMBER(AC113),INDEX('All Player Data Store'!$P$8:$P$594,SMALL(IF('All Player Data Store'!$Y$7:$Y$594=AC113,ROW('All Player Data Store'!$Y$7:$Y$594)-ROW('All Player Data Store'!$Y$7)+1),COUNTIF($AC$8:AC113,AC113))),"")</f>
        <v/>
      </c>
      <c r="AR113" s="108" t="str">
        <f t="shared" si="9"/>
        <v/>
      </c>
      <c r="AS113" s="108" t="str">
        <f t="array" ref="AS113">IF(ISNUMBER(AC113),INDEX('All Player Data Store'!$Q$8:$Q$594,SMALL(IF('All Player Data Store'!$Y$7:$Y$594=AC113,ROW('All Player Data Store'!$Y$7:$Y$594)-ROW('All Player Data Store'!$Y$7)+1),COUNTIF($AC$8:AC113,AC113))),"")</f>
        <v/>
      </c>
      <c r="AT113" s="108" t="str">
        <f t="shared" si="10"/>
        <v/>
      </c>
      <c r="AU113" s="108" t="str">
        <f t="array" ref="AU113">IF(ISNUMBER(AC113),INDEX('All Player Data Store'!$R$8:$R$594,SMALL(IF('All Player Data Store'!$Y$7:$Y$594=AC113,ROW('All Player Data Store'!$Y$7:$Y$594)-ROW('All Player Data Store'!$Y$7)+1),COUNTIF($AC$8:AC113,AC113))),"")</f>
        <v>4*0</v>
      </c>
      <c r="AV113" s="108">
        <f t="shared" si="11"/>
        <v>21.04</v>
      </c>
      <c r="AW113" s="108" t="str">
        <f t="array" ref="AW113">IF(ISNUMBER(AC113),INDEX('All Player Data Store'!$S$8:$S$594,SMALL(IF('All Player Data Store'!$Y$7:$Y$594=AC113,ROW('All Player Data Store'!$Y$7:$Y$594)-ROW('All Player Data Store'!$Y$7)+1),COUNTIF($AC$8:AC113,AC113))),"")</f>
        <v/>
      </c>
      <c r="AX113" s="108" t="str">
        <f t="shared" si="12"/>
        <v/>
      </c>
      <c r="AY113" s="108" t="str">
        <f t="array" ref="AY113">IF(ISNUMBER(AC113),INDEX('All Player Data Store'!$T$8:$T$594,SMALL(IF('All Player Data Store'!$Y$7:$Y$594=AC113,ROW('All Player Data Store'!$Y$7:$Y$594)-ROW('All Player Data Store'!$Y$7)+1),COUNTIF($AC$8:AC113,AC113))),"")</f>
        <v>3*4</v>
      </c>
      <c r="AZ113" s="108">
        <f t="shared" si="13"/>
        <v>19.79</v>
      </c>
      <c r="BA113" s="108" t="str">
        <f t="array" ref="BA113">IF(ISNUMBER(AC113),INDEX('All Player Data Store'!$U$8:$U$594,SMALL(IF('All Player Data Store'!$Y$7:$Y$594=AC113,ROW('All Player Data Store'!$Y$7:$Y$594)-ROW('All Player Data Store'!$Y$7)+1),COUNTIF($AC$8:AC113,AC113))),"")</f>
        <v>4*1</v>
      </c>
      <c r="BB113" s="108">
        <f t="shared" si="14"/>
        <v>24.49</v>
      </c>
      <c r="BC113" s="108" t="str">
        <f t="array" ref="BC113">IF(ISNUMBER(AC113),INDEX('All Player Data Store'!$V$8:$V$594,SMALL(IF('All Player Data Store'!$Y$7:$Y$594=AC113,ROW('All Player Data Store'!$Y$7:$Y$594)-ROW('All Player Data Store'!$Y$7)+1),COUNTIF($AC$8:AC113,AC113))),"")</f>
        <v/>
      </c>
      <c r="BD113" s="108" t="str">
        <f t="shared" si="15"/>
        <v/>
      </c>
      <c r="BE113" s="1"/>
    </row>
    <row r="114" spans="2:57" ht="12" customHeight="1" x14ac:dyDescent="0.2">
      <c r="B114" s="98" t="str">
        <f t="shared" si="0"/>
        <v>Y</v>
      </c>
      <c r="C114" s="1"/>
      <c r="D114" s="68">
        <f t="shared" si="1"/>
        <v>107</v>
      </c>
      <c r="E114" s="2"/>
      <c r="F114" s="78">
        <v>107</v>
      </c>
      <c r="G114" s="110" t="str">
        <f t="array" ref="G114">IF(ISNUMBER(AC114),INDEX('All Player Data Store'!$C$7:$C$594,SMALL(IF('All Player Data Store'!$Y$7:$Y$594=AC114,ROW('All Player Data Store'!$Y$7:$Y$594)-ROW('All Player Data Store'!$Y$7)+1),COUNTIF($AC$8:AC114,AC114))),"")</f>
        <v>Dan Adams</v>
      </c>
      <c r="H114" s="111" t="str">
        <f t="array" ref="H114">IF(ISNUMBER(AC114),INDEX('All Player Data Store'!$D$7:$D$594,SMALL(IF('All Player Data Store'!$Y$7:$Y$594=AC114,ROW('All Player Data Store'!$Y$7:$Y$594)-ROW('All Player Data Store'!$Y$7)+1),COUNTIF($AC$8:AC114,AC114))),"")</f>
        <v>Par</v>
      </c>
      <c r="I114" s="69">
        <f t="array" ref="I114">IF(ISNUMBER(AC114),INDEX('All Player Data Store'!$E$7:$E$594,SMALL(IF('All Player Data Store'!$Y$7:$Y$594=AC114,ROW('All Player Data Store'!$Y$7:$Y$594)-ROW('All Player Data Store'!$Y$7)+1),COUNTIF($AC$8:AC114,AC114))),"")</f>
        <v>12</v>
      </c>
      <c r="J114" s="70">
        <f t="array" ref="J114">IF(ISNUMBER(AC114),INDEX('All Player Data Store'!$F$7:$F$594,SMALL(IF('All Player Data Store'!$Y$7:$Y$594=AC114,ROW('All Player Data Store'!$Y$7:$Y$594)-ROW('All Player Data Store'!$Y$7)+1),COUNTIF($AC$8:AC114,AC114))),"")</f>
        <v>3</v>
      </c>
      <c r="K114" s="112">
        <f t="array" ref="K114">IF(ISNUMBER(AC114),INDEX('All Player Data Store'!$G$7:$G$594,SMALL(IF('All Player Data Store'!$Y$7:$Y$594=AC114,ROW('All Player Data Store'!$Y$7:$Y$594)-ROW('All Player Data Store'!$Y$7)+1),COUNTIF($AC$8:AC114,AC114))),"")</f>
        <v>9</v>
      </c>
      <c r="L114" s="112">
        <f t="array" ref="L114">IF(ISNUMBER(AC114),INDEX('All Player Data Store'!$H$7:$H$594,SMALL(IF('All Player Data Store'!$Y$7:$Y$594=AC114,ROW('All Player Data Store'!$Y$7:$Y$594)-ROW('All Player Data Store'!$Y$7)+1),COUNTIF($AC$8:AC114,AC114))),"")</f>
        <v>27</v>
      </c>
      <c r="M114" s="113">
        <f t="array" ref="M114">IF(ISNUMBER(AC114),INDEX('All Player Data Store'!$I$7:$I$594,SMALL(IF('All Player Data Store'!$Y$7:$Y$594=AC114,ROW('All Player Data Store'!$Y$7:$Y$594)-ROW('All Player Data Store'!$Y$7)+1),COUNTIF($AC$8:AC114,AC114))),"")</f>
        <v>37</v>
      </c>
      <c r="N114" s="114">
        <f t="array" ref="N114">IF(ISNUMBER(AC114),INDEX('All Player Data Store'!$J$7:$J$594,SMALL(IF('All Player Data Store'!$Y$7:$Y$594=AC114,ROW('All Player Data Store'!$Y$7:$Y$594)-ROW('All Player Data Store'!$Y$7)+1),COUNTIF($AC$8:AC114,AC114))),"")</f>
        <v>19.68</v>
      </c>
      <c r="O114" s="108">
        <f t="array" ref="O114">IF(ISNUMBER(AC114),INDEX('All Player Data Store'!$K$7:$K$594,SMALL(IF('All Player Data Store'!$Y$7:$Y$594=AC114,ROW('All Player Data Store'!$Y$7:$Y$594)-ROW('All Player Data Store'!$Y$7)+1),COUNTIF($AC$8:AC114,AC114))),"")</f>
        <v>18.22</v>
      </c>
      <c r="P114" s="108">
        <f t="array" ref="P114">IF(ISNUMBER(AC114),INDEX('All Player Data Store'!$L$7:$L$594,SMALL(IF('All Player Data Store'!$Y$7:$Y$594=AC114,ROW('All Player Data Store'!$Y$7:$Y$594)-ROW('All Player Data Store'!$Y$7)+1),COUNTIF($AC$8:AC114,AC114))),"")</f>
        <v>18.95</v>
      </c>
      <c r="Q114" s="108">
        <f t="array" ref="Q114">IF(ISNUMBER(AC114),INDEX('All Player Data Store'!$M$7:$M$594,SMALL(IF('All Player Data Store'!$Y$7:$Y$594=AC114,ROW('All Player Data Store'!$Y$7:$Y$594)-ROW('All Player Data Store'!$Y$7)+1),COUNTIF($AC$8:AC114,AC114))),"")</f>
        <v>16.7</v>
      </c>
      <c r="R114" s="108">
        <f t="array" ref="R114">IF(ISNUMBER(AC114),INDEX('All Player Data Store'!$N$7:$N$594,SMALL(IF('All Player Data Store'!$Y$7:$Y$594=AC114,ROW('All Player Data Store'!$Y$7:$Y$594)-ROW('All Player Data Store'!$Y$7)+1),COUNTIF($AC$8:AC114,AC114))),"")</f>
        <v>23.78</v>
      </c>
      <c r="S114" s="108">
        <f t="array" ref="S114">IF(ISNUMBER(AC114),INDEX('All Player Data Store'!$O$7:$O$594,SMALL(IF('All Player Data Store'!$Y$7:$Y$594=AC114,ROW('All Player Data Store'!$Y$7:$Y$594)-ROW('All Player Data Store'!$Y$7)+1),COUNTIF($AC$8:AC114,AC114))),"")</f>
        <v>20.74</v>
      </c>
      <c r="T114" s="108">
        <f t="array" ref="T114">IF(ISNUMBER(AC114),INDEX('All Player Data Store'!$P$7:$P$594,SMALL(IF('All Player Data Store'!$Y$7:$Y$594=AC114,ROW('All Player Data Store'!$Y$7:$Y$594)-ROW('All Player Data Store'!$Y$7)+1),COUNTIF($AC$8:AC114,AC114))),"")</f>
        <v>18.170000000000002</v>
      </c>
      <c r="U114" s="108" t="str">
        <f t="array" ref="U114">IF(ISNUMBER(AC114),INDEX('All Player Data Store'!$Q$7:$Q$594,SMALL(IF('All Player Data Store'!$Y$7:$Y$594=AC114,ROW('All Player Data Store'!$Y$7:$Y$594)-ROW('All Player Data Store'!$Y$7)+1),COUNTIF($AC$8:AC114,AC114))),"")</f>
        <v/>
      </c>
      <c r="V114" s="108">
        <f t="array" ref="V114">IF(ISNUMBER(AC114),INDEX('All Player Data Store'!$R$7:$R$594,SMALL(IF('All Player Data Store'!$Y$7:$Y$594=AC114,ROW('All Player Data Store'!$Y$7:$Y$594)-ROW('All Player Data Store'!$Y$7)+1),COUNTIF($AC$8:AC114,AC114))),"")</f>
        <v>20.04</v>
      </c>
      <c r="W114" s="108">
        <f t="array" ref="W114">IF(ISNUMBER(AC114),INDEX('All Player Data Store'!$S$7:$S$594,SMALL(IF('All Player Data Store'!$Y$7:$Y$594=AC114,ROW('All Player Data Store'!$Y$7:$Y$594)-ROW('All Player Data Store'!$Y$7)+1),COUNTIF($AC$8:AC114,AC114))),"")</f>
        <v>22.13</v>
      </c>
      <c r="X114" s="108">
        <f t="array" ref="X114">IF(ISNUMBER(AC114),INDEX('All Player Data Store'!$T$7:$T$594,SMALL(IF('All Player Data Store'!$Y$7:$Y$594=AC114,ROW('All Player Data Store'!$Y$7:$Y$594)-ROW('All Player Data Store'!$Y$7)+1),COUNTIF($AC$8:AC114,AC114))),"")</f>
        <v>18.45</v>
      </c>
      <c r="Y114" s="108">
        <f t="array" ref="Y114">IF(ISNUMBER(AC114),INDEX('All Player Data Store'!$U$7:$U$594,SMALL(IF('All Player Data Store'!$Y$7:$Y$594=AC114,ROW('All Player Data Store'!$Y$7:$Y$594)-ROW('All Player Data Store'!$Y$7)+1),COUNTIF($AC$8:AC114,AC114))),"")</f>
        <v>23.12</v>
      </c>
      <c r="Z114" s="108">
        <f t="array" ref="Z114">IF(ISNUMBER(AC114),INDEX('All Player Data Store'!$V$7:$V$594,SMALL(IF('All Player Data Store'!$Y$7:$Y$594=AC114,ROW('All Player Data Store'!$Y$7:$Y$594)-ROW('All Player Data Store'!$Y$7)+1),COUNTIF($AC$8:AC114,AC114))),"")</f>
        <v>20.82</v>
      </c>
      <c r="AA114" s="112" t="str">
        <f t="array" ref="AA114">IF(ISNUMBER(AC114),INDEX('All Player Data Store'!$W$7:$W$594,SMALL(IF('All Player Data Store'!$Y$7:$Y$594=AC114,ROW('All Player Data Store'!$Y$7:$Y$594)-ROW('All Player Data Store'!$Y$7)+1),COUNTIF($AC$8:AC114,AC114))),"")</f>
        <v/>
      </c>
      <c r="AB114" s="108">
        <f t="array" ref="AB114">IF(ISNUMBER(AC114),INDEX('All Player Data Store'!$X$7:$X$594,SMALL(IF('All Player Data Store'!$Y$7:$Y$594=AC114,ROW('All Player Data Store'!$Y$7:$Y$594)-ROW('All Player Data Store'!$Y$7)+1),COUNTIF($AC$8:AC114,AC114))),"")</f>
        <v>20.066666666666666</v>
      </c>
      <c r="AC114" s="115">
        <f>IF(ISERROR(IF(ISERROR(LARGE('All Player Data Store'!$Y$7:$Y$594,107)),"",(LARGE('All Player Data Store'!$Y$7:$Y$594,107)))),"",(IF(ISERROR(LARGE('All Player Data Store'!$Y$7:$Y$594,107)),"",(LARGE('All Player Data Store'!$Y$7:$Y$594,107)))))</f>
        <v>23.066666666666666</v>
      </c>
      <c r="AD114" s="106">
        <f t="shared" si="16"/>
        <v>3</v>
      </c>
      <c r="AE114" s="107" t="str">
        <f t="array" ref="AE114">IF(ISNUMBER(AC114),INDEX('All Player Data Store'!$J$8:$J$594,SMALL(IF('All Player Data Store'!$Y$7:$Y$594=AC114,ROW('All Player Data Store'!$Y$7:$Y$594)-ROW('All Player Data Store'!$Y$7)+1),COUNTIF($AC$8:AC114,AC114))),"")</f>
        <v>2*4</v>
      </c>
      <c r="AF114" s="108">
        <f t="shared" si="3"/>
        <v>19.68</v>
      </c>
      <c r="AG114" s="108" t="str">
        <f t="array" ref="AG114">IF(ISNUMBER(AC114),INDEX('All Player Data Store'!$K$8:$K$594,SMALL(IF('All Player Data Store'!$Y$7:$Y$594=AC114,ROW('All Player Data Store'!$Y$7:$Y$594)-ROW('All Player Data Store'!$Y$7)+1),COUNTIF($AC$8:AC114,AC114))),"")</f>
        <v>4*0</v>
      </c>
      <c r="AH114" s="108">
        <f t="shared" si="4"/>
        <v>19.22</v>
      </c>
      <c r="AI114" s="108" t="str">
        <f t="array" ref="AI114">IF(ISNUMBER(AC114),INDEX('All Player Data Store'!$L$8:$L$594,SMALL(IF('All Player Data Store'!$Y$7:$Y$594=AC114,ROW('All Player Data Store'!$Y$7:$Y$594)-ROW('All Player Data Store'!$Y$7)+1),COUNTIF($AC$8:AC114,AC114))),"")</f>
        <v>3*4</v>
      </c>
      <c r="AJ114" s="108">
        <f t="shared" si="5"/>
        <v>18.95</v>
      </c>
      <c r="AK114" s="108" t="str">
        <f t="array" ref="AK114">IF(ISNUMBER(AC114),INDEX('All Player Data Store'!$M$8:$M$594,SMALL(IF('All Player Data Store'!$Y$7:$Y$594=AC114,ROW('All Player Data Store'!$Y$7:$Y$594)-ROW('All Player Data Store'!$Y$7)+1),COUNTIF($AC$8:AC114,AC114))),"")</f>
        <v>0*4</v>
      </c>
      <c r="AL114" s="108">
        <f t="shared" si="6"/>
        <v>16.7</v>
      </c>
      <c r="AM114" s="108" t="str">
        <f t="array" ref="AM114">IF(ISNUMBER(AC114),INDEX('All Player Data Store'!$N$8:$N$594,SMALL(IF('All Player Data Store'!$Y$7:$Y$594=AC114,ROW('All Player Data Store'!$Y$7:$Y$594)-ROW('All Player Data Store'!$Y$7)+1),COUNTIF($AC$8:AC114,AC114))),"")</f>
        <v>4*1</v>
      </c>
      <c r="AN114" s="108">
        <f t="shared" si="7"/>
        <v>24.78</v>
      </c>
      <c r="AO114" s="108" t="str">
        <f t="array" ref="AO114">IF(ISNUMBER(AC114),INDEX('All Player Data Store'!$O$8:$O$594,SMALL(IF('All Player Data Store'!$Y$7:$Y$594=AC114,ROW('All Player Data Store'!$Y$7:$Y$594)-ROW('All Player Data Store'!$Y$7)+1),COUNTIF($AC$8:AC114,AC114))),"")</f>
        <v>1*4</v>
      </c>
      <c r="AP114" s="108">
        <f t="shared" si="8"/>
        <v>20.74</v>
      </c>
      <c r="AQ114" s="108" t="str">
        <f t="array" ref="AQ114">IF(ISNUMBER(AC114),INDEX('All Player Data Store'!$P$8:$P$594,SMALL(IF('All Player Data Store'!$Y$7:$Y$594=AC114,ROW('All Player Data Store'!$Y$7:$Y$594)-ROW('All Player Data Store'!$Y$7)+1),COUNTIF($AC$8:AC114,AC114))),"")</f>
        <v>3*4</v>
      </c>
      <c r="AR114" s="108">
        <f t="shared" si="9"/>
        <v>18.170000000000002</v>
      </c>
      <c r="AS114" s="108" t="str">
        <f t="array" ref="AS114">IF(ISNUMBER(AC114),INDEX('All Player Data Store'!$Q$8:$Q$594,SMALL(IF('All Player Data Store'!$Y$7:$Y$594=AC114,ROW('All Player Data Store'!$Y$7:$Y$594)-ROW('All Player Data Store'!$Y$7)+1),COUNTIF($AC$8:AC114,AC114))),"")</f>
        <v/>
      </c>
      <c r="AT114" s="108" t="str">
        <f t="shared" si="10"/>
        <v/>
      </c>
      <c r="AU114" s="108" t="str">
        <f t="array" ref="AU114">IF(ISNUMBER(AC114),INDEX('All Player Data Store'!$R$8:$R$594,SMALL(IF('All Player Data Store'!$Y$7:$Y$594=AC114,ROW('All Player Data Store'!$Y$7:$Y$594)-ROW('All Player Data Store'!$Y$7)+1),COUNTIF($AC$8:AC114,AC114))),"")</f>
        <v>4*0</v>
      </c>
      <c r="AV114" s="108">
        <f t="shared" si="11"/>
        <v>21.04</v>
      </c>
      <c r="AW114" s="108" t="str">
        <f t="array" ref="AW114">IF(ISNUMBER(AC114),INDEX('All Player Data Store'!$S$8:$S$594,SMALL(IF('All Player Data Store'!$Y$7:$Y$594=AC114,ROW('All Player Data Store'!$Y$7:$Y$594)-ROW('All Player Data Store'!$Y$7)+1),COUNTIF($AC$8:AC114,AC114))),"")</f>
        <v>1*4</v>
      </c>
      <c r="AX114" s="108">
        <f t="shared" si="12"/>
        <v>22.13</v>
      </c>
      <c r="AY114" s="108" t="str">
        <f t="array" ref="AY114">IF(ISNUMBER(AC114),INDEX('All Player Data Store'!$T$8:$T$594,SMALL(IF('All Player Data Store'!$Y$7:$Y$594=AC114,ROW('All Player Data Store'!$Y$7:$Y$594)-ROW('All Player Data Store'!$Y$7)+1),COUNTIF($AC$8:AC114,AC114))),"")</f>
        <v>3*4</v>
      </c>
      <c r="AZ114" s="108">
        <f t="shared" si="13"/>
        <v>18.45</v>
      </c>
      <c r="BA114" s="108" t="str">
        <f t="array" ref="BA114">IF(ISNUMBER(AC114),INDEX('All Player Data Store'!$U$8:$U$594,SMALL(IF('All Player Data Store'!$Y$7:$Y$594=AC114,ROW('All Player Data Store'!$Y$7:$Y$594)-ROW('All Player Data Store'!$Y$7)+1),COUNTIF($AC$8:AC114,AC114))),"")</f>
        <v>1*4</v>
      </c>
      <c r="BB114" s="108">
        <f t="shared" si="14"/>
        <v>23.12</v>
      </c>
      <c r="BC114" s="108" t="str">
        <f t="array" ref="BC114">IF(ISNUMBER(AC114),INDEX('All Player Data Store'!$V$8:$V$594,SMALL(IF('All Player Data Store'!$Y$7:$Y$594=AC114,ROW('All Player Data Store'!$Y$7:$Y$594)-ROW('All Player Data Store'!$Y$7)+1),COUNTIF($AC$8:AC114,AC114))),"")</f>
        <v>1*4</v>
      </c>
      <c r="BD114" s="108">
        <f t="shared" si="15"/>
        <v>20.82</v>
      </c>
      <c r="BE114" s="1"/>
    </row>
    <row r="115" spans="2:57" ht="12" customHeight="1" x14ac:dyDescent="0.2">
      <c r="B115" s="98" t="str">
        <f t="shared" si="0"/>
        <v>N</v>
      </c>
      <c r="C115" s="1"/>
      <c r="D115" s="68">
        <f t="shared" si="1"/>
        <v>108</v>
      </c>
      <c r="E115" s="2"/>
      <c r="F115" s="78">
        <v>108</v>
      </c>
      <c r="G115" s="110" t="str">
        <f t="array" ref="G115">IF(ISNUMBER(AC115),INDEX('All Player Data Store'!$C$7:$C$594,SMALL(IF('All Player Data Store'!$Y$7:$Y$594=AC115,ROW('All Player Data Store'!$Y$7:$Y$594)-ROW('All Player Data Store'!$Y$7)+1),COUNTIF($AC$8:AC115,AC115))),"")</f>
        <v>Derek Legg</v>
      </c>
      <c r="H115" s="111" t="str">
        <f t="array" ref="H115">IF(ISNUMBER(AC115),INDEX('All Player Data Store'!$D$7:$D$594,SMALL(IF('All Player Data Store'!$Y$7:$Y$594=AC115,ROW('All Player Data Store'!$Y$7:$Y$594)-ROW('All Player Data Store'!$Y$7)+1),COUNTIF($AC$8:AC115,AC115))),"")</f>
        <v>Lyt</v>
      </c>
      <c r="I115" s="69">
        <f t="array" ref="I115">IF(ISNUMBER(AC115),INDEX('All Player Data Store'!$E$7:$E$594,SMALL(IF('All Player Data Store'!$Y$7:$Y$594=AC115,ROW('All Player Data Store'!$Y$7:$Y$594)-ROW('All Player Data Store'!$Y$7)+1),COUNTIF($AC$8:AC115,AC115))),"")</f>
        <v>2</v>
      </c>
      <c r="J115" s="70">
        <f t="array" ref="J115">IF(ISNUMBER(AC115),INDEX('All Player Data Store'!$F$7:$F$594,SMALL(IF('All Player Data Store'!$Y$7:$Y$594=AC115,ROW('All Player Data Store'!$Y$7:$Y$594)-ROW('All Player Data Store'!$Y$7)+1),COUNTIF($AC$8:AC115,AC115))),"")</f>
        <v>2</v>
      </c>
      <c r="K115" s="112" t="str">
        <f t="array" ref="K115">IF(ISNUMBER(AC115),INDEX('All Player Data Store'!$G$7:$G$594,SMALL(IF('All Player Data Store'!$Y$7:$Y$594=AC115,ROW('All Player Data Store'!$Y$7:$Y$594)-ROW('All Player Data Store'!$Y$7)+1),COUNTIF($AC$8:AC115,AC115))),"")</f>
        <v/>
      </c>
      <c r="L115" s="112">
        <f t="array" ref="L115">IF(ISNUMBER(AC115),INDEX('All Player Data Store'!$H$7:$H$594,SMALL(IF('All Player Data Store'!$Y$7:$Y$594=AC115,ROW('All Player Data Store'!$Y$7:$Y$594)-ROW('All Player Data Store'!$Y$7)+1),COUNTIF($AC$8:AC115,AC115))),"")</f>
        <v>8</v>
      </c>
      <c r="M115" s="113">
        <f t="array" ref="M115">IF(ISNUMBER(AC115),INDEX('All Player Data Store'!$I$7:$I$594,SMALL(IF('All Player Data Store'!$Y$7:$Y$594=AC115,ROW('All Player Data Store'!$Y$7:$Y$594)-ROW('All Player Data Store'!$Y$7)+1),COUNTIF($AC$8:AC115,AC115))),"")</f>
        <v>4</v>
      </c>
      <c r="N115" s="114" t="str">
        <f t="array" ref="N115">IF(ISNUMBER(AC115),INDEX('All Player Data Store'!$J$7:$J$594,SMALL(IF('All Player Data Store'!$Y$7:$Y$594=AC115,ROW('All Player Data Store'!$Y$7:$Y$594)-ROW('All Player Data Store'!$Y$7)+1),COUNTIF($AC$8:AC115,AC115))),"")</f>
        <v/>
      </c>
      <c r="O115" s="108">
        <f t="array" ref="O115">IF(ISNUMBER(AC115),INDEX('All Player Data Store'!$K$7:$K$594,SMALL(IF('All Player Data Store'!$Y$7:$Y$594=AC115,ROW('All Player Data Store'!$Y$7:$Y$594)-ROW('All Player Data Store'!$Y$7)+1),COUNTIF($AC$8:AC115,AC115))),"")</f>
        <v>20.420000000000002</v>
      </c>
      <c r="P115" s="108">
        <f t="array" ref="P115">IF(ISNUMBER(AC115),INDEX('All Player Data Store'!$L$7:$L$594,SMALL(IF('All Player Data Store'!$Y$7:$Y$594=AC115,ROW('All Player Data Store'!$Y$7:$Y$594)-ROW('All Player Data Store'!$Y$7)+1),COUNTIF($AC$8:AC115,AC115))),"")</f>
        <v>21.3</v>
      </c>
      <c r="Q115" s="108" t="str">
        <f t="array" ref="Q115">IF(ISNUMBER(AC115),INDEX('All Player Data Store'!$M$7:$M$594,SMALL(IF('All Player Data Store'!$Y$7:$Y$594=AC115,ROW('All Player Data Store'!$Y$7:$Y$594)-ROW('All Player Data Store'!$Y$7)+1),COUNTIF($AC$8:AC115,AC115))),"")</f>
        <v/>
      </c>
      <c r="R115" s="108" t="str">
        <f t="array" ref="R115">IF(ISNUMBER(AC115),INDEX('All Player Data Store'!$N$7:$N$594,SMALL(IF('All Player Data Store'!$Y$7:$Y$594=AC115,ROW('All Player Data Store'!$Y$7:$Y$594)-ROW('All Player Data Store'!$Y$7)+1),COUNTIF($AC$8:AC115,AC115))),"")</f>
        <v/>
      </c>
      <c r="S115" s="108" t="str">
        <f t="array" ref="S115">IF(ISNUMBER(AC115),INDEX('All Player Data Store'!$O$7:$O$594,SMALL(IF('All Player Data Store'!$Y$7:$Y$594=AC115,ROW('All Player Data Store'!$Y$7:$Y$594)-ROW('All Player Data Store'!$Y$7)+1),COUNTIF($AC$8:AC115,AC115))),"")</f>
        <v/>
      </c>
      <c r="T115" s="108" t="str">
        <f t="array" ref="T115">IF(ISNUMBER(AC115),INDEX('All Player Data Store'!$P$7:$P$594,SMALL(IF('All Player Data Store'!$Y$7:$Y$594=AC115,ROW('All Player Data Store'!$Y$7:$Y$594)-ROW('All Player Data Store'!$Y$7)+1),COUNTIF($AC$8:AC115,AC115))),"")</f>
        <v/>
      </c>
      <c r="U115" s="108" t="str">
        <f t="array" ref="U115">IF(ISNUMBER(AC115),INDEX('All Player Data Store'!$Q$7:$Q$594,SMALL(IF('All Player Data Store'!$Y$7:$Y$594=AC115,ROW('All Player Data Store'!$Y$7:$Y$594)-ROW('All Player Data Store'!$Y$7)+1),COUNTIF($AC$8:AC115,AC115))),"")</f>
        <v/>
      </c>
      <c r="V115" s="108" t="str">
        <f t="array" ref="V115">IF(ISNUMBER(AC115),INDEX('All Player Data Store'!$R$7:$R$594,SMALL(IF('All Player Data Store'!$Y$7:$Y$594=AC115,ROW('All Player Data Store'!$Y$7:$Y$594)-ROW('All Player Data Store'!$Y$7)+1),COUNTIF($AC$8:AC115,AC115))),"")</f>
        <v/>
      </c>
      <c r="W115" s="108" t="str">
        <f t="array" ref="W115">IF(ISNUMBER(AC115),INDEX('All Player Data Store'!$S$7:$S$594,SMALL(IF('All Player Data Store'!$Y$7:$Y$594=AC115,ROW('All Player Data Store'!$Y$7:$Y$594)-ROW('All Player Data Store'!$Y$7)+1),COUNTIF($AC$8:AC115,AC115))),"")</f>
        <v/>
      </c>
      <c r="X115" s="108" t="str">
        <f t="array" ref="X115">IF(ISNUMBER(AC115),INDEX('All Player Data Store'!$T$7:$T$594,SMALL(IF('All Player Data Store'!$Y$7:$Y$594=AC115,ROW('All Player Data Store'!$Y$7:$Y$594)-ROW('All Player Data Store'!$Y$7)+1),COUNTIF($AC$8:AC115,AC115))),"")</f>
        <v/>
      </c>
      <c r="Y115" s="108" t="str">
        <f t="array" ref="Y115">IF(ISNUMBER(AC115),INDEX('All Player Data Store'!$U$7:$U$594,SMALL(IF('All Player Data Store'!$Y$7:$Y$594=AC115,ROW('All Player Data Store'!$Y$7:$Y$594)-ROW('All Player Data Store'!$Y$7)+1),COUNTIF($AC$8:AC115,AC115))),"")</f>
        <v/>
      </c>
      <c r="Z115" s="108" t="str">
        <f t="array" ref="Z115">IF(ISNUMBER(AC115),INDEX('All Player Data Store'!$V$7:$V$594,SMALL(IF('All Player Data Store'!$Y$7:$Y$594=AC115,ROW('All Player Data Store'!$Y$7:$Y$594)-ROW('All Player Data Store'!$Y$7)+1),COUNTIF($AC$8:AC115,AC115))),"")</f>
        <v/>
      </c>
      <c r="AA115" s="112" t="str">
        <f t="array" ref="AA115">IF(ISNUMBER(AC115),INDEX('All Player Data Store'!$W$7:$W$594,SMALL(IF('All Player Data Store'!$Y$7:$Y$594=AC115,ROW('All Player Data Store'!$Y$7:$Y$594)-ROW('All Player Data Store'!$Y$7)+1),COUNTIF($AC$8:AC115,AC115))),"")</f>
        <v/>
      </c>
      <c r="AB115" s="108">
        <f t="array" ref="AB115">IF(ISNUMBER(AC115),INDEX('All Player Data Store'!$X$7:$X$594,SMALL(IF('All Player Data Store'!$Y$7:$Y$594=AC115,ROW('All Player Data Store'!$Y$7:$Y$594)-ROW('All Player Data Store'!$Y$7)+1),COUNTIF($AC$8:AC115,AC115))),"")</f>
        <v>20.86</v>
      </c>
      <c r="AC115" s="115">
        <f>IF(ISERROR(IF(ISERROR(LARGE('All Player Data Store'!$Y$7:$Y$594,108)),"",(LARGE('All Player Data Store'!$Y$7:$Y$594,108)))),"",(IF(ISERROR(LARGE('All Player Data Store'!$Y$7:$Y$594,108)),"",(LARGE('All Player Data Store'!$Y$7:$Y$594,108)))))</f>
        <v>22.86</v>
      </c>
      <c r="AD115" s="106">
        <f t="shared" si="16"/>
        <v>3</v>
      </c>
      <c r="AE115" s="107" t="str">
        <f t="array" ref="AE115">IF(ISNUMBER(AC115),INDEX('All Player Data Store'!$J$8:$J$594,SMALL(IF('All Player Data Store'!$Y$7:$Y$594=AC115,ROW('All Player Data Store'!$Y$7:$Y$594)-ROW('All Player Data Store'!$Y$7)+1),COUNTIF($AC$8:AC115,AC115))),"")</f>
        <v/>
      </c>
      <c r="AF115" s="108" t="str">
        <f t="shared" si="3"/>
        <v/>
      </c>
      <c r="AG115" s="108" t="str">
        <f t="array" ref="AG115">IF(ISNUMBER(AC115),INDEX('All Player Data Store'!$K$8:$K$594,SMALL(IF('All Player Data Store'!$Y$7:$Y$594=AC115,ROW('All Player Data Store'!$Y$7:$Y$594)-ROW('All Player Data Store'!$Y$7)+1),COUNTIF($AC$8:AC115,AC115))),"")</f>
        <v>4*3</v>
      </c>
      <c r="AH115" s="108">
        <f t="shared" si="4"/>
        <v>21.42</v>
      </c>
      <c r="AI115" s="108" t="str">
        <f t="array" ref="AI115">IF(ISNUMBER(AC115),INDEX('All Player Data Store'!$L$8:$L$594,SMALL(IF('All Player Data Store'!$Y$7:$Y$594=AC115,ROW('All Player Data Store'!$Y$7:$Y$594)-ROW('All Player Data Store'!$Y$7)+1),COUNTIF($AC$8:AC115,AC115))),"")</f>
        <v>4*1</v>
      </c>
      <c r="AJ115" s="108">
        <f t="shared" si="5"/>
        <v>22.3</v>
      </c>
      <c r="AK115" s="108" t="str">
        <f t="array" ref="AK115">IF(ISNUMBER(AC115),INDEX('All Player Data Store'!$M$8:$M$594,SMALL(IF('All Player Data Store'!$Y$7:$Y$594=AC115,ROW('All Player Data Store'!$Y$7:$Y$594)-ROW('All Player Data Store'!$Y$7)+1),COUNTIF($AC$8:AC115,AC115))),"")</f>
        <v/>
      </c>
      <c r="AL115" s="108" t="str">
        <f t="shared" si="6"/>
        <v/>
      </c>
      <c r="AM115" s="108" t="str">
        <f t="array" ref="AM115">IF(ISNUMBER(AC115),INDEX('All Player Data Store'!$N$8:$N$594,SMALL(IF('All Player Data Store'!$Y$7:$Y$594=AC115,ROW('All Player Data Store'!$Y$7:$Y$594)-ROW('All Player Data Store'!$Y$7)+1),COUNTIF($AC$8:AC115,AC115))),"")</f>
        <v/>
      </c>
      <c r="AN115" s="108" t="str">
        <f t="shared" si="7"/>
        <v/>
      </c>
      <c r="AO115" s="108" t="str">
        <f t="array" ref="AO115">IF(ISNUMBER(AC115),INDEX('All Player Data Store'!$O$8:$O$594,SMALL(IF('All Player Data Store'!$Y$7:$Y$594=AC115,ROW('All Player Data Store'!$Y$7:$Y$594)-ROW('All Player Data Store'!$Y$7)+1),COUNTIF($AC$8:AC115,AC115))),"")</f>
        <v/>
      </c>
      <c r="AP115" s="108" t="str">
        <f t="shared" si="8"/>
        <v/>
      </c>
      <c r="AQ115" s="108" t="str">
        <f t="array" ref="AQ115">IF(ISNUMBER(AC115),INDEX('All Player Data Store'!$P$8:$P$594,SMALL(IF('All Player Data Store'!$Y$7:$Y$594=AC115,ROW('All Player Data Store'!$Y$7:$Y$594)-ROW('All Player Data Store'!$Y$7)+1),COUNTIF($AC$8:AC115,AC115))),"")</f>
        <v/>
      </c>
      <c r="AR115" s="108" t="str">
        <f t="shared" si="9"/>
        <v/>
      </c>
      <c r="AS115" s="108" t="str">
        <f t="array" ref="AS115">IF(ISNUMBER(AC115),INDEX('All Player Data Store'!$Q$8:$Q$594,SMALL(IF('All Player Data Store'!$Y$7:$Y$594=AC115,ROW('All Player Data Store'!$Y$7:$Y$594)-ROW('All Player Data Store'!$Y$7)+1),COUNTIF($AC$8:AC115,AC115))),"")</f>
        <v/>
      </c>
      <c r="AT115" s="108" t="str">
        <f t="shared" si="10"/>
        <v/>
      </c>
      <c r="AU115" s="108" t="str">
        <f t="array" ref="AU115">IF(ISNUMBER(AC115),INDEX('All Player Data Store'!$R$8:$R$594,SMALL(IF('All Player Data Store'!$Y$7:$Y$594=AC115,ROW('All Player Data Store'!$Y$7:$Y$594)-ROW('All Player Data Store'!$Y$7)+1),COUNTIF($AC$8:AC115,AC115))),"")</f>
        <v/>
      </c>
      <c r="AV115" s="108" t="str">
        <f t="shared" si="11"/>
        <v/>
      </c>
      <c r="AW115" s="108" t="str">
        <f t="array" ref="AW115">IF(ISNUMBER(AC115),INDEX('All Player Data Store'!$S$8:$S$594,SMALL(IF('All Player Data Store'!$Y$7:$Y$594=AC115,ROW('All Player Data Store'!$Y$7:$Y$594)-ROW('All Player Data Store'!$Y$7)+1),COUNTIF($AC$8:AC115,AC115))),"")</f>
        <v/>
      </c>
      <c r="AX115" s="108" t="str">
        <f t="shared" si="12"/>
        <v/>
      </c>
      <c r="AY115" s="108" t="str">
        <f t="array" ref="AY115">IF(ISNUMBER(AC115),INDEX('All Player Data Store'!$T$8:$T$594,SMALL(IF('All Player Data Store'!$Y$7:$Y$594=AC115,ROW('All Player Data Store'!$Y$7:$Y$594)-ROW('All Player Data Store'!$Y$7)+1),COUNTIF($AC$8:AC115,AC115))),"")</f>
        <v/>
      </c>
      <c r="AZ115" s="108" t="str">
        <f t="shared" si="13"/>
        <v/>
      </c>
      <c r="BA115" s="108" t="str">
        <f t="array" ref="BA115">IF(ISNUMBER(AC115),INDEX('All Player Data Store'!$U$8:$U$594,SMALL(IF('All Player Data Store'!$Y$7:$Y$594=AC115,ROW('All Player Data Store'!$Y$7:$Y$594)-ROW('All Player Data Store'!$Y$7)+1),COUNTIF($AC$8:AC115,AC115))),"")</f>
        <v/>
      </c>
      <c r="BB115" s="108" t="str">
        <f t="shared" si="14"/>
        <v/>
      </c>
      <c r="BC115" s="108" t="str">
        <f t="array" ref="BC115">IF(ISNUMBER(AC115),INDEX('All Player Data Store'!$V$8:$V$594,SMALL(IF('All Player Data Store'!$Y$7:$Y$594=AC115,ROW('All Player Data Store'!$Y$7:$Y$594)-ROW('All Player Data Store'!$Y$7)+1),COUNTIF($AC$8:AC115,AC115))),"")</f>
        <v/>
      </c>
      <c r="BD115" s="108" t="str">
        <f t="shared" si="15"/>
        <v/>
      </c>
      <c r="BE115" s="1"/>
    </row>
    <row r="116" spans="2:57" ht="12" customHeight="1" x14ac:dyDescent="0.2">
      <c r="B116" s="98" t="str">
        <f t="shared" si="0"/>
        <v>N</v>
      </c>
      <c r="C116" s="1"/>
      <c r="D116" s="68">
        <f t="shared" si="1"/>
        <v>109</v>
      </c>
      <c r="E116" s="2"/>
      <c r="F116" s="78">
        <v>109</v>
      </c>
      <c r="G116" s="110" t="str">
        <f t="array" ref="G116">IF(ISNUMBER(AC116),INDEX('All Player Data Store'!$C$7:$C$594,SMALL(IF('All Player Data Store'!$Y$7:$Y$594=AC116,ROW('All Player Data Store'!$Y$7:$Y$594)-ROW('All Player Data Store'!$Y$7)+1),COUNTIF($AC$8:AC116,AC116))),"")</f>
        <v>Luke Arnold</v>
      </c>
      <c r="H116" s="111" t="str">
        <f t="array" ref="H116">IF(ISNUMBER(AC116),INDEX('All Player Data Store'!$D$7:$D$594,SMALL(IF('All Player Data Store'!$Y$7:$Y$594=AC116,ROW('All Player Data Store'!$Y$7:$Y$594)-ROW('All Player Data Store'!$Y$7)+1),COUNTIF($AC$8:AC116,AC116))),"")</f>
        <v>Ald</v>
      </c>
      <c r="I116" s="69">
        <f t="array" ref="I116">IF(ISNUMBER(AC116),INDEX('All Player Data Store'!$E$7:$E$594,SMALL(IF('All Player Data Store'!$Y$7:$Y$594=AC116,ROW('All Player Data Store'!$Y$7:$Y$594)-ROW('All Player Data Store'!$Y$7)+1),COUNTIF($AC$8:AC116,AC116))),"")</f>
        <v>3</v>
      </c>
      <c r="J116" s="70">
        <f t="array" ref="J116">IF(ISNUMBER(AC116),INDEX('All Player Data Store'!$F$7:$F$594,SMALL(IF('All Player Data Store'!$Y$7:$Y$594=AC116,ROW('All Player Data Store'!$Y$7:$Y$594)-ROW('All Player Data Store'!$Y$7)+1),COUNTIF($AC$8:AC116,AC116))),"")</f>
        <v>1</v>
      </c>
      <c r="K116" s="112">
        <f t="array" ref="K116">IF(ISNUMBER(AC116),INDEX('All Player Data Store'!$G$7:$G$594,SMALL(IF('All Player Data Store'!$Y$7:$Y$594=AC116,ROW('All Player Data Store'!$Y$7:$Y$594)-ROW('All Player Data Store'!$Y$7)+1),COUNTIF($AC$8:AC116,AC116))),"")</f>
        <v>2</v>
      </c>
      <c r="L116" s="112">
        <f t="array" ref="L116">IF(ISNUMBER(AC116),INDEX('All Player Data Store'!$H$7:$H$594,SMALL(IF('All Player Data Store'!$Y$7:$Y$594=AC116,ROW('All Player Data Store'!$Y$7:$Y$594)-ROW('All Player Data Store'!$Y$7)+1),COUNTIF($AC$8:AC116,AC116))),"")</f>
        <v>4</v>
      </c>
      <c r="M116" s="113">
        <f t="array" ref="M116">IF(ISNUMBER(AC116),INDEX('All Player Data Store'!$I$7:$I$594,SMALL(IF('All Player Data Store'!$Y$7:$Y$594=AC116,ROW('All Player Data Store'!$Y$7:$Y$594)-ROW('All Player Data Store'!$Y$7)+1),COUNTIF($AC$8:AC116,AC116))),"")</f>
        <v>10</v>
      </c>
      <c r="N116" s="114">
        <f t="array" ref="N116">IF(ISNUMBER(AC116),INDEX('All Player Data Store'!$J$7:$J$594,SMALL(IF('All Player Data Store'!$Y$7:$Y$594=AC116,ROW('All Player Data Store'!$Y$7:$Y$594)-ROW('All Player Data Store'!$Y$7)+1),COUNTIF($AC$8:AC116,AC116))),"")</f>
        <v>20.16</v>
      </c>
      <c r="O116" s="108">
        <f t="array" ref="O116">IF(ISNUMBER(AC116),INDEX('All Player Data Store'!$K$7:$K$594,SMALL(IF('All Player Data Store'!$Y$7:$Y$594=AC116,ROW('All Player Data Store'!$Y$7:$Y$594)-ROW('All Player Data Store'!$Y$7)+1),COUNTIF($AC$8:AC116,AC116))),"")</f>
        <v>23.44</v>
      </c>
      <c r="P116" s="108" t="str">
        <f t="array" ref="P116">IF(ISNUMBER(AC116),INDEX('All Player Data Store'!$L$7:$L$594,SMALL(IF('All Player Data Store'!$Y$7:$Y$594=AC116,ROW('All Player Data Store'!$Y$7:$Y$594)-ROW('All Player Data Store'!$Y$7)+1),COUNTIF($AC$8:AC116,AC116))),"")</f>
        <v/>
      </c>
      <c r="Q116" s="108" t="str">
        <f t="array" ref="Q116">IF(ISNUMBER(AC116),INDEX('All Player Data Store'!$M$7:$M$594,SMALL(IF('All Player Data Store'!$Y$7:$Y$594=AC116,ROW('All Player Data Store'!$Y$7:$Y$594)-ROW('All Player Data Store'!$Y$7)+1),COUNTIF($AC$8:AC116,AC116))),"")</f>
        <v/>
      </c>
      <c r="R116" s="108" t="str">
        <f t="array" ref="R116">IF(ISNUMBER(AC116),INDEX('All Player Data Store'!$N$7:$N$594,SMALL(IF('All Player Data Store'!$Y$7:$Y$594=AC116,ROW('All Player Data Store'!$Y$7:$Y$594)-ROW('All Player Data Store'!$Y$7)+1),COUNTIF($AC$8:AC116,AC116))),"")</f>
        <v/>
      </c>
      <c r="S116" s="108">
        <f t="array" ref="S116">IF(ISNUMBER(AC116),INDEX('All Player Data Store'!$O$7:$O$594,SMALL(IF('All Player Data Store'!$Y$7:$Y$594=AC116,ROW('All Player Data Store'!$Y$7:$Y$594)-ROW('All Player Data Store'!$Y$7)+1),COUNTIF($AC$8:AC116,AC116))),"")</f>
        <v>21.96</v>
      </c>
      <c r="T116" s="108" t="str">
        <f t="array" ref="T116">IF(ISNUMBER(AC116),INDEX('All Player Data Store'!$P$7:$P$594,SMALL(IF('All Player Data Store'!$Y$7:$Y$594=AC116,ROW('All Player Data Store'!$Y$7:$Y$594)-ROW('All Player Data Store'!$Y$7)+1),COUNTIF($AC$8:AC116,AC116))),"")</f>
        <v/>
      </c>
      <c r="U116" s="108" t="str">
        <f t="array" ref="U116">IF(ISNUMBER(AC116),INDEX('All Player Data Store'!$Q$7:$Q$594,SMALL(IF('All Player Data Store'!$Y$7:$Y$594=AC116,ROW('All Player Data Store'!$Y$7:$Y$594)-ROW('All Player Data Store'!$Y$7)+1),COUNTIF($AC$8:AC116,AC116))),"")</f>
        <v/>
      </c>
      <c r="V116" s="108" t="str">
        <f t="array" ref="V116">IF(ISNUMBER(AC116),INDEX('All Player Data Store'!$R$7:$R$594,SMALL(IF('All Player Data Store'!$Y$7:$Y$594=AC116,ROW('All Player Data Store'!$Y$7:$Y$594)-ROW('All Player Data Store'!$Y$7)+1),COUNTIF($AC$8:AC116,AC116))),"")</f>
        <v/>
      </c>
      <c r="W116" s="108" t="str">
        <f t="array" ref="W116">IF(ISNUMBER(AC116),INDEX('All Player Data Store'!$S$7:$S$594,SMALL(IF('All Player Data Store'!$Y$7:$Y$594=AC116,ROW('All Player Data Store'!$Y$7:$Y$594)-ROW('All Player Data Store'!$Y$7)+1),COUNTIF($AC$8:AC116,AC116))),"")</f>
        <v/>
      </c>
      <c r="X116" s="108" t="str">
        <f t="array" ref="X116">IF(ISNUMBER(AC116),INDEX('All Player Data Store'!$T$7:$T$594,SMALL(IF('All Player Data Store'!$Y$7:$Y$594=AC116,ROW('All Player Data Store'!$Y$7:$Y$594)-ROW('All Player Data Store'!$Y$7)+1),COUNTIF($AC$8:AC116,AC116))),"")</f>
        <v/>
      </c>
      <c r="Y116" s="108" t="str">
        <f t="array" ref="Y116">IF(ISNUMBER(AC116),INDEX('All Player Data Store'!$U$7:$U$594,SMALL(IF('All Player Data Store'!$Y$7:$Y$594=AC116,ROW('All Player Data Store'!$Y$7:$Y$594)-ROW('All Player Data Store'!$Y$7)+1),COUNTIF($AC$8:AC116,AC116))),"")</f>
        <v/>
      </c>
      <c r="Z116" s="108" t="str">
        <f t="array" ref="Z116">IF(ISNUMBER(AC116),INDEX('All Player Data Store'!$V$7:$V$594,SMALL(IF('All Player Data Store'!$Y$7:$Y$594=AC116,ROW('All Player Data Store'!$Y$7:$Y$594)-ROW('All Player Data Store'!$Y$7)+1),COUNTIF($AC$8:AC116,AC116))),"")</f>
        <v/>
      </c>
      <c r="AA116" s="112" t="str">
        <f t="array" ref="AA116">IF(ISNUMBER(AC116),INDEX('All Player Data Store'!$W$7:$W$594,SMALL(IF('All Player Data Store'!$Y$7:$Y$594=AC116,ROW('All Player Data Store'!$Y$7:$Y$594)-ROW('All Player Data Store'!$Y$7)+1),COUNTIF($AC$8:AC116,AC116))),"")</f>
        <v/>
      </c>
      <c r="AB116" s="108">
        <f t="array" ref="AB116">IF(ISNUMBER(AC116),INDEX('All Player Data Store'!$X$7:$X$594,SMALL(IF('All Player Data Store'!$Y$7:$Y$594=AC116,ROW('All Player Data Store'!$Y$7:$Y$594)-ROW('All Player Data Store'!$Y$7)+1),COUNTIF($AC$8:AC116,AC116))),"")</f>
        <v>21.853333333333335</v>
      </c>
      <c r="AC116" s="115">
        <f>IF(ISERROR(IF(ISERROR(LARGE('All Player Data Store'!$Y$7:$Y$594,109)),"",(LARGE('All Player Data Store'!$Y$7:$Y$594,109)))),"",(IF(ISERROR(LARGE('All Player Data Store'!$Y$7:$Y$594,109)),"",(LARGE('All Player Data Store'!$Y$7:$Y$594,109)))))</f>
        <v>22.853333333333335</v>
      </c>
      <c r="AD116" s="106">
        <f t="shared" si="16"/>
        <v>3</v>
      </c>
      <c r="AE116" s="107" t="str">
        <f t="array" ref="AE116">IF(ISNUMBER(AC116),INDEX('All Player Data Store'!$J$8:$J$594,SMALL(IF('All Player Data Store'!$Y$7:$Y$594=AC116,ROW('All Player Data Store'!$Y$7:$Y$594)-ROW('All Player Data Store'!$Y$7)+1),COUNTIF($AC$8:AC116,AC116))),"")</f>
        <v>0*4</v>
      </c>
      <c r="AF116" s="108">
        <f t="shared" si="3"/>
        <v>20.16</v>
      </c>
      <c r="AG116" s="108" t="str">
        <f t="array" ref="AG116">IF(ISNUMBER(AC116),INDEX('All Player Data Store'!$K$8:$K$594,SMALL(IF('All Player Data Store'!$Y$7:$Y$594=AC116,ROW('All Player Data Store'!$Y$7:$Y$594)-ROW('All Player Data Store'!$Y$7)+1),COUNTIF($AC$8:AC116,AC116))),"")</f>
        <v>0*4</v>
      </c>
      <c r="AH116" s="108">
        <f t="shared" si="4"/>
        <v>23.44</v>
      </c>
      <c r="AI116" s="108" t="str">
        <f t="array" ref="AI116">IF(ISNUMBER(AC116),INDEX('All Player Data Store'!$L$8:$L$594,SMALL(IF('All Player Data Store'!$Y$7:$Y$594=AC116,ROW('All Player Data Store'!$Y$7:$Y$594)-ROW('All Player Data Store'!$Y$7)+1),COUNTIF($AC$8:AC116,AC116))),"")</f>
        <v/>
      </c>
      <c r="AJ116" s="108" t="str">
        <f t="shared" si="5"/>
        <v/>
      </c>
      <c r="AK116" s="108" t="str">
        <f t="array" ref="AK116">IF(ISNUMBER(AC116),INDEX('All Player Data Store'!$M$8:$M$594,SMALL(IF('All Player Data Store'!$Y$7:$Y$594=AC116,ROW('All Player Data Store'!$Y$7:$Y$594)-ROW('All Player Data Store'!$Y$7)+1),COUNTIF($AC$8:AC116,AC116))),"")</f>
        <v/>
      </c>
      <c r="AL116" s="108" t="str">
        <f t="shared" si="6"/>
        <v/>
      </c>
      <c r="AM116" s="108" t="str">
        <f t="array" ref="AM116">IF(ISNUMBER(AC116),INDEX('All Player Data Store'!$N$8:$N$594,SMALL(IF('All Player Data Store'!$Y$7:$Y$594=AC116,ROW('All Player Data Store'!$Y$7:$Y$594)-ROW('All Player Data Store'!$Y$7)+1),COUNTIF($AC$8:AC116,AC116))),"")</f>
        <v/>
      </c>
      <c r="AN116" s="108" t="str">
        <f t="shared" si="7"/>
        <v/>
      </c>
      <c r="AO116" s="108" t="str">
        <f t="array" ref="AO116">IF(ISNUMBER(AC116),INDEX('All Player Data Store'!$O$8:$O$594,SMALL(IF('All Player Data Store'!$Y$7:$Y$594=AC116,ROW('All Player Data Store'!$Y$7:$Y$594)-ROW('All Player Data Store'!$Y$7)+1),COUNTIF($AC$8:AC116,AC116))),"")</f>
        <v>4*2</v>
      </c>
      <c r="AP116" s="108">
        <f t="shared" si="8"/>
        <v>22.96</v>
      </c>
      <c r="AQ116" s="108" t="str">
        <f t="array" ref="AQ116">IF(ISNUMBER(AC116),INDEX('All Player Data Store'!$P$8:$P$594,SMALL(IF('All Player Data Store'!$Y$7:$Y$594=AC116,ROW('All Player Data Store'!$Y$7:$Y$594)-ROW('All Player Data Store'!$Y$7)+1),COUNTIF($AC$8:AC116,AC116))),"")</f>
        <v/>
      </c>
      <c r="AR116" s="108" t="str">
        <f t="shared" si="9"/>
        <v/>
      </c>
      <c r="AS116" s="108" t="str">
        <f t="array" ref="AS116">IF(ISNUMBER(AC116),INDEX('All Player Data Store'!$Q$8:$Q$594,SMALL(IF('All Player Data Store'!$Y$7:$Y$594=AC116,ROW('All Player Data Store'!$Y$7:$Y$594)-ROW('All Player Data Store'!$Y$7)+1),COUNTIF($AC$8:AC116,AC116))),"")</f>
        <v/>
      </c>
      <c r="AT116" s="108" t="str">
        <f t="shared" si="10"/>
        <v/>
      </c>
      <c r="AU116" s="108" t="str">
        <f t="array" ref="AU116">IF(ISNUMBER(AC116),INDEX('All Player Data Store'!$R$8:$R$594,SMALL(IF('All Player Data Store'!$Y$7:$Y$594=AC116,ROW('All Player Data Store'!$Y$7:$Y$594)-ROW('All Player Data Store'!$Y$7)+1),COUNTIF($AC$8:AC116,AC116))),"")</f>
        <v/>
      </c>
      <c r="AV116" s="108" t="str">
        <f t="shared" si="11"/>
        <v/>
      </c>
      <c r="AW116" s="108" t="str">
        <f t="array" ref="AW116">IF(ISNUMBER(AC116),INDEX('All Player Data Store'!$S$8:$S$594,SMALL(IF('All Player Data Store'!$Y$7:$Y$594=AC116,ROW('All Player Data Store'!$Y$7:$Y$594)-ROW('All Player Data Store'!$Y$7)+1),COUNTIF($AC$8:AC116,AC116))),"")</f>
        <v/>
      </c>
      <c r="AX116" s="108" t="str">
        <f t="shared" si="12"/>
        <v/>
      </c>
      <c r="AY116" s="108" t="str">
        <f t="array" ref="AY116">IF(ISNUMBER(AC116),INDEX('All Player Data Store'!$T$8:$T$594,SMALL(IF('All Player Data Store'!$Y$7:$Y$594=AC116,ROW('All Player Data Store'!$Y$7:$Y$594)-ROW('All Player Data Store'!$Y$7)+1),COUNTIF($AC$8:AC116,AC116))),"")</f>
        <v/>
      </c>
      <c r="AZ116" s="108" t="str">
        <f t="shared" si="13"/>
        <v/>
      </c>
      <c r="BA116" s="108" t="str">
        <f t="array" ref="BA116">IF(ISNUMBER(AC116),INDEX('All Player Data Store'!$U$8:$U$594,SMALL(IF('All Player Data Store'!$Y$7:$Y$594=AC116,ROW('All Player Data Store'!$Y$7:$Y$594)-ROW('All Player Data Store'!$Y$7)+1),COUNTIF($AC$8:AC116,AC116))),"")</f>
        <v/>
      </c>
      <c r="BB116" s="108" t="str">
        <f t="shared" si="14"/>
        <v/>
      </c>
      <c r="BC116" s="108" t="str">
        <f t="array" ref="BC116">IF(ISNUMBER(AC116),INDEX('All Player Data Store'!$V$8:$V$594,SMALL(IF('All Player Data Store'!$Y$7:$Y$594=AC116,ROW('All Player Data Store'!$Y$7:$Y$594)-ROW('All Player Data Store'!$Y$7)+1),COUNTIF($AC$8:AC116,AC116))),"")</f>
        <v/>
      </c>
      <c r="BD116" s="108" t="str">
        <f t="shared" si="15"/>
        <v/>
      </c>
      <c r="BE116" s="1"/>
    </row>
    <row r="117" spans="2:57" ht="12" customHeight="1" x14ac:dyDescent="0.2">
      <c r="B117" s="98" t="str">
        <f t="shared" si="0"/>
        <v>N</v>
      </c>
      <c r="C117" s="1"/>
      <c r="D117" s="68">
        <f t="shared" si="1"/>
        <v>110</v>
      </c>
      <c r="E117" s="2"/>
      <c r="F117" s="78">
        <v>110</v>
      </c>
      <c r="G117" s="110" t="str">
        <f t="array" ref="G117">IF(ISNUMBER(AC117),INDEX('All Player Data Store'!$C$7:$C$594,SMALL(IF('All Player Data Store'!$Y$7:$Y$594=AC117,ROW('All Player Data Store'!$Y$7:$Y$594)-ROW('All Player Data Store'!$Y$7)+1),COUNTIF($AC$8:AC117,AC117))),"")</f>
        <v>Andy Barnes</v>
      </c>
      <c r="H117" s="111" t="str">
        <f t="array" ref="H117">IF(ISNUMBER(AC117),INDEX('All Player Data Store'!$D$7:$D$594,SMALL(IF('All Player Data Store'!$Y$7:$Y$594=AC117,ROW('All Player Data Store'!$Y$7:$Y$594)-ROW('All Player Data Store'!$Y$7)+1),COUNTIF($AC$8:AC117,AC117))),"")</f>
        <v>Par</v>
      </c>
      <c r="I117" s="69">
        <f t="array" ref="I117">IF(ISNUMBER(AC117),INDEX('All Player Data Store'!$E$7:$E$594,SMALL(IF('All Player Data Store'!$Y$7:$Y$594=AC117,ROW('All Player Data Store'!$Y$7:$Y$594)-ROW('All Player Data Store'!$Y$7)+1),COUNTIF($AC$8:AC117,AC117))),"")</f>
        <v>8</v>
      </c>
      <c r="J117" s="70">
        <f t="array" ref="J117">IF(ISNUMBER(AC117),INDEX('All Player Data Store'!$F$7:$F$594,SMALL(IF('All Player Data Store'!$Y$7:$Y$594=AC117,ROW('All Player Data Store'!$Y$7:$Y$594)-ROW('All Player Data Store'!$Y$7)+1),COUNTIF($AC$8:AC117,AC117))),"")</f>
        <v>3</v>
      </c>
      <c r="K117" s="112">
        <f t="array" ref="K117">IF(ISNUMBER(AC117),INDEX('All Player Data Store'!$G$7:$G$594,SMALL(IF('All Player Data Store'!$Y$7:$Y$594=AC117,ROW('All Player Data Store'!$Y$7:$Y$594)-ROW('All Player Data Store'!$Y$7)+1),COUNTIF($AC$8:AC117,AC117))),"")</f>
        <v>5</v>
      </c>
      <c r="L117" s="112">
        <f t="array" ref="L117">IF(ISNUMBER(AC117),INDEX('All Player Data Store'!$H$7:$H$594,SMALL(IF('All Player Data Store'!$Y$7:$Y$594=AC117,ROW('All Player Data Store'!$Y$7:$Y$594)-ROW('All Player Data Store'!$Y$7)+1),COUNTIF($AC$8:AC117,AC117))),"")</f>
        <v>19</v>
      </c>
      <c r="M117" s="113">
        <f t="array" ref="M117">IF(ISNUMBER(AC117),INDEX('All Player Data Store'!$I$7:$I$594,SMALL(IF('All Player Data Store'!$Y$7:$Y$594=AC117,ROW('All Player Data Store'!$Y$7:$Y$594)-ROW('All Player Data Store'!$Y$7)+1),COUNTIF($AC$8:AC117,AC117))),"")</f>
        <v>23</v>
      </c>
      <c r="N117" s="114" t="str">
        <f t="array" ref="N117">IF(ISNUMBER(AC117),INDEX('All Player Data Store'!$J$7:$J$594,SMALL(IF('All Player Data Store'!$Y$7:$Y$594=AC117,ROW('All Player Data Store'!$Y$7:$Y$594)-ROW('All Player Data Store'!$Y$7)+1),COUNTIF($AC$8:AC117,AC117))),"")</f>
        <v/>
      </c>
      <c r="O117" s="108" t="str">
        <f t="array" ref="O117">IF(ISNUMBER(AC117),INDEX('All Player Data Store'!$K$7:$K$594,SMALL(IF('All Player Data Store'!$Y$7:$Y$594=AC117,ROW('All Player Data Store'!$Y$7:$Y$594)-ROW('All Player Data Store'!$Y$7)+1),COUNTIF($AC$8:AC117,AC117))),"")</f>
        <v/>
      </c>
      <c r="P117" s="108">
        <f t="array" ref="P117">IF(ISNUMBER(AC117),INDEX('All Player Data Store'!$L$7:$L$594,SMALL(IF('All Player Data Store'!$Y$7:$Y$594=AC117,ROW('All Player Data Store'!$Y$7:$Y$594)-ROW('All Player Data Store'!$Y$7)+1),COUNTIF($AC$8:AC117,AC117))),"")</f>
        <v>19.11</v>
      </c>
      <c r="Q117" s="108" t="str">
        <f t="array" ref="Q117">IF(ISNUMBER(AC117),INDEX('All Player Data Store'!$M$7:$M$594,SMALL(IF('All Player Data Store'!$Y$7:$Y$594=AC117,ROW('All Player Data Store'!$Y$7:$Y$594)-ROW('All Player Data Store'!$Y$7)+1),COUNTIF($AC$8:AC117,AC117))),"")</f>
        <v/>
      </c>
      <c r="R117" s="108">
        <f t="array" ref="R117">IF(ISNUMBER(AC117),INDEX('All Player Data Store'!$N$7:$N$594,SMALL(IF('All Player Data Store'!$Y$7:$Y$594=AC117,ROW('All Player Data Store'!$Y$7:$Y$594)-ROW('All Player Data Store'!$Y$7)+1),COUNTIF($AC$8:AC117,AC117))),"")</f>
        <v>21.03</v>
      </c>
      <c r="S117" s="108" t="str">
        <f t="array" ref="S117">IF(ISNUMBER(AC117),INDEX('All Player Data Store'!$O$7:$O$594,SMALL(IF('All Player Data Store'!$Y$7:$Y$594=AC117,ROW('All Player Data Store'!$Y$7:$Y$594)-ROW('All Player Data Store'!$Y$7)+1),COUNTIF($AC$8:AC117,AC117))),"")</f>
        <v/>
      </c>
      <c r="T117" s="108" t="str">
        <f t="array" ref="T117">IF(ISNUMBER(AC117),INDEX('All Player Data Store'!$P$7:$P$594,SMALL(IF('All Player Data Store'!$Y$7:$Y$594=AC117,ROW('All Player Data Store'!$Y$7:$Y$594)-ROW('All Player Data Store'!$Y$7)+1),COUNTIF($AC$8:AC117,AC117))),"")</f>
        <v/>
      </c>
      <c r="U117" s="108">
        <f t="array" ref="U117">IF(ISNUMBER(AC117),INDEX('All Player Data Store'!$Q$7:$Q$594,SMALL(IF('All Player Data Store'!$Y$7:$Y$594=AC117,ROW('All Player Data Store'!$Y$7:$Y$594)-ROW('All Player Data Store'!$Y$7)+1),COUNTIF($AC$8:AC117,AC117))),"")</f>
        <v>21.11</v>
      </c>
      <c r="V117" s="108">
        <f t="array" ref="V117">IF(ISNUMBER(AC117),INDEX('All Player Data Store'!$R$7:$R$594,SMALL(IF('All Player Data Store'!$Y$7:$Y$594=AC117,ROW('All Player Data Store'!$Y$7:$Y$594)-ROW('All Player Data Store'!$Y$7)+1),COUNTIF($AC$8:AC117,AC117))),"")</f>
        <v>20.25</v>
      </c>
      <c r="W117" s="108">
        <f t="array" ref="W117">IF(ISNUMBER(AC117),INDEX('All Player Data Store'!$S$7:$S$594,SMALL(IF('All Player Data Store'!$Y$7:$Y$594=AC117,ROW('All Player Data Store'!$Y$7:$Y$594)-ROW('All Player Data Store'!$Y$7)+1),COUNTIF($AC$8:AC117,AC117))),"")</f>
        <v>19.079999999999998</v>
      </c>
      <c r="X117" s="108">
        <f t="array" ref="X117">IF(ISNUMBER(AC117),INDEX('All Player Data Store'!$T$7:$T$594,SMALL(IF('All Player Data Store'!$Y$7:$Y$594=AC117,ROW('All Player Data Store'!$Y$7:$Y$594)-ROW('All Player Data Store'!$Y$7)+1),COUNTIF($AC$8:AC117,AC117))),"")</f>
        <v>20.03</v>
      </c>
      <c r="Y117" s="108">
        <f t="array" ref="Y117">IF(ISNUMBER(AC117),INDEX('All Player Data Store'!$U$7:$U$594,SMALL(IF('All Player Data Store'!$Y$7:$Y$594=AC117,ROW('All Player Data Store'!$Y$7:$Y$594)-ROW('All Player Data Store'!$Y$7)+1),COUNTIF($AC$8:AC117,AC117))),"")</f>
        <v>21.09</v>
      </c>
      <c r="Z117" s="108">
        <f t="array" ref="Z117">IF(ISNUMBER(AC117),INDEX('All Player Data Store'!$V$7:$V$594,SMALL(IF('All Player Data Store'!$Y$7:$Y$594=AC117,ROW('All Player Data Store'!$Y$7:$Y$594)-ROW('All Player Data Store'!$Y$7)+1),COUNTIF($AC$8:AC117,AC117))),"")</f>
        <v>16.78</v>
      </c>
      <c r="AA117" s="112">
        <f t="array" ref="AA117">IF(ISNUMBER(AC117),INDEX('All Player Data Store'!$W$7:$W$594,SMALL(IF('All Player Data Store'!$Y$7:$Y$594=AC117,ROW('All Player Data Store'!$Y$7:$Y$594)-ROW('All Player Data Store'!$Y$7)+1),COUNTIF($AC$8:AC117,AC117))),"")</f>
        <v>2</v>
      </c>
      <c r="AB117" s="108">
        <f t="array" ref="AB117">IF(ISNUMBER(AC117),INDEX('All Player Data Store'!$X$7:$X$594,SMALL(IF('All Player Data Store'!$Y$7:$Y$594=AC117,ROW('All Player Data Store'!$Y$7:$Y$594)-ROW('All Player Data Store'!$Y$7)+1),COUNTIF($AC$8:AC117,AC117))),"")</f>
        <v>19.809999999999999</v>
      </c>
      <c r="AC117" s="115">
        <f>IF(ISERROR(IF(ISERROR(LARGE('All Player Data Store'!$Y$7:$Y$594,110)),"",(LARGE('All Player Data Store'!$Y$7:$Y$594,110)))),"",(IF(ISERROR(LARGE('All Player Data Store'!$Y$7:$Y$594,110)),"",(LARGE('All Player Data Store'!$Y$7:$Y$594,110)))))</f>
        <v>22.81</v>
      </c>
      <c r="AD117" s="106">
        <f t="shared" si="16"/>
        <v>3</v>
      </c>
      <c r="AE117" s="107" t="str">
        <f t="array" ref="AE117">IF(ISNUMBER(AC117),INDEX('All Player Data Store'!$J$8:$J$594,SMALL(IF('All Player Data Store'!$Y$7:$Y$594=AC117,ROW('All Player Data Store'!$Y$7:$Y$594)-ROW('All Player Data Store'!$Y$7)+1),COUNTIF($AC$8:AC117,AC117))),"")</f>
        <v/>
      </c>
      <c r="AF117" s="108" t="str">
        <f t="shared" si="3"/>
        <v/>
      </c>
      <c r="AG117" s="108" t="str">
        <f t="array" ref="AG117">IF(ISNUMBER(AC117),INDEX('All Player Data Store'!$K$8:$K$594,SMALL(IF('All Player Data Store'!$Y$7:$Y$594=AC117,ROW('All Player Data Store'!$Y$7:$Y$594)-ROW('All Player Data Store'!$Y$7)+1),COUNTIF($AC$8:AC117,AC117))),"")</f>
        <v/>
      </c>
      <c r="AH117" s="108" t="str">
        <f t="shared" si="4"/>
        <v/>
      </c>
      <c r="AI117" s="108" t="str">
        <f t="array" ref="AI117">IF(ISNUMBER(AC117),INDEX('All Player Data Store'!$L$8:$L$594,SMALL(IF('All Player Data Store'!$Y$7:$Y$594=AC117,ROW('All Player Data Store'!$Y$7:$Y$594)-ROW('All Player Data Store'!$Y$7)+1),COUNTIF($AC$8:AC117,AC117))),"")</f>
        <v>3*4</v>
      </c>
      <c r="AJ117" s="108">
        <f t="shared" si="5"/>
        <v>19.11</v>
      </c>
      <c r="AK117" s="108" t="str">
        <f t="array" ref="AK117">IF(ISNUMBER(AC117),INDEX('All Player Data Store'!$M$8:$M$594,SMALL(IF('All Player Data Store'!$Y$7:$Y$594=AC117,ROW('All Player Data Store'!$Y$7:$Y$594)-ROW('All Player Data Store'!$Y$7)+1),COUNTIF($AC$8:AC117,AC117))),"")</f>
        <v/>
      </c>
      <c r="AL117" s="108" t="str">
        <f t="shared" si="6"/>
        <v/>
      </c>
      <c r="AM117" s="108" t="str">
        <f t="array" ref="AM117">IF(ISNUMBER(AC117),INDEX('All Player Data Store'!$N$8:$N$594,SMALL(IF('All Player Data Store'!$Y$7:$Y$594=AC117,ROW('All Player Data Store'!$Y$7:$Y$594)-ROW('All Player Data Store'!$Y$7)+1),COUNTIF($AC$8:AC117,AC117))),"")</f>
        <v>4*1(1)</v>
      </c>
      <c r="AN117" s="108">
        <f t="shared" si="7"/>
        <v>22.03</v>
      </c>
      <c r="AO117" s="108" t="str">
        <f t="array" ref="AO117">IF(ISNUMBER(AC117),INDEX('All Player Data Store'!$O$8:$O$594,SMALL(IF('All Player Data Store'!$Y$7:$Y$594=AC117,ROW('All Player Data Store'!$Y$7:$Y$594)-ROW('All Player Data Store'!$Y$7)+1),COUNTIF($AC$8:AC117,AC117))),"")</f>
        <v/>
      </c>
      <c r="AP117" s="108" t="str">
        <f t="shared" si="8"/>
        <v/>
      </c>
      <c r="AQ117" s="108" t="str">
        <f t="array" ref="AQ117">IF(ISNUMBER(AC117),INDEX('All Player Data Store'!$P$8:$P$594,SMALL(IF('All Player Data Store'!$Y$7:$Y$594=AC117,ROW('All Player Data Store'!$Y$7:$Y$594)-ROW('All Player Data Store'!$Y$7)+1),COUNTIF($AC$8:AC117,AC117))),"")</f>
        <v/>
      </c>
      <c r="AR117" s="108" t="str">
        <f t="shared" si="9"/>
        <v/>
      </c>
      <c r="AS117" s="108" t="str">
        <f t="array" ref="AS117">IF(ISNUMBER(AC117),INDEX('All Player Data Store'!$Q$8:$Q$594,SMALL(IF('All Player Data Store'!$Y$7:$Y$594=AC117,ROW('All Player Data Store'!$Y$7:$Y$594)-ROW('All Player Data Store'!$Y$7)+1),COUNTIF($AC$8:AC117,AC117))),"")</f>
        <v>4*2</v>
      </c>
      <c r="AT117" s="108">
        <f t="shared" si="10"/>
        <v>22.11</v>
      </c>
      <c r="AU117" s="108" t="str">
        <f t="array" ref="AU117">IF(ISNUMBER(AC117),INDEX('All Player Data Store'!$R$8:$R$594,SMALL(IF('All Player Data Store'!$Y$7:$Y$594=AC117,ROW('All Player Data Store'!$Y$7:$Y$594)-ROW('All Player Data Store'!$Y$7)+1),COUNTIF($AC$8:AC117,AC117))),"")</f>
        <v>1*4</v>
      </c>
      <c r="AV117" s="108">
        <f t="shared" si="11"/>
        <v>20.25</v>
      </c>
      <c r="AW117" s="108" t="str">
        <f t="array" ref="AW117">IF(ISNUMBER(AC117),INDEX('All Player Data Store'!$S$8:$S$594,SMALL(IF('All Player Data Store'!$Y$7:$Y$594=AC117,ROW('All Player Data Store'!$Y$7:$Y$594)-ROW('All Player Data Store'!$Y$7)+1),COUNTIF($AC$8:AC117,AC117))),"")</f>
        <v>2*4</v>
      </c>
      <c r="AX117" s="108">
        <f t="shared" si="12"/>
        <v>19.079999999999998</v>
      </c>
      <c r="AY117" s="108" t="str">
        <f t="array" ref="AY117">IF(ISNUMBER(AC117),INDEX('All Player Data Store'!$T$8:$T$594,SMALL(IF('All Player Data Store'!$Y$7:$Y$594=AC117,ROW('All Player Data Store'!$Y$7:$Y$594)-ROW('All Player Data Store'!$Y$7)+1),COUNTIF($AC$8:AC117,AC117))),"")</f>
        <v>1*4</v>
      </c>
      <c r="AZ117" s="108">
        <f t="shared" si="13"/>
        <v>20.03</v>
      </c>
      <c r="BA117" s="108" t="str">
        <f t="array" ref="BA117">IF(ISNUMBER(AC117),INDEX('All Player Data Store'!$U$8:$U$594,SMALL(IF('All Player Data Store'!$Y$7:$Y$594=AC117,ROW('All Player Data Store'!$Y$7:$Y$594)-ROW('All Player Data Store'!$Y$7)+1),COUNTIF($AC$8:AC117,AC117))),"")</f>
        <v>4*0(1)</v>
      </c>
      <c r="BB117" s="108">
        <f t="shared" si="14"/>
        <v>22.09</v>
      </c>
      <c r="BC117" s="108" t="str">
        <f t="array" ref="BC117">IF(ISNUMBER(AC117),INDEX('All Player Data Store'!$V$8:$V$594,SMALL(IF('All Player Data Store'!$Y$7:$Y$594=AC117,ROW('All Player Data Store'!$Y$7:$Y$594)-ROW('All Player Data Store'!$Y$7)+1),COUNTIF($AC$8:AC117,AC117))),"")</f>
        <v>0*4</v>
      </c>
      <c r="BD117" s="108">
        <f t="shared" si="15"/>
        <v>16.78</v>
      </c>
      <c r="BE117" s="1"/>
    </row>
    <row r="118" spans="2:57" ht="12" customHeight="1" x14ac:dyDescent="0.2">
      <c r="B118" s="98" t="str">
        <f t="shared" si="0"/>
        <v>N</v>
      </c>
      <c r="C118" s="1"/>
      <c r="D118" s="68">
        <f t="shared" si="1"/>
        <v>111</v>
      </c>
      <c r="E118" s="2"/>
      <c r="F118" s="78">
        <v>111</v>
      </c>
      <c r="G118" s="110" t="str">
        <f t="array" ref="G118">IF(ISNUMBER(AC118),INDEX('All Player Data Store'!$C$7:$C$594,SMALL(IF('All Player Data Store'!$Y$7:$Y$594=AC118,ROW('All Player Data Store'!$Y$7:$Y$594)-ROW('All Player Data Store'!$Y$7)+1),COUNTIF($AC$8:AC118,AC118))),"")</f>
        <v>Chris Tuvey</v>
      </c>
      <c r="H118" s="111" t="str">
        <f t="array" ref="H118">IF(ISNUMBER(AC118),INDEX('All Player Data Store'!$D$7:$D$594,SMALL(IF('All Player Data Store'!$Y$7:$Y$594=AC118,ROW('All Player Data Store'!$Y$7:$Y$594)-ROW('All Player Data Store'!$Y$7)+1),COUNTIF($AC$8:AC118,AC118))),"")</f>
        <v>Poo</v>
      </c>
      <c r="I118" s="69">
        <f t="array" ref="I118">IF(ISNUMBER(AC118),INDEX('All Player Data Store'!$E$7:$E$594,SMALL(IF('All Player Data Store'!$Y$7:$Y$594=AC118,ROW('All Player Data Store'!$Y$7:$Y$594)-ROW('All Player Data Store'!$Y$7)+1),COUNTIF($AC$8:AC118,AC118))),"")</f>
        <v>5</v>
      </c>
      <c r="J118" s="70">
        <f t="array" ref="J118">IF(ISNUMBER(AC118),INDEX('All Player Data Store'!$F$7:$F$594,SMALL(IF('All Player Data Store'!$Y$7:$Y$594=AC118,ROW('All Player Data Store'!$Y$7:$Y$594)-ROW('All Player Data Store'!$Y$7)+1),COUNTIF($AC$8:AC118,AC118))),"")</f>
        <v>4</v>
      </c>
      <c r="K118" s="112">
        <f t="array" ref="K118">IF(ISNUMBER(AC118),INDEX('All Player Data Store'!$G$7:$G$594,SMALL(IF('All Player Data Store'!$Y$7:$Y$594=AC118,ROW('All Player Data Store'!$Y$7:$Y$594)-ROW('All Player Data Store'!$Y$7)+1),COUNTIF($AC$8:AC118,AC118))),"")</f>
        <v>1</v>
      </c>
      <c r="L118" s="112">
        <f t="array" ref="L118">IF(ISNUMBER(AC118),INDEX('All Player Data Store'!$H$7:$H$594,SMALL(IF('All Player Data Store'!$Y$7:$Y$594=AC118,ROW('All Player Data Store'!$Y$7:$Y$594)-ROW('All Player Data Store'!$Y$7)+1),COUNTIF($AC$8:AC118,AC118))),"")</f>
        <v>16</v>
      </c>
      <c r="M118" s="113">
        <f t="array" ref="M118">IF(ISNUMBER(AC118),INDEX('All Player Data Store'!$I$7:$I$594,SMALL(IF('All Player Data Store'!$Y$7:$Y$594=AC118,ROW('All Player Data Store'!$Y$7:$Y$594)-ROW('All Player Data Store'!$Y$7)+1),COUNTIF($AC$8:AC118,AC118))),"")</f>
        <v>10</v>
      </c>
      <c r="N118" s="114">
        <f t="array" ref="N118">IF(ISNUMBER(AC118),INDEX('All Player Data Store'!$J$7:$J$594,SMALL(IF('All Player Data Store'!$Y$7:$Y$594=AC118,ROW('All Player Data Store'!$Y$7:$Y$594)-ROW('All Player Data Store'!$Y$7)+1),COUNTIF($AC$8:AC118,AC118))),"")</f>
        <v>18.32</v>
      </c>
      <c r="O118" s="108" t="str">
        <f t="array" ref="O118">IF(ISNUMBER(AC118),INDEX('All Player Data Store'!$K$7:$K$594,SMALL(IF('All Player Data Store'!$Y$7:$Y$594=AC118,ROW('All Player Data Store'!$Y$7:$Y$594)-ROW('All Player Data Store'!$Y$7)+1),COUNTIF($AC$8:AC118,AC118))),"")</f>
        <v/>
      </c>
      <c r="P118" s="108" t="str">
        <f t="array" ref="P118">IF(ISNUMBER(AC118),INDEX('All Player Data Store'!$L$7:$L$594,SMALL(IF('All Player Data Store'!$Y$7:$Y$594=AC118,ROW('All Player Data Store'!$Y$7:$Y$594)-ROW('All Player Data Store'!$Y$7)+1),COUNTIF($AC$8:AC118,AC118))),"")</f>
        <v/>
      </c>
      <c r="Q118" s="108" t="str">
        <f t="array" ref="Q118">IF(ISNUMBER(AC118),INDEX('All Player Data Store'!$M$7:$M$594,SMALL(IF('All Player Data Store'!$Y$7:$Y$594=AC118,ROW('All Player Data Store'!$Y$7:$Y$594)-ROW('All Player Data Store'!$Y$7)+1),COUNTIF($AC$8:AC118,AC118))),"")</f>
        <v/>
      </c>
      <c r="R118" s="108" t="str">
        <f t="array" ref="R118">IF(ISNUMBER(AC118),INDEX('All Player Data Store'!$N$7:$N$594,SMALL(IF('All Player Data Store'!$Y$7:$Y$594=AC118,ROW('All Player Data Store'!$Y$7:$Y$594)-ROW('All Player Data Store'!$Y$7)+1),COUNTIF($AC$8:AC118,AC118))),"")</f>
        <v/>
      </c>
      <c r="S118" s="108">
        <f t="array" ref="S118">IF(ISNUMBER(AC118),INDEX('All Player Data Store'!$O$7:$O$594,SMALL(IF('All Player Data Store'!$Y$7:$Y$594=AC118,ROW('All Player Data Store'!$Y$7:$Y$594)-ROW('All Player Data Store'!$Y$7)+1),COUNTIF($AC$8:AC118,AC118))),"")</f>
        <v>18.88</v>
      </c>
      <c r="T118" s="108" t="str">
        <f t="array" ref="T118">IF(ISNUMBER(AC118),INDEX('All Player Data Store'!$P$7:$P$594,SMALL(IF('All Player Data Store'!$Y$7:$Y$594=AC118,ROW('All Player Data Store'!$Y$7:$Y$594)-ROW('All Player Data Store'!$Y$7)+1),COUNTIF($AC$8:AC118,AC118))),"")</f>
        <v/>
      </c>
      <c r="U118" s="108">
        <f t="array" ref="U118">IF(ISNUMBER(AC118),INDEX('All Player Data Store'!$Q$7:$Q$594,SMALL(IF('All Player Data Store'!$Y$7:$Y$594=AC118,ROW('All Player Data Store'!$Y$7:$Y$594)-ROW('All Player Data Store'!$Y$7)+1),COUNTIF($AC$8:AC118,AC118))),"")</f>
        <v>19.84</v>
      </c>
      <c r="V118" s="108" t="str">
        <f t="array" ref="V118">IF(ISNUMBER(AC118),INDEX('All Player Data Store'!$R$7:$R$594,SMALL(IF('All Player Data Store'!$Y$7:$Y$594=AC118,ROW('All Player Data Store'!$Y$7:$Y$594)-ROW('All Player Data Store'!$Y$7)+1),COUNTIF($AC$8:AC118,AC118))),"")</f>
        <v/>
      </c>
      <c r="W118" s="108" t="str">
        <f t="array" ref="W118">IF(ISNUMBER(AC118),INDEX('All Player Data Store'!$S$7:$S$594,SMALL(IF('All Player Data Store'!$Y$7:$Y$594=AC118,ROW('All Player Data Store'!$Y$7:$Y$594)-ROW('All Player Data Store'!$Y$7)+1),COUNTIF($AC$8:AC118,AC118))),"")</f>
        <v/>
      </c>
      <c r="X118" s="108">
        <f t="array" ref="X118">IF(ISNUMBER(AC118),INDEX('All Player Data Store'!$T$7:$T$594,SMALL(IF('All Player Data Store'!$Y$7:$Y$594=AC118,ROW('All Player Data Store'!$Y$7:$Y$594)-ROW('All Player Data Store'!$Y$7)+1),COUNTIF($AC$8:AC118,AC118))),"")</f>
        <v>18.36</v>
      </c>
      <c r="Y118" s="108" t="str">
        <f t="array" ref="Y118">IF(ISNUMBER(AC118),INDEX('All Player Data Store'!$U$7:$U$594,SMALL(IF('All Player Data Store'!$Y$7:$Y$594=AC118,ROW('All Player Data Store'!$Y$7:$Y$594)-ROW('All Player Data Store'!$Y$7)+1),COUNTIF($AC$8:AC118,AC118))),"")</f>
        <v/>
      </c>
      <c r="Z118" s="108">
        <f t="array" ref="Z118">IF(ISNUMBER(AC118),INDEX('All Player Data Store'!$V$7:$V$594,SMALL(IF('All Player Data Store'!$Y$7:$Y$594=AC118,ROW('All Player Data Store'!$Y$7:$Y$594)-ROW('All Player Data Store'!$Y$7)+1),COUNTIF($AC$8:AC118,AC118))),"")</f>
        <v>18.12</v>
      </c>
      <c r="AA118" s="112" t="str">
        <f t="array" ref="AA118">IF(ISNUMBER(AC118),INDEX('All Player Data Store'!$W$7:$W$594,SMALL(IF('All Player Data Store'!$Y$7:$Y$594=AC118,ROW('All Player Data Store'!$Y$7:$Y$594)-ROW('All Player Data Store'!$Y$7)+1),COUNTIF($AC$8:AC118,AC118))),"")</f>
        <v/>
      </c>
      <c r="AB118" s="108">
        <f t="array" ref="AB118">IF(ISNUMBER(AC118),INDEX('All Player Data Store'!$X$7:$X$594,SMALL(IF('All Player Data Store'!$Y$7:$Y$594=AC118,ROW('All Player Data Store'!$Y$7:$Y$594)-ROW('All Player Data Store'!$Y$7)+1),COUNTIF($AC$8:AC118,AC118))),"")</f>
        <v>18.704000000000001</v>
      </c>
      <c r="AC118" s="115">
        <f>IF(ISERROR(IF(ISERROR(LARGE('All Player Data Store'!$Y$7:$Y$594,111)),"",(LARGE('All Player Data Store'!$Y$7:$Y$594,111)))),"",(IF(ISERROR(LARGE('All Player Data Store'!$Y$7:$Y$594,111)),"",(LARGE('All Player Data Store'!$Y$7:$Y$594,111)))))</f>
        <v>22.704000000000001</v>
      </c>
      <c r="AD118" s="106">
        <f t="shared" si="16"/>
        <v>3</v>
      </c>
      <c r="AE118" s="107" t="str">
        <f t="array" ref="AE118">IF(ISNUMBER(AC118),INDEX('All Player Data Store'!$J$8:$J$594,SMALL(IF('All Player Data Store'!$Y$7:$Y$594=AC118,ROW('All Player Data Store'!$Y$7:$Y$594)-ROW('All Player Data Store'!$Y$7)+1),COUNTIF($AC$8:AC118,AC118))),"")</f>
        <v>4*1</v>
      </c>
      <c r="AF118" s="108">
        <f t="shared" si="3"/>
        <v>19.32</v>
      </c>
      <c r="AG118" s="108" t="str">
        <f t="array" ref="AG118">IF(ISNUMBER(AC118),INDEX('All Player Data Store'!$K$8:$K$594,SMALL(IF('All Player Data Store'!$Y$7:$Y$594=AC118,ROW('All Player Data Store'!$Y$7:$Y$594)-ROW('All Player Data Store'!$Y$7)+1),COUNTIF($AC$8:AC118,AC118))),"")</f>
        <v/>
      </c>
      <c r="AH118" s="108" t="str">
        <f t="shared" si="4"/>
        <v/>
      </c>
      <c r="AI118" s="108" t="str">
        <f t="array" ref="AI118">IF(ISNUMBER(AC118),INDEX('All Player Data Store'!$L$8:$L$594,SMALL(IF('All Player Data Store'!$Y$7:$Y$594=AC118,ROW('All Player Data Store'!$Y$7:$Y$594)-ROW('All Player Data Store'!$Y$7)+1),COUNTIF($AC$8:AC118,AC118))),"")</f>
        <v/>
      </c>
      <c r="AJ118" s="108" t="str">
        <f t="shared" si="5"/>
        <v/>
      </c>
      <c r="AK118" s="108" t="str">
        <f t="array" ref="AK118">IF(ISNUMBER(AC118),INDEX('All Player Data Store'!$M$8:$M$594,SMALL(IF('All Player Data Store'!$Y$7:$Y$594=AC118,ROW('All Player Data Store'!$Y$7:$Y$594)-ROW('All Player Data Store'!$Y$7)+1),COUNTIF($AC$8:AC118,AC118))),"")</f>
        <v/>
      </c>
      <c r="AL118" s="108" t="str">
        <f t="shared" si="6"/>
        <v/>
      </c>
      <c r="AM118" s="108" t="str">
        <f t="array" ref="AM118">IF(ISNUMBER(AC118),INDEX('All Player Data Store'!$N$8:$N$594,SMALL(IF('All Player Data Store'!$Y$7:$Y$594=AC118,ROW('All Player Data Store'!$Y$7:$Y$594)-ROW('All Player Data Store'!$Y$7)+1),COUNTIF($AC$8:AC118,AC118))),"")</f>
        <v/>
      </c>
      <c r="AN118" s="108" t="str">
        <f t="shared" si="7"/>
        <v/>
      </c>
      <c r="AO118" s="108" t="str">
        <f t="array" ref="AO118">IF(ISNUMBER(AC118),INDEX('All Player Data Store'!$O$8:$O$594,SMALL(IF('All Player Data Store'!$Y$7:$Y$594=AC118,ROW('All Player Data Store'!$Y$7:$Y$594)-ROW('All Player Data Store'!$Y$7)+1),COUNTIF($AC$8:AC118,AC118))),"")</f>
        <v>4*3</v>
      </c>
      <c r="AP118" s="108">
        <f t="shared" si="8"/>
        <v>19.88</v>
      </c>
      <c r="AQ118" s="108" t="str">
        <f t="array" ref="AQ118">IF(ISNUMBER(AC118),INDEX('All Player Data Store'!$P$8:$P$594,SMALL(IF('All Player Data Store'!$Y$7:$Y$594=AC118,ROW('All Player Data Store'!$Y$7:$Y$594)-ROW('All Player Data Store'!$Y$7)+1),COUNTIF($AC$8:AC118,AC118))),"")</f>
        <v/>
      </c>
      <c r="AR118" s="108" t="str">
        <f t="shared" si="9"/>
        <v/>
      </c>
      <c r="AS118" s="108" t="str">
        <f t="array" ref="AS118">IF(ISNUMBER(AC118),INDEX('All Player Data Store'!$Q$8:$Q$594,SMALL(IF('All Player Data Store'!$Y$7:$Y$594=AC118,ROW('All Player Data Store'!$Y$7:$Y$594)-ROW('All Player Data Store'!$Y$7)+1),COUNTIF($AC$8:AC118,AC118))),"")</f>
        <v>4*0</v>
      </c>
      <c r="AT118" s="108">
        <f t="shared" si="10"/>
        <v>20.84</v>
      </c>
      <c r="AU118" s="108" t="str">
        <f t="array" ref="AU118">IF(ISNUMBER(AC118),INDEX('All Player Data Store'!$R$8:$R$594,SMALL(IF('All Player Data Store'!$Y$7:$Y$594=AC118,ROW('All Player Data Store'!$Y$7:$Y$594)-ROW('All Player Data Store'!$Y$7)+1),COUNTIF($AC$8:AC118,AC118))),"")</f>
        <v/>
      </c>
      <c r="AV118" s="108" t="str">
        <f t="shared" si="11"/>
        <v/>
      </c>
      <c r="AW118" s="108" t="str">
        <f t="array" ref="AW118">IF(ISNUMBER(AC118),INDEX('All Player Data Store'!$S$8:$S$594,SMALL(IF('All Player Data Store'!$Y$7:$Y$594=AC118,ROW('All Player Data Store'!$Y$7:$Y$594)-ROW('All Player Data Store'!$Y$7)+1),COUNTIF($AC$8:AC118,AC118))),"")</f>
        <v/>
      </c>
      <c r="AX118" s="108" t="str">
        <f t="shared" si="12"/>
        <v/>
      </c>
      <c r="AY118" s="108" t="str">
        <f t="array" ref="AY118">IF(ISNUMBER(AC118),INDEX('All Player Data Store'!$T$8:$T$594,SMALL(IF('All Player Data Store'!$Y$7:$Y$594=AC118,ROW('All Player Data Store'!$Y$7:$Y$594)-ROW('All Player Data Store'!$Y$7)+1),COUNTIF($AC$8:AC118,AC118))),"")</f>
        <v>0*4</v>
      </c>
      <c r="AZ118" s="108">
        <f t="shared" si="13"/>
        <v>18.36</v>
      </c>
      <c r="BA118" s="108" t="str">
        <f t="array" ref="BA118">IF(ISNUMBER(AC118),INDEX('All Player Data Store'!$U$8:$U$594,SMALL(IF('All Player Data Store'!$Y$7:$Y$594=AC118,ROW('All Player Data Store'!$Y$7:$Y$594)-ROW('All Player Data Store'!$Y$7)+1),COUNTIF($AC$8:AC118,AC118))),"")</f>
        <v/>
      </c>
      <c r="BB118" s="108" t="str">
        <f t="shared" si="14"/>
        <v/>
      </c>
      <c r="BC118" s="108" t="str">
        <f t="array" ref="BC118">IF(ISNUMBER(AC118),INDEX('All Player Data Store'!$V$8:$V$594,SMALL(IF('All Player Data Store'!$Y$7:$Y$594=AC118,ROW('All Player Data Store'!$Y$7:$Y$594)-ROW('All Player Data Store'!$Y$7)+1),COUNTIF($AC$8:AC118,AC118))),"")</f>
        <v>4*2</v>
      </c>
      <c r="BD118" s="108">
        <f t="shared" si="15"/>
        <v>19.12</v>
      </c>
      <c r="BE118" s="1"/>
    </row>
    <row r="119" spans="2:57" ht="12" customHeight="1" x14ac:dyDescent="0.2">
      <c r="B119" s="98" t="str">
        <f t="shared" si="0"/>
        <v>Y</v>
      </c>
      <c r="C119" s="1"/>
      <c r="D119" s="68">
        <f t="shared" si="1"/>
        <v>112</v>
      </c>
      <c r="E119" s="2"/>
      <c r="F119" s="78">
        <v>112</v>
      </c>
      <c r="G119" s="110" t="str">
        <f t="array" ref="G119">IF(ISNUMBER(AC119),INDEX('All Player Data Store'!$C$7:$C$594,SMALL(IF('All Player Data Store'!$Y$7:$Y$594=AC119,ROW('All Player Data Store'!$Y$7:$Y$594)-ROW('All Player Data Store'!$Y$7)+1),COUNTIF($AC$8:AC119,AC119))),"")</f>
        <v>Ryan Norman</v>
      </c>
      <c r="H119" s="111" t="str">
        <f t="array" ref="H119">IF(ISNUMBER(AC119),INDEX('All Player Data Store'!$D$7:$D$594,SMALL(IF('All Player Data Store'!$Y$7:$Y$594=AC119,ROW('All Player Data Store'!$Y$7:$Y$594)-ROW('All Player Data Store'!$Y$7)+1),COUNTIF($AC$8:AC119,AC119))),"")</f>
        <v>Swa</v>
      </c>
      <c r="I119" s="69">
        <f t="array" ref="I119">IF(ISNUMBER(AC119),INDEX('All Player Data Store'!$E$7:$E$594,SMALL(IF('All Player Data Store'!$Y$7:$Y$594=AC119,ROW('All Player Data Store'!$Y$7:$Y$594)-ROW('All Player Data Store'!$Y$7)+1),COUNTIF($AC$8:AC119,AC119))),"")</f>
        <v>10</v>
      </c>
      <c r="J119" s="70">
        <f t="array" ref="J119">IF(ISNUMBER(AC119),INDEX('All Player Data Store'!$F$7:$F$594,SMALL(IF('All Player Data Store'!$Y$7:$Y$594=AC119,ROW('All Player Data Store'!$Y$7:$Y$594)-ROW('All Player Data Store'!$Y$7)+1),COUNTIF($AC$8:AC119,AC119))),"")</f>
        <v>3</v>
      </c>
      <c r="K119" s="112">
        <f t="array" ref="K119">IF(ISNUMBER(AC119),INDEX('All Player Data Store'!$G$7:$G$594,SMALL(IF('All Player Data Store'!$Y$7:$Y$594=AC119,ROW('All Player Data Store'!$Y$7:$Y$594)-ROW('All Player Data Store'!$Y$7)+1),COUNTIF($AC$8:AC119,AC119))),"")</f>
        <v>7</v>
      </c>
      <c r="L119" s="112">
        <f t="array" ref="L119">IF(ISNUMBER(AC119),INDEX('All Player Data Store'!$H$7:$H$594,SMALL(IF('All Player Data Store'!$Y$7:$Y$594=AC119,ROW('All Player Data Store'!$Y$7:$Y$594)-ROW('All Player Data Store'!$Y$7)+1),COUNTIF($AC$8:AC119,AC119))),"")</f>
        <v>21</v>
      </c>
      <c r="M119" s="113">
        <f t="array" ref="M119">IF(ISNUMBER(AC119),INDEX('All Player Data Store'!$I$7:$I$594,SMALL(IF('All Player Data Store'!$Y$7:$Y$594=AC119,ROW('All Player Data Store'!$Y$7:$Y$594)-ROW('All Player Data Store'!$Y$7)+1),COUNTIF($AC$8:AC119,AC119))),"")</f>
        <v>32</v>
      </c>
      <c r="N119" s="114">
        <f t="array" ref="N119">IF(ISNUMBER(AC119),INDEX('All Player Data Store'!$J$7:$J$594,SMALL(IF('All Player Data Store'!$Y$7:$Y$594=AC119,ROW('All Player Data Store'!$Y$7:$Y$594)-ROW('All Player Data Store'!$Y$7)+1),COUNTIF($AC$8:AC119,AC119))),"")</f>
        <v>16.39</v>
      </c>
      <c r="O119" s="108">
        <f t="array" ref="O119">IF(ISNUMBER(AC119),INDEX('All Player Data Store'!$K$7:$K$594,SMALL(IF('All Player Data Store'!$Y$7:$Y$594=AC119,ROW('All Player Data Store'!$Y$7:$Y$594)-ROW('All Player Data Store'!$Y$7)+1),COUNTIF($AC$8:AC119,AC119))),"")</f>
        <v>20.2</v>
      </c>
      <c r="P119" s="108" t="str">
        <f t="array" ref="P119">IF(ISNUMBER(AC119),INDEX('All Player Data Store'!$L$7:$L$594,SMALL(IF('All Player Data Store'!$Y$7:$Y$594=AC119,ROW('All Player Data Store'!$Y$7:$Y$594)-ROW('All Player Data Store'!$Y$7)+1),COUNTIF($AC$8:AC119,AC119))),"")</f>
        <v/>
      </c>
      <c r="Q119" s="108">
        <f t="array" ref="Q119">IF(ISNUMBER(AC119),INDEX('All Player Data Store'!$M$7:$M$594,SMALL(IF('All Player Data Store'!$Y$7:$Y$594=AC119,ROW('All Player Data Store'!$Y$7:$Y$594)-ROW('All Player Data Store'!$Y$7)+1),COUNTIF($AC$8:AC119,AC119))),"")</f>
        <v>17.53</v>
      </c>
      <c r="R119" s="108">
        <f t="array" ref="R119">IF(ISNUMBER(AC119),INDEX('All Player Data Store'!$N$7:$N$594,SMALL(IF('All Player Data Store'!$Y$7:$Y$594=AC119,ROW('All Player Data Store'!$Y$7:$Y$594)-ROW('All Player Data Store'!$Y$7)+1),COUNTIF($AC$8:AC119,AC119))),"")</f>
        <v>18.38</v>
      </c>
      <c r="S119" s="108">
        <f t="array" ref="S119">IF(ISNUMBER(AC119),INDEX('All Player Data Store'!$O$7:$O$594,SMALL(IF('All Player Data Store'!$Y$7:$Y$594=AC119,ROW('All Player Data Store'!$Y$7:$Y$594)-ROW('All Player Data Store'!$Y$7)+1),COUNTIF($AC$8:AC119,AC119))),"")</f>
        <v>20.89</v>
      </c>
      <c r="T119" s="108" t="str">
        <f t="array" ref="T119">IF(ISNUMBER(AC119),INDEX('All Player Data Store'!$P$7:$P$594,SMALL(IF('All Player Data Store'!$Y$7:$Y$594=AC119,ROW('All Player Data Store'!$Y$7:$Y$594)-ROW('All Player Data Store'!$Y$7)+1),COUNTIF($AC$8:AC119,AC119))),"")</f>
        <v/>
      </c>
      <c r="U119" s="108">
        <f t="array" ref="U119">IF(ISNUMBER(AC119),INDEX('All Player Data Store'!$Q$7:$Q$594,SMALL(IF('All Player Data Store'!$Y$7:$Y$594=AC119,ROW('All Player Data Store'!$Y$7:$Y$594)-ROW('All Player Data Store'!$Y$7)+1),COUNTIF($AC$8:AC119,AC119))),"")</f>
        <v>23.93</v>
      </c>
      <c r="V119" s="108">
        <f t="array" ref="V119">IF(ISNUMBER(AC119),INDEX('All Player Data Store'!$R$7:$R$594,SMALL(IF('All Player Data Store'!$Y$7:$Y$594=AC119,ROW('All Player Data Store'!$Y$7:$Y$594)-ROW('All Player Data Store'!$Y$7)+1),COUNTIF($AC$8:AC119,AC119))),"")</f>
        <v>20.86</v>
      </c>
      <c r="W119" s="108">
        <f t="array" ref="W119">IF(ISNUMBER(AC119),INDEX('All Player Data Store'!$S$7:$S$594,SMALL(IF('All Player Data Store'!$Y$7:$Y$594=AC119,ROW('All Player Data Store'!$Y$7:$Y$594)-ROW('All Player Data Store'!$Y$7)+1),COUNTIF($AC$8:AC119,AC119))),"")</f>
        <v>19.170000000000002</v>
      </c>
      <c r="X119" s="108" t="str">
        <f t="array" ref="X119">IF(ISNUMBER(AC119),INDEX('All Player Data Store'!$T$7:$T$594,SMALL(IF('All Player Data Store'!$Y$7:$Y$594=AC119,ROW('All Player Data Store'!$Y$7:$Y$594)-ROW('All Player Data Store'!$Y$7)+1),COUNTIF($AC$8:AC119,AC119))),"")</f>
        <v/>
      </c>
      <c r="Y119" s="108">
        <f t="array" ref="Y119">IF(ISNUMBER(AC119),INDEX('All Player Data Store'!$U$7:$U$594,SMALL(IF('All Player Data Store'!$Y$7:$Y$594=AC119,ROW('All Player Data Store'!$Y$7:$Y$594)-ROW('All Player Data Store'!$Y$7)+1),COUNTIF($AC$8:AC119,AC119))),"")</f>
        <v>18.22</v>
      </c>
      <c r="Z119" s="108">
        <f t="array" ref="Z119">IF(ISNUMBER(AC119),INDEX('All Player Data Store'!$V$7:$V$594,SMALL(IF('All Player Data Store'!$Y$7:$Y$594=AC119,ROW('All Player Data Store'!$Y$7:$Y$594)-ROW('All Player Data Store'!$Y$7)+1),COUNTIF($AC$8:AC119,AC119))),"")</f>
        <v>21.17</v>
      </c>
      <c r="AA119" s="112">
        <f t="array" ref="AA119">IF(ISNUMBER(AC119),INDEX('All Player Data Store'!$W$7:$W$594,SMALL(IF('All Player Data Store'!$Y$7:$Y$594=AC119,ROW('All Player Data Store'!$Y$7:$Y$594)-ROW('All Player Data Store'!$Y$7)+1),COUNTIF($AC$8:AC119,AC119))),"")</f>
        <v>3</v>
      </c>
      <c r="AB119" s="108">
        <f t="array" ref="AB119">IF(ISNUMBER(AC119),INDEX('All Player Data Store'!$X$7:$X$594,SMALL(IF('All Player Data Store'!$Y$7:$Y$594=AC119,ROW('All Player Data Store'!$Y$7:$Y$594)-ROW('All Player Data Store'!$Y$7)+1),COUNTIF($AC$8:AC119,AC119))),"")</f>
        <v>19.673999999999999</v>
      </c>
      <c r="AC119" s="115">
        <f>IF(ISERROR(IF(ISERROR(LARGE('All Player Data Store'!$Y$7:$Y$594,112)),"",(LARGE('All Player Data Store'!$Y$7:$Y$594,112)))),"",(IF(ISERROR(LARGE('All Player Data Store'!$Y$7:$Y$594,112)),"",(LARGE('All Player Data Store'!$Y$7:$Y$594,112)))))</f>
        <v>22.673999999999999</v>
      </c>
      <c r="AD119" s="106">
        <f t="shared" si="16"/>
        <v>3</v>
      </c>
      <c r="AE119" s="107" t="str">
        <f t="array" ref="AE119">IF(ISNUMBER(AC119),INDEX('All Player Data Store'!$J$8:$J$594,SMALL(IF('All Player Data Store'!$Y$7:$Y$594=AC119,ROW('All Player Data Store'!$Y$7:$Y$594)-ROW('All Player Data Store'!$Y$7)+1),COUNTIF($AC$8:AC119,AC119))),"")</f>
        <v>4*3</v>
      </c>
      <c r="AF119" s="108">
        <f t="shared" si="3"/>
        <v>17.39</v>
      </c>
      <c r="AG119" s="108" t="str">
        <f t="array" ref="AG119">IF(ISNUMBER(AC119),INDEX('All Player Data Store'!$K$8:$K$594,SMALL(IF('All Player Data Store'!$Y$7:$Y$594=AC119,ROW('All Player Data Store'!$Y$7:$Y$594)-ROW('All Player Data Store'!$Y$7)+1),COUNTIF($AC$8:AC119,AC119))),"")</f>
        <v>0*4</v>
      </c>
      <c r="AH119" s="108">
        <f t="shared" si="4"/>
        <v>20.2</v>
      </c>
      <c r="AI119" s="108" t="str">
        <f t="array" ref="AI119">IF(ISNUMBER(AC119),INDEX('All Player Data Store'!$L$8:$L$594,SMALL(IF('All Player Data Store'!$Y$7:$Y$594=AC119,ROW('All Player Data Store'!$Y$7:$Y$594)-ROW('All Player Data Store'!$Y$7)+1),COUNTIF($AC$8:AC119,AC119))),"")</f>
        <v/>
      </c>
      <c r="AJ119" s="108" t="str">
        <f t="shared" si="5"/>
        <v/>
      </c>
      <c r="AK119" s="108" t="str">
        <f t="array" ref="AK119">IF(ISNUMBER(AC119),INDEX('All Player Data Store'!$M$8:$M$594,SMALL(IF('All Player Data Store'!$Y$7:$Y$594=AC119,ROW('All Player Data Store'!$Y$7:$Y$594)-ROW('All Player Data Store'!$Y$7)+1),COUNTIF($AC$8:AC119,AC119))),"")</f>
        <v>0*4</v>
      </c>
      <c r="AL119" s="108">
        <f t="shared" si="6"/>
        <v>17.53</v>
      </c>
      <c r="AM119" s="108" t="str">
        <f t="array" ref="AM119">IF(ISNUMBER(AC119),INDEX('All Player Data Store'!$N$8:$N$594,SMALL(IF('All Player Data Store'!$Y$7:$Y$594=AC119,ROW('All Player Data Store'!$Y$7:$Y$594)-ROW('All Player Data Store'!$Y$7)+1),COUNTIF($AC$8:AC119,AC119))),"")</f>
        <v>1*4</v>
      </c>
      <c r="AN119" s="108">
        <f t="shared" si="7"/>
        <v>18.38</v>
      </c>
      <c r="AO119" s="108" t="str">
        <f t="array" ref="AO119">IF(ISNUMBER(AC119),INDEX('All Player Data Store'!$O$8:$O$594,SMALL(IF('All Player Data Store'!$Y$7:$Y$594=AC119,ROW('All Player Data Store'!$Y$7:$Y$594)-ROW('All Player Data Store'!$Y$7)+1),COUNTIF($AC$8:AC119,AC119))),"")</f>
        <v>0*4</v>
      </c>
      <c r="AP119" s="108">
        <f t="shared" si="8"/>
        <v>20.89</v>
      </c>
      <c r="AQ119" s="108" t="str">
        <f t="array" ref="AQ119">IF(ISNUMBER(AC119),INDEX('All Player Data Store'!$P$8:$P$594,SMALL(IF('All Player Data Store'!$Y$7:$Y$594=AC119,ROW('All Player Data Store'!$Y$7:$Y$594)-ROW('All Player Data Store'!$Y$7)+1),COUNTIF($AC$8:AC119,AC119))),"")</f>
        <v/>
      </c>
      <c r="AR119" s="108" t="str">
        <f t="shared" si="9"/>
        <v/>
      </c>
      <c r="AS119" s="108" t="str">
        <f t="array" ref="AS119">IF(ISNUMBER(AC119),INDEX('All Player Data Store'!$Q$8:$Q$594,SMALL(IF('All Player Data Store'!$Y$7:$Y$594=AC119,ROW('All Player Data Store'!$Y$7:$Y$594)-ROW('All Player Data Store'!$Y$7)+1),COUNTIF($AC$8:AC119,AC119))),"")</f>
        <v>3*4(1)</v>
      </c>
      <c r="AT119" s="108">
        <f t="shared" si="10"/>
        <v>23.93</v>
      </c>
      <c r="AU119" s="108" t="str">
        <f t="array" ref="AU119">IF(ISNUMBER(AC119),INDEX('All Player Data Store'!$R$8:$R$594,SMALL(IF('All Player Data Store'!$Y$7:$Y$594=AC119,ROW('All Player Data Store'!$Y$7:$Y$594)-ROW('All Player Data Store'!$Y$7)+1),COUNTIF($AC$8:AC119,AC119))),"")</f>
        <v>4*1</v>
      </c>
      <c r="AV119" s="108">
        <f t="shared" si="11"/>
        <v>21.86</v>
      </c>
      <c r="AW119" s="108" t="str">
        <f t="array" ref="AW119">IF(ISNUMBER(AC119),INDEX('All Player Data Store'!$S$8:$S$594,SMALL(IF('All Player Data Store'!$Y$7:$Y$594=AC119,ROW('All Player Data Store'!$Y$7:$Y$594)-ROW('All Player Data Store'!$Y$7)+1),COUNTIF($AC$8:AC119,AC119))),"")</f>
        <v>2*4(1)</v>
      </c>
      <c r="AX119" s="108">
        <f t="shared" si="12"/>
        <v>19.170000000000002</v>
      </c>
      <c r="AY119" s="108" t="str">
        <f t="array" ref="AY119">IF(ISNUMBER(AC119),INDEX('All Player Data Store'!$T$8:$T$594,SMALL(IF('All Player Data Store'!$Y$7:$Y$594=AC119,ROW('All Player Data Store'!$Y$7:$Y$594)-ROW('All Player Data Store'!$Y$7)+1),COUNTIF($AC$8:AC119,AC119))),"")</f>
        <v/>
      </c>
      <c r="AZ119" s="108" t="str">
        <f t="shared" si="13"/>
        <v/>
      </c>
      <c r="BA119" s="108" t="str">
        <f t="array" ref="BA119">IF(ISNUMBER(AC119),INDEX('All Player Data Store'!$U$8:$U$594,SMALL(IF('All Player Data Store'!$Y$7:$Y$594=AC119,ROW('All Player Data Store'!$Y$7:$Y$594)-ROW('All Player Data Store'!$Y$7)+1),COUNTIF($AC$8:AC119,AC119))),"")</f>
        <v>4*0</v>
      </c>
      <c r="BB119" s="108">
        <f t="shared" si="14"/>
        <v>19.22</v>
      </c>
      <c r="BC119" s="108" t="str">
        <f t="array" ref="BC119">IF(ISNUMBER(AC119),INDEX('All Player Data Store'!$V$8:$V$594,SMALL(IF('All Player Data Store'!$Y$7:$Y$594=AC119,ROW('All Player Data Store'!$Y$7:$Y$594)-ROW('All Player Data Store'!$Y$7)+1),COUNTIF($AC$8:AC119,AC119))),"")</f>
        <v>3*4(1)</v>
      </c>
      <c r="BD119" s="108">
        <f t="shared" si="15"/>
        <v>21.17</v>
      </c>
      <c r="BE119" s="1"/>
    </row>
    <row r="120" spans="2:57" ht="12" customHeight="1" x14ac:dyDescent="0.2">
      <c r="B120" s="98" t="str">
        <f t="shared" si="0"/>
        <v>Y</v>
      </c>
      <c r="C120" s="1"/>
      <c r="D120" s="68">
        <f t="shared" si="1"/>
        <v>113</v>
      </c>
      <c r="E120" s="2"/>
      <c r="F120" s="78">
        <v>113</v>
      </c>
      <c r="G120" s="110" t="str">
        <f t="array" ref="G120">IF(ISNUMBER(AC120),INDEX('All Player Data Store'!$C$7:$C$594,SMALL(IF('All Player Data Store'!$Y$7:$Y$594=AC120,ROW('All Player Data Store'!$Y$7:$Y$594)-ROW('All Player Data Store'!$Y$7)+1),COUNTIF($AC$8:AC120,AC120))),"")</f>
        <v>Dean Morris</v>
      </c>
      <c r="H120" s="111" t="str">
        <f t="array" ref="H120">IF(ISNUMBER(AC120),INDEX('All Player Data Store'!$D$7:$D$594,SMALL(IF('All Player Data Store'!$Y$7:$Y$594=AC120,ROW('All Player Data Store'!$Y$7:$Y$594)-ROW('All Player Data Store'!$Y$7)+1),COUNTIF($AC$8:AC120,AC120))),"")</f>
        <v>Bou</v>
      </c>
      <c r="I120" s="69">
        <f t="array" ref="I120">IF(ISNUMBER(AC120),INDEX('All Player Data Store'!$E$7:$E$594,SMALL(IF('All Player Data Store'!$Y$7:$Y$594=AC120,ROW('All Player Data Store'!$Y$7:$Y$594)-ROW('All Player Data Store'!$Y$7)+1),COUNTIF($AC$8:AC120,AC120))),"")</f>
        <v>11</v>
      </c>
      <c r="J120" s="70">
        <f t="array" ref="J120">IF(ISNUMBER(AC120),INDEX('All Player Data Store'!$F$7:$F$594,SMALL(IF('All Player Data Store'!$Y$7:$Y$594=AC120,ROW('All Player Data Store'!$Y$7:$Y$594)-ROW('All Player Data Store'!$Y$7)+1),COUNTIF($AC$8:AC120,AC120))),"")</f>
        <v>3</v>
      </c>
      <c r="K120" s="112">
        <f t="array" ref="K120">IF(ISNUMBER(AC120),INDEX('All Player Data Store'!$G$7:$G$594,SMALL(IF('All Player Data Store'!$Y$7:$Y$594=AC120,ROW('All Player Data Store'!$Y$7:$Y$594)-ROW('All Player Data Store'!$Y$7)+1),COUNTIF($AC$8:AC120,AC120))),"")</f>
        <v>8</v>
      </c>
      <c r="L120" s="112">
        <f t="array" ref="L120">IF(ISNUMBER(AC120),INDEX('All Player Data Store'!$H$7:$H$594,SMALL(IF('All Player Data Store'!$Y$7:$Y$594=AC120,ROW('All Player Data Store'!$Y$7:$Y$594)-ROW('All Player Data Store'!$Y$7)+1),COUNTIF($AC$8:AC120,AC120))),"")</f>
        <v>25</v>
      </c>
      <c r="M120" s="113">
        <f t="array" ref="M120">IF(ISNUMBER(AC120),INDEX('All Player Data Store'!$I$7:$I$594,SMALL(IF('All Player Data Store'!$Y$7:$Y$594=AC120,ROW('All Player Data Store'!$Y$7:$Y$594)-ROW('All Player Data Store'!$Y$7)+1),COUNTIF($AC$8:AC120,AC120))),"")</f>
        <v>35</v>
      </c>
      <c r="N120" s="114">
        <f t="array" ref="N120">IF(ISNUMBER(AC120),INDEX('All Player Data Store'!$J$7:$J$594,SMALL(IF('All Player Data Store'!$Y$7:$Y$594=AC120,ROW('All Player Data Store'!$Y$7:$Y$594)-ROW('All Player Data Store'!$Y$7)+1),COUNTIF($AC$8:AC120,AC120))),"")</f>
        <v>17.87</v>
      </c>
      <c r="O120" s="108" t="str">
        <f t="array" ref="O120">IF(ISNUMBER(AC120),INDEX('All Player Data Store'!$K$7:$K$594,SMALL(IF('All Player Data Store'!$Y$7:$Y$594=AC120,ROW('All Player Data Store'!$Y$7:$Y$594)-ROW('All Player Data Store'!$Y$7)+1),COUNTIF($AC$8:AC120,AC120))),"")</f>
        <v/>
      </c>
      <c r="P120" s="108">
        <f t="array" ref="P120">IF(ISNUMBER(AC120),INDEX('All Player Data Store'!$L$7:$L$594,SMALL(IF('All Player Data Store'!$Y$7:$Y$594=AC120,ROW('All Player Data Store'!$Y$7:$Y$594)-ROW('All Player Data Store'!$Y$7)+1),COUNTIF($AC$8:AC120,AC120))),"")</f>
        <v>20.3</v>
      </c>
      <c r="Q120" s="108">
        <f t="array" ref="Q120">IF(ISNUMBER(AC120),INDEX('All Player Data Store'!$M$7:$M$594,SMALL(IF('All Player Data Store'!$Y$7:$Y$594=AC120,ROW('All Player Data Store'!$Y$7:$Y$594)-ROW('All Player Data Store'!$Y$7)+1),COUNTIF($AC$8:AC120,AC120))),"")</f>
        <v>17.39</v>
      </c>
      <c r="R120" s="108">
        <f t="array" ref="R120">IF(ISNUMBER(AC120),INDEX('All Player Data Store'!$N$7:$N$594,SMALL(IF('All Player Data Store'!$Y$7:$Y$594=AC120,ROW('All Player Data Store'!$Y$7:$Y$594)-ROW('All Player Data Store'!$Y$7)+1),COUNTIF($AC$8:AC120,AC120))),"")</f>
        <v>21.68</v>
      </c>
      <c r="S120" s="108">
        <f t="array" ref="S120">IF(ISNUMBER(AC120),INDEX('All Player Data Store'!$O$7:$O$594,SMALL(IF('All Player Data Store'!$Y$7:$Y$594=AC120,ROW('All Player Data Store'!$Y$7:$Y$594)-ROW('All Player Data Store'!$Y$7)+1),COUNTIF($AC$8:AC120,AC120))),"")</f>
        <v>22.18</v>
      </c>
      <c r="T120" s="108">
        <f t="array" ref="T120">IF(ISNUMBER(AC120),INDEX('All Player Data Store'!$P$7:$P$594,SMALL(IF('All Player Data Store'!$Y$7:$Y$594=AC120,ROW('All Player Data Store'!$Y$7:$Y$594)-ROW('All Player Data Store'!$Y$7)+1),COUNTIF($AC$8:AC120,AC120))),"")</f>
        <v>19.64</v>
      </c>
      <c r="U120" s="108">
        <f t="array" ref="U120">IF(ISNUMBER(AC120),INDEX('All Player Data Store'!$Q$7:$Q$594,SMALL(IF('All Player Data Store'!$Y$7:$Y$594=AC120,ROW('All Player Data Store'!$Y$7:$Y$594)-ROW('All Player Data Store'!$Y$7)+1),COUNTIF($AC$8:AC120,AC120))),"")</f>
        <v>21.16</v>
      </c>
      <c r="V120" s="108">
        <f t="array" ref="V120">IF(ISNUMBER(AC120),INDEX('All Player Data Store'!$R$7:$R$594,SMALL(IF('All Player Data Store'!$Y$7:$Y$594=AC120,ROW('All Player Data Store'!$Y$7:$Y$594)-ROW('All Player Data Store'!$Y$7)+1),COUNTIF($AC$8:AC120,AC120))),"")</f>
        <v>18.690000000000001</v>
      </c>
      <c r="W120" s="108">
        <f t="array" ref="W120">IF(ISNUMBER(AC120),INDEX('All Player Data Store'!$S$7:$S$594,SMALL(IF('All Player Data Store'!$Y$7:$Y$594=AC120,ROW('All Player Data Store'!$Y$7:$Y$594)-ROW('All Player Data Store'!$Y$7)+1),COUNTIF($AC$8:AC120,AC120))),"")</f>
        <v>18.13</v>
      </c>
      <c r="X120" s="108">
        <f t="array" ref="X120">IF(ISNUMBER(AC120),INDEX('All Player Data Store'!$T$7:$T$594,SMALL(IF('All Player Data Store'!$Y$7:$Y$594=AC120,ROW('All Player Data Store'!$Y$7:$Y$594)-ROW('All Player Data Store'!$Y$7)+1),COUNTIF($AC$8:AC120,AC120))),"")</f>
        <v>18.920000000000002</v>
      </c>
      <c r="Y120" s="108">
        <f t="array" ref="Y120">IF(ISNUMBER(AC120),INDEX('All Player Data Store'!$U$7:$U$594,SMALL(IF('All Player Data Store'!$Y$7:$Y$594=AC120,ROW('All Player Data Store'!$Y$7:$Y$594)-ROW('All Player Data Store'!$Y$7)+1),COUNTIF($AC$8:AC120,AC120))),"")</f>
        <v>18.829999999999998</v>
      </c>
      <c r="Z120" s="108" t="str">
        <f t="array" ref="Z120">IF(ISNUMBER(AC120),INDEX('All Player Data Store'!$V$7:$V$594,SMALL(IF('All Player Data Store'!$Y$7:$Y$594=AC120,ROW('All Player Data Store'!$Y$7:$Y$594)-ROW('All Player Data Store'!$Y$7)+1),COUNTIF($AC$8:AC120,AC120))),"")</f>
        <v/>
      </c>
      <c r="AA120" s="112">
        <f t="array" ref="AA120">IF(ISNUMBER(AC120),INDEX('All Player Data Store'!$W$7:$W$594,SMALL(IF('All Player Data Store'!$Y$7:$Y$594=AC120,ROW('All Player Data Store'!$Y$7:$Y$594)-ROW('All Player Data Store'!$Y$7)+1),COUNTIF($AC$8:AC120,AC120))),"")</f>
        <v>3</v>
      </c>
      <c r="AB120" s="108">
        <f t="array" ref="AB120">IF(ISNUMBER(AC120),INDEX('All Player Data Store'!$X$7:$X$594,SMALL(IF('All Player Data Store'!$Y$7:$Y$594=AC120,ROW('All Player Data Store'!$Y$7:$Y$594)-ROW('All Player Data Store'!$Y$7)+1),COUNTIF($AC$8:AC120,AC120))),"")</f>
        <v>19.526363636363637</v>
      </c>
      <c r="AC120" s="115">
        <f>IF(ISERROR(IF(ISERROR(LARGE('All Player Data Store'!$Y$7:$Y$594,113)),"",(LARGE('All Player Data Store'!$Y$7:$Y$594,113)))),"",(IF(ISERROR(LARGE('All Player Data Store'!$Y$7:$Y$594,113)),"",(LARGE('All Player Data Store'!$Y$7:$Y$594,113)))))</f>
        <v>22.526363636363637</v>
      </c>
      <c r="AD120" s="106">
        <f t="shared" si="16"/>
        <v>3</v>
      </c>
      <c r="AE120" s="107" t="str">
        <f t="array" ref="AE120">IF(ISNUMBER(AC120),INDEX('All Player Data Store'!$J$8:$J$594,SMALL(IF('All Player Data Store'!$Y$7:$Y$594=AC120,ROW('All Player Data Store'!$Y$7:$Y$594)-ROW('All Player Data Store'!$Y$7)+1),COUNTIF($AC$8:AC120,AC120))),"")</f>
        <v>0*4</v>
      </c>
      <c r="AF120" s="108">
        <f t="shared" si="3"/>
        <v>17.87</v>
      </c>
      <c r="AG120" s="108" t="str">
        <f t="array" ref="AG120">IF(ISNUMBER(AC120),INDEX('All Player Data Store'!$K$8:$K$594,SMALL(IF('All Player Data Store'!$Y$7:$Y$594=AC120,ROW('All Player Data Store'!$Y$7:$Y$594)-ROW('All Player Data Store'!$Y$7)+1),COUNTIF($AC$8:AC120,AC120))),"")</f>
        <v/>
      </c>
      <c r="AH120" s="108" t="str">
        <f t="shared" si="4"/>
        <v/>
      </c>
      <c r="AI120" s="108" t="str">
        <f t="array" ref="AI120">IF(ISNUMBER(AC120),INDEX('All Player Data Store'!$L$8:$L$594,SMALL(IF('All Player Data Store'!$Y$7:$Y$594=AC120,ROW('All Player Data Store'!$Y$7:$Y$594)-ROW('All Player Data Store'!$Y$7)+1),COUNTIF($AC$8:AC120,AC120))),"")</f>
        <v>1*4(2)</v>
      </c>
      <c r="AJ120" s="108">
        <f t="shared" si="5"/>
        <v>20.3</v>
      </c>
      <c r="AK120" s="108" t="str">
        <f t="array" ref="AK120">IF(ISNUMBER(AC120),INDEX('All Player Data Store'!$M$8:$M$594,SMALL(IF('All Player Data Store'!$Y$7:$Y$594=AC120,ROW('All Player Data Store'!$Y$7:$Y$594)-ROW('All Player Data Store'!$Y$7)+1),COUNTIF($AC$8:AC120,AC120))),"")</f>
        <v>4*2</v>
      </c>
      <c r="AL120" s="108">
        <f t="shared" si="6"/>
        <v>18.39</v>
      </c>
      <c r="AM120" s="108" t="str">
        <f t="array" ref="AM120">IF(ISNUMBER(AC120),INDEX('All Player Data Store'!$N$8:$N$594,SMALL(IF('All Player Data Store'!$Y$7:$Y$594=AC120,ROW('All Player Data Store'!$Y$7:$Y$594)-ROW('All Player Data Store'!$Y$7)+1),COUNTIF($AC$8:AC120,AC120))),"")</f>
        <v>3*4</v>
      </c>
      <c r="AN120" s="108">
        <f t="shared" si="7"/>
        <v>21.68</v>
      </c>
      <c r="AO120" s="108" t="str">
        <f t="array" ref="AO120">IF(ISNUMBER(AC120),INDEX('All Player Data Store'!$O$8:$O$594,SMALL(IF('All Player Data Store'!$Y$7:$Y$594=AC120,ROW('All Player Data Store'!$Y$7:$Y$594)-ROW('All Player Data Store'!$Y$7)+1),COUNTIF($AC$8:AC120,AC120))),"")</f>
        <v>4*1</v>
      </c>
      <c r="AP120" s="108">
        <f t="shared" si="8"/>
        <v>23.18</v>
      </c>
      <c r="AQ120" s="108" t="str">
        <f t="array" ref="AQ120">IF(ISNUMBER(AC120),INDEX('All Player Data Store'!$P$8:$P$594,SMALL(IF('All Player Data Store'!$Y$7:$Y$594=AC120,ROW('All Player Data Store'!$Y$7:$Y$594)-ROW('All Player Data Store'!$Y$7)+1),COUNTIF($AC$8:AC120,AC120))),"")</f>
        <v>4*0</v>
      </c>
      <c r="AR120" s="108">
        <f t="shared" si="9"/>
        <v>20.64</v>
      </c>
      <c r="AS120" s="108" t="str">
        <f t="array" ref="AS120">IF(ISNUMBER(AC120),INDEX('All Player Data Store'!$Q$8:$Q$594,SMALL(IF('All Player Data Store'!$Y$7:$Y$594=AC120,ROW('All Player Data Store'!$Y$7:$Y$594)-ROW('All Player Data Store'!$Y$7)+1),COUNTIF($AC$8:AC120,AC120))),"")</f>
        <v>3*4</v>
      </c>
      <c r="AT120" s="108">
        <f t="shared" si="10"/>
        <v>21.16</v>
      </c>
      <c r="AU120" s="108" t="str">
        <f t="array" ref="AU120">IF(ISNUMBER(AC120),INDEX('All Player Data Store'!$R$8:$R$594,SMALL(IF('All Player Data Store'!$Y$7:$Y$594=AC120,ROW('All Player Data Store'!$Y$7:$Y$594)-ROW('All Player Data Store'!$Y$7)+1),COUNTIF($AC$8:AC120,AC120))),"")</f>
        <v>0*4</v>
      </c>
      <c r="AV120" s="108">
        <f t="shared" si="11"/>
        <v>18.690000000000001</v>
      </c>
      <c r="AW120" s="108" t="str">
        <f t="array" ref="AW120">IF(ISNUMBER(AC120),INDEX('All Player Data Store'!$S$8:$S$594,SMALL(IF('All Player Data Store'!$Y$7:$Y$594=AC120,ROW('All Player Data Store'!$Y$7:$Y$594)-ROW('All Player Data Store'!$Y$7)+1),COUNTIF($AC$8:AC120,AC120))),"")</f>
        <v>3*4(1)</v>
      </c>
      <c r="AX120" s="108">
        <f t="shared" si="12"/>
        <v>18.13</v>
      </c>
      <c r="AY120" s="108" t="str">
        <f t="array" ref="AY120">IF(ISNUMBER(AC120),INDEX('All Player Data Store'!$T$8:$T$594,SMALL(IF('All Player Data Store'!$Y$7:$Y$594=AC120,ROW('All Player Data Store'!$Y$7:$Y$594)-ROW('All Player Data Store'!$Y$7)+1),COUNTIF($AC$8:AC120,AC120))),"")</f>
        <v>0*4</v>
      </c>
      <c r="AZ120" s="108">
        <f t="shared" si="13"/>
        <v>18.920000000000002</v>
      </c>
      <c r="BA120" s="108" t="str">
        <f t="array" ref="BA120">IF(ISNUMBER(AC120),INDEX('All Player Data Store'!$U$8:$U$594,SMALL(IF('All Player Data Store'!$Y$7:$Y$594=AC120,ROW('All Player Data Store'!$Y$7:$Y$594)-ROW('All Player Data Store'!$Y$7)+1),COUNTIF($AC$8:AC120,AC120))),"")</f>
        <v>3*4</v>
      </c>
      <c r="BB120" s="108">
        <f t="shared" si="14"/>
        <v>18.829999999999998</v>
      </c>
      <c r="BC120" s="108" t="str">
        <f t="array" ref="BC120">IF(ISNUMBER(AC120),INDEX('All Player Data Store'!$V$8:$V$594,SMALL(IF('All Player Data Store'!$Y$7:$Y$594=AC120,ROW('All Player Data Store'!$Y$7:$Y$594)-ROW('All Player Data Store'!$Y$7)+1),COUNTIF($AC$8:AC120,AC120))),"")</f>
        <v/>
      </c>
      <c r="BD120" s="108" t="str">
        <f t="shared" si="15"/>
        <v/>
      </c>
      <c r="BE120" s="1"/>
    </row>
    <row r="121" spans="2:57" ht="12" customHeight="1" x14ac:dyDescent="0.2">
      <c r="B121" s="98" t="str">
        <f t="shared" si="0"/>
        <v>N</v>
      </c>
      <c r="C121" s="1"/>
      <c r="D121" s="68">
        <f t="shared" si="1"/>
        <v>114</v>
      </c>
      <c r="E121" s="2"/>
      <c r="F121" s="78">
        <v>114</v>
      </c>
      <c r="G121" s="110" t="str">
        <f t="array" ref="G121">IF(ISNUMBER(AC121),INDEX('All Player Data Store'!$C$7:$C$594,SMALL(IF('All Player Data Store'!$Y$7:$Y$594=AC121,ROW('All Player Data Store'!$Y$7:$Y$594)-ROW('All Player Data Store'!$Y$7)+1),COUNTIF($AC$8:AC121,AC121))),"")</f>
        <v>Paul Allen</v>
      </c>
      <c r="H121" s="111" t="str">
        <f t="array" ref="H121">IF(ISNUMBER(AC121),INDEX('All Player Data Store'!$D$7:$D$594,SMALL(IF('All Player Data Store'!$Y$7:$Y$594=AC121,ROW('All Player Data Store'!$Y$7:$Y$594)-ROW('All Player Data Store'!$Y$7)+1),COUNTIF($AC$8:AC121,AC121))),"")</f>
        <v>Par</v>
      </c>
      <c r="I121" s="69">
        <f t="array" ref="I121">IF(ISNUMBER(AC121),INDEX('All Player Data Store'!$E$7:$E$594,SMALL(IF('All Player Data Store'!$Y$7:$Y$594=AC121,ROW('All Player Data Store'!$Y$7:$Y$594)-ROW('All Player Data Store'!$Y$7)+1),COUNTIF($AC$8:AC121,AC121))),"")</f>
        <v>1</v>
      </c>
      <c r="J121" s="70" t="str">
        <f t="array" ref="J121">IF(ISNUMBER(AC121),INDEX('All Player Data Store'!$F$7:$F$594,SMALL(IF('All Player Data Store'!$Y$7:$Y$594=AC121,ROW('All Player Data Store'!$Y$7:$Y$594)-ROW('All Player Data Store'!$Y$7)+1),COUNTIF($AC$8:AC121,AC121))),"")</f>
        <v/>
      </c>
      <c r="K121" s="112">
        <f t="array" ref="K121">IF(ISNUMBER(AC121),INDEX('All Player Data Store'!$G$7:$G$594,SMALL(IF('All Player Data Store'!$Y$7:$Y$594=AC121,ROW('All Player Data Store'!$Y$7:$Y$594)-ROW('All Player Data Store'!$Y$7)+1),COUNTIF($AC$8:AC121,AC121))),"")</f>
        <v>1</v>
      </c>
      <c r="L121" s="112" t="str">
        <f t="array" ref="L121">IF(ISNUMBER(AC121),INDEX('All Player Data Store'!$H$7:$H$594,SMALL(IF('All Player Data Store'!$Y$7:$Y$594=AC121,ROW('All Player Data Store'!$Y$7:$Y$594)-ROW('All Player Data Store'!$Y$7)+1),COUNTIF($AC$8:AC121,AC121))),"")</f>
        <v/>
      </c>
      <c r="M121" s="113">
        <f t="array" ref="M121">IF(ISNUMBER(AC121),INDEX('All Player Data Store'!$I$7:$I$594,SMALL(IF('All Player Data Store'!$Y$7:$Y$594=AC121,ROW('All Player Data Store'!$Y$7:$Y$594)-ROW('All Player Data Store'!$Y$7)+1),COUNTIF($AC$8:AC121,AC121))),"")</f>
        <v>4</v>
      </c>
      <c r="N121" s="114" t="str">
        <f t="array" ref="N121">IF(ISNUMBER(AC121),INDEX('All Player Data Store'!$J$7:$J$594,SMALL(IF('All Player Data Store'!$Y$7:$Y$594=AC121,ROW('All Player Data Store'!$Y$7:$Y$594)-ROW('All Player Data Store'!$Y$7)+1),COUNTIF($AC$8:AC121,AC121))),"")</f>
        <v/>
      </c>
      <c r="O121" s="108" t="str">
        <f t="array" ref="O121">IF(ISNUMBER(AC121),INDEX('All Player Data Store'!$K$7:$K$594,SMALL(IF('All Player Data Store'!$Y$7:$Y$594=AC121,ROW('All Player Data Store'!$Y$7:$Y$594)-ROW('All Player Data Store'!$Y$7)+1),COUNTIF($AC$8:AC121,AC121))),"")</f>
        <v/>
      </c>
      <c r="P121" s="108" t="str">
        <f t="array" ref="P121">IF(ISNUMBER(AC121),INDEX('All Player Data Store'!$L$7:$L$594,SMALL(IF('All Player Data Store'!$Y$7:$Y$594=AC121,ROW('All Player Data Store'!$Y$7:$Y$594)-ROW('All Player Data Store'!$Y$7)+1),COUNTIF($AC$8:AC121,AC121))),"")</f>
        <v/>
      </c>
      <c r="Q121" s="108" t="str">
        <f t="array" ref="Q121">IF(ISNUMBER(AC121),INDEX('All Player Data Store'!$M$7:$M$594,SMALL(IF('All Player Data Store'!$Y$7:$Y$594=AC121,ROW('All Player Data Store'!$Y$7:$Y$594)-ROW('All Player Data Store'!$Y$7)+1),COUNTIF($AC$8:AC121,AC121))),"")</f>
        <v/>
      </c>
      <c r="R121" s="108" t="str">
        <f t="array" ref="R121">IF(ISNUMBER(AC121),INDEX('All Player Data Store'!$N$7:$N$594,SMALL(IF('All Player Data Store'!$Y$7:$Y$594=AC121,ROW('All Player Data Store'!$Y$7:$Y$594)-ROW('All Player Data Store'!$Y$7)+1),COUNTIF($AC$8:AC121,AC121))),"")</f>
        <v/>
      </c>
      <c r="S121" s="108" t="str">
        <f t="array" ref="S121">IF(ISNUMBER(AC121),INDEX('All Player Data Store'!$O$7:$O$594,SMALL(IF('All Player Data Store'!$Y$7:$Y$594=AC121,ROW('All Player Data Store'!$Y$7:$Y$594)-ROW('All Player Data Store'!$Y$7)+1),COUNTIF($AC$8:AC121,AC121))),"")</f>
        <v/>
      </c>
      <c r="T121" s="108" t="str">
        <f t="array" ref="T121">IF(ISNUMBER(AC121),INDEX('All Player Data Store'!$P$7:$P$594,SMALL(IF('All Player Data Store'!$Y$7:$Y$594=AC121,ROW('All Player Data Store'!$Y$7:$Y$594)-ROW('All Player Data Store'!$Y$7)+1),COUNTIF($AC$8:AC121,AC121))),"")</f>
        <v/>
      </c>
      <c r="U121" s="108" t="str">
        <f t="array" ref="U121">IF(ISNUMBER(AC121),INDEX('All Player Data Store'!$Q$7:$Q$594,SMALL(IF('All Player Data Store'!$Y$7:$Y$594=AC121,ROW('All Player Data Store'!$Y$7:$Y$594)-ROW('All Player Data Store'!$Y$7)+1),COUNTIF($AC$8:AC121,AC121))),"")</f>
        <v/>
      </c>
      <c r="V121" s="108">
        <f t="array" ref="V121">IF(ISNUMBER(AC121),INDEX('All Player Data Store'!$R$7:$R$594,SMALL(IF('All Player Data Store'!$Y$7:$Y$594=AC121,ROW('All Player Data Store'!$Y$7:$Y$594)-ROW('All Player Data Store'!$Y$7)+1),COUNTIF($AC$8:AC121,AC121))),"")</f>
        <v>22.46</v>
      </c>
      <c r="W121" s="108" t="str">
        <f t="array" ref="W121">IF(ISNUMBER(AC121),INDEX('All Player Data Store'!$S$7:$S$594,SMALL(IF('All Player Data Store'!$Y$7:$Y$594=AC121,ROW('All Player Data Store'!$Y$7:$Y$594)-ROW('All Player Data Store'!$Y$7)+1),COUNTIF($AC$8:AC121,AC121))),"")</f>
        <v/>
      </c>
      <c r="X121" s="108" t="str">
        <f t="array" ref="X121">IF(ISNUMBER(AC121),INDEX('All Player Data Store'!$T$7:$T$594,SMALL(IF('All Player Data Store'!$Y$7:$Y$594=AC121,ROW('All Player Data Store'!$Y$7:$Y$594)-ROW('All Player Data Store'!$Y$7)+1),COUNTIF($AC$8:AC121,AC121))),"")</f>
        <v/>
      </c>
      <c r="Y121" s="108" t="str">
        <f t="array" ref="Y121">IF(ISNUMBER(AC121),INDEX('All Player Data Store'!$U$7:$U$594,SMALL(IF('All Player Data Store'!$Y$7:$Y$594=AC121,ROW('All Player Data Store'!$Y$7:$Y$594)-ROW('All Player Data Store'!$Y$7)+1),COUNTIF($AC$8:AC121,AC121))),"")</f>
        <v/>
      </c>
      <c r="Z121" s="108" t="str">
        <f t="array" ref="Z121">IF(ISNUMBER(AC121),INDEX('All Player Data Store'!$V$7:$V$594,SMALL(IF('All Player Data Store'!$Y$7:$Y$594=AC121,ROW('All Player Data Store'!$Y$7:$Y$594)-ROW('All Player Data Store'!$Y$7)+1),COUNTIF($AC$8:AC121,AC121))),"")</f>
        <v/>
      </c>
      <c r="AA121" s="112" t="str">
        <f t="array" ref="AA121">IF(ISNUMBER(AC121),INDEX('All Player Data Store'!$W$7:$W$594,SMALL(IF('All Player Data Store'!$Y$7:$Y$594=AC121,ROW('All Player Data Store'!$Y$7:$Y$594)-ROW('All Player Data Store'!$Y$7)+1),COUNTIF($AC$8:AC121,AC121))),"")</f>
        <v/>
      </c>
      <c r="AB121" s="108">
        <f t="array" ref="AB121">IF(ISNUMBER(AC121),INDEX('All Player Data Store'!$X$7:$X$594,SMALL(IF('All Player Data Store'!$Y$7:$Y$594=AC121,ROW('All Player Data Store'!$Y$7:$Y$594)-ROW('All Player Data Store'!$Y$7)+1),COUNTIF($AC$8:AC121,AC121))),"")</f>
        <v>22.46</v>
      </c>
      <c r="AC121" s="115">
        <f>IF(ISERROR(IF(ISERROR(LARGE('All Player Data Store'!$Y$7:$Y$594,114)),"",(LARGE('All Player Data Store'!$Y$7:$Y$594,114)))),"",(IF(ISERROR(LARGE('All Player Data Store'!$Y$7:$Y$594,114)),"",(LARGE('All Player Data Store'!$Y$7:$Y$594,114)))))</f>
        <v>22.46</v>
      </c>
      <c r="AD121" s="106">
        <f t="shared" si="16"/>
        <v>3</v>
      </c>
      <c r="AE121" s="107" t="str">
        <f t="array" ref="AE121">IF(ISNUMBER(AC121),INDEX('All Player Data Store'!$J$8:$J$594,SMALL(IF('All Player Data Store'!$Y$7:$Y$594=AC121,ROW('All Player Data Store'!$Y$7:$Y$594)-ROW('All Player Data Store'!$Y$7)+1),COUNTIF($AC$8:AC121,AC121))),"")</f>
        <v/>
      </c>
      <c r="AF121" s="108" t="str">
        <f t="shared" si="3"/>
        <v/>
      </c>
      <c r="AG121" s="108" t="str">
        <f t="array" ref="AG121">IF(ISNUMBER(AC121),INDEX('All Player Data Store'!$K$8:$K$594,SMALL(IF('All Player Data Store'!$Y$7:$Y$594=AC121,ROW('All Player Data Store'!$Y$7:$Y$594)-ROW('All Player Data Store'!$Y$7)+1),COUNTIF($AC$8:AC121,AC121))),"")</f>
        <v/>
      </c>
      <c r="AH121" s="108" t="str">
        <f t="shared" si="4"/>
        <v/>
      </c>
      <c r="AI121" s="108" t="str">
        <f t="array" ref="AI121">IF(ISNUMBER(AC121),INDEX('All Player Data Store'!$L$8:$L$594,SMALL(IF('All Player Data Store'!$Y$7:$Y$594=AC121,ROW('All Player Data Store'!$Y$7:$Y$594)-ROW('All Player Data Store'!$Y$7)+1),COUNTIF($AC$8:AC121,AC121))),"")</f>
        <v/>
      </c>
      <c r="AJ121" s="108" t="str">
        <f t="shared" si="5"/>
        <v/>
      </c>
      <c r="AK121" s="108" t="str">
        <f t="array" ref="AK121">IF(ISNUMBER(AC121),INDEX('All Player Data Store'!$M$8:$M$594,SMALL(IF('All Player Data Store'!$Y$7:$Y$594=AC121,ROW('All Player Data Store'!$Y$7:$Y$594)-ROW('All Player Data Store'!$Y$7)+1),COUNTIF($AC$8:AC121,AC121))),"")</f>
        <v/>
      </c>
      <c r="AL121" s="108" t="str">
        <f t="shared" si="6"/>
        <v/>
      </c>
      <c r="AM121" s="108" t="str">
        <f t="array" ref="AM121">IF(ISNUMBER(AC121),INDEX('All Player Data Store'!$N$8:$N$594,SMALL(IF('All Player Data Store'!$Y$7:$Y$594=AC121,ROW('All Player Data Store'!$Y$7:$Y$594)-ROW('All Player Data Store'!$Y$7)+1),COUNTIF($AC$8:AC121,AC121))),"")</f>
        <v/>
      </c>
      <c r="AN121" s="108" t="str">
        <f t="shared" si="7"/>
        <v/>
      </c>
      <c r="AO121" s="108" t="str">
        <f t="array" ref="AO121">IF(ISNUMBER(AC121),INDEX('All Player Data Store'!$O$8:$O$594,SMALL(IF('All Player Data Store'!$Y$7:$Y$594=AC121,ROW('All Player Data Store'!$Y$7:$Y$594)-ROW('All Player Data Store'!$Y$7)+1),COUNTIF($AC$8:AC121,AC121))),"")</f>
        <v/>
      </c>
      <c r="AP121" s="108" t="str">
        <f t="shared" si="8"/>
        <v/>
      </c>
      <c r="AQ121" s="108" t="str">
        <f t="array" ref="AQ121">IF(ISNUMBER(AC121),INDEX('All Player Data Store'!$P$8:$P$594,SMALL(IF('All Player Data Store'!$Y$7:$Y$594=AC121,ROW('All Player Data Store'!$Y$7:$Y$594)-ROW('All Player Data Store'!$Y$7)+1),COUNTIF($AC$8:AC121,AC121))),"")</f>
        <v/>
      </c>
      <c r="AR121" s="108" t="str">
        <f t="shared" si="9"/>
        <v/>
      </c>
      <c r="AS121" s="108" t="str">
        <f t="array" ref="AS121">IF(ISNUMBER(AC121),INDEX('All Player Data Store'!$Q$8:$Q$594,SMALL(IF('All Player Data Store'!$Y$7:$Y$594=AC121,ROW('All Player Data Store'!$Y$7:$Y$594)-ROW('All Player Data Store'!$Y$7)+1),COUNTIF($AC$8:AC121,AC121))),"")</f>
        <v/>
      </c>
      <c r="AT121" s="108" t="str">
        <f t="shared" si="10"/>
        <v/>
      </c>
      <c r="AU121" s="108" t="str">
        <f t="array" ref="AU121">IF(ISNUMBER(AC121),INDEX('All Player Data Store'!$R$8:$R$594,SMALL(IF('All Player Data Store'!$Y$7:$Y$594=AC121,ROW('All Player Data Store'!$Y$7:$Y$594)-ROW('All Player Data Store'!$Y$7)+1),COUNTIF($AC$8:AC121,AC121))),"")</f>
        <v>0*4</v>
      </c>
      <c r="AV121" s="108">
        <f t="shared" si="11"/>
        <v>22.46</v>
      </c>
      <c r="AW121" s="108" t="str">
        <f t="array" ref="AW121">IF(ISNUMBER(AC121),INDEX('All Player Data Store'!$S$8:$S$594,SMALL(IF('All Player Data Store'!$Y$7:$Y$594=AC121,ROW('All Player Data Store'!$Y$7:$Y$594)-ROW('All Player Data Store'!$Y$7)+1),COUNTIF($AC$8:AC121,AC121))),"")</f>
        <v/>
      </c>
      <c r="AX121" s="108" t="str">
        <f t="shared" si="12"/>
        <v/>
      </c>
      <c r="AY121" s="108" t="str">
        <f t="array" ref="AY121">IF(ISNUMBER(AC121),INDEX('All Player Data Store'!$T$8:$T$594,SMALL(IF('All Player Data Store'!$Y$7:$Y$594=AC121,ROW('All Player Data Store'!$Y$7:$Y$594)-ROW('All Player Data Store'!$Y$7)+1),COUNTIF($AC$8:AC121,AC121))),"")</f>
        <v/>
      </c>
      <c r="AZ121" s="108" t="str">
        <f t="shared" si="13"/>
        <v/>
      </c>
      <c r="BA121" s="108" t="str">
        <f t="array" ref="BA121">IF(ISNUMBER(AC121),INDEX('All Player Data Store'!$U$8:$U$594,SMALL(IF('All Player Data Store'!$Y$7:$Y$594=AC121,ROW('All Player Data Store'!$Y$7:$Y$594)-ROW('All Player Data Store'!$Y$7)+1),COUNTIF($AC$8:AC121,AC121))),"")</f>
        <v/>
      </c>
      <c r="BB121" s="108" t="str">
        <f t="shared" si="14"/>
        <v/>
      </c>
      <c r="BC121" s="108" t="str">
        <f t="array" ref="BC121">IF(ISNUMBER(AC121),INDEX('All Player Data Store'!$V$8:$V$594,SMALL(IF('All Player Data Store'!$Y$7:$Y$594=AC121,ROW('All Player Data Store'!$Y$7:$Y$594)-ROW('All Player Data Store'!$Y$7)+1),COUNTIF($AC$8:AC121,AC121))),"")</f>
        <v/>
      </c>
      <c r="BD121" s="108" t="str">
        <f t="shared" si="15"/>
        <v/>
      </c>
      <c r="BE121" s="1"/>
    </row>
    <row r="122" spans="2:57" ht="12" customHeight="1" x14ac:dyDescent="0.2">
      <c r="B122" s="98" t="str">
        <f t="shared" si="0"/>
        <v>N</v>
      </c>
      <c r="C122" s="1"/>
      <c r="D122" s="68">
        <f t="shared" si="1"/>
        <v>115</v>
      </c>
      <c r="E122" s="2"/>
      <c r="F122" s="78">
        <v>115</v>
      </c>
      <c r="G122" s="110" t="str">
        <f t="array" ref="G122">IF(ISNUMBER(AC122),INDEX('All Player Data Store'!$C$7:$C$594,SMALL(IF('All Player Data Store'!$Y$7:$Y$594=AC122,ROW('All Player Data Store'!$Y$7:$Y$594)-ROW('All Player Data Store'!$Y$7)+1),COUNTIF($AC$8:AC122,AC122))),"")</f>
        <v>Andy Crane</v>
      </c>
      <c r="H122" s="111" t="str">
        <f t="array" ref="H122">IF(ISNUMBER(AC122),INDEX('All Player Data Store'!$D$7:$D$594,SMALL(IF('All Player Data Store'!$Y$7:$Y$594=AC122,ROW('All Player Data Store'!$Y$7:$Y$594)-ROW('All Player Data Store'!$Y$7)+1),COUNTIF($AC$8:AC122,AC122))),"")</f>
        <v>Sha</v>
      </c>
      <c r="I122" s="69">
        <f t="array" ref="I122">IF(ISNUMBER(AC122),INDEX('All Player Data Store'!$E$7:$E$594,SMALL(IF('All Player Data Store'!$Y$7:$Y$594=AC122,ROW('All Player Data Store'!$Y$7:$Y$594)-ROW('All Player Data Store'!$Y$7)+1),COUNTIF($AC$8:AC122,AC122))),"")</f>
        <v>1</v>
      </c>
      <c r="J122" s="70" t="str">
        <f t="array" ref="J122">IF(ISNUMBER(AC122),INDEX('All Player Data Store'!$F$7:$F$594,SMALL(IF('All Player Data Store'!$Y$7:$Y$594=AC122,ROW('All Player Data Store'!$Y$7:$Y$594)-ROW('All Player Data Store'!$Y$7)+1),COUNTIF($AC$8:AC122,AC122))),"")</f>
        <v/>
      </c>
      <c r="K122" s="112">
        <f t="array" ref="K122">IF(ISNUMBER(AC122),INDEX('All Player Data Store'!$G$7:$G$594,SMALL(IF('All Player Data Store'!$Y$7:$Y$594=AC122,ROW('All Player Data Store'!$Y$7:$Y$594)-ROW('All Player Data Store'!$Y$7)+1),COUNTIF($AC$8:AC122,AC122))),"")</f>
        <v>1</v>
      </c>
      <c r="L122" s="112">
        <f t="array" ref="L122">IF(ISNUMBER(AC122),INDEX('All Player Data Store'!$H$7:$H$594,SMALL(IF('All Player Data Store'!$Y$7:$Y$594=AC122,ROW('All Player Data Store'!$Y$7:$Y$594)-ROW('All Player Data Store'!$Y$7)+1),COUNTIF($AC$8:AC122,AC122))),"")</f>
        <v>1</v>
      </c>
      <c r="M122" s="113">
        <f t="array" ref="M122">IF(ISNUMBER(AC122),INDEX('All Player Data Store'!$I$7:$I$594,SMALL(IF('All Player Data Store'!$Y$7:$Y$594=AC122,ROW('All Player Data Store'!$Y$7:$Y$594)-ROW('All Player Data Store'!$Y$7)+1),COUNTIF($AC$8:AC122,AC122))),"")</f>
        <v>4</v>
      </c>
      <c r="N122" s="114" t="str">
        <f t="array" ref="N122">IF(ISNUMBER(AC122),INDEX('All Player Data Store'!$J$7:$J$594,SMALL(IF('All Player Data Store'!$Y$7:$Y$594=AC122,ROW('All Player Data Store'!$Y$7:$Y$594)-ROW('All Player Data Store'!$Y$7)+1),COUNTIF($AC$8:AC122,AC122))),"")</f>
        <v/>
      </c>
      <c r="O122" s="108" t="str">
        <f t="array" ref="O122">IF(ISNUMBER(AC122),INDEX('All Player Data Store'!$K$7:$K$594,SMALL(IF('All Player Data Store'!$Y$7:$Y$594=AC122,ROW('All Player Data Store'!$Y$7:$Y$594)-ROW('All Player Data Store'!$Y$7)+1),COUNTIF($AC$8:AC122,AC122))),"")</f>
        <v/>
      </c>
      <c r="P122" s="108" t="str">
        <f t="array" ref="P122">IF(ISNUMBER(AC122),INDEX('All Player Data Store'!$L$7:$L$594,SMALL(IF('All Player Data Store'!$Y$7:$Y$594=AC122,ROW('All Player Data Store'!$Y$7:$Y$594)-ROW('All Player Data Store'!$Y$7)+1),COUNTIF($AC$8:AC122,AC122))),"")</f>
        <v/>
      </c>
      <c r="Q122" s="108" t="str">
        <f t="array" ref="Q122">IF(ISNUMBER(AC122),INDEX('All Player Data Store'!$M$7:$M$594,SMALL(IF('All Player Data Store'!$Y$7:$Y$594=AC122,ROW('All Player Data Store'!$Y$7:$Y$594)-ROW('All Player Data Store'!$Y$7)+1),COUNTIF($AC$8:AC122,AC122))),"")</f>
        <v/>
      </c>
      <c r="R122" s="108" t="str">
        <f t="array" ref="R122">IF(ISNUMBER(AC122),INDEX('All Player Data Store'!$N$7:$N$594,SMALL(IF('All Player Data Store'!$Y$7:$Y$594=AC122,ROW('All Player Data Store'!$Y$7:$Y$594)-ROW('All Player Data Store'!$Y$7)+1),COUNTIF($AC$8:AC122,AC122))),"")</f>
        <v/>
      </c>
      <c r="S122" s="108">
        <f t="array" ref="S122">IF(ISNUMBER(AC122),INDEX('All Player Data Store'!$O$7:$O$594,SMALL(IF('All Player Data Store'!$Y$7:$Y$594=AC122,ROW('All Player Data Store'!$Y$7:$Y$594)-ROW('All Player Data Store'!$Y$7)+1),COUNTIF($AC$8:AC122,AC122))),"")</f>
        <v>22.31</v>
      </c>
      <c r="T122" s="108" t="str">
        <f t="array" ref="T122">IF(ISNUMBER(AC122),INDEX('All Player Data Store'!$P$7:$P$594,SMALL(IF('All Player Data Store'!$Y$7:$Y$594=AC122,ROW('All Player Data Store'!$Y$7:$Y$594)-ROW('All Player Data Store'!$Y$7)+1),COUNTIF($AC$8:AC122,AC122))),"")</f>
        <v/>
      </c>
      <c r="U122" s="108" t="str">
        <f t="array" ref="U122">IF(ISNUMBER(AC122),INDEX('All Player Data Store'!$Q$7:$Q$594,SMALL(IF('All Player Data Store'!$Y$7:$Y$594=AC122,ROW('All Player Data Store'!$Y$7:$Y$594)-ROW('All Player Data Store'!$Y$7)+1),COUNTIF($AC$8:AC122,AC122))),"")</f>
        <v/>
      </c>
      <c r="V122" s="108" t="str">
        <f t="array" ref="V122">IF(ISNUMBER(AC122),INDEX('All Player Data Store'!$R$7:$R$594,SMALL(IF('All Player Data Store'!$Y$7:$Y$594=AC122,ROW('All Player Data Store'!$Y$7:$Y$594)-ROW('All Player Data Store'!$Y$7)+1),COUNTIF($AC$8:AC122,AC122))),"")</f>
        <v/>
      </c>
      <c r="W122" s="108" t="str">
        <f t="array" ref="W122">IF(ISNUMBER(AC122),INDEX('All Player Data Store'!$S$7:$S$594,SMALL(IF('All Player Data Store'!$Y$7:$Y$594=AC122,ROW('All Player Data Store'!$Y$7:$Y$594)-ROW('All Player Data Store'!$Y$7)+1),COUNTIF($AC$8:AC122,AC122))),"")</f>
        <v/>
      </c>
      <c r="X122" s="108" t="str">
        <f t="array" ref="X122">IF(ISNUMBER(AC122),INDEX('All Player Data Store'!$T$7:$T$594,SMALL(IF('All Player Data Store'!$Y$7:$Y$594=AC122,ROW('All Player Data Store'!$Y$7:$Y$594)-ROW('All Player Data Store'!$Y$7)+1),COUNTIF($AC$8:AC122,AC122))),"")</f>
        <v/>
      </c>
      <c r="Y122" s="108" t="str">
        <f t="array" ref="Y122">IF(ISNUMBER(AC122),INDEX('All Player Data Store'!$U$7:$U$594,SMALL(IF('All Player Data Store'!$Y$7:$Y$594=AC122,ROW('All Player Data Store'!$Y$7:$Y$594)-ROW('All Player Data Store'!$Y$7)+1),COUNTIF($AC$8:AC122,AC122))),"")</f>
        <v/>
      </c>
      <c r="Z122" s="108" t="str">
        <f t="array" ref="Z122">IF(ISNUMBER(AC122),INDEX('All Player Data Store'!$V$7:$V$594,SMALL(IF('All Player Data Store'!$Y$7:$Y$594=AC122,ROW('All Player Data Store'!$Y$7:$Y$594)-ROW('All Player Data Store'!$Y$7)+1),COUNTIF($AC$8:AC122,AC122))),"")</f>
        <v/>
      </c>
      <c r="AA122" s="112">
        <f t="array" ref="AA122">IF(ISNUMBER(AC122),INDEX('All Player Data Store'!$W$7:$W$594,SMALL(IF('All Player Data Store'!$Y$7:$Y$594=AC122,ROW('All Player Data Store'!$Y$7:$Y$594)-ROW('All Player Data Store'!$Y$7)+1),COUNTIF($AC$8:AC122,AC122))),"")</f>
        <v>1</v>
      </c>
      <c r="AB122" s="108">
        <f t="array" ref="AB122">IF(ISNUMBER(AC122),INDEX('All Player Data Store'!$X$7:$X$594,SMALL(IF('All Player Data Store'!$Y$7:$Y$594=AC122,ROW('All Player Data Store'!$Y$7:$Y$594)-ROW('All Player Data Store'!$Y$7)+1),COUNTIF($AC$8:AC122,AC122))),"")</f>
        <v>22.31</v>
      </c>
      <c r="AC122" s="115">
        <f>IF(ISERROR(IF(ISERROR(LARGE('All Player Data Store'!$Y$7:$Y$594,115)),"",(LARGE('All Player Data Store'!$Y$7:$Y$594,115)))),"",(IF(ISERROR(LARGE('All Player Data Store'!$Y$7:$Y$594,115)),"",(LARGE('All Player Data Store'!$Y$7:$Y$594,115)))))</f>
        <v>22.31</v>
      </c>
      <c r="AD122" s="106">
        <f t="shared" si="16"/>
        <v>3</v>
      </c>
      <c r="AE122" s="107" t="str">
        <f t="array" ref="AE122">IF(ISNUMBER(AC122),INDEX('All Player Data Store'!$J$8:$J$594,SMALL(IF('All Player Data Store'!$Y$7:$Y$594=AC122,ROW('All Player Data Store'!$Y$7:$Y$594)-ROW('All Player Data Store'!$Y$7)+1),COUNTIF($AC$8:AC122,AC122))),"")</f>
        <v/>
      </c>
      <c r="AF122" s="108" t="str">
        <f t="shared" si="3"/>
        <v/>
      </c>
      <c r="AG122" s="108" t="str">
        <f t="array" ref="AG122">IF(ISNUMBER(AC122),INDEX('All Player Data Store'!$K$8:$K$594,SMALL(IF('All Player Data Store'!$Y$7:$Y$594=AC122,ROW('All Player Data Store'!$Y$7:$Y$594)-ROW('All Player Data Store'!$Y$7)+1),COUNTIF($AC$8:AC122,AC122))),"")</f>
        <v/>
      </c>
      <c r="AH122" s="108" t="str">
        <f t="shared" si="4"/>
        <v/>
      </c>
      <c r="AI122" s="108" t="str">
        <f t="array" ref="AI122">IF(ISNUMBER(AC122),INDEX('All Player Data Store'!$L$8:$L$594,SMALL(IF('All Player Data Store'!$Y$7:$Y$594=AC122,ROW('All Player Data Store'!$Y$7:$Y$594)-ROW('All Player Data Store'!$Y$7)+1),COUNTIF($AC$8:AC122,AC122))),"")</f>
        <v/>
      </c>
      <c r="AJ122" s="108" t="str">
        <f t="shared" si="5"/>
        <v/>
      </c>
      <c r="AK122" s="108" t="str">
        <f t="array" ref="AK122">IF(ISNUMBER(AC122),INDEX('All Player Data Store'!$M$8:$M$594,SMALL(IF('All Player Data Store'!$Y$7:$Y$594=AC122,ROW('All Player Data Store'!$Y$7:$Y$594)-ROW('All Player Data Store'!$Y$7)+1),COUNTIF($AC$8:AC122,AC122))),"")</f>
        <v/>
      </c>
      <c r="AL122" s="108" t="str">
        <f t="shared" si="6"/>
        <v/>
      </c>
      <c r="AM122" s="108" t="str">
        <f t="array" ref="AM122">IF(ISNUMBER(AC122),INDEX('All Player Data Store'!$N$8:$N$594,SMALL(IF('All Player Data Store'!$Y$7:$Y$594=AC122,ROW('All Player Data Store'!$Y$7:$Y$594)-ROW('All Player Data Store'!$Y$7)+1),COUNTIF($AC$8:AC122,AC122))),"")</f>
        <v/>
      </c>
      <c r="AN122" s="108" t="str">
        <f t="shared" si="7"/>
        <v/>
      </c>
      <c r="AO122" s="108" t="str">
        <f t="array" ref="AO122">IF(ISNUMBER(AC122),INDEX('All Player Data Store'!$O$8:$O$594,SMALL(IF('All Player Data Store'!$Y$7:$Y$594=AC122,ROW('All Player Data Store'!$Y$7:$Y$594)-ROW('All Player Data Store'!$Y$7)+1),COUNTIF($AC$8:AC122,AC122))),"")</f>
        <v>1*4(1)</v>
      </c>
      <c r="AP122" s="108">
        <f t="shared" si="8"/>
        <v>22.31</v>
      </c>
      <c r="AQ122" s="108" t="str">
        <f t="array" ref="AQ122">IF(ISNUMBER(AC122),INDEX('All Player Data Store'!$P$8:$P$594,SMALL(IF('All Player Data Store'!$Y$7:$Y$594=AC122,ROW('All Player Data Store'!$Y$7:$Y$594)-ROW('All Player Data Store'!$Y$7)+1),COUNTIF($AC$8:AC122,AC122))),"")</f>
        <v/>
      </c>
      <c r="AR122" s="108" t="str">
        <f t="shared" si="9"/>
        <v/>
      </c>
      <c r="AS122" s="108" t="str">
        <f t="array" ref="AS122">IF(ISNUMBER(AC122),INDEX('All Player Data Store'!$Q$8:$Q$594,SMALL(IF('All Player Data Store'!$Y$7:$Y$594=AC122,ROW('All Player Data Store'!$Y$7:$Y$594)-ROW('All Player Data Store'!$Y$7)+1),COUNTIF($AC$8:AC122,AC122))),"")</f>
        <v/>
      </c>
      <c r="AT122" s="108" t="str">
        <f t="shared" si="10"/>
        <v/>
      </c>
      <c r="AU122" s="108" t="str">
        <f t="array" ref="AU122">IF(ISNUMBER(AC122),INDEX('All Player Data Store'!$R$8:$R$594,SMALL(IF('All Player Data Store'!$Y$7:$Y$594=AC122,ROW('All Player Data Store'!$Y$7:$Y$594)-ROW('All Player Data Store'!$Y$7)+1),COUNTIF($AC$8:AC122,AC122))),"")</f>
        <v/>
      </c>
      <c r="AV122" s="108" t="str">
        <f t="shared" si="11"/>
        <v/>
      </c>
      <c r="AW122" s="108" t="str">
        <f t="array" ref="AW122">IF(ISNUMBER(AC122),INDEX('All Player Data Store'!$S$8:$S$594,SMALL(IF('All Player Data Store'!$Y$7:$Y$594=AC122,ROW('All Player Data Store'!$Y$7:$Y$594)-ROW('All Player Data Store'!$Y$7)+1),COUNTIF($AC$8:AC122,AC122))),"")</f>
        <v/>
      </c>
      <c r="AX122" s="108" t="str">
        <f t="shared" si="12"/>
        <v/>
      </c>
      <c r="AY122" s="108" t="str">
        <f t="array" ref="AY122">IF(ISNUMBER(AC122),INDEX('All Player Data Store'!$T$8:$T$594,SMALL(IF('All Player Data Store'!$Y$7:$Y$594=AC122,ROW('All Player Data Store'!$Y$7:$Y$594)-ROW('All Player Data Store'!$Y$7)+1),COUNTIF($AC$8:AC122,AC122))),"")</f>
        <v/>
      </c>
      <c r="AZ122" s="108" t="str">
        <f t="shared" si="13"/>
        <v/>
      </c>
      <c r="BA122" s="108" t="str">
        <f t="array" ref="BA122">IF(ISNUMBER(AC122),INDEX('All Player Data Store'!$U$8:$U$594,SMALL(IF('All Player Data Store'!$Y$7:$Y$594=AC122,ROW('All Player Data Store'!$Y$7:$Y$594)-ROW('All Player Data Store'!$Y$7)+1),COUNTIF($AC$8:AC122,AC122))),"")</f>
        <v/>
      </c>
      <c r="BB122" s="108" t="str">
        <f t="shared" si="14"/>
        <v/>
      </c>
      <c r="BC122" s="108" t="str">
        <f t="array" ref="BC122">IF(ISNUMBER(AC122),INDEX('All Player Data Store'!$V$8:$V$594,SMALL(IF('All Player Data Store'!$Y$7:$Y$594=AC122,ROW('All Player Data Store'!$Y$7:$Y$594)-ROW('All Player Data Store'!$Y$7)+1),COUNTIF($AC$8:AC122,AC122))),"")</f>
        <v/>
      </c>
      <c r="BD122" s="108" t="str">
        <f t="shared" si="15"/>
        <v/>
      </c>
      <c r="BE122" s="1"/>
    </row>
    <row r="123" spans="2:57" ht="12" customHeight="1" x14ac:dyDescent="0.2">
      <c r="B123" s="98" t="str">
        <f t="shared" si="0"/>
        <v>Y</v>
      </c>
      <c r="C123" s="1"/>
      <c r="D123" s="68">
        <f t="shared" si="1"/>
        <v>116</v>
      </c>
      <c r="E123" s="2"/>
      <c r="F123" s="78">
        <v>116</v>
      </c>
      <c r="G123" s="110" t="str">
        <f t="array" ref="G123">IF(ISNUMBER(AC123),INDEX('All Player Data Store'!$C$7:$C$594,SMALL(IF('All Player Data Store'!$Y$7:$Y$594=AC123,ROW('All Player Data Store'!$Y$7:$Y$594)-ROW('All Player Data Store'!$Y$7)+1),COUNTIF($AC$8:AC123,AC123))),"")</f>
        <v>Marc Bayliss</v>
      </c>
      <c r="H123" s="111" t="str">
        <f t="array" ref="H123">IF(ISNUMBER(AC123),INDEX('All Player Data Store'!$D$7:$D$594,SMALL(IF('All Player Data Store'!$Y$7:$Y$594=AC123,ROW('All Player Data Store'!$Y$7:$Y$594)-ROW('All Player Data Store'!$Y$7)+1),COUNTIF($AC$8:AC123,AC123))),"")</f>
        <v>Par</v>
      </c>
      <c r="I123" s="69">
        <f t="array" ref="I123">IF(ISNUMBER(AC123),INDEX('All Player Data Store'!$E$7:$E$594,SMALL(IF('All Player Data Store'!$Y$7:$Y$594=AC123,ROW('All Player Data Store'!$Y$7:$Y$594)-ROW('All Player Data Store'!$Y$7)+1),COUNTIF($AC$8:AC123,AC123))),"")</f>
        <v>13</v>
      </c>
      <c r="J123" s="70">
        <f t="array" ref="J123">IF(ISNUMBER(AC123),INDEX('All Player Data Store'!$F$7:$F$594,SMALL(IF('All Player Data Store'!$Y$7:$Y$594=AC123,ROW('All Player Data Store'!$Y$7:$Y$594)-ROW('All Player Data Store'!$Y$7)+1),COUNTIF($AC$8:AC123,AC123))),"")</f>
        <v>2</v>
      </c>
      <c r="K123" s="112">
        <f t="array" ref="K123">IF(ISNUMBER(AC123),INDEX('All Player Data Store'!$G$7:$G$594,SMALL(IF('All Player Data Store'!$Y$7:$Y$594=AC123,ROW('All Player Data Store'!$Y$7:$Y$594)-ROW('All Player Data Store'!$Y$7)+1),COUNTIF($AC$8:AC123,AC123))),"")</f>
        <v>11</v>
      </c>
      <c r="L123" s="112">
        <f t="array" ref="L123">IF(ISNUMBER(AC123),INDEX('All Player Data Store'!$H$7:$H$594,SMALL(IF('All Player Data Store'!$Y$7:$Y$594=AC123,ROW('All Player Data Store'!$Y$7:$Y$594)-ROW('All Player Data Store'!$Y$7)+1),COUNTIF($AC$8:AC123,AC123))),"")</f>
        <v>29</v>
      </c>
      <c r="M123" s="113">
        <f t="array" ref="M123">IF(ISNUMBER(AC123),INDEX('All Player Data Store'!$I$7:$I$594,SMALL(IF('All Player Data Store'!$Y$7:$Y$594=AC123,ROW('All Player Data Store'!$Y$7:$Y$594)-ROW('All Player Data Store'!$Y$7)+1),COUNTIF($AC$8:AC123,AC123))),"")</f>
        <v>48</v>
      </c>
      <c r="N123" s="114">
        <f t="array" ref="N123">IF(ISNUMBER(AC123),INDEX('All Player Data Store'!$J$7:$J$594,SMALL(IF('All Player Data Store'!$Y$7:$Y$594=AC123,ROW('All Player Data Store'!$Y$7:$Y$594)-ROW('All Player Data Store'!$Y$7)+1),COUNTIF($AC$8:AC123,AC123))),"")</f>
        <v>18.72</v>
      </c>
      <c r="O123" s="108">
        <f t="array" ref="O123">IF(ISNUMBER(AC123),INDEX('All Player Data Store'!$K$7:$K$594,SMALL(IF('All Player Data Store'!$Y$7:$Y$594=AC123,ROW('All Player Data Store'!$Y$7:$Y$594)-ROW('All Player Data Store'!$Y$7)+1),COUNTIF($AC$8:AC123,AC123))),"")</f>
        <v>18.510000000000002</v>
      </c>
      <c r="P123" s="108">
        <f t="array" ref="P123">IF(ISNUMBER(AC123),INDEX('All Player Data Store'!$L$7:$L$594,SMALL(IF('All Player Data Store'!$Y$7:$Y$594=AC123,ROW('All Player Data Store'!$Y$7:$Y$594)-ROW('All Player Data Store'!$Y$7)+1),COUNTIF($AC$8:AC123,AC123))),"")</f>
        <v>20.99</v>
      </c>
      <c r="Q123" s="108">
        <f t="array" ref="Q123">IF(ISNUMBER(AC123),INDEX('All Player Data Store'!$M$7:$M$594,SMALL(IF('All Player Data Store'!$Y$7:$Y$594=AC123,ROW('All Player Data Store'!$Y$7:$Y$594)-ROW('All Player Data Store'!$Y$7)+1),COUNTIF($AC$8:AC123,AC123))),"")</f>
        <v>20.79</v>
      </c>
      <c r="R123" s="108">
        <f t="array" ref="R123">IF(ISNUMBER(AC123),INDEX('All Player Data Store'!$N$7:$N$594,SMALL(IF('All Player Data Store'!$Y$7:$Y$594=AC123,ROW('All Player Data Store'!$Y$7:$Y$594)-ROW('All Player Data Store'!$Y$7)+1),COUNTIF($AC$8:AC123,AC123))),"")</f>
        <v>19.34</v>
      </c>
      <c r="S123" s="108">
        <f t="array" ref="S123">IF(ISNUMBER(AC123),INDEX('All Player Data Store'!$O$7:$O$594,SMALL(IF('All Player Data Store'!$Y$7:$Y$594=AC123,ROW('All Player Data Store'!$Y$7:$Y$594)-ROW('All Player Data Store'!$Y$7)+1),COUNTIF($AC$8:AC123,AC123))),"")</f>
        <v>22.43</v>
      </c>
      <c r="T123" s="108">
        <f t="array" ref="T123">IF(ISNUMBER(AC123),INDEX('All Player Data Store'!$P$7:$P$594,SMALL(IF('All Player Data Store'!$Y$7:$Y$594=AC123,ROW('All Player Data Store'!$Y$7:$Y$594)-ROW('All Player Data Store'!$Y$7)+1),COUNTIF($AC$8:AC123,AC123))),"")</f>
        <v>22.3</v>
      </c>
      <c r="U123" s="108">
        <f t="array" ref="U123">IF(ISNUMBER(AC123),INDEX('All Player Data Store'!$Q$7:$Q$594,SMALL(IF('All Player Data Store'!$Y$7:$Y$594=AC123,ROW('All Player Data Store'!$Y$7:$Y$594)-ROW('All Player Data Store'!$Y$7)+1),COUNTIF($AC$8:AC123,AC123))),"")</f>
        <v>19.989999999999998</v>
      </c>
      <c r="V123" s="108">
        <f t="array" ref="V123">IF(ISNUMBER(AC123),INDEX('All Player Data Store'!$R$7:$R$594,SMALL(IF('All Player Data Store'!$Y$7:$Y$594=AC123,ROW('All Player Data Store'!$Y$7:$Y$594)-ROW('All Player Data Store'!$Y$7)+1),COUNTIF($AC$8:AC123,AC123))),"")</f>
        <v>19.47</v>
      </c>
      <c r="W123" s="108">
        <f t="array" ref="W123">IF(ISNUMBER(AC123),INDEX('All Player Data Store'!$S$7:$S$594,SMALL(IF('All Player Data Store'!$Y$7:$Y$594=AC123,ROW('All Player Data Store'!$Y$7:$Y$594)-ROW('All Player Data Store'!$Y$7)+1),COUNTIF($AC$8:AC123,AC123))),"")</f>
        <v>21.08</v>
      </c>
      <c r="X123" s="108">
        <f t="array" ref="X123">IF(ISNUMBER(AC123),INDEX('All Player Data Store'!$T$7:$T$594,SMALL(IF('All Player Data Store'!$Y$7:$Y$594=AC123,ROW('All Player Data Store'!$Y$7:$Y$594)-ROW('All Player Data Store'!$Y$7)+1),COUNTIF($AC$8:AC123,AC123))),"")</f>
        <v>17.45</v>
      </c>
      <c r="Y123" s="108">
        <f t="array" ref="Y123">IF(ISNUMBER(AC123),INDEX('All Player Data Store'!$U$7:$U$594,SMALL(IF('All Player Data Store'!$Y$7:$Y$594=AC123,ROW('All Player Data Store'!$Y$7:$Y$594)-ROW('All Player Data Store'!$Y$7)+1),COUNTIF($AC$8:AC123,AC123))),"")</f>
        <v>23.7</v>
      </c>
      <c r="Z123" s="108">
        <f t="array" ref="Z123">IF(ISNUMBER(AC123),INDEX('All Player Data Store'!$V$7:$V$594,SMALL(IF('All Player Data Store'!$Y$7:$Y$594=AC123,ROW('All Player Data Store'!$Y$7:$Y$594)-ROW('All Player Data Store'!$Y$7)+1),COUNTIF($AC$8:AC123,AC123))),"")</f>
        <v>19.18</v>
      </c>
      <c r="AA123" s="112" t="str">
        <f t="array" ref="AA123">IF(ISNUMBER(AC123),INDEX('All Player Data Store'!$W$7:$W$594,SMALL(IF('All Player Data Store'!$Y$7:$Y$594=AC123,ROW('All Player Data Store'!$Y$7:$Y$594)-ROW('All Player Data Store'!$Y$7)+1),COUNTIF($AC$8:AC123,AC123))),"")</f>
        <v/>
      </c>
      <c r="AB123" s="108">
        <f t="array" ref="AB123">IF(ISNUMBER(AC123),INDEX('All Player Data Store'!$X$7:$X$594,SMALL(IF('All Player Data Store'!$Y$7:$Y$594=AC123,ROW('All Player Data Store'!$Y$7:$Y$594)-ROW('All Player Data Store'!$Y$7)+1),COUNTIF($AC$8:AC123,AC123))),"")</f>
        <v>20.303846153846152</v>
      </c>
      <c r="AC123" s="115">
        <f>IF(ISERROR(IF(ISERROR(LARGE('All Player Data Store'!$Y$7:$Y$594,116)),"",(LARGE('All Player Data Store'!$Y$7:$Y$594,116)))),"",(IF(ISERROR(LARGE('All Player Data Store'!$Y$7:$Y$594,116)),"",(LARGE('All Player Data Store'!$Y$7:$Y$594,116)))))</f>
        <v>22.303846153846152</v>
      </c>
      <c r="AD123" s="106">
        <f t="shared" si="16"/>
        <v>3</v>
      </c>
      <c r="AE123" s="107" t="str">
        <f t="array" ref="AE123">IF(ISNUMBER(AC123),INDEX('All Player Data Store'!$J$8:$J$594,SMALL(IF('All Player Data Store'!$Y$7:$Y$594=AC123,ROW('All Player Data Store'!$Y$7:$Y$594)-ROW('All Player Data Store'!$Y$7)+1),COUNTIF($AC$8:AC123,AC123))),"")</f>
        <v>3*4</v>
      </c>
      <c r="AF123" s="108">
        <f t="shared" si="3"/>
        <v>18.72</v>
      </c>
      <c r="AG123" s="108" t="str">
        <f t="array" ref="AG123">IF(ISNUMBER(AC123),INDEX('All Player Data Store'!$K$8:$K$594,SMALL(IF('All Player Data Store'!$Y$7:$Y$594=AC123,ROW('All Player Data Store'!$Y$7:$Y$594)-ROW('All Player Data Store'!$Y$7)+1),COUNTIF($AC$8:AC123,AC123))),"")</f>
        <v>3*4</v>
      </c>
      <c r="AH123" s="108">
        <f t="shared" si="4"/>
        <v>18.510000000000002</v>
      </c>
      <c r="AI123" s="108" t="str">
        <f t="array" ref="AI123">IF(ISNUMBER(AC123),INDEX('All Player Data Store'!$L$8:$L$594,SMALL(IF('All Player Data Store'!$Y$7:$Y$594=AC123,ROW('All Player Data Store'!$Y$7:$Y$594)-ROW('All Player Data Store'!$Y$7)+1),COUNTIF($AC$8:AC123,AC123))),"")</f>
        <v>3*4</v>
      </c>
      <c r="AJ123" s="108">
        <f t="shared" si="5"/>
        <v>20.99</v>
      </c>
      <c r="AK123" s="108" t="str">
        <f t="array" ref="AK123">IF(ISNUMBER(AC123),INDEX('All Player Data Store'!$M$8:$M$594,SMALL(IF('All Player Data Store'!$Y$7:$Y$594=AC123,ROW('All Player Data Store'!$Y$7:$Y$594)-ROW('All Player Data Store'!$Y$7)+1),COUNTIF($AC$8:AC123,AC123))),"")</f>
        <v>4*1</v>
      </c>
      <c r="AL123" s="108">
        <f t="shared" si="6"/>
        <v>21.79</v>
      </c>
      <c r="AM123" s="108" t="str">
        <f t="array" ref="AM123">IF(ISNUMBER(AC123),INDEX('All Player Data Store'!$N$8:$N$594,SMALL(IF('All Player Data Store'!$Y$7:$Y$594=AC123,ROW('All Player Data Store'!$Y$7:$Y$594)-ROW('All Player Data Store'!$Y$7)+1),COUNTIF($AC$8:AC123,AC123))),"")</f>
        <v>1*4</v>
      </c>
      <c r="AN123" s="108">
        <f t="shared" si="7"/>
        <v>19.34</v>
      </c>
      <c r="AO123" s="108" t="str">
        <f t="array" ref="AO123">IF(ISNUMBER(AC123),INDEX('All Player Data Store'!$O$8:$O$594,SMALL(IF('All Player Data Store'!$Y$7:$Y$594=AC123,ROW('All Player Data Store'!$Y$7:$Y$594)-ROW('All Player Data Store'!$Y$7)+1),COUNTIF($AC$8:AC123,AC123))),"")</f>
        <v>1*4</v>
      </c>
      <c r="AP123" s="108">
        <f t="shared" si="8"/>
        <v>22.43</v>
      </c>
      <c r="AQ123" s="108" t="str">
        <f t="array" ref="AQ123">IF(ISNUMBER(AC123),INDEX('All Player Data Store'!$P$8:$P$594,SMALL(IF('All Player Data Store'!$Y$7:$Y$594=AC123,ROW('All Player Data Store'!$Y$7:$Y$594)-ROW('All Player Data Store'!$Y$7)+1),COUNTIF($AC$8:AC123,AC123))),"")</f>
        <v>2*4</v>
      </c>
      <c r="AR123" s="108">
        <f t="shared" si="9"/>
        <v>22.3</v>
      </c>
      <c r="AS123" s="108" t="str">
        <f t="array" ref="AS123">IF(ISNUMBER(AC123),INDEX('All Player Data Store'!$Q$8:$Q$594,SMALL(IF('All Player Data Store'!$Y$7:$Y$594=AC123,ROW('All Player Data Store'!$Y$7:$Y$594)-ROW('All Player Data Store'!$Y$7)+1),COUNTIF($AC$8:AC123,AC123))),"")</f>
        <v>2*4</v>
      </c>
      <c r="AT123" s="108">
        <f t="shared" si="10"/>
        <v>19.989999999999998</v>
      </c>
      <c r="AU123" s="108" t="str">
        <f t="array" ref="AU123">IF(ISNUMBER(AC123),INDEX('All Player Data Store'!$R$8:$R$594,SMALL(IF('All Player Data Store'!$Y$7:$Y$594=AC123,ROW('All Player Data Store'!$Y$7:$Y$594)-ROW('All Player Data Store'!$Y$7)+1),COUNTIF($AC$8:AC123,AC123))),"")</f>
        <v>0*4</v>
      </c>
      <c r="AV123" s="108">
        <f t="shared" si="11"/>
        <v>19.47</v>
      </c>
      <c r="AW123" s="108" t="str">
        <f t="array" ref="AW123">IF(ISNUMBER(AC123),INDEX('All Player Data Store'!$S$8:$S$594,SMALL(IF('All Player Data Store'!$Y$7:$Y$594=AC123,ROW('All Player Data Store'!$Y$7:$Y$594)-ROW('All Player Data Store'!$Y$7)+1),COUNTIF($AC$8:AC123,AC123))),"")</f>
        <v>2*4</v>
      </c>
      <c r="AX123" s="108">
        <f t="shared" si="12"/>
        <v>21.08</v>
      </c>
      <c r="AY123" s="108" t="str">
        <f t="array" ref="AY123">IF(ISNUMBER(AC123),INDEX('All Player Data Store'!$T$8:$T$594,SMALL(IF('All Player Data Store'!$Y$7:$Y$594=AC123,ROW('All Player Data Store'!$Y$7:$Y$594)-ROW('All Player Data Store'!$Y$7)+1),COUNTIF($AC$8:AC123,AC123))),"")</f>
        <v>2*4</v>
      </c>
      <c r="AZ123" s="108">
        <f t="shared" si="13"/>
        <v>17.45</v>
      </c>
      <c r="BA123" s="108" t="str">
        <f t="array" ref="BA123">IF(ISNUMBER(AC123),INDEX('All Player Data Store'!$U$8:$U$594,SMALL(IF('All Player Data Store'!$Y$7:$Y$594=AC123,ROW('All Player Data Store'!$Y$7:$Y$594)-ROW('All Player Data Store'!$Y$7)+1),COUNTIF($AC$8:AC123,AC123))),"")</f>
        <v>4*3</v>
      </c>
      <c r="BB123" s="108">
        <f t="shared" si="14"/>
        <v>24.7</v>
      </c>
      <c r="BC123" s="108" t="str">
        <f t="array" ref="BC123">IF(ISNUMBER(AC123),INDEX('All Player Data Store'!$V$8:$V$594,SMALL(IF('All Player Data Store'!$Y$7:$Y$594=AC123,ROW('All Player Data Store'!$Y$7:$Y$594)-ROW('All Player Data Store'!$Y$7)+1),COUNTIF($AC$8:AC123,AC123))),"")</f>
        <v>2*4</v>
      </c>
      <c r="BD123" s="108">
        <f t="shared" si="15"/>
        <v>19.18</v>
      </c>
      <c r="BE123" s="1"/>
    </row>
    <row r="124" spans="2:57" ht="12" customHeight="1" x14ac:dyDescent="0.2">
      <c r="B124" s="98" t="str">
        <f t="shared" si="0"/>
        <v>N</v>
      </c>
      <c r="C124" s="1"/>
      <c r="D124" s="68">
        <f t="shared" si="1"/>
        <v>117</v>
      </c>
      <c r="E124" s="2"/>
      <c r="F124" s="78">
        <v>117</v>
      </c>
      <c r="G124" s="110" t="str">
        <f t="array" ref="G124">IF(ISNUMBER(AC124),INDEX('All Player Data Store'!$C$7:$C$594,SMALL(IF('All Player Data Store'!$Y$7:$Y$594=AC124,ROW('All Player Data Store'!$Y$7:$Y$594)-ROW('All Player Data Store'!$Y$7)+1),COUNTIF($AC$8:AC124,AC124))),"")</f>
        <v>Rhys Smith</v>
      </c>
      <c r="H124" s="111" t="str">
        <f t="array" ref="H124">IF(ISNUMBER(AC124),INDEX('All Player Data Store'!$D$7:$D$594,SMALL(IF('All Player Data Store'!$Y$7:$Y$594=AC124,ROW('All Player Data Store'!$Y$7:$Y$594)-ROW('All Player Data Store'!$Y$7)+1),COUNTIF($AC$8:AC124,AC124))),"")</f>
        <v>Aly</v>
      </c>
      <c r="I124" s="69">
        <f t="array" ref="I124">IF(ISNUMBER(AC124),INDEX('All Player Data Store'!$E$7:$E$594,SMALL(IF('All Player Data Store'!$Y$7:$Y$594=AC124,ROW('All Player Data Store'!$Y$7:$Y$594)-ROW('All Player Data Store'!$Y$7)+1),COUNTIF($AC$8:AC124,AC124))),"")</f>
        <v>1</v>
      </c>
      <c r="J124" s="70">
        <f t="array" ref="J124">IF(ISNUMBER(AC124),INDEX('All Player Data Store'!$F$7:$F$594,SMALL(IF('All Player Data Store'!$Y$7:$Y$594=AC124,ROW('All Player Data Store'!$Y$7:$Y$594)-ROW('All Player Data Store'!$Y$7)+1),COUNTIF($AC$8:AC124,AC124))),"")</f>
        <v>1</v>
      </c>
      <c r="K124" s="112" t="str">
        <f t="array" ref="K124">IF(ISNUMBER(AC124),INDEX('All Player Data Store'!$G$7:$G$594,SMALL(IF('All Player Data Store'!$Y$7:$Y$594=AC124,ROW('All Player Data Store'!$Y$7:$Y$594)-ROW('All Player Data Store'!$Y$7)+1),COUNTIF($AC$8:AC124,AC124))),"")</f>
        <v/>
      </c>
      <c r="L124" s="112">
        <f t="array" ref="L124">IF(ISNUMBER(AC124),INDEX('All Player Data Store'!$H$7:$H$594,SMALL(IF('All Player Data Store'!$Y$7:$Y$594=AC124,ROW('All Player Data Store'!$Y$7:$Y$594)-ROW('All Player Data Store'!$Y$7)+1),COUNTIF($AC$8:AC124,AC124))),"")</f>
        <v>4</v>
      </c>
      <c r="M124" s="113">
        <f t="array" ref="M124">IF(ISNUMBER(AC124),INDEX('All Player Data Store'!$I$7:$I$594,SMALL(IF('All Player Data Store'!$Y$7:$Y$594=AC124,ROW('All Player Data Store'!$Y$7:$Y$594)-ROW('All Player Data Store'!$Y$7)+1),COUNTIF($AC$8:AC124,AC124))),"")</f>
        <v>2</v>
      </c>
      <c r="N124" s="114" t="str">
        <f t="array" ref="N124">IF(ISNUMBER(AC124),INDEX('All Player Data Store'!$J$7:$J$594,SMALL(IF('All Player Data Store'!$Y$7:$Y$594=AC124,ROW('All Player Data Store'!$Y$7:$Y$594)-ROW('All Player Data Store'!$Y$7)+1),COUNTIF($AC$8:AC124,AC124))),"")</f>
        <v/>
      </c>
      <c r="O124" s="108" t="str">
        <f t="array" ref="O124">IF(ISNUMBER(AC124),INDEX('All Player Data Store'!$K$7:$K$594,SMALL(IF('All Player Data Store'!$Y$7:$Y$594=AC124,ROW('All Player Data Store'!$Y$7:$Y$594)-ROW('All Player Data Store'!$Y$7)+1),COUNTIF($AC$8:AC124,AC124))),"")</f>
        <v/>
      </c>
      <c r="P124" s="108" t="str">
        <f t="array" ref="P124">IF(ISNUMBER(AC124),INDEX('All Player Data Store'!$L$7:$L$594,SMALL(IF('All Player Data Store'!$Y$7:$Y$594=AC124,ROW('All Player Data Store'!$Y$7:$Y$594)-ROW('All Player Data Store'!$Y$7)+1),COUNTIF($AC$8:AC124,AC124))),"")</f>
        <v/>
      </c>
      <c r="Q124" s="108" t="str">
        <f t="array" ref="Q124">IF(ISNUMBER(AC124),INDEX('All Player Data Store'!$M$7:$M$594,SMALL(IF('All Player Data Store'!$Y$7:$Y$594=AC124,ROW('All Player Data Store'!$Y$7:$Y$594)-ROW('All Player Data Store'!$Y$7)+1),COUNTIF($AC$8:AC124,AC124))),"")</f>
        <v/>
      </c>
      <c r="R124" s="108" t="str">
        <f t="array" ref="R124">IF(ISNUMBER(AC124),INDEX('All Player Data Store'!$N$7:$N$594,SMALL(IF('All Player Data Store'!$Y$7:$Y$594=AC124,ROW('All Player Data Store'!$Y$7:$Y$594)-ROW('All Player Data Store'!$Y$7)+1),COUNTIF($AC$8:AC124,AC124))),"")</f>
        <v/>
      </c>
      <c r="S124" s="108" t="str">
        <f t="array" ref="S124">IF(ISNUMBER(AC124),INDEX('All Player Data Store'!$O$7:$O$594,SMALL(IF('All Player Data Store'!$Y$7:$Y$594=AC124,ROW('All Player Data Store'!$Y$7:$Y$594)-ROW('All Player Data Store'!$Y$7)+1),COUNTIF($AC$8:AC124,AC124))),"")</f>
        <v/>
      </c>
      <c r="T124" s="108" t="str">
        <f t="array" ref="T124">IF(ISNUMBER(AC124),INDEX('All Player Data Store'!$P$7:$P$594,SMALL(IF('All Player Data Store'!$Y$7:$Y$594=AC124,ROW('All Player Data Store'!$Y$7:$Y$594)-ROW('All Player Data Store'!$Y$7)+1),COUNTIF($AC$8:AC124,AC124))),"")</f>
        <v/>
      </c>
      <c r="U124" s="108">
        <f t="array" ref="U124">IF(ISNUMBER(AC124),INDEX('All Player Data Store'!$Q$7:$Q$594,SMALL(IF('All Player Data Store'!$Y$7:$Y$594=AC124,ROW('All Player Data Store'!$Y$7:$Y$594)-ROW('All Player Data Store'!$Y$7)+1),COUNTIF($AC$8:AC124,AC124))),"")</f>
        <v>21.29</v>
      </c>
      <c r="V124" s="108" t="str">
        <f t="array" ref="V124">IF(ISNUMBER(AC124),INDEX('All Player Data Store'!$R$7:$R$594,SMALL(IF('All Player Data Store'!$Y$7:$Y$594=AC124,ROW('All Player Data Store'!$Y$7:$Y$594)-ROW('All Player Data Store'!$Y$7)+1),COUNTIF($AC$8:AC124,AC124))),"")</f>
        <v/>
      </c>
      <c r="W124" s="108" t="str">
        <f t="array" ref="W124">IF(ISNUMBER(AC124),INDEX('All Player Data Store'!$S$7:$S$594,SMALL(IF('All Player Data Store'!$Y$7:$Y$594=AC124,ROW('All Player Data Store'!$Y$7:$Y$594)-ROW('All Player Data Store'!$Y$7)+1),COUNTIF($AC$8:AC124,AC124))),"")</f>
        <v/>
      </c>
      <c r="X124" s="108" t="str">
        <f t="array" ref="X124">IF(ISNUMBER(AC124),INDEX('All Player Data Store'!$T$7:$T$594,SMALL(IF('All Player Data Store'!$Y$7:$Y$594=AC124,ROW('All Player Data Store'!$Y$7:$Y$594)-ROW('All Player Data Store'!$Y$7)+1),COUNTIF($AC$8:AC124,AC124))),"")</f>
        <v/>
      </c>
      <c r="Y124" s="108" t="str">
        <f t="array" ref="Y124">IF(ISNUMBER(AC124),INDEX('All Player Data Store'!$U$7:$U$594,SMALL(IF('All Player Data Store'!$Y$7:$Y$594=AC124,ROW('All Player Data Store'!$Y$7:$Y$594)-ROW('All Player Data Store'!$Y$7)+1),COUNTIF($AC$8:AC124,AC124))),"")</f>
        <v/>
      </c>
      <c r="Z124" s="108" t="str">
        <f t="array" ref="Z124">IF(ISNUMBER(AC124),INDEX('All Player Data Store'!$V$7:$V$594,SMALL(IF('All Player Data Store'!$Y$7:$Y$594=AC124,ROW('All Player Data Store'!$Y$7:$Y$594)-ROW('All Player Data Store'!$Y$7)+1),COUNTIF($AC$8:AC124,AC124))),"")</f>
        <v/>
      </c>
      <c r="AA124" s="112" t="str">
        <f t="array" ref="AA124">IF(ISNUMBER(AC124),INDEX('All Player Data Store'!$W$7:$W$594,SMALL(IF('All Player Data Store'!$Y$7:$Y$594=AC124,ROW('All Player Data Store'!$Y$7:$Y$594)-ROW('All Player Data Store'!$Y$7)+1),COUNTIF($AC$8:AC124,AC124))),"")</f>
        <v/>
      </c>
      <c r="AB124" s="108">
        <f t="array" ref="AB124">IF(ISNUMBER(AC124),INDEX('All Player Data Store'!$X$7:$X$594,SMALL(IF('All Player Data Store'!$Y$7:$Y$594=AC124,ROW('All Player Data Store'!$Y$7:$Y$594)-ROW('All Player Data Store'!$Y$7)+1),COUNTIF($AC$8:AC124,AC124))),"")</f>
        <v>21.29</v>
      </c>
      <c r="AC124" s="115">
        <f>IF(ISERROR(IF(ISERROR(LARGE('All Player Data Store'!$Y$7:$Y$594,117)),"",(LARGE('All Player Data Store'!$Y$7:$Y$594,117)))),"",(IF(ISERROR(LARGE('All Player Data Store'!$Y$7:$Y$594,117)),"",(LARGE('All Player Data Store'!$Y$7:$Y$594,117)))))</f>
        <v>22.29</v>
      </c>
      <c r="AD124" s="106">
        <f t="shared" si="16"/>
        <v>3</v>
      </c>
      <c r="AE124" s="107" t="str">
        <f t="array" ref="AE124">IF(ISNUMBER(AC124),INDEX('All Player Data Store'!$J$8:$J$594,SMALL(IF('All Player Data Store'!$Y$7:$Y$594=AC124,ROW('All Player Data Store'!$Y$7:$Y$594)-ROW('All Player Data Store'!$Y$7)+1),COUNTIF($AC$8:AC124,AC124))),"")</f>
        <v/>
      </c>
      <c r="AF124" s="108" t="str">
        <f t="shared" si="3"/>
        <v/>
      </c>
      <c r="AG124" s="108" t="str">
        <f t="array" ref="AG124">IF(ISNUMBER(AC124),INDEX('All Player Data Store'!$K$8:$K$594,SMALL(IF('All Player Data Store'!$Y$7:$Y$594=AC124,ROW('All Player Data Store'!$Y$7:$Y$594)-ROW('All Player Data Store'!$Y$7)+1),COUNTIF($AC$8:AC124,AC124))),"")</f>
        <v/>
      </c>
      <c r="AH124" s="108" t="str">
        <f t="shared" si="4"/>
        <v/>
      </c>
      <c r="AI124" s="108" t="str">
        <f t="array" ref="AI124">IF(ISNUMBER(AC124),INDEX('All Player Data Store'!$L$8:$L$594,SMALL(IF('All Player Data Store'!$Y$7:$Y$594=AC124,ROW('All Player Data Store'!$Y$7:$Y$594)-ROW('All Player Data Store'!$Y$7)+1),COUNTIF($AC$8:AC124,AC124))),"")</f>
        <v/>
      </c>
      <c r="AJ124" s="108" t="str">
        <f t="shared" si="5"/>
        <v/>
      </c>
      <c r="AK124" s="108" t="str">
        <f t="array" ref="AK124">IF(ISNUMBER(AC124),INDEX('All Player Data Store'!$M$8:$M$594,SMALL(IF('All Player Data Store'!$Y$7:$Y$594=AC124,ROW('All Player Data Store'!$Y$7:$Y$594)-ROW('All Player Data Store'!$Y$7)+1),COUNTIF($AC$8:AC124,AC124))),"")</f>
        <v/>
      </c>
      <c r="AL124" s="108" t="str">
        <f t="shared" si="6"/>
        <v/>
      </c>
      <c r="AM124" s="108" t="str">
        <f t="array" ref="AM124">IF(ISNUMBER(AC124),INDEX('All Player Data Store'!$N$8:$N$594,SMALL(IF('All Player Data Store'!$Y$7:$Y$594=AC124,ROW('All Player Data Store'!$Y$7:$Y$594)-ROW('All Player Data Store'!$Y$7)+1),COUNTIF($AC$8:AC124,AC124))),"")</f>
        <v/>
      </c>
      <c r="AN124" s="108" t="str">
        <f t="shared" si="7"/>
        <v/>
      </c>
      <c r="AO124" s="108" t="str">
        <f t="array" ref="AO124">IF(ISNUMBER(AC124),INDEX('All Player Data Store'!$O$8:$O$594,SMALL(IF('All Player Data Store'!$Y$7:$Y$594=AC124,ROW('All Player Data Store'!$Y$7:$Y$594)-ROW('All Player Data Store'!$Y$7)+1),COUNTIF($AC$8:AC124,AC124))),"")</f>
        <v/>
      </c>
      <c r="AP124" s="108" t="str">
        <f t="shared" si="8"/>
        <v/>
      </c>
      <c r="AQ124" s="108" t="str">
        <f t="array" ref="AQ124">IF(ISNUMBER(AC124),INDEX('All Player Data Store'!$P$8:$P$594,SMALL(IF('All Player Data Store'!$Y$7:$Y$594=AC124,ROW('All Player Data Store'!$Y$7:$Y$594)-ROW('All Player Data Store'!$Y$7)+1),COUNTIF($AC$8:AC124,AC124))),"")</f>
        <v/>
      </c>
      <c r="AR124" s="108" t="str">
        <f t="shared" si="9"/>
        <v/>
      </c>
      <c r="AS124" s="108" t="str">
        <f t="array" ref="AS124">IF(ISNUMBER(AC124),INDEX('All Player Data Store'!$Q$8:$Q$594,SMALL(IF('All Player Data Store'!$Y$7:$Y$594=AC124,ROW('All Player Data Store'!$Y$7:$Y$594)-ROW('All Player Data Store'!$Y$7)+1),COUNTIF($AC$8:AC124,AC124))),"")</f>
        <v>4*2</v>
      </c>
      <c r="AT124" s="108">
        <f t="shared" si="10"/>
        <v>22.29</v>
      </c>
      <c r="AU124" s="108" t="str">
        <f t="array" ref="AU124">IF(ISNUMBER(AC124),INDEX('All Player Data Store'!$R$8:$R$594,SMALL(IF('All Player Data Store'!$Y$7:$Y$594=AC124,ROW('All Player Data Store'!$Y$7:$Y$594)-ROW('All Player Data Store'!$Y$7)+1),COUNTIF($AC$8:AC124,AC124))),"")</f>
        <v/>
      </c>
      <c r="AV124" s="108" t="str">
        <f t="shared" si="11"/>
        <v/>
      </c>
      <c r="AW124" s="108" t="str">
        <f t="array" ref="AW124">IF(ISNUMBER(AC124),INDEX('All Player Data Store'!$S$8:$S$594,SMALL(IF('All Player Data Store'!$Y$7:$Y$594=AC124,ROW('All Player Data Store'!$Y$7:$Y$594)-ROW('All Player Data Store'!$Y$7)+1),COUNTIF($AC$8:AC124,AC124))),"")</f>
        <v/>
      </c>
      <c r="AX124" s="108" t="str">
        <f t="shared" si="12"/>
        <v/>
      </c>
      <c r="AY124" s="108" t="str">
        <f t="array" ref="AY124">IF(ISNUMBER(AC124),INDEX('All Player Data Store'!$T$8:$T$594,SMALL(IF('All Player Data Store'!$Y$7:$Y$594=AC124,ROW('All Player Data Store'!$Y$7:$Y$594)-ROW('All Player Data Store'!$Y$7)+1),COUNTIF($AC$8:AC124,AC124))),"")</f>
        <v/>
      </c>
      <c r="AZ124" s="108" t="str">
        <f t="shared" si="13"/>
        <v/>
      </c>
      <c r="BA124" s="108" t="str">
        <f t="array" ref="BA124">IF(ISNUMBER(AC124),INDEX('All Player Data Store'!$U$8:$U$594,SMALL(IF('All Player Data Store'!$Y$7:$Y$594=AC124,ROW('All Player Data Store'!$Y$7:$Y$594)-ROW('All Player Data Store'!$Y$7)+1),COUNTIF($AC$8:AC124,AC124))),"")</f>
        <v/>
      </c>
      <c r="BB124" s="108" t="str">
        <f t="shared" si="14"/>
        <v/>
      </c>
      <c r="BC124" s="108" t="str">
        <f t="array" ref="BC124">IF(ISNUMBER(AC124),INDEX('All Player Data Store'!$V$8:$V$594,SMALL(IF('All Player Data Store'!$Y$7:$Y$594=AC124,ROW('All Player Data Store'!$Y$7:$Y$594)-ROW('All Player Data Store'!$Y$7)+1),COUNTIF($AC$8:AC124,AC124))),"")</f>
        <v/>
      </c>
      <c r="BD124" s="108" t="str">
        <f t="shared" si="15"/>
        <v/>
      </c>
      <c r="BE124" s="1"/>
    </row>
    <row r="125" spans="2:57" ht="12" customHeight="1" x14ac:dyDescent="0.2">
      <c r="B125" s="98" t="str">
        <f t="shared" si="0"/>
        <v>Y</v>
      </c>
      <c r="C125" s="1"/>
      <c r="D125" s="68">
        <f t="shared" si="1"/>
        <v>118</v>
      </c>
      <c r="E125" s="2"/>
      <c r="F125" s="78">
        <v>118</v>
      </c>
      <c r="G125" s="110" t="str">
        <f t="array" ref="G125">IF(ISNUMBER(AC125),INDEX('All Player Data Store'!$C$7:$C$594,SMALL(IF('All Player Data Store'!$Y$7:$Y$594=AC125,ROW('All Player Data Store'!$Y$7:$Y$594)-ROW('All Player Data Store'!$Y$7)+1),COUNTIF($AC$8:AC125,AC125))),"")</f>
        <v>Sean Penney</v>
      </c>
      <c r="H125" s="111" t="str">
        <f t="array" ref="H125">IF(ISNUMBER(AC125),INDEX('All Player Data Store'!$D$7:$D$594,SMALL(IF('All Player Data Store'!$Y$7:$Y$594=AC125,ROW('All Player Data Store'!$Y$7:$Y$594)-ROW('All Player Data Store'!$Y$7)+1),COUNTIF($AC$8:AC125,AC125))),"")</f>
        <v>Aly</v>
      </c>
      <c r="I125" s="69">
        <f t="array" ref="I125">IF(ISNUMBER(AC125),INDEX('All Player Data Store'!$E$7:$E$594,SMALL(IF('All Player Data Store'!$Y$7:$Y$594=AC125,ROW('All Player Data Store'!$Y$7:$Y$594)-ROW('All Player Data Store'!$Y$7)+1),COUNTIF($AC$8:AC125,AC125))),"")</f>
        <v>12</v>
      </c>
      <c r="J125" s="70">
        <f t="array" ref="J125">IF(ISNUMBER(AC125),INDEX('All Player Data Store'!$F$7:$F$594,SMALL(IF('All Player Data Store'!$Y$7:$Y$594=AC125,ROW('All Player Data Store'!$Y$7:$Y$594)-ROW('All Player Data Store'!$Y$7)+1),COUNTIF($AC$8:AC125,AC125))),"")</f>
        <v>2</v>
      </c>
      <c r="K125" s="112">
        <f t="array" ref="K125">IF(ISNUMBER(AC125),INDEX('All Player Data Store'!$G$7:$G$594,SMALL(IF('All Player Data Store'!$Y$7:$Y$594=AC125,ROW('All Player Data Store'!$Y$7:$Y$594)-ROW('All Player Data Store'!$Y$7)+1),COUNTIF($AC$8:AC125,AC125))),"")</f>
        <v>10</v>
      </c>
      <c r="L125" s="112">
        <f t="array" ref="L125">IF(ISNUMBER(AC125),INDEX('All Player Data Store'!$H$7:$H$594,SMALL(IF('All Player Data Store'!$Y$7:$Y$594=AC125,ROW('All Player Data Store'!$Y$7:$Y$594)-ROW('All Player Data Store'!$Y$7)+1),COUNTIF($AC$8:AC125,AC125))),"")</f>
        <v>19</v>
      </c>
      <c r="M125" s="113">
        <f t="array" ref="M125">IF(ISNUMBER(AC125),INDEX('All Player Data Store'!$I$7:$I$594,SMALL(IF('All Player Data Store'!$Y$7:$Y$594=AC125,ROW('All Player Data Store'!$Y$7:$Y$594)-ROW('All Player Data Store'!$Y$7)+1),COUNTIF($AC$8:AC125,AC125))),"")</f>
        <v>45</v>
      </c>
      <c r="N125" s="114">
        <f t="array" ref="N125">IF(ISNUMBER(AC125),INDEX('All Player Data Store'!$J$7:$J$594,SMALL(IF('All Player Data Store'!$Y$7:$Y$594=AC125,ROW('All Player Data Store'!$Y$7:$Y$594)-ROW('All Player Data Store'!$Y$7)+1),COUNTIF($AC$8:AC125,AC125))),"")</f>
        <v>16.190000000000001</v>
      </c>
      <c r="O125" s="108" t="str">
        <f t="array" ref="O125">IF(ISNUMBER(AC125),INDEX('All Player Data Store'!$K$7:$K$594,SMALL(IF('All Player Data Store'!$Y$7:$Y$594=AC125,ROW('All Player Data Store'!$Y$7:$Y$594)-ROW('All Player Data Store'!$Y$7)+1),COUNTIF($AC$8:AC125,AC125))),"")</f>
        <v/>
      </c>
      <c r="P125" s="108">
        <f t="array" ref="P125">IF(ISNUMBER(AC125),INDEX('All Player Data Store'!$L$7:$L$594,SMALL(IF('All Player Data Store'!$Y$7:$Y$594=AC125,ROW('All Player Data Store'!$Y$7:$Y$594)-ROW('All Player Data Store'!$Y$7)+1),COUNTIF($AC$8:AC125,AC125))),"")</f>
        <v>17.559999999999999</v>
      </c>
      <c r="Q125" s="108">
        <f t="array" ref="Q125">IF(ISNUMBER(AC125),INDEX('All Player Data Store'!$M$7:$M$594,SMALL(IF('All Player Data Store'!$Y$7:$Y$594=AC125,ROW('All Player Data Store'!$Y$7:$Y$594)-ROW('All Player Data Store'!$Y$7)+1),COUNTIF($AC$8:AC125,AC125))),"")</f>
        <v>17.2</v>
      </c>
      <c r="R125" s="108">
        <f t="array" ref="R125">IF(ISNUMBER(AC125),INDEX('All Player Data Store'!$N$7:$N$594,SMALL(IF('All Player Data Store'!$Y$7:$Y$594=AC125,ROW('All Player Data Store'!$Y$7:$Y$594)-ROW('All Player Data Store'!$Y$7)+1),COUNTIF($AC$8:AC125,AC125))),"")</f>
        <v>22.05</v>
      </c>
      <c r="S125" s="108">
        <f t="array" ref="S125">IF(ISNUMBER(AC125),INDEX('All Player Data Store'!$O$7:$O$594,SMALL(IF('All Player Data Store'!$Y$7:$Y$594=AC125,ROW('All Player Data Store'!$Y$7:$Y$594)-ROW('All Player Data Store'!$Y$7)+1),COUNTIF($AC$8:AC125,AC125))),"")</f>
        <v>19.149999999999999</v>
      </c>
      <c r="T125" s="108">
        <f t="array" ref="T125">IF(ISNUMBER(AC125),INDEX('All Player Data Store'!$P$7:$P$594,SMALL(IF('All Player Data Store'!$Y$7:$Y$594=AC125,ROW('All Player Data Store'!$Y$7:$Y$594)-ROW('All Player Data Store'!$Y$7)+1),COUNTIF($AC$8:AC125,AC125))),"")</f>
        <v>18.91</v>
      </c>
      <c r="U125" s="108">
        <f t="array" ref="U125">IF(ISNUMBER(AC125),INDEX('All Player Data Store'!$Q$7:$Q$594,SMALL(IF('All Player Data Store'!$Y$7:$Y$594=AC125,ROW('All Player Data Store'!$Y$7:$Y$594)-ROW('All Player Data Store'!$Y$7)+1),COUNTIF($AC$8:AC125,AC125))),"")</f>
        <v>19.920000000000002</v>
      </c>
      <c r="V125" s="108">
        <f t="array" ref="V125">IF(ISNUMBER(AC125),INDEX('All Player Data Store'!$R$7:$R$594,SMALL(IF('All Player Data Store'!$Y$7:$Y$594=AC125,ROW('All Player Data Store'!$Y$7:$Y$594)-ROW('All Player Data Store'!$Y$7)+1),COUNTIF($AC$8:AC125,AC125))),"")</f>
        <v>21.13</v>
      </c>
      <c r="W125" s="108">
        <f t="array" ref="W125">IF(ISNUMBER(AC125),INDEX('All Player Data Store'!$S$7:$S$594,SMALL(IF('All Player Data Store'!$Y$7:$Y$594=AC125,ROW('All Player Data Store'!$Y$7:$Y$594)-ROW('All Player Data Store'!$Y$7)+1),COUNTIF($AC$8:AC125,AC125))),"")</f>
        <v>21.01</v>
      </c>
      <c r="X125" s="108">
        <f t="array" ref="X125">IF(ISNUMBER(AC125),INDEX('All Player Data Store'!$T$7:$T$594,SMALL(IF('All Player Data Store'!$Y$7:$Y$594=AC125,ROW('All Player Data Store'!$Y$7:$Y$594)-ROW('All Player Data Store'!$Y$7)+1),COUNTIF($AC$8:AC125,AC125))),"")</f>
        <v>23.77</v>
      </c>
      <c r="Y125" s="108">
        <f t="array" ref="Y125">IF(ISNUMBER(AC125),INDEX('All Player Data Store'!$U$7:$U$594,SMALL(IF('All Player Data Store'!$Y$7:$Y$594=AC125,ROW('All Player Data Store'!$Y$7:$Y$594)-ROW('All Player Data Store'!$Y$7)+1),COUNTIF($AC$8:AC125,AC125))),"")</f>
        <v>22.06</v>
      </c>
      <c r="Z125" s="108">
        <f t="array" ref="Z125">IF(ISNUMBER(AC125),INDEX('All Player Data Store'!$V$7:$V$594,SMALL(IF('All Player Data Store'!$Y$7:$Y$594=AC125,ROW('All Player Data Store'!$Y$7:$Y$594)-ROW('All Player Data Store'!$Y$7)+1),COUNTIF($AC$8:AC125,AC125))),"")</f>
        <v>24.47</v>
      </c>
      <c r="AA125" s="112">
        <f t="array" ref="AA125">IF(ISNUMBER(AC125),INDEX('All Player Data Store'!$W$7:$W$594,SMALL(IF('All Player Data Store'!$Y$7:$Y$594=AC125,ROW('All Player Data Store'!$Y$7:$Y$594)-ROW('All Player Data Store'!$Y$7)+1),COUNTIF($AC$8:AC125,AC125))),"")</f>
        <v>1</v>
      </c>
      <c r="AB125" s="108">
        <f t="array" ref="AB125">IF(ISNUMBER(AC125),INDEX('All Player Data Store'!$X$7:$X$594,SMALL(IF('All Player Data Store'!$Y$7:$Y$594=AC125,ROW('All Player Data Store'!$Y$7:$Y$594)-ROW('All Player Data Store'!$Y$7)+1),COUNTIF($AC$8:AC125,AC125))),"")</f>
        <v>20.285</v>
      </c>
      <c r="AC125" s="115">
        <f>IF(ISERROR(IF(ISERROR(LARGE('All Player Data Store'!$Y$7:$Y$594,118)),"",(LARGE('All Player Data Store'!$Y$7:$Y$594,118)))),"",(IF(ISERROR(LARGE('All Player Data Store'!$Y$7:$Y$594,118)),"",(LARGE('All Player Data Store'!$Y$7:$Y$594,118)))))</f>
        <v>22.285</v>
      </c>
      <c r="AD125" s="106">
        <f t="shared" si="16"/>
        <v>3</v>
      </c>
      <c r="AE125" s="107" t="str">
        <f t="array" ref="AE125">IF(ISNUMBER(AC125),INDEX('All Player Data Store'!$J$8:$J$594,SMALL(IF('All Player Data Store'!$Y$7:$Y$594=AC125,ROW('All Player Data Store'!$Y$7:$Y$594)-ROW('All Player Data Store'!$Y$7)+1),COUNTIF($AC$8:AC125,AC125))),"")</f>
        <v>0*4</v>
      </c>
      <c r="AF125" s="108">
        <f t="shared" si="3"/>
        <v>16.190000000000001</v>
      </c>
      <c r="AG125" s="108" t="str">
        <f t="array" ref="AG125">IF(ISNUMBER(AC125),INDEX('All Player Data Store'!$K$8:$K$594,SMALL(IF('All Player Data Store'!$Y$7:$Y$594=AC125,ROW('All Player Data Store'!$Y$7:$Y$594)-ROW('All Player Data Store'!$Y$7)+1),COUNTIF($AC$8:AC125,AC125))),"")</f>
        <v/>
      </c>
      <c r="AH125" s="108" t="str">
        <f t="shared" si="4"/>
        <v/>
      </c>
      <c r="AI125" s="108" t="str">
        <f t="array" ref="AI125">IF(ISNUMBER(AC125),INDEX('All Player Data Store'!$L$8:$L$594,SMALL(IF('All Player Data Store'!$Y$7:$Y$594=AC125,ROW('All Player Data Store'!$Y$7:$Y$594)-ROW('All Player Data Store'!$Y$7)+1),COUNTIF($AC$8:AC125,AC125))),"")</f>
        <v>0*4</v>
      </c>
      <c r="AJ125" s="108">
        <f t="shared" si="5"/>
        <v>17.559999999999999</v>
      </c>
      <c r="AK125" s="108" t="str">
        <f t="array" ref="AK125">IF(ISNUMBER(AC125),INDEX('All Player Data Store'!$M$8:$M$594,SMALL(IF('All Player Data Store'!$Y$7:$Y$594=AC125,ROW('All Player Data Store'!$Y$7:$Y$594)-ROW('All Player Data Store'!$Y$7)+1),COUNTIF($AC$8:AC125,AC125))),"")</f>
        <v>0*4</v>
      </c>
      <c r="AL125" s="108">
        <f t="shared" si="6"/>
        <v>17.2</v>
      </c>
      <c r="AM125" s="108" t="str">
        <f t="array" ref="AM125">IF(ISNUMBER(AC125),INDEX('All Player Data Store'!$N$8:$N$594,SMALL(IF('All Player Data Store'!$Y$7:$Y$594=AC125,ROW('All Player Data Store'!$Y$7:$Y$594)-ROW('All Player Data Store'!$Y$7)+1),COUNTIF($AC$8:AC125,AC125))),"")</f>
        <v>1*4(1)</v>
      </c>
      <c r="AN125" s="108">
        <f t="shared" si="7"/>
        <v>22.05</v>
      </c>
      <c r="AO125" s="108" t="str">
        <f t="array" ref="AO125">IF(ISNUMBER(AC125),INDEX('All Player Data Store'!$O$8:$O$594,SMALL(IF('All Player Data Store'!$Y$7:$Y$594=AC125,ROW('All Player Data Store'!$Y$7:$Y$594)-ROW('All Player Data Store'!$Y$7)+1),COUNTIF($AC$8:AC125,AC125))),"")</f>
        <v>3*4</v>
      </c>
      <c r="AP125" s="108">
        <f t="shared" si="8"/>
        <v>19.149999999999999</v>
      </c>
      <c r="AQ125" s="108" t="str">
        <f t="array" ref="AQ125">IF(ISNUMBER(AC125),INDEX('All Player Data Store'!$P$8:$P$594,SMALL(IF('All Player Data Store'!$Y$7:$Y$594=AC125,ROW('All Player Data Store'!$Y$7:$Y$594)-ROW('All Player Data Store'!$Y$7)+1),COUNTIF($AC$8:AC125,AC125))),"")</f>
        <v>3*4</v>
      </c>
      <c r="AR125" s="108">
        <f t="shared" si="9"/>
        <v>18.91</v>
      </c>
      <c r="AS125" s="108" t="str">
        <f t="array" ref="AS125">IF(ISNUMBER(AC125),INDEX('All Player Data Store'!$Q$8:$Q$594,SMALL(IF('All Player Data Store'!$Y$7:$Y$594=AC125,ROW('All Player Data Store'!$Y$7:$Y$594)-ROW('All Player Data Store'!$Y$7)+1),COUNTIF($AC$8:AC125,AC125))),"")</f>
        <v>1*4</v>
      </c>
      <c r="AT125" s="108">
        <f t="shared" si="10"/>
        <v>19.920000000000002</v>
      </c>
      <c r="AU125" s="108" t="str">
        <f t="array" ref="AU125">IF(ISNUMBER(AC125),INDEX('All Player Data Store'!$R$8:$R$594,SMALL(IF('All Player Data Store'!$Y$7:$Y$594=AC125,ROW('All Player Data Store'!$Y$7:$Y$594)-ROW('All Player Data Store'!$Y$7)+1),COUNTIF($AC$8:AC125,AC125))),"")</f>
        <v>2*4</v>
      </c>
      <c r="AV125" s="108">
        <f t="shared" si="11"/>
        <v>21.13</v>
      </c>
      <c r="AW125" s="108" t="str">
        <f t="array" ref="AW125">IF(ISNUMBER(AC125),INDEX('All Player Data Store'!$S$8:$S$594,SMALL(IF('All Player Data Store'!$Y$7:$Y$594=AC125,ROW('All Player Data Store'!$Y$7:$Y$594)-ROW('All Player Data Store'!$Y$7)+1),COUNTIF($AC$8:AC125,AC125))),"")</f>
        <v>4*3</v>
      </c>
      <c r="AX125" s="108">
        <f t="shared" si="12"/>
        <v>22.01</v>
      </c>
      <c r="AY125" s="108" t="str">
        <f t="array" ref="AY125">IF(ISNUMBER(AC125),INDEX('All Player Data Store'!$T$8:$T$594,SMALL(IF('All Player Data Store'!$Y$7:$Y$594=AC125,ROW('All Player Data Store'!$Y$7:$Y$594)-ROW('All Player Data Store'!$Y$7)+1),COUNTIF($AC$8:AC125,AC125))),"")</f>
        <v>0*4</v>
      </c>
      <c r="AZ125" s="108">
        <f t="shared" si="13"/>
        <v>23.77</v>
      </c>
      <c r="BA125" s="108" t="str">
        <f t="array" ref="BA125">IF(ISNUMBER(AC125),INDEX('All Player Data Store'!$U$8:$U$594,SMALL(IF('All Player Data Store'!$Y$7:$Y$594=AC125,ROW('All Player Data Store'!$Y$7:$Y$594)-ROW('All Player Data Store'!$Y$7)+1),COUNTIF($AC$8:AC125,AC125))),"")</f>
        <v>1*4</v>
      </c>
      <c r="BB125" s="108">
        <f t="shared" si="14"/>
        <v>22.06</v>
      </c>
      <c r="BC125" s="108" t="str">
        <f t="array" ref="BC125">IF(ISNUMBER(AC125),INDEX('All Player Data Store'!$V$8:$V$594,SMALL(IF('All Player Data Store'!$Y$7:$Y$594=AC125,ROW('All Player Data Store'!$Y$7:$Y$594)-ROW('All Player Data Store'!$Y$7)+1),COUNTIF($AC$8:AC125,AC125))),"")</f>
        <v>4*2</v>
      </c>
      <c r="BD125" s="108">
        <f t="shared" si="15"/>
        <v>25.47</v>
      </c>
      <c r="BE125" s="1"/>
    </row>
    <row r="126" spans="2:57" ht="12" customHeight="1" x14ac:dyDescent="0.2">
      <c r="B126" s="98" t="str">
        <f t="shared" si="0"/>
        <v>N</v>
      </c>
      <c r="C126" s="1"/>
      <c r="D126" s="68">
        <f t="shared" si="1"/>
        <v>119</v>
      </c>
      <c r="E126" s="2"/>
      <c r="F126" s="78">
        <v>119</v>
      </c>
      <c r="G126" s="110" t="str">
        <f t="array" ref="G126">IF(ISNUMBER(AC126),INDEX('All Player Data Store'!$C$7:$C$594,SMALL(IF('All Player Data Store'!$Y$7:$Y$594=AC126,ROW('All Player Data Store'!$Y$7:$Y$594)-ROW('All Player Data Store'!$Y$7)+1),COUNTIF($AC$8:AC126,AC126))),"")</f>
        <v>Sam Barker</v>
      </c>
      <c r="H126" s="111" t="str">
        <f t="array" ref="H126">IF(ISNUMBER(AC126),INDEX('All Player Data Store'!$D$7:$D$594,SMALL(IF('All Player Data Store'!$Y$7:$Y$594=AC126,ROW('All Player Data Store'!$Y$7:$Y$594)-ROW('All Player Data Store'!$Y$7)+1),COUNTIF($AC$8:AC126,AC126))),"")</f>
        <v>Poo</v>
      </c>
      <c r="I126" s="69">
        <f t="array" ref="I126">IF(ISNUMBER(AC126),INDEX('All Player Data Store'!$E$7:$E$594,SMALL(IF('All Player Data Store'!$Y$7:$Y$594=AC126,ROW('All Player Data Store'!$Y$7:$Y$594)-ROW('All Player Data Store'!$Y$7)+1),COUNTIF($AC$8:AC126,AC126))),"")</f>
        <v>6</v>
      </c>
      <c r="J126" s="70">
        <f t="array" ref="J126">IF(ISNUMBER(AC126),INDEX('All Player Data Store'!$F$7:$F$594,SMALL(IF('All Player Data Store'!$Y$7:$Y$594=AC126,ROW('All Player Data Store'!$Y$7:$Y$594)-ROW('All Player Data Store'!$Y$7)+1),COUNTIF($AC$8:AC126,AC126))),"")</f>
        <v>1</v>
      </c>
      <c r="K126" s="112">
        <f t="array" ref="K126">IF(ISNUMBER(AC126),INDEX('All Player Data Store'!$G$7:$G$594,SMALL(IF('All Player Data Store'!$Y$7:$Y$594=AC126,ROW('All Player Data Store'!$Y$7:$Y$594)-ROW('All Player Data Store'!$Y$7)+1),COUNTIF($AC$8:AC126,AC126))),"")</f>
        <v>5</v>
      </c>
      <c r="L126" s="112">
        <f t="array" ref="L126">IF(ISNUMBER(AC126),INDEX('All Player Data Store'!$H$7:$H$594,SMALL(IF('All Player Data Store'!$Y$7:$Y$594=AC126,ROW('All Player Data Store'!$Y$7:$Y$594)-ROW('All Player Data Store'!$Y$7)+1),COUNTIF($AC$8:AC126,AC126))),"")</f>
        <v>11</v>
      </c>
      <c r="M126" s="113">
        <f t="array" ref="M126">IF(ISNUMBER(AC126),INDEX('All Player Data Store'!$I$7:$I$594,SMALL(IF('All Player Data Store'!$Y$7:$Y$594=AC126,ROW('All Player Data Store'!$Y$7:$Y$594)-ROW('All Player Data Store'!$Y$7)+1),COUNTIF($AC$8:AC126,AC126))),"")</f>
        <v>21</v>
      </c>
      <c r="N126" s="114">
        <f t="array" ref="N126">IF(ISNUMBER(AC126),INDEX('All Player Data Store'!$J$7:$J$594,SMALL(IF('All Player Data Store'!$Y$7:$Y$594=AC126,ROW('All Player Data Store'!$Y$7:$Y$594)-ROW('All Player Data Store'!$Y$7)+1),COUNTIF($AC$8:AC126,AC126))),"")</f>
        <v>19.97</v>
      </c>
      <c r="O126" s="108" t="str">
        <f t="array" ref="O126">IF(ISNUMBER(AC126),INDEX('All Player Data Store'!$K$7:$K$594,SMALL(IF('All Player Data Store'!$Y$7:$Y$594=AC126,ROW('All Player Data Store'!$Y$7:$Y$594)-ROW('All Player Data Store'!$Y$7)+1),COUNTIF($AC$8:AC126,AC126))),"")</f>
        <v/>
      </c>
      <c r="P126" s="108">
        <f t="array" ref="P126">IF(ISNUMBER(AC126),INDEX('All Player Data Store'!$L$7:$L$594,SMALL(IF('All Player Data Store'!$Y$7:$Y$594=AC126,ROW('All Player Data Store'!$Y$7:$Y$594)-ROW('All Player Data Store'!$Y$7)+1),COUNTIF($AC$8:AC126,AC126))),"")</f>
        <v>20.55</v>
      </c>
      <c r="Q126" s="108" t="str">
        <f t="array" ref="Q126">IF(ISNUMBER(AC126),INDEX('All Player Data Store'!$M$7:$M$594,SMALL(IF('All Player Data Store'!$Y$7:$Y$594=AC126,ROW('All Player Data Store'!$Y$7:$Y$594)-ROW('All Player Data Store'!$Y$7)+1),COUNTIF($AC$8:AC126,AC126))),"")</f>
        <v/>
      </c>
      <c r="R126" s="108">
        <f t="array" ref="R126">IF(ISNUMBER(AC126),INDEX('All Player Data Store'!$N$7:$N$594,SMALL(IF('All Player Data Store'!$Y$7:$Y$594=AC126,ROW('All Player Data Store'!$Y$7:$Y$594)-ROW('All Player Data Store'!$Y$7)+1),COUNTIF($AC$8:AC126,AC126))),"")</f>
        <v>21.95</v>
      </c>
      <c r="S126" s="108">
        <f t="array" ref="S126">IF(ISNUMBER(AC126),INDEX('All Player Data Store'!$O$7:$O$594,SMALL(IF('All Player Data Store'!$Y$7:$Y$594=AC126,ROW('All Player Data Store'!$Y$7:$Y$594)-ROW('All Player Data Store'!$Y$7)+1),COUNTIF($AC$8:AC126,AC126))),"")</f>
        <v>20.65</v>
      </c>
      <c r="T126" s="108" t="str">
        <f t="array" ref="T126">IF(ISNUMBER(AC126),INDEX('All Player Data Store'!$P$7:$P$594,SMALL(IF('All Player Data Store'!$Y$7:$Y$594=AC126,ROW('All Player Data Store'!$Y$7:$Y$594)-ROW('All Player Data Store'!$Y$7)+1),COUNTIF($AC$8:AC126,AC126))),"")</f>
        <v/>
      </c>
      <c r="U126" s="108">
        <f t="array" ref="U126">IF(ISNUMBER(AC126),INDEX('All Player Data Store'!$Q$7:$Q$594,SMALL(IF('All Player Data Store'!$Y$7:$Y$594=AC126,ROW('All Player Data Store'!$Y$7:$Y$594)-ROW('All Player Data Store'!$Y$7)+1),COUNTIF($AC$8:AC126,AC126))),"")</f>
        <v>22.6</v>
      </c>
      <c r="V126" s="108" t="str">
        <f t="array" ref="V126">IF(ISNUMBER(AC126),INDEX('All Player Data Store'!$R$7:$R$594,SMALL(IF('All Player Data Store'!$Y$7:$Y$594=AC126,ROW('All Player Data Store'!$Y$7:$Y$594)-ROW('All Player Data Store'!$Y$7)+1),COUNTIF($AC$8:AC126,AC126))),"")</f>
        <v/>
      </c>
      <c r="W126" s="108" t="str">
        <f t="array" ref="W126">IF(ISNUMBER(AC126),INDEX('All Player Data Store'!$S$7:$S$594,SMALL(IF('All Player Data Store'!$Y$7:$Y$594=AC126,ROW('All Player Data Store'!$Y$7:$Y$594)-ROW('All Player Data Store'!$Y$7)+1),COUNTIF($AC$8:AC126,AC126))),"")</f>
        <v/>
      </c>
      <c r="X126" s="108" t="str">
        <f t="array" ref="X126">IF(ISNUMBER(AC126),INDEX('All Player Data Store'!$T$7:$T$594,SMALL(IF('All Player Data Store'!$Y$7:$Y$594=AC126,ROW('All Player Data Store'!$Y$7:$Y$594)-ROW('All Player Data Store'!$Y$7)+1),COUNTIF($AC$8:AC126,AC126))),"")</f>
        <v/>
      </c>
      <c r="Y126" s="108">
        <f t="array" ref="Y126">IF(ISNUMBER(AC126),INDEX('All Player Data Store'!$U$7:$U$594,SMALL(IF('All Player Data Store'!$Y$7:$Y$594=AC126,ROW('All Player Data Store'!$Y$7:$Y$594)-ROW('All Player Data Store'!$Y$7)+1),COUNTIF($AC$8:AC126,AC126))),"")</f>
        <v>21.84</v>
      </c>
      <c r="Z126" s="108" t="str">
        <f t="array" ref="Z126">IF(ISNUMBER(AC126),INDEX('All Player Data Store'!$V$7:$V$594,SMALL(IF('All Player Data Store'!$Y$7:$Y$594=AC126,ROW('All Player Data Store'!$Y$7:$Y$594)-ROW('All Player Data Store'!$Y$7)+1),COUNTIF($AC$8:AC126,AC126))),"")</f>
        <v/>
      </c>
      <c r="AA126" s="112">
        <f t="array" ref="AA126">IF(ISNUMBER(AC126),INDEX('All Player Data Store'!$W$7:$W$594,SMALL(IF('All Player Data Store'!$Y$7:$Y$594=AC126,ROW('All Player Data Store'!$Y$7:$Y$594)-ROW('All Player Data Store'!$Y$7)+1),COUNTIF($AC$8:AC126,AC126))),"")</f>
        <v>1</v>
      </c>
      <c r="AB126" s="108">
        <f t="array" ref="AB126">IF(ISNUMBER(AC126),INDEX('All Player Data Store'!$X$7:$X$594,SMALL(IF('All Player Data Store'!$Y$7:$Y$594=AC126,ROW('All Player Data Store'!$Y$7:$Y$594)-ROW('All Player Data Store'!$Y$7)+1),COUNTIF($AC$8:AC126,AC126))),"")</f>
        <v>21.26</v>
      </c>
      <c r="AC126" s="115">
        <f>IF(ISERROR(IF(ISERROR(LARGE('All Player Data Store'!$Y$7:$Y$594,119)),"",(LARGE('All Player Data Store'!$Y$7:$Y$594,119)))),"",(IF(ISERROR(LARGE('All Player Data Store'!$Y$7:$Y$594,119)),"",(LARGE('All Player Data Store'!$Y$7:$Y$594,119)))))</f>
        <v>22.26</v>
      </c>
      <c r="AD126" s="106">
        <f t="shared" si="16"/>
        <v>3</v>
      </c>
      <c r="AE126" s="107" t="str">
        <f t="array" ref="AE126">IF(ISNUMBER(AC126),INDEX('All Player Data Store'!$J$8:$J$594,SMALL(IF('All Player Data Store'!$Y$7:$Y$594=AC126,ROW('All Player Data Store'!$Y$7:$Y$594)-ROW('All Player Data Store'!$Y$7)+1),COUNTIF($AC$8:AC126,AC126))),"")</f>
        <v>4*1</v>
      </c>
      <c r="AF126" s="108">
        <f t="shared" si="3"/>
        <v>20.97</v>
      </c>
      <c r="AG126" s="108" t="str">
        <f t="array" ref="AG126">IF(ISNUMBER(AC126),INDEX('All Player Data Store'!$K$8:$K$594,SMALL(IF('All Player Data Store'!$Y$7:$Y$594=AC126,ROW('All Player Data Store'!$Y$7:$Y$594)-ROW('All Player Data Store'!$Y$7)+1),COUNTIF($AC$8:AC126,AC126))),"")</f>
        <v/>
      </c>
      <c r="AH126" s="108" t="str">
        <f t="shared" si="4"/>
        <v/>
      </c>
      <c r="AI126" s="108" t="str">
        <f t="array" ref="AI126">IF(ISNUMBER(AC126),INDEX('All Player Data Store'!$L$8:$L$594,SMALL(IF('All Player Data Store'!$Y$7:$Y$594=AC126,ROW('All Player Data Store'!$Y$7:$Y$594)-ROW('All Player Data Store'!$Y$7)+1),COUNTIF($AC$8:AC126,AC126))),"")</f>
        <v>0*4</v>
      </c>
      <c r="AJ126" s="108">
        <f t="shared" si="5"/>
        <v>20.55</v>
      </c>
      <c r="AK126" s="108" t="str">
        <f t="array" ref="AK126">IF(ISNUMBER(AC126),INDEX('All Player Data Store'!$M$8:$M$594,SMALL(IF('All Player Data Store'!$Y$7:$Y$594=AC126,ROW('All Player Data Store'!$Y$7:$Y$594)-ROW('All Player Data Store'!$Y$7)+1),COUNTIF($AC$8:AC126,AC126))),"")</f>
        <v/>
      </c>
      <c r="AL126" s="108" t="str">
        <f t="shared" si="6"/>
        <v/>
      </c>
      <c r="AM126" s="108" t="str">
        <f t="array" ref="AM126">IF(ISNUMBER(AC126),INDEX('All Player Data Store'!$N$8:$N$594,SMALL(IF('All Player Data Store'!$Y$7:$Y$594=AC126,ROW('All Player Data Store'!$Y$7:$Y$594)-ROW('All Player Data Store'!$Y$7)+1),COUNTIF($AC$8:AC126,AC126))),"")</f>
        <v>3*4</v>
      </c>
      <c r="AN126" s="108">
        <f t="shared" si="7"/>
        <v>21.95</v>
      </c>
      <c r="AO126" s="108" t="str">
        <f t="array" ref="AO126">IF(ISNUMBER(AC126),INDEX('All Player Data Store'!$O$8:$O$594,SMALL(IF('All Player Data Store'!$Y$7:$Y$594=AC126,ROW('All Player Data Store'!$Y$7:$Y$594)-ROW('All Player Data Store'!$Y$7)+1),COUNTIF($AC$8:AC126,AC126))),"")</f>
        <v>1*4(1)</v>
      </c>
      <c r="AP126" s="108">
        <f t="shared" si="8"/>
        <v>20.65</v>
      </c>
      <c r="AQ126" s="108" t="str">
        <f t="array" ref="AQ126">IF(ISNUMBER(AC126),INDEX('All Player Data Store'!$P$8:$P$594,SMALL(IF('All Player Data Store'!$Y$7:$Y$594=AC126,ROW('All Player Data Store'!$Y$7:$Y$594)-ROW('All Player Data Store'!$Y$7)+1),COUNTIF($AC$8:AC126,AC126))),"")</f>
        <v/>
      </c>
      <c r="AR126" s="108" t="str">
        <f t="shared" si="9"/>
        <v/>
      </c>
      <c r="AS126" s="108" t="str">
        <f t="array" ref="AS126">IF(ISNUMBER(AC126),INDEX('All Player Data Store'!$Q$8:$Q$594,SMALL(IF('All Player Data Store'!$Y$7:$Y$594=AC126,ROW('All Player Data Store'!$Y$7:$Y$594)-ROW('All Player Data Store'!$Y$7)+1),COUNTIF($AC$8:AC126,AC126))),"")</f>
        <v>3*4</v>
      </c>
      <c r="AT126" s="108">
        <f t="shared" si="10"/>
        <v>22.6</v>
      </c>
      <c r="AU126" s="108" t="str">
        <f t="array" ref="AU126">IF(ISNUMBER(AC126),INDEX('All Player Data Store'!$R$8:$R$594,SMALL(IF('All Player Data Store'!$Y$7:$Y$594=AC126,ROW('All Player Data Store'!$Y$7:$Y$594)-ROW('All Player Data Store'!$Y$7)+1),COUNTIF($AC$8:AC126,AC126))),"")</f>
        <v/>
      </c>
      <c r="AV126" s="108" t="str">
        <f t="shared" si="11"/>
        <v/>
      </c>
      <c r="AW126" s="108" t="str">
        <f t="array" ref="AW126">IF(ISNUMBER(AC126),INDEX('All Player Data Store'!$S$8:$S$594,SMALL(IF('All Player Data Store'!$Y$7:$Y$594=AC126,ROW('All Player Data Store'!$Y$7:$Y$594)-ROW('All Player Data Store'!$Y$7)+1),COUNTIF($AC$8:AC126,AC126))),"")</f>
        <v/>
      </c>
      <c r="AX126" s="108" t="str">
        <f t="shared" si="12"/>
        <v/>
      </c>
      <c r="AY126" s="108" t="str">
        <f t="array" ref="AY126">IF(ISNUMBER(AC126),INDEX('All Player Data Store'!$T$8:$T$594,SMALL(IF('All Player Data Store'!$Y$7:$Y$594=AC126,ROW('All Player Data Store'!$Y$7:$Y$594)-ROW('All Player Data Store'!$Y$7)+1),COUNTIF($AC$8:AC126,AC126))),"")</f>
        <v/>
      </c>
      <c r="AZ126" s="108" t="str">
        <f t="shared" si="13"/>
        <v/>
      </c>
      <c r="BA126" s="108" t="str">
        <f t="array" ref="BA126">IF(ISNUMBER(AC126),INDEX('All Player Data Store'!$U$8:$U$594,SMALL(IF('All Player Data Store'!$Y$7:$Y$594=AC126,ROW('All Player Data Store'!$Y$7:$Y$594)-ROW('All Player Data Store'!$Y$7)+1),COUNTIF($AC$8:AC126,AC126))),"")</f>
        <v>0*4</v>
      </c>
      <c r="BB126" s="108">
        <f t="shared" si="14"/>
        <v>21.84</v>
      </c>
      <c r="BC126" s="108" t="str">
        <f t="array" ref="BC126">IF(ISNUMBER(AC126),INDEX('All Player Data Store'!$V$8:$V$594,SMALL(IF('All Player Data Store'!$Y$7:$Y$594=AC126,ROW('All Player Data Store'!$Y$7:$Y$594)-ROW('All Player Data Store'!$Y$7)+1),COUNTIF($AC$8:AC126,AC126))),"")</f>
        <v/>
      </c>
      <c r="BD126" s="108" t="str">
        <f t="shared" si="15"/>
        <v/>
      </c>
      <c r="BE126" s="1"/>
    </row>
    <row r="127" spans="2:57" ht="12" customHeight="1" x14ac:dyDescent="0.2">
      <c r="B127" s="98" t="str">
        <f t="shared" si="0"/>
        <v>N</v>
      </c>
      <c r="C127" s="1"/>
      <c r="D127" s="68">
        <f t="shared" si="1"/>
        <v>120</v>
      </c>
      <c r="E127" s="2"/>
      <c r="F127" s="78">
        <v>120</v>
      </c>
      <c r="G127" s="110" t="str">
        <f t="array" ref="G127">IF(ISNUMBER(AC127),INDEX('All Player Data Store'!$C$7:$C$594,SMALL(IF('All Player Data Store'!$Y$7:$Y$594=AC127,ROW('All Player Data Store'!$Y$7:$Y$594)-ROW('All Player Data Store'!$Y$7)+1),COUNTIF($AC$8:AC127,AC127))),"")</f>
        <v>Brian Quilter</v>
      </c>
      <c r="H127" s="111" t="str">
        <f t="array" ref="H127">IF(ISNUMBER(AC127),INDEX('All Player Data Store'!$D$7:$D$594,SMALL(IF('All Player Data Store'!$Y$7:$Y$594=AC127,ROW('All Player Data Store'!$Y$7:$Y$594)-ROW('All Player Data Store'!$Y$7)+1),COUNTIF($AC$8:AC127,AC127))),"")</f>
        <v>Par</v>
      </c>
      <c r="I127" s="69">
        <f t="array" ref="I127">IF(ISNUMBER(AC127),INDEX('All Player Data Store'!$E$7:$E$594,SMALL(IF('All Player Data Store'!$Y$7:$Y$594=AC127,ROW('All Player Data Store'!$Y$7:$Y$594)-ROW('All Player Data Store'!$Y$7)+1),COUNTIF($AC$8:AC127,AC127))),"")</f>
        <v>4</v>
      </c>
      <c r="J127" s="70">
        <f t="array" ref="J127">IF(ISNUMBER(AC127),INDEX('All Player Data Store'!$F$7:$F$594,SMALL(IF('All Player Data Store'!$Y$7:$Y$594=AC127,ROW('All Player Data Store'!$Y$7:$Y$594)-ROW('All Player Data Store'!$Y$7)+1),COUNTIF($AC$8:AC127,AC127))),"")</f>
        <v>2</v>
      </c>
      <c r="K127" s="112">
        <f t="array" ref="K127">IF(ISNUMBER(AC127),INDEX('All Player Data Store'!$G$7:$G$594,SMALL(IF('All Player Data Store'!$Y$7:$Y$594=AC127,ROW('All Player Data Store'!$Y$7:$Y$594)-ROW('All Player Data Store'!$Y$7)+1),COUNTIF($AC$8:AC127,AC127))),"")</f>
        <v>2</v>
      </c>
      <c r="L127" s="112">
        <f t="array" ref="L127">IF(ISNUMBER(AC127),INDEX('All Player Data Store'!$H$7:$H$594,SMALL(IF('All Player Data Store'!$Y$7:$Y$594=AC127,ROW('All Player Data Store'!$Y$7:$Y$594)-ROW('All Player Data Store'!$Y$7)+1),COUNTIF($AC$8:AC127,AC127))),"")</f>
        <v>8</v>
      </c>
      <c r="M127" s="113">
        <f t="array" ref="M127">IF(ISNUMBER(AC127),INDEX('All Player Data Store'!$I$7:$I$594,SMALL(IF('All Player Data Store'!$Y$7:$Y$594=AC127,ROW('All Player Data Store'!$Y$7:$Y$594)-ROW('All Player Data Store'!$Y$7)+1),COUNTIF($AC$8:AC127,AC127))),"")</f>
        <v>14</v>
      </c>
      <c r="N127" s="114">
        <f t="array" ref="N127">IF(ISNUMBER(AC127),INDEX('All Player Data Store'!$J$7:$J$594,SMALL(IF('All Player Data Store'!$Y$7:$Y$594=AC127,ROW('All Player Data Store'!$Y$7:$Y$594)-ROW('All Player Data Store'!$Y$7)+1),COUNTIF($AC$8:AC127,AC127))),"")</f>
        <v>19.649999999999999</v>
      </c>
      <c r="O127" s="108">
        <f t="array" ref="O127">IF(ISNUMBER(AC127),INDEX('All Player Data Store'!$K$7:$K$594,SMALL(IF('All Player Data Store'!$Y$7:$Y$594=AC127,ROW('All Player Data Store'!$Y$7:$Y$594)-ROW('All Player Data Store'!$Y$7)+1),COUNTIF($AC$8:AC127,AC127))),"")</f>
        <v>20.64</v>
      </c>
      <c r="P127" s="108" t="str">
        <f t="array" ref="P127">IF(ISNUMBER(AC127),INDEX('All Player Data Store'!$L$7:$L$594,SMALL(IF('All Player Data Store'!$Y$7:$Y$594=AC127,ROW('All Player Data Store'!$Y$7:$Y$594)-ROW('All Player Data Store'!$Y$7)+1),COUNTIF($AC$8:AC127,AC127))),"")</f>
        <v/>
      </c>
      <c r="Q127" s="108">
        <f t="array" ref="Q127">IF(ISNUMBER(AC127),INDEX('All Player Data Store'!$M$7:$M$594,SMALL(IF('All Player Data Store'!$Y$7:$Y$594=AC127,ROW('All Player Data Store'!$Y$7:$Y$594)-ROW('All Player Data Store'!$Y$7)+1),COUNTIF($AC$8:AC127,AC127))),"")</f>
        <v>24.18</v>
      </c>
      <c r="R127" s="108" t="str">
        <f t="array" ref="R127">IF(ISNUMBER(AC127),INDEX('All Player Data Store'!$N$7:$N$594,SMALL(IF('All Player Data Store'!$Y$7:$Y$594=AC127,ROW('All Player Data Store'!$Y$7:$Y$594)-ROW('All Player Data Store'!$Y$7)+1),COUNTIF($AC$8:AC127,AC127))),"")</f>
        <v/>
      </c>
      <c r="S127" s="108">
        <f t="array" ref="S127">IF(ISNUMBER(AC127),INDEX('All Player Data Store'!$O$7:$O$594,SMALL(IF('All Player Data Store'!$Y$7:$Y$594=AC127,ROW('All Player Data Store'!$Y$7:$Y$594)-ROW('All Player Data Store'!$Y$7)+1),COUNTIF($AC$8:AC127,AC127))),"")</f>
        <v>16.54</v>
      </c>
      <c r="T127" s="108" t="str">
        <f t="array" ref="T127">IF(ISNUMBER(AC127),INDEX('All Player Data Store'!$P$7:$P$594,SMALL(IF('All Player Data Store'!$Y$7:$Y$594=AC127,ROW('All Player Data Store'!$Y$7:$Y$594)-ROW('All Player Data Store'!$Y$7)+1),COUNTIF($AC$8:AC127,AC127))),"")</f>
        <v/>
      </c>
      <c r="U127" s="108" t="str">
        <f t="array" ref="U127">IF(ISNUMBER(AC127),INDEX('All Player Data Store'!$Q$7:$Q$594,SMALL(IF('All Player Data Store'!$Y$7:$Y$594=AC127,ROW('All Player Data Store'!$Y$7:$Y$594)-ROW('All Player Data Store'!$Y$7)+1),COUNTIF($AC$8:AC127,AC127))),"")</f>
        <v/>
      </c>
      <c r="V127" s="108" t="str">
        <f t="array" ref="V127">IF(ISNUMBER(AC127),INDEX('All Player Data Store'!$R$7:$R$594,SMALL(IF('All Player Data Store'!$Y$7:$Y$594=AC127,ROW('All Player Data Store'!$Y$7:$Y$594)-ROW('All Player Data Store'!$Y$7)+1),COUNTIF($AC$8:AC127,AC127))),"")</f>
        <v/>
      </c>
      <c r="W127" s="108" t="str">
        <f t="array" ref="W127">IF(ISNUMBER(AC127),INDEX('All Player Data Store'!$S$7:$S$594,SMALL(IF('All Player Data Store'!$Y$7:$Y$594=AC127,ROW('All Player Data Store'!$Y$7:$Y$594)-ROW('All Player Data Store'!$Y$7)+1),COUNTIF($AC$8:AC127,AC127))),"")</f>
        <v/>
      </c>
      <c r="X127" s="108" t="str">
        <f t="array" ref="X127">IF(ISNUMBER(AC127),INDEX('All Player Data Store'!$T$7:$T$594,SMALL(IF('All Player Data Store'!$Y$7:$Y$594=AC127,ROW('All Player Data Store'!$Y$7:$Y$594)-ROW('All Player Data Store'!$Y$7)+1),COUNTIF($AC$8:AC127,AC127))),"")</f>
        <v/>
      </c>
      <c r="Y127" s="108" t="str">
        <f t="array" ref="Y127">IF(ISNUMBER(AC127),INDEX('All Player Data Store'!$U$7:$U$594,SMALL(IF('All Player Data Store'!$Y$7:$Y$594=AC127,ROW('All Player Data Store'!$Y$7:$Y$594)-ROW('All Player Data Store'!$Y$7)+1),COUNTIF($AC$8:AC127,AC127))),"")</f>
        <v/>
      </c>
      <c r="Z127" s="108" t="str">
        <f t="array" ref="Z127">IF(ISNUMBER(AC127),INDEX('All Player Data Store'!$V$7:$V$594,SMALL(IF('All Player Data Store'!$Y$7:$Y$594=AC127,ROW('All Player Data Store'!$Y$7:$Y$594)-ROW('All Player Data Store'!$Y$7)+1),COUNTIF($AC$8:AC127,AC127))),"")</f>
        <v/>
      </c>
      <c r="AA127" s="112">
        <f t="array" ref="AA127">IF(ISNUMBER(AC127),INDEX('All Player Data Store'!$W$7:$W$594,SMALL(IF('All Player Data Store'!$Y$7:$Y$594=AC127,ROW('All Player Data Store'!$Y$7:$Y$594)-ROW('All Player Data Store'!$Y$7)+1),COUNTIF($AC$8:AC127,AC127))),"")</f>
        <v>1</v>
      </c>
      <c r="AB127" s="108">
        <f t="array" ref="AB127">IF(ISNUMBER(AC127),INDEX('All Player Data Store'!$X$7:$X$594,SMALL(IF('All Player Data Store'!$Y$7:$Y$594=AC127,ROW('All Player Data Store'!$Y$7:$Y$594)-ROW('All Player Data Store'!$Y$7)+1),COUNTIF($AC$8:AC127,AC127))),"")</f>
        <v>20.252499999999998</v>
      </c>
      <c r="AC127" s="115">
        <f>IF(ISERROR(IF(ISERROR(LARGE('All Player Data Store'!$Y$7:$Y$594,120)),"",(LARGE('All Player Data Store'!$Y$7:$Y$594,120)))),"",(IF(ISERROR(LARGE('All Player Data Store'!$Y$7:$Y$594,120)),"",(LARGE('All Player Data Store'!$Y$7:$Y$594,120)))))</f>
        <v>22.252499999999998</v>
      </c>
      <c r="AD127" s="106">
        <f t="shared" si="16"/>
        <v>3</v>
      </c>
      <c r="AE127" s="107" t="str">
        <f t="array" ref="AE127">IF(ISNUMBER(AC127),INDEX('All Player Data Store'!$J$8:$J$594,SMALL(IF('All Player Data Store'!$Y$7:$Y$594=AC127,ROW('All Player Data Store'!$Y$7:$Y$594)-ROW('All Player Data Store'!$Y$7)+1),COUNTIF($AC$8:AC127,AC127))),"")</f>
        <v>0*4</v>
      </c>
      <c r="AF127" s="108">
        <f t="shared" si="3"/>
        <v>19.649999999999999</v>
      </c>
      <c r="AG127" s="108" t="str">
        <f t="array" ref="AG127">IF(ISNUMBER(AC127),INDEX('All Player Data Store'!$K$8:$K$594,SMALL(IF('All Player Data Store'!$Y$7:$Y$594=AC127,ROW('All Player Data Store'!$Y$7:$Y$594)-ROW('All Player Data Store'!$Y$7)+1),COUNTIF($AC$8:AC127,AC127))),"")</f>
        <v>4*3</v>
      </c>
      <c r="AH127" s="108">
        <f t="shared" si="4"/>
        <v>21.64</v>
      </c>
      <c r="AI127" s="108" t="str">
        <f t="array" ref="AI127">IF(ISNUMBER(AC127),INDEX('All Player Data Store'!$L$8:$L$594,SMALL(IF('All Player Data Store'!$Y$7:$Y$594=AC127,ROW('All Player Data Store'!$Y$7:$Y$594)-ROW('All Player Data Store'!$Y$7)+1),COUNTIF($AC$8:AC127,AC127))),"")</f>
        <v/>
      </c>
      <c r="AJ127" s="108" t="str">
        <f t="shared" si="5"/>
        <v/>
      </c>
      <c r="AK127" s="108" t="str">
        <f t="array" ref="AK127">IF(ISNUMBER(AC127),INDEX('All Player Data Store'!$M$8:$M$594,SMALL(IF('All Player Data Store'!$Y$7:$Y$594=AC127,ROW('All Player Data Store'!$Y$7:$Y$594)-ROW('All Player Data Store'!$Y$7)+1),COUNTIF($AC$8:AC127,AC127))),"")</f>
        <v>0*4(1)</v>
      </c>
      <c r="AL127" s="108">
        <f t="shared" si="6"/>
        <v>24.18</v>
      </c>
      <c r="AM127" s="108" t="str">
        <f t="array" ref="AM127">IF(ISNUMBER(AC127),INDEX('All Player Data Store'!$N$8:$N$594,SMALL(IF('All Player Data Store'!$Y$7:$Y$594=AC127,ROW('All Player Data Store'!$Y$7:$Y$594)-ROW('All Player Data Store'!$Y$7)+1),COUNTIF($AC$8:AC127,AC127))),"")</f>
        <v/>
      </c>
      <c r="AN127" s="108" t="str">
        <f t="shared" si="7"/>
        <v/>
      </c>
      <c r="AO127" s="108" t="str">
        <f t="array" ref="AO127">IF(ISNUMBER(AC127),INDEX('All Player Data Store'!$O$8:$O$594,SMALL(IF('All Player Data Store'!$Y$7:$Y$594=AC127,ROW('All Player Data Store'!$Y$7:$Y$594)-ROW('All Player Data Store'!$Y$7)+1),COUNTIF($AC$8:AC127,AC127))),"")</f>
        <v>4*3</v>
      </c>
      <c r="AP127" s="108">
        <f t="shared" si="8"/>
        <v>17.54</v>
      </c>
      <c r="AQ127" s="108" t="str">
        <f t="array" ref="AQ127">IF(ISNUMBER(AC127),INDEX('All Player Data Store'!$P$8:$P$594,SMALL(IF('All Player Data Store'!$Y$7:$Y$594=AC127,ROW('All Player Data Store'!$Y$7:$Y$594)-ROW('All Player Data Store'!$Y$7)+1),COUNTIF($AC$8:AC127,AC127))),"")</f>
        <v/>
      </c>
      <c r="AR127" s="108" t="str">
        <f t="shared" si="9"/>
        <v/>
      </c>
      <c r="AS127" s="108" t="str">
        <f t="array" ref="AS127">IF(ISNUMBER(AC127),INDEX('All Player Data Store'!$Q$8:$Q$594,SMALL(IF('All Player Data Store'!$Y$7:$Y$594=AC127,ROW('All Player Data Store'!$Y$7:$Y$594)-ROW('All Player Data Store'!$Y$7)+1),COUNTIF($AC$8:AC127,AC127))),"")</f>
        <v/>
      </c>
      <c r="AT127" s="108" t="str">
        <f t="shared" si="10"/>
        <v/>
      </c>
      <c r="AU127" s="108" t="str">
        <f t="array" ref="AU127">IF(ISNUMBER(AC127),INDEX('All Player Data Store'!$R$8:$R$594,SMALL(IF('All Player Data Store'!$Y$7:$Y$594=AC127,ROW('All Player Data Store'!$Y$7:$Y$594)-ROW('All Player Data Store'!$Y$7)+1),COUNTIF($AC$8:AC127,AC127))),"")</f>
        <v/>
      </c>
      <c r="AV127" s="108" t="str">
        <f t="shared" si="11"/>
        <v/>
      </c>
      <c r="AW127" s="108" t="str">
        <f t="array" ref="AW127">IF(ISNUMBER(AC127),INDEX('All Player Data Store'!$S$8:$S$594,SMALL(IF('All Player Data Store'!$Y$7:$Y$594=AC127,ROW('All Player Data Store'!$Y$7:$Y$594)-ROW('All Player Data Store'!$Y$7)+1),COUNTIF($AC$8:AC127,AC127))),"")</f>
        <v/>
      </c>
      <c r="AX127" s="108" t="str">
        <f t="shared" si="12"/>
        <v/>
      </c>
      <c r="AY127" s="108" t="str">
        <f t="array" ref="AY127">IF(ISNUMBER(AC127),INDEX('All Player Data Store'!$T$8:$T$594,SMALL(IF('All Player Data Store'!$Y$7:$Y$594=AC127,ROW('All Player Data Store'!$Y$7:$Y$594)-ROW('All Player Data Store'!$Y$7)+1),COUNTIF($AC$8:AC127,AC127))),"")</f>
        <v/>
      </c>
      <c r="AZ127" s="108" t="str">
        <f t="shared" si="13"/>
        <v/>
      </c>
      <c r="BA127" s="108" t="str">
        <f t="array" ref="BA127">IF(ISNUMBER(AC127),INDEX('All Player Data Store'!$U$8:$U$594,SMALL(IF('All Player Data Store'!$Y$7:$Y$594=AC127,ROW('All Player Data Store'!$Y$7:$Y$594)-ROW('All Player Data Store'!$Y$7)+1),COUNTIF($AC$8:AC127,AC127))),"")</f>
        <v/>
      </c>
      <c r="BB127" s="108" t="str">
        <f t="shared" si="14"/>
        <v/>
      </c>
      <c r="BC127" s="108" t="str">
        <f t="array" ref="BC127">IF(ISNUMBER(AC127),INDEX('All Player Data Store'!$V$8:$V$594,SMALL(IF('All Player Data Store'!$Y$7:$Y$594=AC127,ROW('All Player Data Store'!$Y$7:$Y$594)-ROW('All Player Data Store'!$Y$7)+1),COUNTIF($AC$8:AC127,AC127))),"")</f>
        <v/>
      </c>
      <c r="BD127" s="108" t="str">
        <f t="shared" si="15"/>
        <v/>
      </c>
      <c r="BE127" s="1"/>
    </row>
    <row r="128" spans="2:57" ht="12" customHeight="1" x14ac:dyDescent="0.2">
      <c r="B128" s="98" t="str">
        <f t="shared" si="0"/>
        <v>N</v>
      </c>
      <c r="C128" s="1"/>
      <c r="D128" s="68">
        <f t="shared" si="1"/>
        <v>121</v>
      </c>
      <c r="E128" s="2"/>
      <c r="F128" s="78">
        <v>121</v>
      </c>
      <c r="G128" s="110" t="str">
        <f t="array" ref="G128">IF(ISNUMBER(AC128),INDEX('All Player Data Store'!$C$7:$C$594,SMALL(IF('All Player Data Store'!$Y$7:$Y$594=AC128,ROW('All Player Data Store'!$Y$7:$Y$594)-ROW('All Player Data Store'!$Y$7)+1),COUNTIF($AC$8:AC128,AC128))),"")</f>
        <v>Adam Mckay</v>
      </c>
      <c r="H128" s="111" t="str">
        <f t="array" ref="H128">IF(ISNUMBER(AC128),INDEX('All Player Data Store'!$D$7:$D$594,SMALL(IF('All Player Data Store'!$Y$7:$Y$594=AC128,ROW('All Player Data Store'!$Y$7:$Y$594)-ROW('All Player Data Store'!$Y$7)+1),COUNTIF($AC$8:AC128,AC128))),"")</f>
        <v>Wey</v>
      </c>
      <c r="I128" s="69">
        <f t="array" ref="I128">IF(ISNUMBER(AC128),INDEX('All Player Data Store'!$E$7:$E$594,SMALL(IF('All Player Data Store'!$Y$7:$Y$594=AC128,ROW('All Player Data Store'!$Y$7:$Y$594)-ROW('All Player Data Store'!$Y$7)+1),COUNTIF($AC$8:AC128,AC128))),"")</f>
        <v>7</v>
      </c>
      <c r="J128" s="70">
        <f t="array" ref="J128">IF(ISNUMBER(AC128),INDEX('All Player Data Store'!$F$7:$F$594,SMALL(IF('All Player Data Store'!$Y$7:$Y$594=AC128,ROW('All Player Data Store'!$Y$7:$Y$594)-ROW('All Player Data Store'!$Y$7)+1),COUNTIF($AC$8:AC128,AC128))),"")</f>
        <v>1</v>
      </c>
      <c r="K128" s="112">
        <f t="array" ref="K128">IF(ISNUMBER(AC128),INDEX('All Player Data Store'!$G$7:$G$594,SMALL(IF('All Player Data Store'!$Y$7:$Y$594=AC128,ROW('All Player Data Store'!$Y$7:$Y$594)-ROW('All Player Data Store'!$Y$7)+1),COUNTIF($AC$8:AC128,AC128))),"")</f>
        <v>6</v>
      </c>
      <c r="L128" s="112">
        <f t="array" ref="L128">IF(ISNUMBER(AC128),INDEX('All Player Data Store'!$H$7:$H$594,SMALL(IF('All Player Data Store'!$Y$7:$Y$594=AC128,ROW('All Player Data Store'!$Y$7:$Y$594)-ROW('All Player Data Store'!$Y$7)+1),COUNTIF($AC$8:AC128,AC128))),"")</f>
        <v>17</v>
      </c>
      <c r="M128" s="113">
        <f t="array" ref="M128">IF(ISNUMBER(AC128),INDEX('All Player Data Store'!$I$7:$I$594,SMALL(IF('All Player Data Store'!$Y$7:$Y$594=AC128,ROW('All Player Data Store'!$Y$7:$Y$594)-ROW('All Player Data Store'!$Y$7)+1),COUNTIF($AC$8:AC128,AC128))),"")</f>
        <v>27</v>
      </c>
      <c r="N128" s="114" t="str">
        <f t="array" ref="N128">IF(ISNUMBER(AC128),INDEX('All Player Data Store'!$J$7:$J$594,SMALL(IF('All Player Data Store'!$Y$7:$Y$594=AC128,ROW('All Player Data Store'!$Y$7:$Y$594)-ROW('All Player Data Store'!$Y$7)+1),COUNTIF($AC$8:AC128,AC128))),"")</f>
        <v/>
      </c>
      <c r="O128" s="108" t="str">
        <f t="array" ref="O128">IF(ISNUMBER(AC128),INDEX('All Player Data Store'!$K$7:$K$594,SMALL(IF('All Player Data Store'!$Y$7:$Y$594=AC128,ROW('All Player Data Store'!$Y$7:$Y$594)-ROW('All Player Data Store'!$Y$7)+1),COUNTIF($AC$8:AC128,AC128))),"")</f>
        <v/>
      </c>
      <c r="P128" s="108">
        <f t="array" ref="P128">IF(ISNUMBER(AC128),INDEX('All Player Data Store'!$L$7:$L$594,SMALL(IF('All Player Data Store'!$Y$7:$Y$594=AC128,ROW('All Player Data Store'!$Y$7:$Y$594)-ROW('All Player Data Store'!$Y$7)+1),COUNTIF($AC$8:AC128,AC128))),"")</f>
        <v>19.350000000000001</v>
      </c>
      <c r="Q128" s="108">
        <f t="array" ref="Q128">IF(ISNUMBER(AC128),INDEX('All Player Data Store'!$M$7:$M$594,SMALL(IF('All Player Data Store'!$Y$7:$Y$594=AC128,ROW('All Player Data Store'!$Y$7:$Y$594)-ROW('All Player Data Store'!$Y$7)+1),COUNTIF($AC$8:AC128,AC128))),"")</f>
        <v>21.24</v>
      </c>
      <c r="R128" s="108">
        <f t="array" ref="R128">IF(ISNUMBER(AC128),INDEX('All Player Data Store'!$N$7:$N$594,SMALL(IF('All Player Data Store'!$Y$7:$Y$594=AC128,ROW('All Player Data Store'!$Y$7:$Y$594)-ROW('All Player Data Store'!$Y$7)+1),COUNTIF($AC$8:AC128,AC128))),"")</f>
        <v>25.9</v>
      </c>
      <c r="S128" s="108">
        <f t="array" ref="S128">IF(ISNUMBER(AC128),INDEX('All Player Data Store'!$O$7:$O$594,SMALL(IF('All Player Data Store'!$Y$7:$Y$594=AC128,ROW('All Player Data Store'!$Y$7:$Y$594)-ROW('All Player Data Store'!$Y$7)+1),COUNTIF($AC$8:AC128,AC128))),"")</f>
        <v>20.37</v>
      </c>
      <c r="T128" s="108">
        <f t="array" ref="T128">IF(ISNUMBER(AC128),INDEX('All Player Data Store'!$P$7:$P$594,SMALL(IF('All Player Data Store'!$Y$7:$Y$594=AC128,ROW('All Player Data Store'!$Y$7:$Y$594)-ROW('All Player Data Store'!$Y$7)+1),COUNTIF($AC$8:AC128,AC128))),"")</f>
        <v>17.72</v>
      </c>
      <c r="U128" s="108">
        <f t="array" ref="U128">IF(ISNUMBER(AC128),INDEX('All Player Data Store'!$Q$7:$Q$594,SMALL(IF('All Player Data Store'!$Y$7:$Y$594=AC128,ROW('All Player Data Store'!$Y$7:$Y$594)-ROW('All Player Data Store'!$Y$7)+1),COUNTIF($AC$8:AC128,AC128))),"")</f>
        <v>21.34</v>
      </c>
      <c r="V128" s="108">
        <f t="array" ref="V128">IF(ISNUMBER(AC128),INDEX('All Player Data Store'!$R$7:$R$594,SMALL(IF('All Player Data Store'!$Y$7:$Y$594=AC128,ROW('All Player Data Store'!$Y$7:$Y$594)-ROW('All Player Data Store'!$Y$7)+1),COUNTIF($AC$8:AC128,AC128))),"")</f>
        <v>22.73</v>
      </c>
      <c r="W128" s="108" t="str">
        <f t="array" ref="W128">IF(ISNUMBER(AC128),INDEX('All Player Data Store'!$S$7:$S$594,SMALL(IF('All Player Data Store'!$Y$7:$Y$594=AC128,ROW('All Player Data Store'!$Y$7:$Y$594)-ROW('All Player Data Store'!$Y$7)+1),COUNTIF($AC$8:AC128,AC128))),"")</f>
        <v/>
      </c>
      <c r="X128" s="108" t="str">
        <f t="array" ref="X128">IF(ISNUMBER(AC128),INDEX('All Player Data Store'!$T$7:$T$594,SMALL(IF('All Player Data Store'!$Y$7:$Y$594=AC128,ROW('All Player Data Store'!$Y$7:$Y$594)-ROW('All Player Data Store'!$Y$7)+1),COUNTIF($AC$8:AC128,AC128))),"")</f>
        <v/>
      </c>
      <c r="Y128" s="108" t="str">
        <f t="array" ref="Y128">IF(ISNUMBER(AC128),INDEX('All Player Data Store'!$U$7:$U$594,SMALL(IF('All Player Data Store'!$Y$7:$Y$594=AC128,ROW('All Player Data Store'!$Y$7:$Y$594)-ROW('All Player Data Store'!$Y$7)+1),COUNTIF($AC$8:AC128,AC128))),"")</f>
        <v/>
      </c>
      <c r="Z128" s="108" t="str">
        <f t="array" ref="Z128">IF(ISNUMBER(AC128),INDEX('All Player Data Store'!$V$7:$V$594,SMALL(IF('All Player Data Store'!$Y$7:$Y$594=AC128,ROW('All Player Data Store'!$Y$7:$Y$594)-ROW('All Player Data Store'!$Y$7)+1),COUNTIF($AC$8:AC128,AC128))),"")</f>
        <v/>
      </c>
      <c r="AA128" s="112">
        <f t="array" ref="AA128">IF(ISNUMBER(AC128),INDEX('All Player Data Store'!$W$7:$W$594,SMALL(IF('All Player Data Store'!$Y$7:$Y$594=AC128,ROW('All Player Data Store'!$Y$7:$Y$594)-ROW('All Player Data Store'!$Y$7)+1),COUNTIF($AC$8:AC128,AC128))),"")</f>
        <v>1</v>
      </c>
      <c r="AB128" s="108">
        <f t="array" ref="AB128">IF(ISNUMBER(AC128),INDEX('All Player Data Store'!$X$7:$X$594,SMALL(IF('All Player Data Store'!$Y$7:$Y$594=AC128,ROW('All Player Data Store'!$Y$7:$Y$594)-ROW('All Player Data Store'!$Y$7)+1),COUNTIF($AC$8:AC128,AC128))),"")</f>
        <v>21.235714285714288</v>
      </c>
      <c r="AC128" s="115">
        <f>IF(ISERROR(IF(ISERROR(LARGE('All Player Data Store'!$Y$7:$Y$594,121)),"",(LARGE('All Player Data Store'!$Y$7:$Y$594,121)))),"",(IF(ISERROR(LARGE('All Player Data Store'!$Y$7:$Y$594,121)),"",(LARGE('All Player Data Store'!$Y$7:$Y$594,121)))))</f>
        <v>22.235714285714288</v>
      </c>
      <c r="AD128" s="106">
        <f t="shared" si="16"/>
        <v>3</v>
      </c>
      <c r="AE128" s="107" t="str">
        <f t="array" ref="AE128">IF(ISNUMBER(AC128),INDEX('All Player Data Store'!$J$8:$J$594,SMALL(IF('All Player Data Store'!$Y$7:$Y$594=AC128,ROW('All Player Data Store'!$Y$7:$Y$594)-ROW('All Player Data Store'!$Y$7)+1),COUNTIF($AC$8:AC128,AC128))),"")</f>
        <v/>
      </c>
      <c r="AF128" s="108" t="str">
        <f t="shared" si="3"/>
        <v/>
      </c>
      <c r="AG128" s="108" t="str">
        <f t="array" ref="AG128">IF(ISNUMBER(AC128),INDEX('All Player Data Store'!$K$8:$K$594,SMALL(IF('All Player Data Store'!$Y$7:$Y$594=AC128,ROW('All Player Data Store'!$Y$7:$Y$594)-ROW('All Player Data Store'!$Y$7)+1),COUNTIF($AC$8:AC128,AC128))),"")</f>
        <v/>
      </c>
      <c r="AH128" s="108" t="str">
        <f t="shared" si="4"/>
        <v/>
      </c>
      <c r="AI128" s="108" t="str">
        <f t="array" ref="AI128">IF(ISNUMBER(AC128),INDEX('All Player Data Store'!$L$8:$L$594,SMALL(IF('All Player Data Store'!$Y$7:$Y$594=AC128,ROW('All Player Data Store'!$Y$7:$Y$594)-ROW('All Player Data Store'!$Y$7)+1),COUNTIF($AC$8:AC128,AC128))),"")</f>
        <v>4*3</v>
      </c>
      <c r="AJ128" s="108">
        <f t="shared" si="5"/>
        <v>20.350000000000001</v>
      </c>
      <c r="AK128" s="108" t="str">
        <f t="array" ref="AK128">IF(ISNUMBER(AC128),INDEX('All Player Data Store'!$M$8:$M$594,SMALL(IF('All Player Data Store'!$Y$7:$Y$594=AC128,ROW('All Player Data Store'!$Y$7:$Y$594)-ROW('All Player Data Store'!$Y$7)+1),COUNTIF($AC$8:AC128,AC128))),"")</f>
        <v>3*4(1)</v>
      </c>
      <c r="AL128" s="108">
        <f t="shared" si="6"/>
        <v>21.24</v>
      </c>
      <c r="AM128" s="108" t="str">
        <f t="array" ref="AM128">IF(ISNUMBER(AC128),INDEX('All Player Data Store'!$N$8:$N$594,SMALL(IF('All Player Data Store'!$Y$7:$Y$594=AC128,ROW('All Player Data Store'!$Y$7:$Y$594)-ROW('All Player Data Store'!$Y$7)+1),COUNTIF($AC$8:AC128,AC128))),"")</f>
        <v>0*4</v>
      </c>
      <c r="AN128" s="108">
        <f t="shared" si="7"/>
        <v>25.9</v>
      </c>
      <c r="AO128" s="108" t="str">
        <f t="array" ref="AO128">IF(ISNUMBER(AC128),INDEX('All Player Data Store'!$O$8:$O$594,SMALL(IF('All Player Data Store'!$Y$7:$Y$594=AC128,ROW('All Player Data Store'!$Y$7:$Y$594)-ROW('All Player Data Store'!$Y$7)+1),COUNTIF($AC$8:AC128,AC128))),"")</f>
        <v>2*4</v>
      </c>
      <c r="AP128" s="108">
        <f t="shared" si="8"/>
        <v>20.37</v>
      </c>
      <c r="AQ128" s="108" t="str">
        <f t="array" ref="AQ128">IF(ISNUMBER(AC128),INDEX('All Player Data Store'!$P$8:$P$594,SMALL(IF('All Player Data Store'!$Y$7:$Y$594=AC128,ROW('All Player Data Store'!$Y$7:$Y$594)-ROW('All Player Data Store'!$Y$7)+1),COUNTIF($AC$8:AC128,AC128))),"")</f>
        <v>2*4</v>
      </c>
      <c r="AR128" s="108">
        <f t="shared" si="9"/>
        <v>17.72</v>
      </c>
      <c r="AS128" s="108" t="str">
        <f t="array" ref="AS128">IF(ISNUMBER(AC128),INDEX('All Player Data Store'!$Q$8:$Q$594,SMALL(IF('All Player Data Store'!$Y$7:$Y$594=AC128,ROW('All Player Data Store'!$Y$7:$Y$594)-ROW('All Player Data Store'!$Y$7)+1),COUNTIF($AC$8:AC128,AC128))),"")</f>
        <v>3*4</v>
      </c>
      <c r="AT128" s="108">
        <f t="shared" si="10"/>
        <v>21.34</v>
      </c>
      <c r="AU128" s="108" t="str">
        <f t="array" ref="AU128">IF(ISNUMBER(AC128),INDEX('All Player Data Store'!$R$8:$R$594,SMALL(IF('All Player Data Store'!$Y$7:$Y$594=AC128,ROW('All Player Data Store'!$Y$7:$Y$594)-ROW('All Player Data Store'!$Y$7)+1),COUNTIF($AC$8:AC128,AC128))),"")</f>
        <v>3*4</v>
      </c>
      <c r="AV128" s="108">
        <f t="shared" si="11"/>
        <v>22.73</v>
      </c>
      <c r="AW128" s="108" t="str">
        <f t="array" ref="AW128">IF(ISNUMBER(AC128),INDEX('All Player Data Store'!$S$8:$S$594,SMALL(IF('All Player Data Store'!$Y$7:$Y$594=AC128,ROW('All Player Data Store'!$Y$7:$Y$594)-ROW('All Player Data Store'!$Y$7)+1),COUNTIF($AC$8:AC128,AC128))),"")</f>
        <v/>
      </c>
      <c r="AX128" s="108" t="str">
        <f t="shared" si="12"/>
        <v/>
      </c>
      <c r="AY128" s="108" t="str">
        <f t="array" ref="AY128">IF(ISNUMBER(AC128),INDEX('All Player Data Store'!$T$8:$T$594,SMALL(IF('All Player Data Store'!$Y$7:$Y$594=AC128,ROW('All Player Data Store'!$Y$7:$Y$594)-ROW('All Player Data Store'!$Y$7)+1),COUNTIF($AC$8:AC128,AC128))),"")</f>
        <v/>
      </c>
      <c r="AZ128" s="108" t="str">
        <f t="shared" si="13"/>
        <v/>
      </c>
      <c r="BA128" s="108" t="str">
        <f t="array" ref="BA128">IF(ISNUMBER(AC128),INDEX('All Player Data Store'!$U$8:$U$594,SMALL(IF('All Player Data Store'!$Y$7:$Y$594=AC128,ROW('All Player Data Store'!$Y$7:$Y$594)-ROW('All Player Data Store'!$Y$7)+1),COUNTIF($AC$8:AC128,AC128))),"")</f>
        <v/>
      </c>
      <c r="BB128" s="108" t="str">
        <f t="shared" si="14"/>
        <v/>
      </c>
      <c r="BC128" s="108" t="str">
        <f t="array" ref="BC128">IF(ISNUMBER(AC128),INDEX('All Player Data Store'!$V$8:$V$594,SMALL(IF('All Player Data Store'!$Y$7:$Y$594=AC128,ROW('All Player Data Store'!$Y$7:$Y$594)-ROW('All Player Data Store'!$Y$7)+1),COUNTIF($AC$8:AC128,AC128))),"")</f>
        <v/>
      </c>
      <c r="BD128" s="108" t="str">
        <f t="shared" si="15"/>
        <v/>
      </c>
      <c r="BE128" s="1"/>
    </row>
    <row r="129" spans="2:57" ht="12" customHeight="1" x14ac:dyDescent="0.2">
      <c r="B129" s="98" t="str">
        <f t="shared" si="0"/>
        <v>N</v>
      </c>
      <c r="C129" s="1"/>
      <c r="D129" s="68">
        <f t="shared" si="1"/>
        <v>122</v>
      </c>
      <c r="E129" s="2"/>
      <c r="F129" s="78">
        <v>122</v>
      </c>
      <c r="G129" s="110" t="str">
        <f t="array" ref="G129">IF(ISNUMBER(AC129),INDEX('All Player Data Store'!$C$7:$C$594,SMALL(IF('All Player Data Store'!$Y$7:$Y$594=AC129,ROW('All Player Data Store'!$Y$7:$Y$594)-ROW('All Player Data Store'!$Y$7)+1),COUNTIF($AC$8:AC129,AC129))),"")</f>
        <v xml:space="preserve">Rob Millward </v>
      </c>
      <c r="H129" s="111" t="str">
        <f t="array" ref="H129">IF(ISNUMBER(AC129),INDEX('All Player Data Store'!$D$7:$D$594,SMALL(IF('All Player Data Store'!$Y$7:$Y$594=AC129,ROW('All Player Data Store'!$Y$7:$Y$594)-ROW('All Player Data Store'!$Y$7)+1),COUNTIF($AC$8:AC129,AC129))),"")</f>
        <v>Bri</v>
      </c>
      <c r="I129" s="69">
        <f t="array" ref="I129">IF(ISNUMBER(AC129),INDEX('All Player Data Store'!$E$7:$E$594,SMALL(IF('All Player Data Store'!$Y$7:$Y$594=AC129,ROW('All Player Data Store'!$Y$7:$Y$594)-ROW('All Player Data Store'!$Y$7)+1),COUNTIF($AC$8:AC129,AC129))),"")</f>
        <v>9</v>
      </c>
      <c r="J129" s="70">
        <f t="array" ref="J129">IF(ISNUMBER(AC129),INDEX('All Player Data Store'!$F$7:$F$594,SMALL(IF('All Player Data Store'!$Y$7:$Y$594=AC129,ROW('All Player Data Store'!$Y$7:$Y$594)-ROW('All Player Data Store'!$Y$7)+1),COUNTIF($AC$8:AC129,AC129))),"")</f>
        <v>2</v>
      </c>
      <c r="K129" s="112">
        <f t="array" ref="K129">IF(ISNUMBER(AC129),INDEX('All Player Data Store'!$G$7:$G$594,SMALL(IF('All Player Data Store'!$Y$7:$Y$594=AC129,ROW('All Player Data Store'!$Y$7:$Y$594)-ROW('All Player Data Store'!$Y$7)+1),COUNTIF($AC$8:AC129,AC129))),"")</f>
        <v>7</v>
      </c>
      <c r="L129" s="112">
        <f t="array" ref="L129">IF(ISNUMBER(AC129),INDEX('All Player Data Store'!$H$7:$H$594,SMALL(IF('All Player Data Store'!$Y$7:$Y$594=AC129,ROW('All Player Data Store'!$Y$7:$Y$594)-ROW('All Player Data Store'!$Y$7)+1),COUNTIF($AC$8:AC129,AC129))),"")</f>
        <v>17</v>
      </c>
      <c r="M129" s="113">
        <f t="array" ref="M129">IF(ISNUMBER(AC129),INDEX('All Player Data Store'!$I$7:$I$594,SMALL(IF('All Player Data Store'!$Y$7:$Y$594=AC129,ROW('All Player Data Store'!$Y$7:$Y$594)-ROW('All Player Data Store'!$Y$7)+1),COUNTIF($AC$8:AC129,AC129))),"")</f>
        <v>31</v>
      </c>
      <c r="N129" s="114">
        <f t="array" ref="N129">IF(ISNUMBER(AC129),INDEX('All Player Data Store'!$J$7:$J$594,SMALL(IF('All Player Data Store'!$Y$7:$Y$594=AC129,ROW('All Player Data Store'!$Y$7:$Y$594)-ROW('All Player Data Store'!$Y$7)+1),COUNTIF($AC$8:AC129,AC129))),"")</f>
        <v>22.44</v>
      </c>
      <c r="O129" s="108">
        <f t="array" ref="O129">IF(ISNUMBER(AC129),INDEX('All Player Data Store'!$K$7:$K$594,SMALL(IF('All Player Data Store'!$Y$7:$Y$594=AC129,ROW('All Player Data Store'!$Y$7:$Y$594)-ROW('All Player Data Store'!$Y$7)+1),COUNTIF($AC$8:AC129,AC129))),"")</f>
        <v>18.440000000000001</v>
      </c>
      <c r="P129" s="108">
        <f t="array" ref="P129">IF(ISNUMBER(AC129),INDEX('All Player Data Store'!$L$7:$L$594,SMALL(IF('All Player Data Store'!$Y$7:$Y$594=AC129,ROW('All Player Data Store'!$Y$7:$Y$594)-ROW('All Player Data Store'!$Y$7)+1),COUNTIF($AC$8:AC129,AC129))),"")</f>
        <v>18.32</v>
      </c>
      <c r="Q129" s="108">
        <f t="array" ref="Q129">IF(ISNUMBER(AC129),INDEX('All Player Data Store'!$M$7:$M$594,SMALL(IF('All Player Data Store'!$Y$7:$Y$594=AC129,ROW('All Player Data Store'!$Y$7:$Y$594)-ROW('All Player Data Store'!$Y$7)+1),COUNTIF($AC$8:AC129,AC129))),"")</f>
        <v>20.81</v>
      </c>
      <c r="R129" s="108">
        <f t="array" ref="R129">IF(ISNUMBER(AC129),INDEX('All Player Data Store'!$N$7:$N$594,SMALL(IF('All Player Data Store'!$Y$7:$Y$594=AC129,ROW('All Player Data Store'!$Y$7:$Y$594)-ROW('All Player Data Store'!$Y$7)+1),COUNTIF($AC$8:AC129,AC129))),"")</f>
        <v>19.95</v>
      </c>
      <c r="S129" s="108">
        <f t="array" ref="S129">IF(ISNUMBER(AC129),INDEX('All Player Data Store'!$O$7:$O$594,SMALL(IF('All Player Data Store'!$Y$7:$Y$594=AC129,ROW('All Player Data Store'!$Y$7:$Y$594)-ROW('All Player Data Store'!$Y$7)+1),COUNTIF($AC$8:AC129,AC129))),"")</f>
        <v>19.89</v>
      </c>
      <c r="T129" s="108" t="str">
        <f t="array" ref="T129">IF(ISNUMBER(AC129),INDEX('All Player Data Store'!$P$7:$P$594,SMALL(IF('All Player Data Store'!$Y$7:$Y$594=AC129,ROW('All Player Data Store'!$Y$7:$Y$594)-ROW('All Player Data Store'!$Y$7)+1),COUNTIF($AC$8:AC129,AC129))),"")</f>
        <v/>
      </c>
      <c r="U129" s="108" t="str">
        <f t="array" ref="U129">IF(ISNUMBER(AC129),INDEX('All Player Data Store'!$Q$7:$Q$594,SMALL(IF('All Player Data Store'!$Y$7:$Y$594=AC129,ROW('All Player Data Store'!$Y$7:$Y$594)-ROW('All Player Data Store'!$Y$7)+1),COUNTIF($AC$8:AC129,AC129))),"")</f>
        <v/>
      </c>
      <c r="V129" s="108" t="str">
        <f t="array" ref="V129">IF(ISNUMBER(AC129),INDEX('All Player Data Store'!$R$7:$R$594,SMALL(IF('All Player Data Store'!$Y$7:$Y$594=AC129,ROW('All Player Data Store'!$Y$7:$Y$594)-ROW('All Player Data Store'!$Y$7)+1),COUNTIF($AC$8:AC129,AC129))),"")</f>
        <v/>
      </c>
      <c r="W129" s="108">
        <f t="array" ref="W129">IF(ISNUMBER(AC129),INDEX('All Player Data Store'!$S$7:$S$594,SMALL(IF('All Player Data Store'!$Y$7:$Y$594=AC129,ROW('All Player Data Store'!$Y$7:$Y$594)-ROW('All Player Data Store'!$Y$7)+1),COUNTIF($AC$8:AC129,AC129))),"")</f>
        <v>20.43</v>
      </c>
      <c r="X129" s="108">
        <f t="array" ref="X129">IF(ISNUMBER(AC129),INDEX('All Player Data Store'!$T$7:$T$594,SMALL(IF('All Player Data Store'!$Y$7:$Y$594=AC129,ROW('All Player Data Store'!$Y$7:$Y$594)-ROW('All Player Data Store'!$Y$7)+1),COUNTIF($AC$8:AC129,AC129))),"")</f>
        <v>21.35</v>
      </c>
      <c r="Y129" s="108">
        <f t="array" ref="Y129">IF(ISNUMBER(AC129),INDEX('All Player Data Store'!$U$7:$U$594,SMALL(IF('All Player Data Store'!$Y$7:$Y$594=AC129,ROW('All Player Data Store'!$Y$7:$Y$594)-ROW('All Player Data Store'!$Y$7)+1),COUNTIF($AC$8:AC129,AC129))),"")</f>
        <v>20.45</v>
      </c>
      <c r="Z129" s="108" t="str">
        <f t="array" ref="Z129">IF(ISNUMBER(AC129),INDEX('All Player Data Store'!$V$7:$V$594,SMALL(IF('All Player Data Store'!$Y$7:$Y$594=AC129,ROW('All Player Data Store'!$Y$7:$Y$594)-ROW('All Player Data Store'!$Y$7)+1),COUNTIF($AC$8:AC129,AC129))),"")</f>
        <v/>
      </c>
      <c r="AA129" s="112" t="str">
        <f t="array" ref="AA129">IF(ISNUMBER(AC129),INDEX('All Player Data Store'!$W$7:$W$594,SMALL(IF('All Player Data Store'!$Y$7:$Y$594=AC129,ROW('All Player Data Store'!$Y$7:$Y$594)-ROW('All Player Data Store'!$Y$7)+1),COUNTIF($AC$8:AC129,AC129))),"")</f>
        <v/>
      </c>
      <c r="AB129" s="108">
        <f t="array" ref="AB129">IF(ISNUMBER(AC129),INDEX('All Player Data Store'!$X$7:$X$594,SMALL(IF('All Player Data Store'!$Y$7:$Y$594=AC129,ROW('All Player Data Store'!$Y$7:$Y$594)-ROW('All Player Data Store'!$Y$7)+1),COUNTIF($AC$8:AC129,AC129))),"")</f>
        <v>20.231111111111108</v>
      </c>
      <c r="AC129" s="115">
        <f>IF(ISERROR(IF(ISERROR(LARGE('All Player Data Store'!$Y$7:$Y$594,122)),"",(LARGE('All Player Data Store'!$Y$7:$Y$594,122)))),"",(IF(ISERROR(LARGE('All Player Data Store'!$Y$7:$Y$594,122)),"",(LARGE('All Player Data Store'!$Y$7:$Y$594,122)))))</f>
        <v>22.231111111111108</v>
      </c>
      <c r="AD129" s="106">
        <f t="shared" si="16"/>
        <v>3</v>
      </c>
      <c r="AE129" s="107" t="str">
        <f t="array" ref="AE129">IF(ISNUMBER(AC129),INDEX('All Player Data Store'!$J$8:$J$594,SMALL(IF('All Player Data Store'!$Y$7:$Y$594=AC129,ROW('All Player Data Store'!$Y$7:$Y$594)-ROW('All Player Data Store'!$Y$7)+1),COUNTIF($AC$8:AC129,AC129))),"")</f>
        <v>1*4</v>
      </c>
      <c r="AF129" s="108">
        <f t="shared" si="3"/>
        <v>22.44</v>
      </c>
      <c r="AG129" s="108" t="str">
        <f t="array" ref="AG129">IF(ISNUMBER(AC129),INDEX('All Player Data Store'!$K$8:$K$594,SMALL(IF('All Player Data Store'!$Y$7:$Y$594=AC129,ROW('All Player Data Store'!$Y$7:$Y$594)-ROW('All Player Data Store'!$Y$7)+1),COUNTIF($AC$8:AC129,AC129))),"")</f>
        <v>0*4</v>
      </c>
      <c r="AH129" s="108">
        <f t="shared" si="4"/>
        <v>18.440000000000001</v>
      </c>
      <c r="AI129" s="108" t="str">
        <f t="array" ref="AI129">IF(ISNUMBER(AC129),INDEX('All Player Data Store'!$L$8:$L$594,SMALL(IF('All Player Data Store'!$Y$7:$Y$594=AC129,ROW('All Player Data Store'!$Y$7:$Y$594)-ROW('All Player Data Store'!$Y$7)+1),COUNTIF($AC$8:AC129,AC129))),"")</f>
        <v>4*1</v>
      </c>
      <c r="AJ129" s="108">
        <f t="shared" si="5"/>
        <v>19.32</v>
      </c>
      <c r="AK129" s="108" t="str">
        <f t="array" ref="AK129">IF(ISNUMBER(AC129),INDEX('All Player Data Store'!$M$8:$M$594,SMALL(IF('All Player Data Store'!$Y$7:$Y$594=AC129,ROW('All Player Data Store'!$Y$7:$Y$594)-ROW('All Player Data Store'!$Y$7)+1),COUNTIF($AC$8:AC129,AC129))),"")</f>
        <v>4*2</v>
      </c>
      <c r="AL129" s="108">
        <f t="shared" si="6"/>
        <v>21.81</v>
      </c>
      <c r="AM129" s="108" t="str">
        <f t="array" ref="AM129">IF(ISNUMBER(AC129),INDEX('All Player Data Store'!$N$8:$N$594,SMALL(IF('All Player Data Store'!$Y$7:$Y$594=AC129,ROW('All Player Data Store'!$Y$7:$Y$594)-ROW('All Player Data Store'!$Y$7)+1),COUNTIF($AC$8:AC129,AC129))),"")</f>
        <v>1*4</v>
      </c>
      <c r="AN129" s="108">
        <f t="shared" si="7"/>
        <v>19.95</v>
      </c>
      <c r="AO129" s="108" t="str">
        <f t="array" ref="AO129">IF(ISNUMBER(AC129),INDEX('All Player Data Store'!$O$8:$O$594,SMALL(IF('All Player Data Store'!$Y$7:$Y$594=AC129,ROW('All Player Data Store'!$Y$7:$Y$594)-ROW('All Player Data Store'!$Y$7)+1),COUNTIF($AC$8:AC129,AC129))),"")</f>
        <v>2*4</v>
      </c>
      <c r="AP129" s="108">
        <f t="shared" si="8"/>
        <v>19.89</v>
      </c>
      <c r="AQ129" s="108" t="str">
        <f t="array" ref="AQ129">IF(ISNUMBER(AC129),INDEX('All Player Data Store'!$P$8:$P$594,SMALL(IF('All Player Data Store'!$Y$7:$Y$594=AC129,ROW('All Player Data Store'!$Y$7:$Y$594)-ROW('All Player Data Store'!$Y$7)+1),COUNTIF($AC$8:AC129,AC129))),"")</f>
        <v/>
      </c>
      <c r="AR129" s="108" t="str">
        <f t="shared" si="9"/>
        <v/>
      </c>
      <c r="AS129" s="108" t="str">
        <f t="array" ref="AS129">IF(ISNUMBER(AC129),INDEX('All Player Data Store'!$Q$8:$Q$594,SMALL(IF('All Player Data Store'!$Y$7:$Y$594=AC129,ROW('All Player Data Store'!$Y$7:$Y$594)-ROW('All Player Data Store'!$Y$7)+1),COUNTIF($AC$8:AC129,AC129))),"")</f>
        <v/>
      </c>
      <c r="AT129" s="108" t="str">
        <f t="shared" si="10"/>
        <v/>
      </c>
      <c r="AU129" s="108" t="str">
        <f t="array" ref="AU129">IF(ISNUMBER(AC129),INDEX('All Player Data Store'!$R$8:$R$594,SMALL(IF('All Player Data Store'!$Y$7:$Y$594=AC129,ROW('All Player Data Store'!$Y$7:$Y$594)-ROW('All Player Data Store'!$Y$7)+1),COUNTIF($AC$8:AC129,AC129))),"")</f>
        <v/>
      </c>
      <c r="AV129" s="108" t="str">
        <f t="shared" si="11"/>
        <v/>
      </c>
      <c r="AW129" s="108" t="str">
        <f t="array" ref="AW129">IF(ISNUMBER(AC129),INDEX('All Player Data Store'!$S$8:$S$594,SMALL(IF('All Player Data Store'!$Y$7:$Y$594=AC129,ROW('All Player Data Store'!$Y$7:$Y$594)-ROW('All Player Data Store'!$Y$7)+1),COUNTIF($AC$8:AC129,AC129))),"")</f>
        <v>2*4</v>
      </c>
      <c r="AX129" s="108">
        <f t="shared" si="12"/>
        <v>20.43</v>
      </c>
      <c r="AY129" s="108" t="str">
        <f t="array" ref="AY129">IF(ISNUMBER(AC129),INDEX('All Player Data Store'!$T$8:$T$594,SMALL(IF('All Player Data Store'!$Y$7:$Y$594=AC129,ROW('All Player Data Store'!$Y$7:$Y$594)-ROW('All Player Data Store'!$Y$7)+1),COUNTIF($AC$8:AC129,AC129))),"")</f>
        <v>0*4</v>
      </c>
      <c r="AZ129" s="108">
        <f t="shared" si="13"/>
        <v>21.35</v>
      </c>
      <c r="BA129" s="108" t="str">
        <f t="array" ref="BA129">IF(ISNUMBER(AC129),INDEX('All Player Data Store'!$U$8:$U$594,SMALL(IF('All Player Data Store'!$Y$7:$Y$594=AC129,ROW('All Player Data Store'!$Y$7:$Y$594)-ROW('All Player Data Store'!$Y$7)+1),COUNTIF($AC$8:AC129,AC129))),"")</f>
        <v>3*4</v>
      </c>
      <c r="BB129" s="108">
        <f t="shared" si="14"/>
        <v>20.45</v>
      </c>
      <c r="BC129" s="108" t="str">
        <f t="array" ref="BC129">IF(ISNUMBER(AC129),INDEX('All Player Data Store'!$V$8:$V$594,SMALL(IF('All Player Data Store'!$Y$7:$Y$594=AC129,ROW('All Player Data Store'!$Y$7:$Y$594)-ROW('All Player Data Store'!$Y$7)+1),COUNTIF($AC$8:AC129,AC129))),"")</f>
        <v/>
      </c>
      <c r="BD129" s="108" t="str">
        <f t="shared" si="15"/>
        <v/>
      </c>
      <c r="BE129" s="1"/>
    </row>
    <row r="130" spans="2:57" ht="12" customHeight="1" x14ac:dyDescent="0.2">
      <c r="B130" s="98" t="str">
        <f t="shared" si="0"/>
        <v>N</v>
      </c>
      <c r="C130" s="1"/>
      <c r="D130" s="68">
        <f t="shared" si="1"/>
        <v>123</v>
      </c>
      <c r="E130" s="2"/>
      <c r="F130" s="78">
        <v>123</v>
      </c>
      <c r="G130" s="110" t="str">
        <f t="array" ref="G130">IF(ISNUMBER(AC130),INDEX('All Player Data Store'!$C$7:$C$594,SMALL(IF('All Player Data Store'!$Y$7:$Y$594=AC130,ROW('All Player Data Store'!$Y$7:$Y$594)-ROW('All Player Data Store'!$Y$7)+1),COUNTIF($AC$8:AC130,AC130))),"")</f>
        <v>Sam Ward</v>
      </c>
      <c r="H130" s="111" t="str">
        <f t="array" ref="H130">IF(ISNUMBER(AC130),INDEX('All Player Data Store'!$D$7:$D$594,SMALL(IF('All Player Data Store'!$Y$7:$Y$594=AC130,ROW('All Player Data Store'!$Y$7:$Y$594)-ROW('All Player Data Store'!$Y$7)+1),COUNTIF($AC$8:AC130,AC130))),"")</f>
        <v>Poo</v>
      </c>
      <c r="I130" s="69">
        <f t="array" ref="I130">IF(ISNUMBER(AC130),INDEX('All Player Data Store'!$E$7:$E$594,SMALL(IF('All Player Data Store'!$Y$7:$Y$594=AC130,ROW('All Player Data Store'!$Y$7:$Y$594)-ROW('All Player Data Store'!$Y$7)+1),COUNTIF($AC$8:AC130,AC130))),"")</f>
        <v>1</v>
      </c>
      <c r="J130" s="70" t="str">
        <f t="array" ref="J130">IF(ISNUMBER(AC130),INDEX('All Player Data Store'!$F$7:$F$594,SMALL(IF('All Player Data Store'!$Y$7:$Y$594=AC130,ROW('All Player Data Store'!$Y$7:$Y$594)-ROW('All Player Data Store'!$Y$7)+1),COUNTIF($AC$8:AC130,AC130))),"")</f>
        <v/>
      </c>
      <c r="K130" s="112">
        <f t="array" ref="K130">IF(ISNUMBER(AC130),INDEX('All Player Data Store'!$G$7:$G$594,SMALL(IF('All Player Data Store'!$Y$7:$Y$594=AC130,ROW('All Player Data Store'!$Y$7:$Y$594)-ROW('All Player Data Store'!$Y$7)+1),COUNTIF($AC$8:AC130,AC130))),"")</f>
        <v>1</v>
      </c>
      <c r="L130" s="112">
        <f t="array" ref="L130">IF(ISNUMBER(AC130),INDEX('All Player Data Store'!$H$7:$H$594,SMALL(IF('All Player Data Store'!$Y$7:$Y$594=AC130,ROW('All Player Data Store'!$Y$7:$Y$594)-ROW('All Player Data Store'!$Y$7)+1),COUNTIF($AC$8:AC130,AC130))),"")</f>
        <v>1</v>
      </c>
      <c r="M130" s="113">
        <f t="array" ref="M130">IF(ISNUMBER(AC130),INDEX('All Player Data Store'!$I$7:$I$594,SMALL(IF('All Player Data Store'!$Y$7:$Y$594=AC130,ROW('All Player Data Store'!$Y$7:$Y$594)-ROW('All Player Data Store'!$Y$7)+1),COUNTIF($AC$8:AC130,AC130))),"")</f>
        <v>4</v>
      </c>
      <c r="N130" s="114" t="str">
        <f t="array" ref="N130">IF(ISNUMBER(AC130),INDEX('All Player Data Store'!$J$7:$J$594,SMALL(IF('All Player Data Store'!$Y$7:$Y$594=AC130,ROW('All Player Data Store'!$Y$7:$Y$594)-ROW('All Player Data Store'!$Y$7)+1),COUNTIF($AC$8:AC130,AC130))),"")</f>
        <v/>
      </c>
      <c r="O130" s="108" t="str">
        <f t="array" ref="O130">IF(ISNUMBER(AC130),INDEX('All Player Data Store'!$K$7:$K$594,SMALL(IF('All Player Data Store'!$Y$7:$Y$594=AC130,ROW('All Player Data Store'!$Y$7:$Y$594)-ROW('All Player Data Store'!$Y$7)+1),COUNTIF($AC$8:AC130,AC130))),"")</f>
        <v/>
      </c>
      <c r="P130" s="108" t="str">
        <f t="array" ref="P130">IF(ISNUMBER(AC130),INDEX('All Player Data Store'!$L$7:$L$594,SMALL(IF('All Player Data Store'!$Y$7:$Y$594=AC130,ROW('All Player Data Store'!$Y$7:$Y$594)-ROW('All Player Data Store'!$Y$7)+1),COUNTIF($AC$8:AC130,AC130))),"")</f>
        <v/>
      </c>
      <c r="Q130" s="108" t="str">
        <f t="array" ref="Q130">IF(ISNUMBER(AC130),INDEX('All Player Data Store'!$M$7:$M$594,SMALL(IF('All Player Data Store'!$Y$7:$Y$594=AC130,ROW('All Player Data Store'!$Y$7:$Y$594)-ROW('All Player Data Store'!$Y$7)+1),COUNTIF($AC$8:AC130,AC130))),"")</f>
        <v/>
      </c>
      <c r="R130" s="108">
        <f t="array" ref="R130">IF(ISNUMBER(AC130),INDEX('All Player Data Store'!$N$7:$N$594,SMALL(IF('All Player Data Store'!$Y$7:$Y$594=AC130,ROW('All Player Data Store'!$Y$7:$Y$594)-ROW('All Player Data Store'!$Y$7)+1),COUNTIF($AC$8:AC130,AC130))),"")</f>
        <v>22.13</v>
      </c>
      <c r="S130" s="108" t="str">
        <f t="array" ref="S130">IF(ISNUMBER(AC130),INDEX('All Player Data Store'!$O$7:$O$594,SMALL(IF('All Player Data Store'!$Y$7:$Y$594=AC130,ROW('All Player Data Store'!$Y$7:$Y$594)-ROW('All Player Data Store'!$Y$7)+1),COUNTIF($AC$8:AC130,AC130))),"")</f>
        <v/>
      </c>
      <c r="T130" s="108" t="str">
        <f t="array" ref="T130">IF(ISNUMBER(AC130),INDEX('All Player Data Store'!$P$7:$P$594,SMALL(IF('All Player Data Store'!$Y$7:$Y$594=AC130,ROW('All Player Data Store'!$Y$7:$Y$594)-ROW('All Player Data Store'!$Y$7)+1),COUNTIF($AC$8:AC130,AC130))),"")</f>
        <v/>
      </c>
      <c r="U130" s="108" t="str">
        <f t="array" ref="U130">IF(ISNUMBER(AC130),INDEX('All Player Data Store'!$Q$7:$Q$594,SMALL(IF('All Player Data Store'!$Y$7:$Y$594=AC130,ROW('All Player Data Store'!$Y$7:$Y$594)-ROW('All Player Data Store'!$Y$7)+1),COUNTIF($AC$8:AC130,AC130))),"")</f>
        <v/>
      </c>
      <c r="V130" s="108" t="str">
        <f t="array" ref="V130">IF(ISNUMBER(AC130),INDEX('All Player Data Store'!$R$7:$R$594,SMALL(IF('All Player Data Store'!$Y$7:$Y$594=AC130,ROW('All Player Data Store'!$Y$7:$Y$594)-ROW('All Player Data Store'!$Y$7)+1),COUNTIF($AC$8:AC130,AC130))),"")</f>
        <v/>
      </c>
      <c r="W130" s="108" t="str">
        <f t="array" ref="W130">IF(ISNUMBER(AC130),INDEX('All Player Data Store'!$S$7:$S$594,SMALL(IF('All Player Data Store'!$Y$7:$Y$594=AC130,ROW('All Player Data Store'!$Y$7:$Y$594)-ROW('All Player Data Store'!$Y$7)+1),COUNTIF($AC$8:AC130,AC130))),"")</f>
        <v/>
      </c>
      <c r="X130" s="108" t="str">
        <f t="array" ref="X130">IF(ISNUMBER(AC130),INDEX('All Player Data Store'!$T$7:$T$594,SMALL(IF('All Player Data Store'!$Y$7:$Y$594=AC130,ROW('All Player Data Store'!$Y$7:$Y$594)-ROW('All Player Data Store'!$Y$7)+1),COUNTIF($AC$8:AC130,AC130))),"")</f>
        <v/>
      </c>
      <c r="Y130" s="108" t="str">
        <f t="array" ref="Y130">IF(ISNUMBER(AC130),INDEX('All Player Data Store'!$U$7:$U$594,SMALL(IF('All Player Data Store'!$Y$7:$Y$594=AC130,ROW('All Player Data Store'!$Y$7:$Y$594)-ROW('All Player Data Store'!$Y$7)+1),COUNTIF($AC$8:AC130,AC130))),"")</f>
        <v/>
      </c>
      <c r="Z130" s="108" t="str">
        <f t="array" ref="Z130">IF(ISNUMBER(AC130),INDEX('All Player Data Store'!$V$7:$V$594,SMALL(IF('All Player Data Store'!$Y$7:$Y$594=AC130,ROW('All Player Data Store'!$Y$7:$Y$594)-ROW('All Player Data Store'!$Y$7)+1),COUNTIF($AC$8:AC130,AC130))),"")</f>
        <v/>
      </c>
      <c r="AA130" s="112" t="str">
        <f t="array" ref="AA130">IF(ISNUMBER(AC130),INDEX('All Player Data Store'!$W$7:$W$594,SMALL(IF('All Player Data Store'!$Y$7:$Y$594=AC130,ROW('All Player Data Store'!$Y$7:$Y$594)-ROW('All Player Data Store'!$Y$7)+1),COUNTIF($AC$8:AC130,AC130))),"")</f>
        <v/>
      </c>
      <c r="AB130" s="108">
        <f t="array" ref="AB130">IF(ISNUMBER(AC130),INDEX('All Player Data Store'!$X$7:$X$594,SMALL(IF('All Player Data Store'!$Y$7:$Y$594=AC130,ROW('All Player Data Store'!$Y$7:$Y$594)-ROW('All Player Data Store'!$Y$7)+1),COUNTIF($AC$8:AC130,AC130))),"")</f>
        <v>22.13</v>
      </c>
      <c r="AC130" s="115">
        <f>IF(ISERROR(IF(ISERROR(LARGE('All Player Data Store'!$Y$7:$Y$594,123)),"",(LARGE('All Player Data Store'!$Y$7:$Y$594,123)))),"",(IF(ISERROR(LARGE('All Player Data Store'!$Y$7:$Y$594,123)),"",(LARGE('All Player Data Store'!$Y$7:$Y$594,123)))))</f>
        <v>22.13</v>
      </c>
      <c r="AD130" s="106">
        <f t="shared" si="16"/>
        <v>3</v>
      </c>
      <c r="AE130" s="107" t="str">
        <f t="array" ref="AE130">IF(ISNUMBER(AC130),INDEX('All Player Data Store'!$J$8:$J$594,SMALL(IF('All Player Data Store'!$Y$7:$Y$594=AC130,ROW('All Player Data Store'!$Y$7:$Y$594)-ROW('All Player Data Store'!$Y$7)+1),COUNTIF($AC$8:AC130,AC130))),"")</f>
        <v/>
      </c>
      <c r="AF130" s="108" t="str">
        <f t="shared" si="3"/>
        <v/>
      </c>
      <c r="AG130" s="108" t="str">
        <f t="array" ref="AG130">IF(ISNUMBER(AC130),INDEX('All Player Data Store'!$K$8:$K$594,SMALL(IF('All Player Data Store'!$Y$7:$Y$594=AC130,ROW('All Player Data Store'!$Y$7:$Y$594)-ROW('All Player Data Store'!$Y$7)+1),COUNTIF($AC$8:AC130,AC130))),"")</f>
        <v/>
      </c>
      <c r="AH130" s="108" t="str">
        <f t="shared" si="4"/>
        <v/>
      </c>
      <c r="AI130" s="108" t="str">
        <f t="array" ref="AI130">IF(ISNUMBER(AC130),INDEX('All Player Data Store'!$L$8:$L$594,SMALL(IF('All Player Data Store'!$Y$7:$Y$594=AC130,ROW('All Player Data Store'!$Y$7:$Y$594)-ROW('All Player Data Store'!$Y$7)+1),COUNTIF($AC$8:AC130,AC130))),"")</f>
        <v/>
      </c>
      <c r="AJ130" s="108" t="str">
        <f t="shared" si="5"/>
        <v/>
      </c>
      <c r="AK130" s="108" t="str">
        <f t="array" ref="AK130">IF(ISNUMBER(AC130),INDEX('All Player Data Store'!$M$8:$M$594,SMALL(IF('All Player Data Store'!$Y$7:$Y$594=AC130,ROW('All Player Data Store'!$Y$7:$Y$594)-ROW('All Player Data Store'!$Y$7)+1),COUNTIF($AC$8:AC130,AC130))),"")</f>
        <v/>
      </c>
      <c r="AL130" s="108" t="str">
        <f t="shared" si="6"/>
        <v/>
      </c>
      <c r="AM130" s="108" t="str">
        <f t="array" ref="AM130">IF(ISNUMBER(AC130),INDEX('All Player Data Store'!$N$8:$N$594,SMALL(IF('All Player Data Store'!$Y$7:$Y$594=AC130,ROW('All Player Data Store'!$Y$7:$Y$594)-ROW('All Player Data Store'!$Y$7)+1),COUNTIF($AC$8:AC130,AC130))),"")</f>
        <v>1*4</v>
      </c>
      <c r="AN130" s="108">
        <f t="shared" si="7"/>
        <v>22.13</v>
      </c>
      <c r="AO130" s="108" t="str">
        <f t="array" ref="AO130">IF(ISNUMBER(AC130),INDEX('All Player Data Store'!$O$8:$O$594,SMALL(IF('All Player Data Store'!$Y$7:$Y$594=AC130,ROW('All Player Data Store'!$Y$7:$Y$594)-ROW('All Player Data Store'!$Y$7)+1),COUNTIF($AC$8:AC130,AC130))),"")</f>
        <v/>
      </c>
      <c r="AP130" s="108" t="str">
        <f t="shared" si="8"/>
        <v/>
      </c>
      <c r="AQ130" s="108" t="str">
        <f t="array" ref="AQ130">IF(ISNUMBER(AC130),INDEX('All Player Data Store'!$P$8:$P$594,SMALL(IF('All Player Data Store'!$Y$7:$Y$594=AC130,ROW('All Player Data Store'!$Y$7:$Y$594)-ROW('All Player Data Store'!$Y$7)+1),COUNTIF($AC$8:AC130,AC130))),"")</f>
        <v/>
      </c>
      <c r="AR130" s="108" t="str">
        <f t="shared" si="9"/>
        <v/>
      </c>
      <c r="AS130" s="108" t="str">
        <f t="array" ref="AS130">IF(ISNUMBER(AC130),INDEX('All Player Data Store'!$Q$8:$Q$594,SMALL(IF('All Player Data Store'!$Y$7:$Y$594=AC130,ROW('All Player Data Store'!$Y$7:$Y$594)-ROW('All Player Data Store'!$Y$7)+1),COUNTIF($AC$8:AC130,AC130))),"")</f>
        <v/>
      </c>
      <c r="AT130" s="108" t="str">
        <f t="shared" si="10"/>
        <v/>
      </c>
      <c r="AU130" s="108" t="str">
        <f t="array" ref="AU130">IF(ISNUMBER(AC130),INDEX('All Player Data Store'!$R$8:$R$594,SMALL(IF('All Player Data Store'!$Y$7:$Y$594=AC130,ROW('All Player Data Store'!$Y$7:$Y$594)-ROW('All Player Data Store'!$Y$7)+1),COUNTIF($AC$8:AC130,AC130))),"")</f>
        <v/>
      </c>
      <c r="AV130" s="108" t="str">
        <f t="shared" si="11"/>
        <v/>
      </c>
      <c r="AW130" s="108" t="str">
        <f t="array" ref="AW130">IF(ISNUMBER(AC130),INDEX('All Player Data Store'!$S$8:$S$594,SMALL(IF('All Player Data Store'!$Y$7:$Y$594=AC130,ROW('All Player Data Store'!$Y$7:$Y$594)-ROW('All Player Data Store'!$Y$7)+1),COUNTIF($AC$8:AC130,AC130))),"")</f>
        <v/>
      </c>
      <c r="AX130" s="108" t="str">
        <f t="shared" si="12"/>
        <v/>
      </c>
      <c r="AY130" s="108" t="str">
        <f t="array" ref="AY130">IF(ISNUMBER(AC130),INDEX('All Player Data Store'!$T$8:$T$594,SMALL(IF('All Player Data Store'!$Y$7:$Y$594=AC130,ROW('All Player Data Store'!$Y$7:$Y$594)-ROW('All Player Data Store'!$Y$7)+1),COUNTIF($AC$8:AC130,AC130))),"")</f>
        <v/>
      </c>
      <c r="AZ130" s="108" t="str">
        <f t="shared" si="13"/>
        <v/>
      </c>
      <c r="BA130" s="108" t="str">
        <f t="array" ref="BA130">IF(ISNUMBER(AC130),INDEX('All Player Data Store'!$U$8:$U$594,SMALL(IF('All Player Data Store'!$Y$7:$Y$594=AC130,ROW('All Player Data Store'!$Y$7:$Y$594)-ROW('All Player Data Store'!$Y$7)+1),COUNTIF($AC$8:AC130,AC130))),"")</f>
        <v/>
      </c>
      <c r="BB130" s="108" t="str">
        <f t="shared" si="14"/>
        <v/>
      </c>
      <c r="BC130" s="108" t="str">
        <f t="array" ref="BC130">IF(ISNUMBER(AC130),INDEX('All Player Data Store'!$V$8:$V$594,SMALL(IF('All Player Data Store'!$Y$7:$Y$594=AC130,ROW('All Player Data Store'!$Y$7:$Y$594)-ROW('All Player Data Store'!$Y$7)+1),COUNTIF($AC$8:AC130,AC130))),"")</f>
        <v/>
      </c>
      <c r="BD130" s="108" t="str">
        <f t="shared" si="15"/>
        <v/>
      </c>
      <c r="BE130" s="1"/>
    </row>
    <row r="131" spans="2:57" ht="12" customHeight="1" x14ac:dyDescent="0.2">
      <c r="B131" s="98" t="str">
        <f t="shared" si="0"/>
        <v>Y</v>
      </c>
      <c r="C131" s="1"/>
      <c r="D131" s="68">
        <f t="shared" si="1"/>
        <v>124</v>
      </c>
      <c r="E131" s="2"/>
      <c r="F131" s="78">
        <v>124</v>
      </c>
      <c r="G131" s="110" t="str">
        <f t="array" ref="G131">IF(ISNUMBER(AC131),INDEX('All Player Data Store'!$C$7:$C$594,SMALL(IF('All Player Data Store'!$Y$7:$Y$594=AC131,ROW('All Player Data Store'!$Y$7:$Y$594)-ROW('All Player Data Store'!$Y$7)+1),COUNTIF($AC$8:AC131,AC131))),"")</f>
        <v>Dean Gale</v>
      </c>
      <c r="H131" s="111" t="str">
        <f t="array" ref="H131">IF(ISNUMBER(AC131),INDEX('All Player Data Store'!$D$7:$D$594,SMALL(IF('All Player Data Store'!$Y$7:$Y$594=AC131,ROW('All Player Data Store'!$Y$7:$Y$594)-ROW('All Player Data Store'!$Y$7)+1),COUNTIF($AC$8:AC131,AC131))),"")</f>
        <v>Sha</v>
      </c>
      <c r="I131" s="69">
        <f t="array" ref="I131">IF(ISNUMBER(AC131),INDEX('All Player Data Store'!$E$7:$E$594,SMALL(IF('All Player Data Store'!$Y$7:$Y$594=AC131,ROW('All Player Data Store'!$Y$7:$Y$594)-ROW('All Player Data Store'!$Y$7)+1),COUNTIF($AC$8:AC131,AC131))),"")</f>
        <v>12</v>
      </c>
      <c r="J131" s="70">
        <f t="array" ref="J131">IF(ISNUMBER(AC131),INDEX('All Player Data Store'!$F$7:$F$594,SMALL(IF('All Player Data Store'!$Y$7:$Y$594=AC131,ROW('All Player Data Store'!$Y$7:$Y$594)-ROW('All Player Data Store'!$Y$7)+1),COUNTIF($AC$8:AC131,AC131))),"")</f>
        <v>2</v>
      </c>
      <c r="K131" s="112">
        <f t="array" ref="K131">IF(ISNUMBER(AC131),INDEX('All Player Data Store'!$G$7:$G$594,SMALL(IF('All Player Data Store'!$Y$7:$Y$594=AC131,ROW('All Player Data Store'!$Y$7:$Y$594)-ROW('All Player Data Store'!$Y$7)+1),COUNTIF($AC$8:AC131,AC131))),"")</f>
        <v>10</v>
      </c>
      <c r="L131" s="112">
        <f t="array" ref="L131">IF(ISNUMBER(AC131),INDEX('All Player Data Store'!$H$7:$H$594,SMALL(IF('All Player Data Store'!$Y$7:$Y$594=AC131,ROW('All Player Data Store'!$Y$7:$Y$594)-ROW('All Player Data Store'!$Y$7)+1),COUNTIF($AC$8:AC131,AC131))),"")</f>
        <v>19</v>
      </c>
      <c r="M131" s="113">
        <f t="array" ref="M131">IF(ISNUMBER(AC131),INDEX('All Player Data Store'!$I$7:$I$594,SMALL(IF('All Player Data Store'!$Y$7:$Y$594=AC131,ROW('All Player Data Store'!$Y$7:$Y$594)-ROW('All Player Data Store'!$Y$7)+1),COUNTIF($AC$8:AC131,AC131))),"")</f>
        <v>43</v>
      </c>
      <c r="N131" s="114">
        <f t="array" ref="N131">IF(ISNUMBER(AC131),INDEX('All Player Data Store'!$J$7:$J$594,SMALL(IF('All Player Data Store'!$Y$7:$Y$594=AC131,ROW('All Player Data Store'!$Y$7:$Y$594)-ROW('All Player Data Store'!$Y$7)+1),COUNTIF($AC$8:AC131,AC131))),"")</f>
        <v>20.83</v>
      </c>
      <c r="O131" s="108">
        <f t="array" ref="O131">IF(ISNUMBER(AC131),INDEX('All Player Data Store'!$K$7:$K$594,SMALL(IF('All Player Data Store'!$Y$7:$Y$594=AC131,ROW('All Player Data Store'!$Y$7:$Y$594)-ROW('All Player Data Store'!$Y$7)+1),COUNTIF($AC$8:AC131,AC131))),"")</f>
        <v>18.54</v>
      </c>
      <c r="P131" s="108">
        <f t="array" ref="P131">IF(ISNUMBER(AC131),INDEX('All Player Data Store'!$L$7:$L$594,SMALL(IF('All Player Data Store'!$Y$7:$Y$594=AC131,ROW('All Player Data Store'!$Y$7:$Y$594)-ROW('All Player Data Store'!$Y$7)+1),COUNTIF($AC$8:AC131,AC131))),"")</f>
        <v>19.68</v>
      </c>
      <c r="Q131" s="108">
        <f t="array" ref="Q131">IF(ISNUMBER(AC131),INDEX('All Player Data Store'!$M$7:$M$594,SMALL(IF('All Player Data Store'!$Y$7:$Y$594=AC131,ROW('All Player Data Store'!$Y$7:$Y$594)-ROW('All Player Data Store'!$Y$7)+1),COUNTIF($AC$8:AC131,AC131))),"")</f>
        <v>19.170000000000002</v>
      </c>
      <c r="R131" s="108">
        <f t="array" ref="R131">IF(ISNUMBER(AC131),INDEX('All Player Data Store'!$N$7:$N$594,SMALL(IF('All Player Data Store'!$Y$7:$Y$594=AC131,ROW('All Player Data Store'!$Y$7:$Y$594)-ROW('All Player Data Store'!$Y$7)+1),COUNTIF($AC$8:AC131,AC131))),"")</f>
        <v>23.25</v>
      </c>
      <c r="S131" s="108" t="str">
        <f t="array" ref="S131">IF(ISNUMBER(AC131),INDEX('All Player Data Store'!$O$7:$O$594,SMALL(IF('All Player Data Store'!$Y$7:$Y$594=AC131,ROW('All Player Data Store'!$Y$7:$Y$594)-ROW('All Player Data Store'!$Y$7)+1),COUNTIF($AC$8:AC131,AC131))),"")</f>
        <v/>
      </c>
      <c r="T131" s="108">
        <f t="array" ref="T131">IF(ISNUMBER(AC131),INDEX('All Player Data Store'!$P$7:$P$594,SMALL(IF('All Player Data Store'!$Y$7:$Y$594=AC131,ROW('All Player Data Store'!$Y$7:$Y$594)-ROW('All Player Data Store'!$Y$7)+1),COUNTIF($AC$8:AC131,AC131))),"")</f>
        <v>21.54</v>
      </c>
      <c r="U131" s="108">
        <f t="array" ref="U131">IF(ISNUMBER(AC131),INDEX('All Player Data Store'!$Q$7:$Q$594,SMALL(IF('All Player Data Store'!$Y$7:$Y$594=AC131,ROW('All Player Data Store'!$Y$7:$Y$594)-ROW('All Player Data Store'!$Y$7)+1),COUNTIF($AC$8:AC131,AC131))),"")</f>
        <v>19.68</v>
      </c>
      <c r="V131" s="108">
        <f t="array" ref="V131">IF(ISNUMBER(AC131),INDEX('All Player Data Store'!$R$7:$R$594,SMALL(IF('All Player Data Store'!$Y$7:$Y$594=AC131,ROW('All Player Data Store'!$Y$7:$Y$594)-ROW('All Player Data Store'!$Y$7)+1),COUNTIF($AC$8:AC131,AC131))),"")</f>
        <v>21.78</v>
      </c>
      <c r="W131" s="108">
        <f t="array" ref="W131">IF(ISNUMBER(AC131),INDEX('All Player Data Store'!$S$7:$S$594,SMALL(IF('All Player Data Store'!$Y$7:$Y$594=AC131,ROW('All Player Data Store'!$Y$7:$Y$594)-ROW('All Player Data Store'!$Y$7)+1),COUNTIF($AC$8:AC131,AC131))),"")</f>
        <v>21.09</v>
      </c>
      <c r="X131" s="108">
        <f t="array" ref="X131">IF(ISNUMBER(AC131),INDEX('All Player Data Store'!$T$7:$T$594,SMALL(IF('All Player Data Store'!$Y$7:$Y$594=AC131,ROW('All Player Data Store'!$Y$7:$Y$594)-ROW('All Player Data Store'!$Y$7)+1),COUNTIF($AC$8:AC131,AC131))),"")</f>
        <v>17</v>
      </c>
      <c r="Y131" s="108">
        <f t="array" ref="Y131">IF(ISNUMBER(AC131),INDEX('All Player Data Store'!$U$7:$U$594,SMALL(IF('All Player Data Store'!$Y$7:$Y$594=AC131,ROW('All Player Data Store'!$Y$7:$Y$594)-ROW('All Player Data Store'!$Y$7)+1),COUNTIF($AC$8:AC131,AC131))),"")</f>
        <v>18.07</v>
      </c>
      <c r="Z131" s="108">
        <f t="array" ref="Z131">IF(ISNUMBER(AC131),INDEX('All Player Data Store'!$V$7:$V$594,SMALL(IF('All Player Data Store'!$Y$7:$Y$594=AC131,ROW('All Player Data Store'!$Y$7:$Y$594)-ROW('All Player Data Store'!$Y$7)+1),COUNTIF($AC$8:AC131,AC131))),"")</f>
        <v>20.65</v>
      </c>
      <c r="AA131" s="112">
        <f t="array" ref="AA131">IF(ISNUMBER(AC131),INDEX('All Player Data Store'!$W$7:$W$594,SMALL(IF('All Player Data Store'!$Y$7:$Y$594=AC131,ROW('All Player Data Store'!$Y$7:$Y$594)-ROW('All Player Data Store'!$Y$7)+1),COUNTIF($AC$8:AC131,AC131))),"")</f>
        <v>2</v>
      </c>
      <c r="AB131" s="108">
        <f t="array" ref="AB131">IF(ISNUMBER(AC131),INDEX('All Player Data Store'!$X$7:$X$594,SMALL(IF('All Player Data Store'!$Y$7:$Y$594=AC131,ROW('All Player Data Store'!$Y$7:$Y$594)-ROW('All Player Data Store'!$Y$7)+1),COUNTIF($AC$8:AC131,AC131))),"")</f>
        <v>20.106666666666666</v>
      </c>
      <c r="AC131" s="115">
        <f>IF(ISERROR(IF(ISERROR(LARGE('All Player Data Store'!$Y$7:$Y$594,124)),"",(LARGE('All Player Data Store'!$Y$7:$Y$594,124)))),"",(IF(ISERROR(LARGE('All Player Data Store'!$Y$7:$Y$594,124)),"",(LARGE('All Player Data Store'!$Y$7:$Y$594,124)))))</f>
        <v>22.106666666666666</v>
      </c>
      <c r="AD131" s="106">
        <f t="shared" si="16"/>
        <v>3</v>
      </c>
      <c r="AE131" s="107" t="str">
        <f t="array" ref="AE131">IF(ISNUMBER(AC131),INDEX('All Player Data Store'!$J$8:$J$594,SMALL(IF('All Player Data Store'!$Y$7:$Y$594=AC131,ROW('All Player Data Store'!$Y$7:$Y$594)-ROW('All Player Data Store'!$Y$7)+1),COUNTIF($AC$8:AC131,AC131))),"")</f>
        <v>4*3</v>
      </c>
      <c r="AF131" s="108">
        <f t="shared" si="3"/>
        <v>21.83</v>
      </c>
      <c r="AG131" s="108" t="str">
        <f t="array" ref="AG131">IF(ISNUMBER(AC131),INDEX('All Player Data Store'!$K$8:$K$594,SMALL(IF('All Player Data Store'!$Y$7:$Y$594=AC131,ROW('All Player Data Store'!$Y$7:$Y$594)-ROW('All Player Data Store'!$Y$7)+1),COUNTIF($AC$8:AC131,AC131))),"")</f>
        <v>2*4</v>
      </c>
      <c r="AH131" s="108">
        <f t="shared" si="4"/>
        <v>18.54</v>
      </c>
      <c r="AI131" s="108" t="str">
        <f t="array" ref="AI131">IF(ISNUMBER(AC131),INDEX('All Player Data Store'!$L$8:$L$594,SMALL(IF('All Player Data Store'!$Y$7:$Y$594=AC131,ROW('All Player Data Store'!$Y$7:$Y$594)-ROW('All Player Data Store'!$Y$7)+1),COUNTIF($AC$8:AC131,AC131))),"")</f>
        <v>0*4</v>
      </c>
      <c r="AJ131" s="108">
        <f t="shared" si="5"/>
        <v>19.68</v>
      </c>
      <c r="AK131" s="108" t="str">
        <f t="array" ref="AK131">IF(ISNUMBER(AC131),INDEX('All Player Data Store'!$M$8:$M$594,SMALL(IF('All Player Data Store'!$Y$7:$Y$594=AC131,ROW('All Player Data Store'!$Y$7:$Y$594)-ROW('All Player Data Store'!$Y$7)+1),COUNTIF($AC$8:AC131,AC131))),"")</f>
        <v>0*4</v>
      </c>
      <c r="AL131" s="108">
        <f t="shared" si="6"/>
        <v>19.170000000000002</v>
      </c>
      <c r="AM131" s="108" t="str">
        <f t="array" ref="AM131">IF(ISNUMBER(AC131),INDEX('All Player Data Store'!$N$8:$N$594,SMALL(IF('All Player Data Store'!$Y$7:$Y$594=AC131,ROW('All Player Data Store'!$Y$7:$Y$594)-ROW('All Player Data Store'!$Y$7)+1),COUNTIF($AC$8:AC131,AC131))),"")</f>
        <v>0*4(1)</v>
      </c>
      <c r="AN131" s="108">
        <f t="shared" si="7"/>
        <v>23.25</v>
      </c>
      <c r="AO131" s="108" t="str">
        <f t="array" ref="AO131">IF(ISNUMBER(AC131),INDEX('All Player Data Store'!$O$8:$O$594,SMALL(IF('All Player Data Store'!$Y$7:$Y$594=AC131,ROW('All Player Data Store'!$Y$7:$Y$594)-ROW('All Player Data Store'!$Y$7)+1),COUNTIF($AC$8:AC131,AC131))),"")</f>
        <v/>
      </c>
      <c r="AP131" s="108" t="str">
        <f t="shared" si="8"/>
        <v/>
      </c>
      <c r="AQ131" s="108" t="str">
        <f t="array" ref="AQ131">IF(ISNUMBER(AC131),INDEX('All Player Data Store'!$P$8:$P$594,SMALL(IF('All Player Data Store'!$Y$7:$Y$594=AC131,ROW('All Player Data Store'!$Y$7:$Y$594)-ROW('All Player Data Store'!$Y$7)+1),COUNTIF($AC$8:AC131,AC131))),"")</f>
        <v>2*4</v>
      </c>
      <c r="AR131" s="108">
        <f t="shared" si="9"/>
        <v>21.54</v>
      </c>
      <c r="AS131" s="108" t="str">
        <f t="array" ref="AS131">IF(ISNUMBER(AC131),INDEX('All Player Data Store'!$Q$8:$Q$594,SMALL(IF('All Player Data Store'!$Y$7:$Y$594=AC131,ROW('All Player Data Store'!$Y$7:$Y$594)-ROW('All Player Data Store'!$Y$7)+1),COUNTIF($AC$8:AC131,AC131))),"")</f>
        <v>2*4</v>
      </c>
      <c r="AT131" s="108">
        <f t="shared" si="10"/>
        <v>19.68</v>
      </c>
      <c r="AU131" s="108" t="str">
        <f t="array" ref="AU131">IF(ISNUMBER(AC131),INDEX('All Player Data Store'!$R$8:$R$594,SMALL(IF('All Player Data Store'!$Y$7:$Y$594=AC131,ROW('All Player Data Store'!$Y$7:$Y$594)-ROW('All Player Data Store'!$Y$7)+1),COUNTIF($AC$8:AC131,AC131))),"")</f>
        <v>2*4</v>
      </c>
      <c r="AV131" s="108">
        <f t="shared" si="11"/>
        <v>21.78</v>
      </c>
      <c r="AW131" s="108" t="str">
        <f t="array" ref="AW131">IF(ISNUMBER(AC131),INDEX('All Player Data Store'!$S$8:$S$594,SMALL(IF('All Player Data Store'!$Y$7:$Y$594=AC131,ROW('All Player Data Store'!$Y$7:$Y$594)-ROW('All Player Data Store'!$Y$7)+1),COUNTIF($AC$8:AC131,AC131))),"")</f>
        <v>4*0</v>
      </c>
      <c r="AX131" s="108">
        <f t="shared" si="12"/>
        <v>22.09</v>
      </c>
      <c r="AY131" s="108" t="str">
        <f t="array" ref="AY131">IF(ISNUMBER(AC131),INDEX('All Player Data Store'!$T$8:$T$594,SMALL(IF('All Player Data Store'!$Y$7:$Y$594=AC131,ROW('All Player Data Store'!$Y$7:$Y$594)-ROW('All Player Data Store'!$Y$7)+1),COUNTIF($AC$8:AC131,AC131))),"")</f>
        <v>0*4</v>
      </c>
      <c r="AZ131" s="108">
        <f t="shared" si="13"/>
        <v>17</v>
      </c>
      <c r="BA131" s="108" t="str">
        <f t="array" ref="BA131">IF(ISNUMBER(AC131),INDEX('All Player Data Store'!$U$8:$U$594,SMALL(IF('All Player Data Store'!$Y$7:$Y$594=AC131,ROW('All Player Data Store'!$Y$7:$Y$594)-ROW('All Player Data Store'!$Y$7)+1),COUNTIF($AC$8:AC131,AC131))),"")</f>
        <v>2*4</v>
      </c>
      <c r="BB131" s="108">
        <f t="shared" si="14"/>
        <v>18.07</v>
      </c>
      <c r="BC131" s="108" t="str">
        <f t="array" ref="BC131">IF(ISNUMBER(AC131),INDEX('All Player Data Store'!$V$8:$V$594,SMALL(IF('All Player Data Store'!$Y$7:$Y$594=AC131,ROW('All Player Data Store'!$Y$7:$Y$594)-ROW('All Player Data Store'!$Y$7)+1),COUNTIF($AC$8:AC131,AC131))),"")</f>
        <v>1*4(1)</v>
      </c>
      <c r="BD131" s="108">
        <f t="shared" si="15"/>
        <v>20.65</v>
      </c>
      <c r="BE131" s="1"/>
    </row>
    <row r="132" spans="2:57" ht="12" customHeight="1" x14ac:dyDescent="0.2">
      <c r="B132" s="98" t="str">
        <f t="shared" si="0"/>
        <v>N</v>
      </c>
      <c r="C132" s="1"/>
      <c r="D132" s="68">
        <f t="shared" si="1"/>
        <v>125</v>
      </c>
      <c r="E132" s="2"/>
      <c r="F132" s="78">
        <v>125</v>
      </c>
      <c r="G132" s="110" t="str">
        <f t="array" ref="G132">IF(ISNUMBER(AC132),INDEX('All Player Data Store'!$C$7:$C$594,SMALL(IF('All Player Data Store'!$Y$7:$Y$594=AC132,ROW('All Player Data Store'!$Y$7:$Y$594)-ROW('All Player Data Store'!$Y$7)+1),COUNTIF($AC$8:AC132,AC132))),"")</f>
        <v>Matt Brown</v>
      </c>
      <c r="H132" s="111" t="str">
        <f t="array" ref="H132">IF(ISNUMBER(AC132),INDEX('All Player Data Store'!$D$7:$D$594,SMALL(IF('All Player Data Store'!$Y$7:$Y$594=AC132,ROW('All Player Data Store'!$Y$7:$Y$594)-ROW('All Player Data Store'!$Y$7)+1),COUNTIF($AC$8:AC132,AC132))),"")</f>
        <v>Wey</v>
      </c>
      <c r="I132" s="69">
        <f t="array" ref="I132">IF(ISNUMBER(AC132),INDEX('All Player Data Store'!$E$7:$E$594,SMALL(IF('All Player Data Store'!$Y$7:$Y$594=AC132,ROW('All Player Data Store'!$Y$7:$Y$594)-ROW('All Player Data Store'!$Y$7)+1),COUNTIF($AC$8:AC132,AC132))),"")</f>
        <v>6</v>
      </c>
      <c r="J132" s="70">
        <f t="array" ref="J132">IF(ISNUMBER(AC132),INDEX('All Player Data Store'!$F$7:$F$594,SMALL(IF('All Player Data Store'!$Y$7:$Y$594=AC132,ROW('All Player Data Store'!$Y$7:$Y$594)-ROW('All Player Data Store'!$Y$7)+1),COUNTIF($AC$8:AC132,AC132))),"")</f>
        <v>3</v>
      </c>
      <c r="K132" s="112">
        <f t="array" ref="K132">IF(ISNUMBER(AC132),INDEX('All Player Data Store'!$G$7:$G$594,SMALL(IF('All Player Data Store'!$Y$7:$Y$594=AC132,ROW('All Player Data Store'!$Y$7:$Y$594)-ROW('All Player Data Store'!$Y$7)+1),COUNTIF($AC$8:AC132,AC132))),"")</f>
        <v>3</v>
      </c>
      <c r="L132" s="112">
        <f t="array" ref="L132">IF(ISNUMBER(AC132),INDEX('All Player Data Store'!$H$7:$H$594,SMALL(IF('All Player Data Store'!$Y$7:$Y$594=AC132,ROW('All Player Data Store'!$Y$7:$Y$594)-ROW('All Player Data Store'!$Y$7)+1),COUNTIF($AC$8:AC132,AC132))),"")</f>
        <v>16</v>
      </c>
      <c r="M132" s="113">
        <f t="array" ref="M132">IF(ISNUMBER(AC132),INDEX('All Player Data Store'!$I$7:$I$594,SMALL(IF('All Player Data Store'!$Y$7:$Y$594=AC132,ROW('All Player Data Store'!$Y$7:$Y$594)-ROW('All Player Data Store'!$Y$7)+1),COUNTIF($AC$8:AC132,AC132))),"")</f>
        <v>19</v>
      </c>
      <c r="N132" s="114" t="str">
        <f t="array" ref="N132">IF(ISNUMBER(AC132),INDEX('All Player Data Store'!$J$7:$J$594,SMALL(IF('All Player Data Store'!$Y$7:$Y$594=AC132,ROW('All Player Data Store'!$Y$7:$Y$594)-ROW('All Player Data Store'!$Y$7)+1),COUNTIF($AC$8:AC132,AC132))),"")</f>
        <v/>
      </c>
      <c r="O132" s="108" t="str">
        <f t="array" ref="O132">IF(ISNUMBER(AC132),INDEX('All Player Data Store'!$K$7:$K$594,SMALL(IF('All Player Data Store'!$Y$7:$Y$594=AC132,ROW('All Player Data Store'!$Y$7:$Y$594)-ROW('All Player Data Store'!$Y$7)+1),COUNTIF($AC$8:AC132,AC132))),"")</f>
        <v/>
      </c>
      <c r="P132" s="108" t="str">
        <f t="array" ref="P132">IF(ISNUMBER(AC132),INDEX('All Player Data Store'!$L$7:$L$594,SMALL(IF('All Player Data Store'!$Y$7:$Y$594=AC132,ROW('All Player Data Store'!$Y$7:$Y$594)-ROW('All Player Data Store'!$Y$7)+1),COUNTIF($AC$8:AC132,AC132))),"")</f>
        <v/>
      </c>
      <c r="Q132" s="108">
        <f t="array" ref="Q132">IF(ISNUMBER(AC132),INDEX('All Player Data Store'!$M$7:$M$594,SMALL(IF('All Player Data Store'!$Y$7:$Y$594=AC132,ROW('All Player Data Store'!$Y$7:$Y$594)-ROW('All Player Data Store'!$Y$7)+1),COUNTIF($AC$8:AC132,AC132))),"")</f>
        <v>18.399999999999999</v>
      </c>
      <c r="R132" s="108">
        <f t="array" ref="R132">IF(ISNUMBER(AC132),INDEX('All Player Data Store'!$N$7:$N$594,SMALL(IF('All Player Data Store'!$Y$7:$Y$594=AC132,ROW('All Player Data Store'!$Y$7:$Y$594)-ROW('All Player Data Store'!$Y$7)+1),COUNTIF($AC$8:AC132,AC132))),"")</f>
        <v>19.21</v>
      </c>
      <c r="S132" s="108" t="str">
        <f t="array" ref="S132">IF(ISNUMBER(AC132),INDEX('All Player Data Store'!$O$7:$O$594,SMALL(IF('All Player Data Store'!$Y$7:$Y$594=AC132,ROW('All Player Data Store'!$Y$7:$Y$594)-ROW('All Player Data Store'!$Y$7)+1),COUNTIF($AC$8:AC132,AC132))),"")</f>
        <v/>
      </c>
      <c r="T132" s="108">
        <f t="array" ref="T132">IF(ISNUMBER(AC132),INDEX('All Player Data Store'!$P$7:$P$594,SMALL(IF('All Player Data Store'!$Y$7:$Y$594=AC132,ROW('All Player Data Store'!$Y$7:$Y$594)-ROW('All Player Data Store'!$Y$7)+1),COUNTIF($AC$8:AC132,AC132))),"")</f>
        <v>18.91</v>
      </c>
      <c r="U132" s="108">
        <f t="array" ref="U132">IF(ISNUMBER(AC132),INDEX('All Player Data Store'!$Q$7:$Q$594,SMALL(IF('All Player Data Store'!$Y$7:$Y$594=AC132,ROW('All Player Data Store'!$Y$7:$Y$594)-ROW('All Player Data Store'!$Y$7)+1),COUNTIF($AC$8:AC132,AC132))),"")</f>
        <v>18.239999999999998</v>
      </c>
      <c r="V132" s="108">
        <f t="array" ref="V132">IF(ISNUMBER(AC132),INDEX('All Player Data Store'!$R$7:$R$594,SMALL(IF('All Player Data Store'!$Y$7:$Y$594=AC132,ROW('All Player Data Store'!$Y$7:$Y$594)-ROW('All Player Data Store'!$Y$7)+1),COUNTIF($AC$8:AC132,AC132))),"")</f>
        <v>20.29</v>
      </c>
      <c r="W132" s="108" t="str">
        <f t="array" ref="W132">IF(ISNUMBER(AC132),INDEX('All Player Data Store'!$S$7:$S$594,SMALL(IF('All Player Data Store'!$Y$7:$Y$594=AC132,ROW('All Player Data Store'!$Y$7:$Y$594)-ROW('All Player Data Store'!$Y$7)+1),COUNTIF($AC$8:AC132,AC132))),"")</f>
        <v/>
      </c>
      <c r="X132" s="108" t="str">
        <f t="array" ref="X132">IF(ISNUMBER(AC132),INDEX('All Player Data Store'!$T$7:$T$594,SMALL(IF('All Player Data Store'!$Y$7:$Y$594=AC132,ROW('All Player Data Store'!$Y$7:$Y$594)-ROW('All Player Data Store'!$Y$7)+1),COUNTIF($AC$8:AC132,AC132))),"")</f>
        <v/>
      </c>
      <c r="Y132" s="108">
        <f t="array" ref="Y132">IF(ISNUMBER(AC132),INDEX('All Player Data Store'!$U$7:$U$594,SMALL(IF('All Player Data Store'!$Y$7:$Y$594=AC132,ROW('All Player Data Store'!$Y$7:$Y$594)-ROW('All Player Data Store'!$Y$7)+1),COUNTIF($AC$8:AC132,AC132))),"")</f>
        <v>19.34</v>
      </c>
      <c r="Z132" s="108" t="str">
        <f t="array" ref="Z132">IF(ISNUMBER(AC132),INDEX('All Player Data Store'!$V$7:$V$594,SMALL(IF('All Player Data Store'!$Y$7:$Y$594=AC132,ROW('All Player Data Store'!$Y$7:$Y$594)-ROW('All Player Data Store'!$Y$7)+1),COUNTIF($AC$8:AC132,AC132))),"")</f>
        <v/>
      </c>
      <c r="AA132" s="112" t="str">
        <f t="array" ref="AA132">IF(ISNUMBER(AC132),INDEX('All Player Data Store'!$W$7:$W$594,SMALL(IF('All Player Data Store'!$Y$7:$Y$594=AC132,ROW('All Player Data Store'!$Y$7:$Y$594)-ROW('All Player Data Store'!$Y$7)+1),COUNTIF($AC$8:AC132,AC132))),"")</f>
        <v/>
      </c>
      <c r="AB132" s="108">
        <f t="array" ref="AB132">IF(ISNUMBER(AC132),INDEX('All Player Data Store'!$X$7:$X$594,SMALL(IF('All Player Data Store'!$Y$7:$Y$594=AC132,ROW('All Player Data Store'!$Y$7:$Y$594)-ROW('All Player Data Store'!$Y$7)+1),COUNTIF($AC$8:AC132,AC132))),"")</f>
        <v>19.064999999999998</v>
      </c>
      <c r="AC132" s="115">
        <f>IF(ISERROR(IF(ISERROR(LARGE('All Player Data Store'!$Y$7:$Y$594,125)),"",(LARGE('All Player Data Store'!$Y$7:$Y$594,125)))),"",(IF(ISERROR(LARGE('All Player Data Store'!$Y$7:$Y$594,125)),"",(LARGE('All Player Data Store'!$Y$7:$Y$594,125)))))</f>
        <v>22.064999999999998</v>
      </c>
      <c r="AD132" s="106">
        <f t="shared" si="16"/>
        <v>3</v>
      </c>
      <c r="AE132" s="107" t="str">
        <f t="array" ref="AE132">IF(ISNUMBER(AC132),INDEX('All Player Data Store'!$J$8:$J$594,SMALL(IF('All Player Data Store'!$Y$7:$Y$594=AC132,ROW('All Player Data Store'!$Y$7:$Y$594)-ROW('All Player Data Store'!$Y$7)+1),COUNTIF($AC$8:AC132,AC132))),"")</f>
        <v/>
      </c>
      <c r="AF132" s="108" t="str">
        <f t="shared" si="3"/>
        <v/>
      </c>
      <c r="AG132" s="108" t="str">
        <f t="array" ref="AG132">IF(ISNUMBER(AC132),INDEX('All Player Data Store'!$K$8:$K$594,SMALL(IF('All Player Data Store'!$Y$7:$Y$594=AC132,ROW('All Player Data Store'!$Y$7:$Y$594)-ROW('All Player Data Store'!$Y$7)+1),COUNTIF($AC$8:AC132,AC132))),"")</f>
        <v/>
      </c>
      <c r="AH132" s="108" t="str">
        <f t="shared" si="4"/>
        <v/>
      </c>
      <c r="AI132" s="108" t="str">
        <f t="array" ref="AI132">IF(ISNUMBER(AC132),INDEX('All Player Data Store'!$L$8:$L$594,SMALL(IF('All Player Data Store'!$Y$7:$Y$594=AC132,ROW('All Player Data Store'!$Y$7:$Y$594)-ROW('All Player Data Store'!$Y$7)+1),COUNTIF($AC$8:AC132,AC132))),"")</f>
        <v/>
      </c>
      <c r="AJ132" s="108" t="str">
        <f t="shared" si="5"/>
        <v/>
      </c>
      <c r="AK132" s="108" t="str">
        <f t="array" ref="AK132">IF(ISNUMBER(AC132),INDEX('All Player Data Store'!$M$8:$M$594,SMALL(IF('All Player Data Store'!$Y$7:$Y$594=AC132,ROW('All Player Data Store'!$Y$7:$Y$594)-ROW('All Player Data Store'!$Y$7)+1),COUNTIF($AC$8:AC132,AC132))),"")</f>
        <v>1*4</v>
      </c>
      <c r="AL132" s="108">
        <f t="shared" si="6"/>
        <v>18.399999999999999</v>
      </c>
      <c r="AM132" s="108" t="str">
        <f t="array" ref="AM132">IF(ISNUMBER(AC132),INDEX('All Player Data Store'!$N$8:$N$594,SMALL(IF('All Player Data Store'!$Y$7:$Y$594=AC132,ROW('All Player Data Store'!$Y$7:$Y$594)-ROW('All Player Data Store'!$Y$7)+1),COUNTIF($AC$8:AC132,AC132))),"")</f>
        <v>4*3</v>
      </c>
      <c r="AN132" s="108">
        <f t="shared" si="7"/>
        <v>20.21</v>
      </c>
      <c r="AO132" s="108" t="str">
        <f t="array" ref="AO132">IF(ISNUMBER(AC132),INDEX('All Player Data Store'!$O$8:$O$594,SMALL(IF('All Player Data Store'!$Y$7:$Y$594=AC132,ROW('All Player Data Store'!$Y$7:$Y$594)-ROW('All Player Data Store'!$Y$7)+1),COUNTIF($AC$8:AC132,AC132))),"")</f>
        <v/>
      </c>
      <c r="AP132" s="108" t="str">
        <f t="shared" si="8"/>
        <v/>
      </c>
      <c r="AQ132" s="108" t="str">
        <f t="array" ref="AQ132">IF(ISNUMBER(AC132),INDEX('All Player Data Store'!$P$8:$P$594,SMALL(IF('All Player Data Store'!$Y$7:$Y$594=AC132,ROW('All Player Data Store'!$Y$7:$Y$594)-ROW('All Player Data Store'!$Y$7)+1),COUNTIF($AC$8:AC132,AC132))),"")</f>
        <v>3*4</v>
      </c>
      <c r="AR132" s="108">
        <f t="shared" si="9"/>
        <v>18.91</v>
      </c>
      <c r="AS132" s="108" t="str">
        <f t="array" ref="AS132">IF(ISNUMBER(AC132),INDEX('All Player Data Store'!$Q$8:$Q$594,SMALL(IF('All Player Data Store'!$Y$7:$Y$594=AC132,ROW('All Player Data Store'!$Y$7:$Y$594)-ROW('All Player Data Store'!$Y$7)+1),COUNTIF($AC$8:AC132,AC132))),"")</f>
        <v>4*3</v>
      </c>
      <c r="AT132" s="108">
        <f t="shared" si="10"/>
        <v>19.239999999999998</v>
      </c>
      <c r="AU132" s="108" t="str">
        <f t="array" ref="AU132">IF(ISNUMBER(AC132),INDEX('All Player Data Store'!$R$8:$R$594,SMALL(IF('All Player Data Store'!$Y$7:$Y$594=AC132,ROW('All Player Data Store'!$Y$7:$Y$594)-ROW('All Player Data Store'!$Y$7)+1),COUNTIF($AC$8:AC132,AC132))),"")</f>
        <v>0*4</v>
      </c>
      <c r="AV132" s="108">
        <f t="shared" si="11"/>
        <v>20.29</v>
      </c>
      <c r="AW132" s="108" t="str">
        <f t="array" ref="AW132">IF(ISNUMBER(AC132),INDEX('All Player Data Store'!$S$8:$S$594,SMALL(IF('All Player Data Store'!$Y$7:$Y$594=AC132,ROW('All Player Data Store'!$Y$7:$Y$594)-ROW('All Player Data Store'!$Y$7)+1),COUNTIF($AC$8:AC132,AC132))),"")</f>
        <v/>
      </c>
      <c r="AX132" s="108" t="str">
        <f t="shared" si="12"/>
        <v/>
      </c>
      <c r="AY132" s="108" t="str">
        <f t="array" ref="AY132">IF(ISNUMBER(AC132),INDEX('All Player Data Store'!$T$8:$T$594,SMALL(IF('All Player Data Store'!$Y$7:$Y$594=AC132,ROW('All Player Data Store'!$Y$7:$Y$594)-ROW('All Player Data Store'!$Y$7)+1),COUNTIF($AC$8:AC132,AC132))),"")</f>
        <v/>
      </c>
      <c r="AZ132" s="108" t="str">
        <f t="shared" si="13"/>
        <v/>
      </c>
      <c r="BA132" s="108" t="str">
        <f t="array" ref="BA132">IF(ISNUMBER(AC132),INDEX('All Player Data Store'!$U$8:$U$594,SMALL(IF('All Player Data Store'!$Y$7:$Y$594=AC132,ROW('All Player Data Store'!$Y$7:$Y$594)-ROW('All Player Data Store'!$Y$7)+1),COUNTIF($AC$8:AC132,AC132))),"")</f>
        <v>4*1</v>
      </c>
      <c r="BB132" s="108">
        <f t="shared" si="14"/>
        <v>20.34</v>
      </c>
      <c r="BC132" s="108" t="str">
        <f t="array" ref="BC132">IF(ISNUMBER(AC132),INDEX('All Player Data Store'!$V$8:$V$594,SMALL(IF('All Player Data Store'!$Y$7:$Y$594=AC132,ROW('All Player Data Store'!$Y$7:$Y$594)-ROW('All Player Data Store'!$Y$7)+1),COUNTIF($AC$8:AC132,AC132))),"")</f>
        <v/>
      </c>
      <c r="BD132" s="108" t="str">
        <f t="shared" si="15"/>
        <v/>
      </c>
      <c r="BE132" s="1"/>
    </row>
    <row r="133" spans="2:57" ht="12" customHeight="1" x14ac:dyDescent="0.2">
      <c r="B133" s="98" t="str">
        <f t="shared" si="0"/>
        <v>N</v>
      </c>
      <c r="C133" s="1"/>
      <c r="D133" s="68">
        <f t="shared" si="1"/>
        <v>126</v>
      </c>
      <c r="E133" s="2"/>
      <c r="F133" s="78">
        <v>126</v>
      </c>
      <c r="G133" s="110" t="str">
        <f t="array" ref="G133">IF(ISNUMBER(AC133),INDEX('All Player Data Store'!$C$7:$C$594,SMALL(IF('All Player Data Store'!$Y$7:$Y$594=AC133,ROW('All Player Data Store'!$Y$7:$Y$594)-ROW('All Player Data Store'!$Y$7)+1),COUNTIF($AC$8:AC133,AC133))),"")</f>
        <v>Paddy Stewart</v>
      </c>
      <c r="H133" s="111" t="str">
        <f t="array" ref="H133">IF(ISNUMBER(AC133),INDEX('All Player Data Store'!$D$7:$D$594,SMALL(IF('All Player Data Store'!$Y$7:$Y$594=AC133,ROW('All Player Data Store'!$Y$7:$Y$594)-ROW('All Player Data Store'!$Y$7)+1),COUNTIF($AC$8:AC133,AC133))),"")</f>
        <v>Poo</v>
      </c>
      <c r="I133" s="69">
        <f t="array" ref="I133">IF(ISNUMBER(AC133),INDEX('All Player Data Store'!$E$7:$E$594,SMALL(IF('All Player Data Store'!$Y$7:$Y$594=AC133,ROW('All Player Data Store'!$Y$7:$Y$594)-ROW('All Player Data Store'!$Y$7)+1),COUNTIF($AC$8:AC133,AC133))),"")</f>
        <v>5</v>
      </c>
      <c r="J133" s="70">
        <f t="array" ref="J133">IF(ISNUMBER(AC133),INDEX('All Player Data Store'!$F$7:$F$594,SMALL(IF('All Player Data Store'!$Y$7:$Y$594=AC133,ROW('All Player Data Store'!$Y$7:$Y$594)-ROW('All Player Data Store'!$Y$7)+1),COUNTIF($AC$8:AC133,AC133))),"")</f>
        <v>2</v>
      </c>
      <c r="K133" s="112">
        <f t="array" ref="K133">IF(ISNUMBER(AC133),INDEX('All Player Data Store'!$G$7:$G$594,SMALL(IF('All Player Data Store'!$Y$7:$Y$594=AC133,ROW('All Player Data Store'!$Y$7:$Y$594)-ROW('All Player Data Store'!$Y$7)+1),COUNTIF($AC$8:AC133,AC133))),"")</f>
        <v>3</v>
      </c>
      <c r="L133" s="112">
        <f t="array" ref="L133">IF(ISNUMBER(AC133),INDEX('All Player Data Store'!$H$7:$H$594,SMALL(IF('All Player Data Store'!$Y$7:$Y$594=AC133,ROW('All Player Data Store'!$Y$7:$Y$594)-ROW('All Player Data Store'!$Y$7)+1),COUNTIF($AC$8:AC133,AC133))),"")</f>
        <v>14</v>
      </c>
      <c r="M133" s="113">
        <f t="array" ref="M133">IF(ISNUMBER(AC133),INDEX('All Player Data Store'!$I$7:$I$594,SMALL(IF('All Player Data Store'!$Y$7:$Y$594=AC133,ROW('All Player Data Store'!$Y$7:$Y$594)-ROW('All Player Data Store'!$Y$7)+1),COUNTIF($AC$8:AC133,AC133))),"")</f>
        <v>14</v>
      </c>
      <c r="N133" s="114" t="str">
        <f t="array" ref="N133">IF(ISNUMBER(AC133),INDEX('All Player Data Store'!$J$7:$J$594,SMALL(IF('All Player Data Store'!$Y$7:$Y$594=AC133,ROW('All Player Data Store'!$Y$7:$Y$594)-ROW('All Player Data Store'!$Y$7)+1),COUNTIF($AC$8:AC133,AC133))),"")</f>
        <v/>
      </c>
      <c r="O133" s="108">
        <f t="array" ref="O133">IF(ISNUMBER(AC133),INDEX('All Player Data Store'!$K$7:$K$594,SMALL(IF('All Player Data Store'!$Y$7:$Y$594=AC133,ROW('All Player Data Store'!$Y$7:$Y$594)-ROW('All Player Data Store'!$Y$7)+1),COUNTIF($AC$8:AC133,AC133))),"")</f>
        <v>23.52</v>
      </c>
      <c r="P133" s="108">
        <f t="array" ref="P133">IF(ISNUMBER(AC133),INDEX('All Player Data Store'!$L$7:$L$594,SMALL(IF('All Player Data Store'!$Y$7:$Y$594=AC133,ROW('All Player Data Store'!$Y$7:$Y$594)-ROW('All Player Data Store'!$Y$7)+1),COUNTIF($AC$8:AC133,AC133))),"")</f>
        <v>19.989999999999998</v>
      </c>
      <c r="Q133" s="108">
        <f t="array" ref="Q133">IF(ISNUMBER(AC133),INDEX('All Player Data Store'!$M$7:$M$594,SMALL(IF('All Player Data Store'!$Y$7:$Y$594=AC133,ROW('All Player Data Store'!$Y$7:$Y$594)-ROW('All Player Data Store'!$Y$7)+1),COUNTIF($AC$8:AC133,AC133))),"")</f>
        <v>17.899999999999999</v>
      </c>
      <c r="R133" s="108" t="str">
        <f t="array" ref="R133">IF(ISNUMBER(AC133),INDEX('All Player Data Store'!$N$7:$N$594,SMALL(IF('All Player Data Store'!$Y$7:$Y$594=AC133,ROW('All Player Data Store'!$Y$7:$Y$594)-ROW('All Player Data Store'!$Y$7)+1),COUNTIF($AC$8:AC133,AC133))),"")</f>
        <v/>
      </c>
      <c r="S133" s="108" t="str">
        <f t="array" ref="S133">IF(ISNUMBER(AC133),INDEX('All Player Data Store'!$O$7:$O$594,SMALL(IF('All Player Data Store'!$Y$7:$Y$594=AC133,ROW('All Player Data Store'!$Y$7:$Y$594)-ROW('All Player Data Store'!$Y$7)+1),COUNTIF($AC$8:AC133,AC133))),"")</f>
        <v/>
      </c>
      <c r="T133" s="108">
        <f t="array" ref="T133">IF(ISNUMBER(AC133),INDEX('All Player Data Store'!$P$7:$P$594,SMALL(IF('All Player Data Store'!$Y$7:$Y$594=AC133,ROW('All Player Data Store'!$Y$7:$Y$594)-ROW('All Player Data Store'!$Y$7)+1),COUNTIF($AC$8:AC133,AC133))),"")</f>
        <v>18.72</v>
      </c>
      <c r="U133" s="108" t="str">
        <f t="array" ref="U133">IF(ISNUMBER(AC133),INDEX('All Player Data Store'!$Q$7:$Q$594,SMALL(IF('All Player Data Store'!$Y$7:$Y$594=AC133,ROW('All Player Data Store'!$Y$7:$Y$594)-ROW('All Player Data Store'!$Y$7)+1),COUNTIF($AC$8:AC133,AC133))),"")</f>
        <v/>
      </c>
      <c r="V133" s="108" t="str">
        <f t="array" ref="V133">IF(ISNUMBER(AC133),INDEX('All Player Data Store'!$R$7:$R$594,SMALL(IF('All Player Data Store'!$Y$7:$Y$594=AC133,ROW('All Player Data Store'!$Y$7:$Y$594)-ROW('All Player Data Store'!$Y$7)+1),COUNTIF($AC$8:AC133,AC133))),"")</f>
        <v/>
      </c>
      <c r="W133" s="108">
        <f t="array" ref="W133">IF(ISNUMBER(AC133),INDEX('All Player Data Store'!$S$7:$S$594,SMALL(IF('All Player Data Store'!$Y$7:$Y$594=AC133,ROW('All Player Data Store'!$Y$7:$Y$594)-ROW('All Player Data Store'!$Y$7)+1),COUNTIF($AC$8:AC133,AC133))),"")</f>
        <v>19.649999999999999</v>
      </c>
      <c r="X133" s="108" t="str">
        <f t="array" ref="X133">IF(ISNUMBER(AC133),INDEX('All Player Data Store'!$T$7:$T$594,SMALL(IF('All Player Data Store'!$Y$7:$Y$594=AC133,ROW('All Player Data Store'!$Y$7:$Y$594)-ROW('All Player Data Store'!$Y$7)+1),COUNTIF($AC$8:AC133,AC133))),"")</f>
        <v/>
      </c>
      <c r="Y133" s="108" t="str">
        <f t="array" ref="Y133">IF(ISNUMBER(AC133),INDEX('All Player Data Store'!$U$7:$U$594,SMALL(IF('All Player Data Store'!$Y$7:$Y$594=AC133,ROW('All Player Data Store'!$Y$7:$Y$594)-ROW('All Player Data Store'!$Y$7)+1),COUNTIF($AC$8:AC133,AC133))),"")</f>
        <v/>
      </c>
      <c r="Z133" s="108" t="str">
        <f t="array" ref="Z133">IF(ISNUMBER(AC133),INDEX('All Player Data Store'!$V$7:$V$594,SMALL(IF('All Player Data Store'!$Y$7:$Y$594=AC133,ROW('All Player Data Store'!$Y$7:$Y$594)-ROW('All Player Data Store'!$Y$7)+1),COUNTIF($AC$8:AC133,AC133))),"")</f>
        <v/>
      </c>
      <c r="AA133" s="112">
        <f t="array" ref="AA133">IF(ISNUMBER(AC133),INDEX('All Player Data Store'!$W$7:$W$594,SMALL(IF('All Player Data Store'!$Y$7:$Y$594=AC133,ROW('All Player Data Store'!$Y$7:$Y$594)-ROW('All Player Data Store'!$Y$7)+1),COUNTIF($AC$8:AC133,AC133))),"")</f>
        <v>1</v>
      </c>
      <c r="AB133" s="108">
        <f t="array" ref="AB133">IF(ISNUMBER(AC133),INDEX('All Player Data Store'!$X$7:$X$594,SMALL(IF('All Player Data Store'!$Y$7:$Y$594=AC133,ROW('All Player Data Store'!$Y$7:$Y$594)-ROW('All Player Data Store'!$Y$7)+1),COUNTIF($AC$8:AC133,AC133))),"")</f>
        <v>19.956</v>
      </c>
      <c r="AC133" s="115">
        <f>IF(ISERROR(IF(ISERROR(LARGE('All Player Data Store'!$Y$7:$Y$594,126)),"",(LARGE('All Player Data Store'!$Y$7:$Y$594,126)))),"",(IF(ISERROR(LARGE('All Player Data Store'!$Y$7:$Y$594,126)),"",(LARGE('All Player Data Store'!$Y$7:$Y$594,126)))))</f>
        <v>21.956</v>
      </c>
      <c r="AD133" s="106">
        <f t="shared" si="16"/>
        <v>3</v>
      </c>
      <c r="AE133" s="107" t="str">
        <f t="array" ref="AE133">IF(ISNUMBER(AC133),INDEX('All Player Data Store'!$J$8:$J$594,SMALL(IF('All Player Data Store'!$Y$7:$Y$594=AC133,ROW('All Player Data Store'!$Y$7:$Y$594)-ROW('All Player Data Store'!$Y$7)+1),COUNTIF($AC$8:AC133,AC133))),"")</f>
        <v/>
      </c>
      <c r="AF133" s="108" t="str">
        <f t="shared" si="3"/>
        <v/>
      </c>
      <c r="AG133" s="108" t="str">
        <f t="array" ref="AG133">IF(ISNUMBER(AC133),INDEX('All Player Data Store'!$K$8:$K$594,SMALL(IF('All Player Data Store'!$Y$7:$Y$594=AC133,ROW('All Player Data Store'!$Y$7:$Y$594)-ROW('All Player Data Store'!$Y$7)+1),COUNTIF($AC$8:AC133,AC133))),"")</f>
        <v>2*4</v>
      </c>
      <c r="AH133" s="108">
        <f t="shared" si="4"/>
        <v>23.52</v>
      </c>
      <c r="AI133" s="108" t="str">
        <f t="array" ref="AI133">IF(ISNUMBER(AC133),INDEX('All Player Data Store'!$L$8:$L$594,SMALL(IF('All Player Data Store'!$Y$7:$Y$594=AC133,ROW('All Player Data Store'!$Y$7:$Y$594)-ROW('All Player Data Store'!$Y$7)+1),COUNTIF($AC$8:AC133,AC133))),"")</f>
        <v>4*2</v>
      </c>
      <c r="AJ133" s="108">
        <f t="shared" si="5"/>
        <v>20.99</v>
      </c>
      <c r="AK133" s="108" t="str">
        <f t="array" ref="AK133">IF(ISNUMBER(AC133),INDEX('All Player Data Store'!$M$8:$M$594,SMALL(IF('All Player Data Store'!$Y$7:$Y$594=AC133,ROW('All Player Data Store'!$Y$7:$Y$594)-ROW('All Player Data Store'!$Y$7)+1),COUNTIF($AC$8:AC133,AC133))),"")</f>
        <v>3*4</v>
      </c>
      <c r="AL133" s="108">
        <f t="shared" si="6"/>
        <v>17.899999999999999</v>
      </c>
      <c r="AM133" s="108" t="str">
        <f t="array" ref="AM133">IF(ISNUMBER(AC133),INDEX('All Player Data Store'!$N$8:$N$594,SMALL(IF('All Player Data Store'!$Y$7:$Y$594=AC133,ROW('All Player Data Store'!$Y$7:$Y$594)-ROW('All Player Data Store'!$Y$7)+1),COUNTIF($AC$8:AC133,AC133))),"")</f>
        <v/>
      </c>
      <c r="AN133" s="108" t="str">
        <f t="shared" si="7"/>
        <v/>
      </c>
      <c r="AO133" s="108" t="str">
        <f t="array" ref="AO133">IF(ISNUMBER(AC133),INDEX('All Player Data Store'!$O$8:$O$594,SMALL(IF('All Player Data Store'!$Y$7:$Y$594=AC133,ROW('All Player Data Store'!$Y$7:$Y$594)-ROW('All Player Data Store'!$Y$7)+1),COUNTIF($AC$8:AC133,AC133))),"")</f>
        <v/>
      </c>
      <c r="AP133" s="108" t="str">
        <f t="shared" si="8"/>
        <v/>
      </c>
      <c r="AQ133" s="108" t="str">
        <f t="array" ref="AQ133">IF(ISNUMBER(AC133),INDEX('All Player Data Store'!$P$8:$P$594,SMALL(IF('All Player Data Store'!$Y$7:$Y$594=AC133,ROW('All Player Data Store'!$Y$7:$Y$594)-ROW('All Player Data Store'!$Y$7)+1),COUNTIF($AC$8:AC133,AC133))),"")</f>
        <v>1*4</v>
      </c>
      <c r="AR133" s="108">
        <f t="shared" si="9"/>
        <v>18.72</v>
      </c>
      <c r="AS133" s="108" t="str">
        <f t="array" ref="AS133">IF(ISNUMBER(AC133),INDEX('All Player Data Store'!$Q$8:$Q$594,SMALL(IF('All Player Data Store'!$Y$7:$Y$594=AC133,ROW('All Player Data Store'!$Y$7:$Y$594)-ROW('All Player Data Store'!$Y$7)+1),COUNTIF($AC$8:AC133,AC133))),"")</f>
        <v/>
      </c>
      <c r="AT133" s="108" t="str">
        <f t="shared" si="10"/>
        <v/>
      </c>
      <c r="AU133" s="108" t="str">
        <f t="array" ref="AU133">IF(ISNUMBER(AC133),INDEX('All Player Data Store'!$R$8:$R$594,SMALL(IF('All Player Data Store'!$Y$7:$Y$594=AC133,ROW('All Player Data Store'!$Y$7:$Y$594)-ROW('All Player Data Store'!$Y$7)+1),COUNTIF($AC$8:AC133,AC133))),"")</f>
        <v/>
      </c>
      <c r="AV133" s="108" t="str">
        <f t="shared" si="11"/>
        <v/>
      </c>
      <c r="AW133" s="108" t="str">
        <f t="array" ref="AW133">IF(ISNUMBER(AC133),INDEX('All Player Data Store'!$S$8:$S$594,SMALL(IF('All Player Data Store'!$Y$7:$Y$594=AC133,ROW('All Player Data Store'!$Y$7:$Y$594)-ROW('All Player Data Store'!$Y$7)+1),COUNTIF($AC$8:AC133,AC133))),"")</f>
        <v>4*0(1)</v>
      </c>
      <c r="AX133" s="108">
        <f t="shared" si="12"/>
        <v>20.65</v>
      </c>
      <c r="AY133" s="108" t="str">
        <f t="array" ref="AY133">IF(ISNUMBER(AC133),INDEX('All Player Data Store'!$T$8:$T$594,SMALL(IF('All Player Data Store'!$Y$7:$Y$594=AC133,ROW('All Player Data Store'!$Y$7:$Y$594)-ROW('All Player Data Store'!$Y$7)+1),COUNTIF($AC$8:AC133,AC133))),"")</f>
        <v/>
      </c>
      <c r="AZ133" s="108" t="str">
        <f t="shared" si="13"/>
        <v/>
      </c>
      <c r="BA133" s="108" t="str">
        <f t="array" ref="BA133">IF(ISNUMBER(AC133),INDEX('All Player Data Store'!$U$8:$U$594,SMALL(IF('All Player Data Store'!$Y$7:$Y$594=AC133,ROW('All Player Data Store'!$Y$7:$Y$594)-ROW('All Player Data Store'!$Y$7)+1),COUNTIF($AC$8:AC133,AC133))),"")</f>
        <v/>
      </c>
      <c r="BB133" s="108" t="str">
        <f t="shared" si="14"/>
        <v/>
      </c>
      <c r="BC133" s="108" t="str">
        <f t="array" ref="BC133">IF(ISNUMBER(AC133),INDEX('All Player Data Store'!$V$8:$V$594,SMALL(IF('All Player Data Store'!$Y$7:$Y$594=AC133,ROW('All Player Data Store'!$Y$7:$Y$594)-ROW('All Player Data Store'!$Y$7)+1),COUNTIF($AC$8:AC133,AC133))),"")</f>
        <v/>
      </c>
      <c r="BD133" s="108" t="str">
        <f t="shared" si="15"/>
        <v/>
      </c>
      <c r="BE133" s="1"/>
    </row>
    <row r="134" spans="2:57" ht="12" customHeight="1" x14ac:dyDescent="0.2">
      <c r="B134" s="98" t="str">
        <f t="shared" si="0"/>
        <v>N</v>
      </c>
      <c r="C134" s="1"/>
      <c r="D134" s="68">
        <f t="shared" si="1"/>
        <v>127</v>
      </c>
      <c r="E134" s="2"/>
      <c r="F134" s="78">
        <v>127</v>
      </c>
      <c r="G134" s="110" t="str">
        <f t="array" ref="G134">IF(ISNUMBER(AC134),INDEX('All Player Data Store'!$C$7:$C$594,SMALL(IF('All Player Data Store'!$Y$7:$Y$594=AC134,ROW('All Player Data Store'!$Y$7:$Y$594)-ROW('All Player Data Store'!$Y$7)+1),COUNTIF($AC$8:AC134,AC134))),"")</f>
        <v>Paul Dormer</v>
      </c>
      <c r="H134" s="111" t="str">
        <f t="array" ref="H134">IF(ISNUMBER(AC134),INDEX('All Player Data Store'!$D$7:$D$594,SMALL(IF('All Player Data Store'!$Y$7:$Y$594=AC134,ROW('All Player Data Store'!$Y$7:$Y$594)-ROW('All Player Data Store'!$Y$7)+1),COUNTIF($AC$8:AC134,AC134))),"")</f>
        <v>Wey</v>
      </c>
      <c r="I134" s="69">
        <f t="array" ref="I134">IF(ISNUMBER(AC134),INDEX('All Player Data Store'!$E$7:$E$594,SMALL(IF('All Player Data Store'!$Y$7:$Y$594=AC134,ROW('All Player Data Store'!$Y$7:$Y$594)-ROW('All Player Data Store'!$Y$7)+1),COUNTIF($AC$8:AC134,AC134))),"")</f>
        <v>1</v>
      </c>
      <c r="J134" s="70" t="str">
        <f t="array" ref="J134">IF(ISNUMBER(AC134),INDEX('All Player Data Store'!$F$7:$F$594,SMALL(IF('All Player Data Store'!$Y$7:$Y$594=AC134,ROW('All Player Data Store'!$Y$7:$Y$594)-ROW('All Player Data Store'!$Y$7)+1),COUNTIF($AC$8:AC134,AC134))),"")</f>
        <v/>
      </c>
      <c r="K134" s="112">
        <f t="array" ref="K134">IF(ISNUMBER(AC134),INDEX('All Player Data Store'!$G$7:$G$594,SMALL(IF('All Player Data Store'!$Y$7:$Y$594=AC134,ROW('All Player Data Store'!$Y$7:$Y$594)-ROW('All Player Data Store'!$Y$7)+1),COUNTIF($AC$8:AC134,AC134))),"")</f>
        <v>1</v>
      </c>
      <c r="L134" s="112">
        <f t="array" ref="L134">IF(ISNUMBER(AC134),INDEX('All Player Data Store'!$H$7:$H$594,SMALL(IF('All Player Data Store'!$Y$7:$Y$594=AC134,ROW('All Player Data Store'!$Y$7:$Y$594)-ROW('All Player Data Store'!$Y$7)+1),COUNTIF($AC$8:AC134,AC134))),"")</f>
        <v>1</v>
      </c>
      <c r="M134" s="113">
        <f t="array" ref="M134">IF(ISNUMBER(AC134),INDEX('All Player Data Store'!$I$7:$I$594,SMALL(IF('All Player Data Store'!$Y$7:$Y$594=AC134,ROW('All Player Data Store'!$Y$7:$Y$594)-ROW('All Player Data Store'!$Y$7)+1),COUNTIF($AC$8:AC134,AC134))),"")</f>
        <v>4</v>
      </c>
      <c r="N134" s="114" t="str">
        <f t="array" ref="N134">IF(ISNUMBER(AC134),INDEX('All Player Data Store'!$J$7:$J$594,SMALL(IF('All Player Data Store'!$Y$7:$Y$594=AC134,ROW('All Player Data Store'!$Y$7:$Y$594)-ROW('All Player Data Store'!$Y$7)+1),COUNTIF($AC$8:AC134,AC134))),"")</f>
        <v/>
      </c>
      <c r="O134" s="108" t="str">
        <f t="array" ref="O134">IF(ISNUMBER(AC134),INDEX('All Player Data Store'!$K$7:$K$594,SMALL(IF('All Player Data Store'!$Y$7:$Y$594=AC134,ROW('All Player Data Store'!$Y$7:$Y$594)-ROW('All Player Data Store'!$Y$7)+1),COUNTIF($AC$8:AC134,AC134))),"")</f>
        <v/>
      </c>
      <c r="P134" s="108" t="str">
        <f t="array" ref="P134">IF(ISNUMBER(AC134),INDEX('All Player Data Store'!$L$7:$L$594,SMALL(IF('All Player Data Store'!$Y$7:$Y$594=AC134,ROW('All Player Data Store'!$Y$7:$Y$594)-ROW('All Player Data Store'!$Y$7)+1),COUNTIF($AC$8:AC134,AC134))),"")</f>
        <v/>
      </c>
      <c r="Q134" s="108" t="str">
        <f t="array" ref="Q134">IF(ISNUMBER(AC134),INDEX('All Player Data Store'!$M$7:$M$594,SMALL(IF('All Player Data Store'!$Y$7:$Y$594=AC134,ROW('All Player Data Store'!$Y$7:$Y$594)-ROW('All Player Data Store'!$Y$7)+1),COUNTIF($AC$8:AC134,AC134))),"")</f>
        <v/>
      </c>
      <c r="R134" s="108">
        <f t="array" ref="R134">IF(ISNUMBER(AC134),INDEX('All Player Data Store'!$N$7:$N$594,SMALL(IF('All Player Data Store'!$Y$7:$Y$594=AC134,ROW('All Player Data Store'!$Y$7:$Y$594)-ROW('All Player Data Store'!$Y$7)+1),COUNTIF($AC$8:AC134,AC134))),"")</f>
        <v>21.92</v>
      </c>
      <c r="S134" s="108" t="str">
        <f t="array" ref="S134">IF(ISNUMBER(AC134),INDEX('All Player Data Store'!$O$7:$O$594,SMALL(IF('All Player Data Store'!$Y$7:$Y$594=AC134,ROW('All Player Data Store'!$Y$7:$Y$594)-ROW('All Player Data Store'!$Y$7)+1),COUNTIF($AC$8:AC134,AC134))),"")</f>
        <v/>
      </c>
      <c r="T134" s="108" t="str">
        <f t="array" ref="T134">IF(ISNUMBER(AC134),INDEX('All Player Data Store'!$P$7:$P$594,SMALL(IF('All Player Data Store'!$Y$7:$Y$594=AC134,ROW('All Player Data Store'!$Y$7:$Y$594)-ROW('All Player Data Store'!$Y$7)+1),COUNTIF($AC$8:AC134,AC134))),"")</f>
        <v/>
      </c>
      <c r="U134" s="108" t="str">
        <f t="array" ref="U134">IF(ISNUMBER(AC134),INDEX('All Player Data Store'!$Q$7:$Q$594,SMALL(IF('All Player Data Store'!$Y$7:$Y$594=AC134,ROW('All Player Data Store'!$Y$7:$Y$594)-ROW('All Player Data Store'!$Y$7)+1),COUNTIF($AC$8:AC134,AC134))),"")</f>
        <v/>
      </c>
      <c r="V134" s="108" t="str">
        <f t="array" ref="V134">IF(ISNUMBER(AC134),INDEX('All Player Data Store'!$R$7:$R$594,SMALL(IF('All Player Data Store'!$Y$7:$Y$594=AC134,ROW('All Player Data Store'!$Y$7:$Y$594)-ROW('All Player Data Store'!$Y$7)+1),COUNTIF($AC$8:AC134,AC134))),"")</f>
        <v/>
      </c>
      <c r="W134" s="108" t="str">
        <f t="array" ref="W134">IF(ISNUMBER(AC134),INDEX('All Player Data Store'!$S$7:$S$594,SMALL(IF('All Player Data Store'!$Y$7:$Y$594=AC134,ROW('All Player Data Store'!$Y$7:$Y$594)-ROW('All Player Data Store'!$Y$7)+1),COUNTIF($AC$8:AC134,AC134))),"")</f>
        <v/>
      </c>
      <c r="X134" s="108" t="str">
        <f t="array" ref="X134">IF(ISNUMBER(AC134),INDEX('All Player Data Store'!$T$7:$T$594,SMALL(IF('All Player Data Store'!$Y$7:$Y$594=AC134,ROW('All Player Data Store'!$Y$7:$Y$594)-ROW('All Player Data Store'!$Y$7)+1),COUNTIF($AC$8:AC134,AC134))),"")</f>
        <v/>
      </c>
      <c r="Y134" s="108" t="str">
        <f t="array" ref="Y134">IF(ISNUMBER(AC134),INDEX('All Player Data Store'!$U$7:$U$594,SMALL(IF('All Player Data Store'!$Y$7:$Y$594=AC134,ROW('All Player Data Store'!$Y$7:$Y$594)-ROW('All Player Data Store'!$Y$7)+1),COUNTIF($AC$8:AC134,AC134))),"")</f>
        <v/>
      </c>
      <c r="Z134" s="108" t="str">
        <f t="array" ref="Z134">IF(ISNUMBER(AC134),INDEX('All Player Data Store'!$V$7:$V$594,SMALL(IF('All Player Data Store'!$Y$7:$Y$594=AC134,ROW('All Player Data Store'!$Y$7:$Y$594)-ROW('All Player Data Store'!$Y$7)+1),COUNTIF($AC$8:AC134,AC134))),"")</f>
        <v/>
      </c>
      <c r="AA134" s="112" t="str">
        <f t="array" ref="AA134">IF(ISNUMBER(AC134),INDEX('All Player Data Store'!$W$7:$W$594,SMALL(IF('All Player Data Store'!$Y$7:$Y$594=AC134,ROW('All Player Data Store'!$Y$7:$Y$594)-ROW('All Player Data Store'!$Y$7)+1),COUNTIF($AC$8:AC134,AC134))),"")</f>
        <v/>
      </c>
      <c r="AB134" s="108">
        <f t="array" ref="AB134">IF(ISNUMBER(AC134),INDEX('All Player Data Store'!$X$7:$X$594,SMALL(IF('All Player Data Store'!$Y$7:$Y$594=AC134,ROW('All Player Data Store'!$Y$7:$Y$594)-ROW('All Player Data Store'!$Y$7)+1),COUNTIF($AC$8:AC134,AC134))),"")</f>
        <v>21.92</v>
      </c>
      <c r="AC134" s="115">
        <f>IF(ISERROR(IF(ISERROR(LARGE('All Player Data Store'!$Y$7:$Y$594,127)),"",(LARGE('All Player Data Store'!$Y$7:$Y$594,127)))),"",(IF(ISERROR(LARGE('All Player Data Store'!$Y$7:$Y$594,127)),"",(LARGE('All Player Data Store'!$Y$7:$Y$594,127)))))</f>
        <v>21.92</v>
      </c>
      <c r="AD134" s="106">
        <f t="shared" si="16"/>
        <v>3</v>
      </c>
      <c r="AE134" s="107" t="str">
        <f t="array" ref="AE134">IF(ISNUMBER(AC134),INDEX('All Player Data Store'!$J$8:$J$594,SMALL(IF('All Player Data Store'!$Y$7:$Y$594=AC134,ROW('All Player Data Store'!$Y$7:$Y$594)-ROW('All Player Data Store'!$Y$7)+1),COUNTIF($AC$8:AC134,AC134))),"")</f>
        <v/>
      </c>
      <c r="AF134" s="108" t="str">
        <f t="shared" si="3"/>
        <v/>
      </c>
      <c r="AG134" s="108" t="str">
        <f t="array" ref="AG134">IF(ISNUMBER(AC134),INDEX('All Player Data Store'!$K$8:$K$594,SMALL(IF('All Player Data Store'!$Y$7:$Y$594=AC134,ROW('All Player Data Store'!$Y$7:$Y$594)-ROW('All Player Data Store'!$Y$7)+1),COUNTIF($AC$8:AC134,AC134))),"")</f>
        <v/>
      </c>
      <c r="AH134" s="108" t="str">
        <f t="shared" si="4"/>
        <v/>
      </c>
      <c r="AI134" s="108" t="str">
        <f t="array" ref="AI134">IF(ISNUMBER(AC134),INDEX('All Player Data Store'!$L$8:$L$594,SMALL(IF('All Player Data Store'!$Y$7:$Y$594=AC134,ROW('All Player Data Store'!$Y$7:$Y$594)-ROW('All Player Data Store'!$Y$7)+1),COUNTIF($AC$8:AC134,AC134))),"")</f>
        <v/>
      </c>
      <c r="AJ134" s="108" t="str">
        <f t="shared" si="5"/>
        <v/>
      </c>
      <c r="AK134" s="108" t="str">
        <f t="array" ref="AK134">IF(ISNUMBER(AC134),INDEX('All Player Data Store'!$M$8:$M$594,SMALL(IF('All Player Data Store'!$Y$7:$Y$594=AC134,ROW('All Player Data Store'!$Y$7:$Y$594)-ROW('All Player Data Store'!$Y$7)+1),COUNTIF($AC$8:AC134,AC134))),"")</f>
        <v/>
      </c>
      <c r="AL134" s="108" t="str">
        <f t="shared" si="6"/>
        <v/>
      </c>
      <c r="AM134" s="108" t="str">
        <f t="array" ref="AM134">IF(ISNUMBER(AC134),INDEX('All Player Data Store'!$N$8:$N$594,SMALL(IF('All Player Data Store'!$Y$7:$Y$594=AC134,ROW('All Player Data Store'!$Y$7:$Y$594)-ROW('All Player Data Store'!$Y$7)+1),COUNTIF($AC$8:AC134,AC134))),"")</f>
        <v>1*4</v>
      </c>
      <c r="AN134" s="108">
        <f t="shared" si="7"/>
        <v>21.92</v>
      </c>
      <c r="AO134" s="108" t="str">
        <f t="array" ref="AO134">IF(ISNUMBER(AC134),INDEX('All Player Data Store'!$O$8:$O$594,SMALL(IF('All Player Data Store'!$Y$7:$Y$594=AC134,ROW('All Player Data Store'!$Y$7:$Y$594)-ROW('All Player Data Store'!$Y$7)+1),COUNTIF($AC$8:AC134,AC134))),"")</f>
        <v/>
      </c>
      <c r="AP134" s="108" t="str">
        <f t="shared" si="8"/>
        <v/>
      </c>
      <c r="AQ134" s="108" t="str">
        <f t="array" ref="AQ134">IF(ISNUMBER(AC134),INDEX('All Player Data Store'!$P$8:$P$594,SMALL(IF('All Player Data Store'!$Y$7:$Y$594=AC134,ROW('All Player Data Store'!$Y$7:$Y$594)-ROW('All Player Data Store'!$Y$7)+1),COUNTIF($AC$8:AC134,AC134))),"")</f>
        <v/>
      </c>
      <c r="AR134" s="108" t="str">
        <f t="shared" si="9"/>
        <v/>
      </c>
      <c r="AS134" s="108" t="str">
        <f t="array" ref="AS134">IF(ISNUMBER(AC134),INDEX('All Player Data Store'!$Q$8:$Q$594,SMALL(IF('All Player Data Store'!$Y$7:$Y$594=AC134,ROW('All Player Data Store'!$Y$7:$Y$594)-ROW('All Player Data Store'!$Y$7)+1),COUNTIF($AC$8:AC134,AC134))),"")</f>
        <v/>
      </c>
      <c r="AT134" s="108" t="str">
        <f t="shared" si="10"/>
        <v/>
      </c>
      <c r="AU134" s="108" t="str">
        <f t="array" ref="AU134">IF(ISNUMBER(AC134),INDEX('All Player Data Store'!$R$8:$R$594,SMALL(IF('All Player Data Store'!$Y$7:$Y$594=AC134,ROW('All Player Data Store'!$Y$7:$Y$594)-ROW('All Player Data Store'!$Y$7)+1),COUNTIF($AC$8:AC134,AC134))),"")</f>
        <v/>
      </c>
      <c r="AV134" s="108" t="str">
        <f t="shared" si="11"/>
        <v/>
      </c>
      <c r="AW134" s="108" t="str">
        <f t="array" ref="AW134">IF(ISNUMBER(AC134),INDEX('All Player Data Store'!$S$8:$S$594,SMALL(IF('All Player Data Store'!$Y$7:$Y$594=AC134,ROW('All Player Data Store'!$Y$7:$Y$594)-ROW('All Player Data Store'!$Y$7)+1),COUNTIF($AC$8:AC134,AC134))),"")</f>
        <v/>
      </c>
      <c r="AX134" s="108" t="str">
        <f t="shared" si="12"/>
        <v/>
      </c>
      <c r="AY134" s="108" t="str">
        <f t="array" ref="AY134">IF(ISNUMBER(AC134),INDEX('All Player Data Store'!$T$8:$T$594,SMALL(IF('All Player Data Store'!$Y$7:$Y$594=AC134,ROW('All Player Data Store'!$Y$7:$Y$594)-ROW('All Player Data Store'!$Y$7)+1),COUNTIF($AC$8:AC134,AC134))),"")</f>
        <v/>
      </c>
      <c r="AZ134" s="108" t="str">
        <f t="shared" si="13"/>
        <v/>
      </c>
      <c r="BA134" s="108" t="str">
        <f t="array" ref="BA134">IF(ISNUMBER(AC134),INDEX('All Player Data Store'!$U$8:$U$594,SMALL(IF('All Player Data Store'!$Y$7:$Y$594=AC134,ROW('All Player Data Store'!$Y$7:$Y$594)-ROW('All Player Data Store'!$Y$7)+1),COUNTIF($AC$8:AC134,AC134))),"")</f>
        <v/>
      </c>
      <c r="BB134" s="108" t="str">
        <f t="shared" si="14"/>
        <v/>
      </c>
      <c r="BC134" s="108" t="str">
        <f t="array" ref="BC134">IF(ISNUMBER(AC134),INDEX('All Player Data Store'!$V$8:$V$594,SMALL(IF('All Player Data Store'!$Y$7:$Y$594=AC134,ROW('All Player Data Store'!$Y$7:$Y$594)-ROW('All Player Data Store'!$Y$7)+1),COUNTIF($AC$8:AC134,AC134))),"")</f>
        <v/>
      </c>
      <c r="BD134" s="108" t="str">
        <f t="shared" si="15"/>
        <v/>
      </c>
      <c r="BE134" s="1"/>
    </row>
    <row r="135" spans="2:57" ht="12" customHeight="1" x14ac:dyDescent="0.2">
      <c r="B135" s="98" t="str">
        <f t="shared" si="0"/>
        <v>N</v>
      </c>
      <c r="C135" s="1"/>
      <c r="D135" s="68">
        <f t="shared" si="1"/>
        <v>128</v>
      </c>
      <c r="E135" s="2"/>
      <c r="F135" s="78">
        <v>128</v>
      </c>
      <c r="G135" s="110" t="str">
        <f t="array" ref="G135">IF(ISNUMBER(AC135),INDEX('All Player Data Store'!$C$7:$C$594,SMALL(IF('All Player Data Store'!$Y$7:$Y$594=AC135,ROW('All Player Data Store'!$Y$7:$Y$594)-ROW('All Player Data Store'!$Y$7)+1),COUNTIF($AC$8:AC135,AC135))),"")</f>
        <v>Mick Hopkins</v>
      </c>
      <c r="H135" s="111" t="str">
        <f t="array" ref="H135">IF(ISNUMBER(AC135),INDEX('All Player Data Store'!$D$7:$D$594,SMALL(IF('All Player Data Store'!$Y$7:$Y$594=AC135,ROW('All Player Data Store'!$Y$7:$Y$594)-ROW('All Player Data Store'!$Y$7)+1),COUNTIF($AC$8:AC135,AC135))),"")</f>
        <v>Por</v>
      </c>
      <c r="I135" s="69">
        <f t="array" ref="I135">IF(ISNUMBER(AC135),INDEX('All Player Data Store'!$E$7:$E$594,SMALL(IF('All Player Data Store'!$Y$7:$Y$594=AC135,ROW('All Player Data Store'!$Y$7:$Y$594)-ROW('All Player Data Store'!$Y$7)+1),COUNTIF($AC$8:AC135,AC135))),"")</f>
        <v>8</v>
      </c>
      <c r="J135" s="70">
        <f t="array" ref="J135">IF(ISNUMBER(AC135),INDEX('All Player Data Store'!$F$7:$F$594,SMALL(IF('All Player Data Store'!$Y$7:$Y$594=AC135,ROW('All Player Data Store'!$Y$7:$Y$594)-ROW('All Player Data Store'!$Y$7)+1),COUNTIF($AC$8:AC135,AC135))),"")</f>
        <v>1</v>
      </c>
      <c r="K135" s="112">
        <f t="array" ref="K135">IF(ISNUMBER(AC135),INDEX('All Player Data Store'!$G$7:$G$594,SMALL(IF('All Player Data Store'!$Y$7:$Y$594=AC135,ROW('All Player Data Store'!$Y$7:$Y$594)-ROW('All Player Data Store'!$Y$7)+1),COUNTIF($AC$8:AC135,AC135))),"")</f>
        <v>7</v>
      </c>
      <c r="L135" s="112">
        <f t="array" ref="L135">IF(ISNUMBER(AC135),INDEX('All Player Data Store'!$H$7:$H$594,SMALL(IF('All Player Data Store'!$Y$7:$Y$594=AC135,ROW('All Player Data Store'!$Y$7:$Y$594)-ROW('All Player Data Store'!$Y$7)+1),COUNTIF($AC$8:AC135,AC135))),"")</f>
        <v>12</v>
      </c>
      <c r="M135" s="113">
        <f t="array" ref="M135">IF(ISNUMBER(AC135),INDEX('All Player Data Store'!$I$7:$I$594,SMALL(IF('All Player Data Store'!$Y$7:$Y$594=AC135,ROW('All Player Data Store'!$Y$7:$Y$594)-ROW('All Player Data Store'!$Y$7)+1),COUNTIF($AC$8:AC135,AC135))),"")</f>
        <v>31</v>
      </c>
      <c r="N135" s="114">
        <f t="array" ref="N135">IF(ISNUMBER(AC135),INDEX('All Player Data Store'!$J$7:$J$594,SMALL(IF('All Player Data Store'!$Y$7:$Y$594=AC135,ROW('All Player Data Store'!$Y$7:$Y$594)-ROW('All Player Data Store'!$Y$7)+1),COUNTIF($AC$8:AC135,AC135))),"")</f>
        <v>19.920000000000002</v>
      </c>
      <c r="O135" s="108">
        <f t="array" ref="O135">IF(ISNUMBER(AC135),INDEX('All Player Data Store'!$K$7:$K$594,SMALL(IF('All Player Data Store'!$Y$7:$Y$594=AC135,ROW('All Player Data Store'!$Y$7:$Y$594)-ROW('All Player Data Store'!$Y$7)+1),COUNTIF($AC$8:AC135,AC135))),"")</f>
        <v>19.89</v>
      </c>
      <c r="P135" s="108" t="str">
        <f t="array" ref="P135">IF(ISNUMBER(AC135),INDEX('All Player Data Store'!$L$7:$L$594,SMALL(IF('All Player Data Store'!$Y$7:$Y$594=AC135,ROW('All Player Data Store'!$Y$7:$Y$594)-ROW('All Player Data Store'!$Y$7)+1),COUNTIF($AC$8:AC135,AC135))),"")</f>
        <v/>
      </c>
      <c r="Q135" s="108">
        <f t="array" ref="Q135">IF(ISNUMBER(AC135),INDEX('All Player Data Store'!$M$7:$M$594,SMALL(IF('All Player Data Store'!$Y$7:$Y$594=AC135,ROW('All Player Data Store'!$Y$7:$Y$594)-ROW('All Player Data Store'!$Y$7)+1),COUNTIF($AC$8:AC135,AC135))),"")</f>
        <v>20.14</v>
      </c>
      <c r="R135" s="108">
        <f t="array" ref="R135">IF(ISNUMBER(AC135),INDEX('All Player Data Store'!$N$7:$N$594,SMALL(IF('All Player Data Store'!$Y$7:$Y$594=AC135,ROW('All Player Data Store'!$Y$7:$Y$594)-ROW('All Player Data Store'!$Y$7)+1),COUNTIF($AC$8:AC135,AC135))),"")</f>
        <v>22.53</v>
      </c>
      <c r="S135" s="108" t="str">
        <f t="array" ref="S135">IF(ISNUMBER(AC135),INDEX('All Player Data Store'!$O$7:$O$594,SMALL(IF('All Player Data Store'!$Y$7:$Y$594=AC135,ROW('All Player Data Store'!$Y$7:$Y$594)-ROW('All Player Data Store'!$Y$7)+1),COUNTIF($AC$8:AC135,AC135))),"")</f>
        <v/>
      </c>
      <c r="T135" s="108">
        <f t="array" ref="T135">IF(ISNUMBER(AC135),INDEX('All Player Data Store'!$P$7:$P$594,SMALL(IF('All Player Data Store'!$Y$7:$Y$594=AC135,ROW('All Player Data Store'!$Y$7:$Y$594)-ROW('All Player Data Store'!$Y$7)+1),COUNTIF($AC$8:AC135,AC135))),"")</f>
        <v>24.21</v>
      </c>
      <c r="U135" s="108">
        <f t="array" ref="U135">IF(ISNUMBER(AC135),INDEX('All Player Data Store'!$Q$7:$Q$594,SMALL(IF('All Player Data Store'!$Y$7:$Y$594=AC135,ROW('All Player Data Store'!$Y$7:$Y$594)-ROW('All Player Data Store'!$Y$7)+1),COUNTIF($AC$8:AC135,AC135))),"")</f>
        <v>20.91</v>
      </c>
      <c r="V135" s="108" t="str">
        <f t="array" ref="V135">IF(ISNUMBER(AC135),INDEX('All Player Data Store'!$R$7:$R$594,SMALL(IF('All Player Data Store'!$Y$7:$Y$594=AC135,ROW('All Player Data Store'!$Y$7:$Y$594)-ROW('All Player Data Store'!$Y$7)+1),COUNTIF($AC$8:AC135,AC135))),"")</f>
        <v/>
      </c>
      <c r="W135" s="108" t="str">
        <f t="array" ref="W135">IF(ISNUMBER(AC135),INDEX('All Player Data Store'!$S$7:$S$594,SMALL(IF('All Player Data Store'!$Y$7:$Y$594=AC135,ROW('All Player Data Store'!$Y$7:$Y$594)-ROW('All Player Data Store'!$Y$7)+1),COUNTIF($AC$8:AC135,AC135))),"")</f>
        <v/>
      </c>
      <c r="X135" s="108" t="str">
        <f t="array" ref="X135">IF(ISNUMBER(AC135),INDEX('All Player Data Store'!$T$7:$T$594,SMALL(IF('All Player Data Store'!$Y$7:$Y$594=AC135,ROW('All Player Data Store'!$Y$7:$Y$594)-ROW('All Player Data Store'!$Y$7)+1),COUNTIF($AC$8:AC135,AC135))),"")</f>
        <v/>
      </c>
      <c r="Y135" s="108">
        <f t="array" ref="Y135">IF(ISNUMBER(AC135),INDEX('All Player Data Store'!$U$7:$U$594,SMALL(IF('All Player Data Store'!$Y$7:$Y$594=AC135,ROW('All Player Data Store'!$Y$7:$Y$594)-ROW('All Player Data Store'!$Y$7)+1),COUNTIF($AC$8:AC135,AC135))),"")</f>
        <v>18.75</v>
      </c>
      <c r="Z135" s="108">
        <f t="array" ref="Z135">IF(ISNUMBER(AC135),INDEX('All Player Data Store'!$V$7:$V$594,SMALL(IF('All Player Data Store'!$Y$7:$Y$594=AC135,ROW('All Player Data Store'!$Y$7:$Y$594)-ROW('All Player Data Store'!$Y$7)+1),COUNTIF($AC$8:AC135,AC135))),"")</f>
        <v>20.22</v>
      </c>
      <c r="AA135" s="112">
        <f t="array" ref="AA135">IF(ISNUMBER(AC135),INDEX('All Player Data Store'!$W$7:$W$594,SMALL(IF('All Player Data Store'!$Y$7:$Y$594=AC135,ROW('All Player Data Store'!$Y$7:$Y$594)-ROW('All Player Data Store'!$Y$7)+1),COUNTIF($AC$8:AC135,AC135))),"")</f>
        <v>2</v>
      </c>
      <c r="AB135" s="108">
        <f t="array" ref="AB135">IF(ISNUMBER(AC135),INDEX('All Player Data Store'!$X$7:$X$594,SMALL(IF('All Player Data Store'!$Y$7:$Y$594=AC135,ROW('All Player Data Store'!$Y$7:$Y$594)-ROW('All Player Data Store'!$Y$7)+1),COUNTIF($AC$8:AC135,AC135))),"")</f>
        <v>20.821249999999999</v>
      </c>
      <c r="AC135" s="115">
        <f>IF(ISERROR(IF(ISERROR(LARGE('All Player Data Store'!$Y$7:$Y$594,128)),"",(LARGE('All Player Data Store'!$Y$7:$Y$594,128)))),"",(IF(ISERROR(LARGE('All Player Data Store'!$Y$7:$Y$594,128)),"",(LARGE('All Player Data Store'!$Y$7:$Y$594,128)))))</f>
        <v>21.821249999999999</v>
      </c>
      <c r="AD135" s="106">
        <f t="shared" si="16"/>
        <v>3</v>
      </c>
      <c r="AE135" s="107" t="str">
        <f t="array" ref="AE135">IF(ISNUMBER(AC135),INDEX('All Player Data Store'!$J$8:$J$594,SMALL(IF('All Player Data Store'!$Y$7:$Y$594=AC135,ROW('All Player Data Store'!$Y$7:$Y$594)-ROW('All Player Data Store'!$Y$7)+1),COUNTIF($AC$8:AC135,AC135))),"")</f>
        <v>1*4</v>
      </c>
      <c r="AF135" s="108">
        <f t="shared" si="3"/>
        <v>19.920000000000002</v>
      </c>
      <c r="AG135" s="108" t="str">
        <f t="array" ref="AG135">IF(ISNUMBER(AC135),INDEX('All Player Data Store'!$K$8:$K$594,SMALL(IF('All Player Data Store'!$Y$7:$Y$594=AC135,ROW('All Player Data Store'!$Y$7:$Y$594)-ROW('All Player Data Store'!$Y$7)+1),COUNTIF($AC$8:AC135,AC135))),"")</f>
        <v>1*4</v>
      </c>
      <c r="AH135" s="108">
        <f t="shared" si="4"/>
        <v>19.89</v>
      </c>
      <c r="AI135" s="108" t="str">
        <f t="array" ref="AI135">IF(ISNUMBER(AC135),INDEX('All Player Data Store'!$L$8:$L$594,SMALL(IF('All Player Data Store'!$Y$7:$Y$594=AC135,ROW('All Player Data Store'!$Y$7:$Y$594)-ROW('All Player Data Store'!$Y$7)+1),COUNTIF($AC$8:AC135,AC135))),"")</f>
        <v/>
      </c>
      <c r="AJ135" s="108" t="str">
        <f t="shared" si="5"/>
        <v/>
      </c>
      <c r="AK135" s="108" t="str">
        <f t="array" ref="AK135">IF(ISNUMBER(AC135),INDEX('All Player Data Store'!$M$8:$M$594,SMALL(IF('All Player Data Store'!$Y$7:$Y$594=AC135,ROW('All Player Data Store'!$Y$7:$Y$594)-ROW('All Player Data Store'!$Y$7)+1),COUNTIF($AC$8:AC135,AC135))),"")</f>
        <v>1*4</v>
      </c>
      <c r="AL135" s="108">
        <f t="shared" si="6"/>
        <v>20.14</v>
      </c>
      <c r="AM135" s="108" t="str">
        <f t="array" ref="AM135">IF(ISNUMBER(AC135),INDEX('All Player Data Store'!$N$8:$N$594,SMALL(IF('All Player Data Store'!$Y$7:$Y$594=AC135,ROW('All Player Data Store'!$Y$7:$Y$594)-ROW('All Player Data Store'!$Y$7)+1),COUNTIF($AC$8:AC135,AC135))),"")</f>
        <v>1*4</v>
      </c>
      <c r="AN135" s="108">
        <f t="shared" si="7"/>
        <v>22.53</v>
      </c>
      <c r="AO135" s="108" t="str">
        <f t="array" ref="AO135">IF(ISNUMBER(AC135),INDEX('All Player Data Store'!$O$8:$O$594,SMALL(IF('All Player Data Store'!$Y$7:$Y$594=AC135,ROW('All Player Data Store'!$Y$7:$Y$594)-ROW('All Player Data Store'!$Y$7)+1),COUNTIF($AC$8:AC135,AC135))),"")</f>
        <v/>
      </c>
      <c r="AP135" s="108" t="str">
        <f t="shared" si="8"/>
        <v/>
      </c>
      <c r="AQ135" s="108" t="str">
        <f t="array" ref="AQ135">IF(ISNUMBER(AC135),INDEX('All Player Data Store'!$P$8:$P$594,SMALL(IF('All Player Data Store'!$Y$7:$Y$594=AC135,ROW('All Player Data Store'!$Y$7:$Y$594)-ROW('All Player Data Store'!$Y$7)+1),COUNTIF($AC$8:AC135,AC135))),"")</f>
        <v>1*4(2)</v>
      </c>
      <c r="AR135" s="108">
        <f t="shared" si="9"/>
        <v>24.21</v>
      </c>
      <c r="AS135" s="108" t="str">
        <f t="array" ref="AS135">IF(ISNUMBER(AC135),INDEX('All Player Data Store'!$Q$8:$Q$594,SMALL(IF('All Player Data Store'!$Y$7:$Y$594=AC135,ROW('All Player Data Store'!$Y$7:$Y$594)-ROW('All Player Data Store'!$Y$7)+1),COUNTIF($AC$8:AC135,AC135))),"")</f>
        <v>1*4</v>
      </c>
      <c r="AT135" s="108">
        <f t="shared" si="10"/>
        <v>20.91</v>
      </c>
      <c r="AU135" s="108" t="str">
        <f t="array" ref="AU135">IF(ISNUMBER(AC135),INDEX('All Player Data Store'!$R$8:$R$594,SMALL(IF('All Player Data Store'!$Y$7:$Y$594=AC135,ROW('All Player Data Store'!$Y$7:$Y$594)-ROW('All Player Data Store'!$Y$7)+1),COUNTIF($AC$8:AC135,AC135))),"")</f>
        <v/>
      </c>
      <c r="AV135" s="108" t="str">
        <f t="shared" si="11"/>
        <v/>
      </c>
      <c r="AW135" s="108" t="str">
        <f t="array" ref="AW135">IF(ISNUMBER(AC135),INDEX('All Player Data Store'!$S$8:$S$594,SMALL(IF('All Player Data Store'!$Y$7:$Y$594=AC135,ROW('All Player Data Store'!$Y$7:$Y$594)-ROW('All Player Data Store'!$Y$7)+1),COUNTIF($AC$8:AC135,AC135))),"")</f>
        <v/>
      </c>
      <c r="AX135" s="108" t="str">
        <f t="shared" si="12"/>
        <v/>
      </c>
      <c r="AY135" s="108" t="str">
        <f t="array" ref="AY135">IF(ISNUMBER(AC135),INDEX('All Player Data Store'!$T$8:$T$594,SMALL(IF('All Player Data Store'!$Y$7:$Y$594=AC135,ROW('All Player Data Store'!$Y$7:$Y$594)-ROW('All Player Data Store'!$Y$7)+1),COUNTIF($AC$8:AC135,AC135))),"")</f>
        <v/>
      </c>
      <c r="AZ135" s="108" t="str">
        <f t="shared" si="13"/>
        <v/>
      </c>
      <c r="BA135" s="108" t="str">
        <f t="array" ref="BA135">IF(ISNUMBER(AC135),INDEX('All Player Data Store'!$U$8:$U$594,SMALL(IF('All Player Data Store'!$Y$7:$Y$594=AC135,ROW('All Player Data Store'!$Y$7:$Y$594)-ROW('All Player Data Store'!$Y$7)+1),COUNTIF($AC$8:AC135,AC135))),"")</f>
        <v>4*3</v>
      </c>
      <c r="BB135" s="108">
        <f t="shared" si="14"/>
        <v>19.75</v>
      </c>
      <c r="BC135" s="108" t="str">
        <f t="array" ref="BC135">IF(ISNUMBER(AC135),INDEX('All Player Data Store'!$V$8:$V$594,SMALL(IF('All Player Data Store'!$Y$7:$Y$594=AC135,ROW('All Player Data Store'!$Y$7:$Y$594)-ROW('All Player Data Store'!$Y$7)+1),COUNTIF($AC$8:AC135,AC135))),"")</f>
        <v>2*4</v>
      </c>
      <c r="BD135" s="108">
        <f t="shared" si="15"/>
        <v>20.22</v>
      </c>
      <c r="BE135" s="1"/>
    </row>
    <row r="136" spans="2:57" ht="12" customHeight="1" x14ac:dyDescent="0.2">
      <c r="B136" s="98" t="str">
        <f t="shared" si="0"/>
        <v>N</v>
      </c>
      <c r="C136" s="1"/>
      <c r="D136" s="68">
        <f t="shared" si="1"/>
        <v>129</v>
      </c>
      <c r="E136" s="2"/>
      <c r="F136" s="78">
        <v>129</v>
      </c>
      <c r="G136" s="110" t="str">
        <f t="array" ref="G136">IF(ISNUMBER(AC136),INDEX('All Player Data Store'!$C$7:$C$594,SMALL(IF('All Player Data Store'!$Y$7:$Y$594=AC136,ROW('All Player Data Store'!$Y$7:$Y$594)-ROW('All Player Data Store'!$Y$7)+1),COUNTIF($AC$8:AC136,AC136))),"")</f>
        <v>Paul Grisedale</v>
      </c>
      <c r="H136" s="111" t="str">
        <f t="array" ref="H136">IF(ISNUMBER(AC136),INDEX('All Player Data Store'!$D$7:$D$594,SMALL(IF('All Player Data Store'!$Y$7:$Y$594=AC136,ROW('All Player Data Store'!$Y$7:$Y$594)-ROW('All Player Data Store'!$Y$7)+1),COUNTIF($AC$8:AC136,AC136))),"")</f>
        <v>Poo</v>
      </c>
      <c r="I136" s="69">
        <f t="array" ref="I136">IF(ISNUMBER(AC136),INDEX('All Player Data Store'!$E$7:$E$594,SMALL(IF('All Player Data Store'!$Y$7:$Y$594=AC136,ROW('All Player Data Store'!$Y$7:$Y$594)-ROW('All Player Data Store'!$Y$7)+1),COUNTIF($AC$8:AC136,AC136))),"")</f>
        <v>7</v>
      </c>
      <c r="J136" s="70">
        <f t="array" ref="J136">IF(ISNUMBER(AC136),INDEX('All Player Data Store'!$F$7:$F$594,SMALL(IF('All Player Data Store'!$Y$7:$Y$594=AC136,ROW('All Player Data Store'!$Y$7:$Y$594)-ROW('All Player Data Store'!$Y$7)+1),COUNTIF($AC$8:AC136,AC136))),"")</f>
        <v>2</v>
      </c>
      <c r="K136" s="112">
        <f t="array" ref="K136">IF(ISNUMBER(AC136),INDEX('All Player Data Store'!$G$7:$G$594,SMALL(IF('All Player Data Store'!$Y$7:$Y$594=AC136,ROW('All Player Data Store'!$Y$7:$Y$594)-ROW('All Player Data Store'!$Y$7)+1),COUNTIF($AC$8:AC136,AC136))),"")</f>
        <v>5</v>
      </c>
      <c r="L136" s="112">
        <f t="array" ref="L136">IF(ISNUMBER(AC136),INDEX('All Player Data Store'!$H$7:$H$594,SMALL(IF('All Player Data Store'!$Y$7:$Y$594=AC136,ROW('All Player Data Store'!$Y$7:$Y$594)-ROW('All Player Data Store'!$Y$7)+1),COUNTIF($AC$8:AC136,AC136))),"")</f>
        <v>16</v>
      </c>
      <c r="M136" s="113">
        <f t="array" ref="M136">IF(ISNUMBER(AC136),INDEX('All Player Data Store'!$I$7:$I$594,SMALL(IF('All Player Data Store'!$Y$7:$Y$594=AC136,ROW('All Player Data Store'!$Y$7:$Y$594)-ROW('All Player Data Store'!$Y$7)+1),COUNTIF($AC$8:AC136,AC136))),"")</f>
        <v>24</v>
      </c>
      <c r="N136" s="114">
        <f t="array" ref="N136">IF(ISNUMBER(AC136),INDEX('All Player Data Store'!$J$7:$J$594,SMALL(IF('All Player Data Store'!$Y$7:$Y$594=AC136,ROW('All Player Data Store'!$Y$7:$Y$594)-ROW('All Player Data Store'!$Y$7)+1),COUNTIF($AC$8:AC136,AC136))),"")</f>
        <v>20.98</v>
      </c>
      <c r="O136" s="108" t="str">
        <f t="array" ref="O136">IF(ISNUMBER(AC136),INDEX('All Player Data Store'!$K$7:$K$594,SMALL(IF('All Player Data Store'!$Y$7:$Y$594=AC136,ROW('All Player Data Store'!$Y$7:$Y$594)-ROW('All Player Data Store'!$Y$7)+1),COUNTIF($AC$8:AC136,AC136))),"")</f>
        <v/>
      </c>
      <c r="P136" s="108" t="str">
        <f t="array" ref="P136">IF(ISNUMBER(AC136),INDEX('All Player Data Store'!$L$7:$L$594,SMALL(IF('All Player Data Store'!$Y$7:$Y$594=AC136,ROW('All Player Data Store'!$Y$7:$Y$594)-ROW('All Player Data Store'!$Y$7)+1),COUNTIF($AC$8:AC136,AC136))),"")</f>
        <v/>
      </c>
      <c r="Q136" s="108">
        <f t="array" ref="Q136">IF(ISNUMBER(AC136),INDEX('All Player Data Store'!$M$7:$M$594,SMALL(IF('All Player Data Store'!$Y$7:$Y$594=AC136,ROW('All Player Data Store'!$Y$7:$Y$594)-ROW('All Player Data Store'!$Y$7)+1),COUNTIF($AC$8:AC136,AC136))),"")</f>
        <v>19.260000000000002</v>
      </c>
      <c r="R136" s="108" t="str">
        <f t="array" ref="R136">IF(ISNUMBER(AC136),INDEX('All Player Data Store'!$N$7:$N$594,SMALL(IF('All Player Data Store'!$Y$7:$Y$594=AC136,ROW('All Player Data Store'!$Y$7:$Y$594)-ROW('All Player Data Store'!$Y$7)+1),COUNTIF($AC$8:AC136,AC136))),"")</f>
        <v/>
      </c>
      <c r="S136" s="108" t="str">
        <f t="array" ref="S136">IF(ISNUMBER(AC136),INDEX('All Player Data Store'!$O$7:$O$594,SMALL(IF('All Player Data Store'!$Y$7:$Y$594=AC136,ROW('All Player Data Store'!$Y$7:$Y$594)-ROW('All Player Data Store'!$Y$7)+1),COUNTIF($AC$8:AC136,AC136))),"")</f>
        <v/>
      </c>
      <c r="T136" s="108">
        <f t="array" ref="T136">IF(ISNUMBER(AC136),INDEX('All Player Data Store'!$P$7:$P$594,SMALL(IF('All Player Data Store'!$Y$7:$Y$594=AC136,ROW('All Player Data Store'!$Y$7:$Y$594)-ROW('All Player Data Store'!$Y$7)+1),COUNTIF($AC$8:AC136,AC136))),"")</f>
        <v>19.52</v>
      </c>
      <c r="U136" s="108" t="str">
        <f t="array" ref="U136">IF(ISNUMBER(AC136),INDEX('All Player Data Store'!$Q$7:$Q$594,SMALL(IF('All Player Data Store'!$Y$7:$Y$594=AC136,ROW('All Player Data Store'!$Y$7:$Y$594)-ROW('All Player Data Store'!$Y$7)+1),COUNTIF($AC$8:AC136,AC136))),"")</f>
        <v/>
      </c>
      <c r="V136" s="108">
        <f t="array" ref="V136">IF(ISNUMBER(AC136),INDEX('All Player Data Store'!$R$7:$R$594,SMALL(IF('All Player Data Store'!$Y$7:$Y$594=AC136,ROW('All Player Data Store'!$Y$7:$Y$594)-ROW('All Player Data Store'!$Y$7)+1),COUNTIF($AC$8:AC136,AC136))),"")</f>
        <v>16.53</v>
      </c>
      <c r="W136" s="108">
        <f t="array" ref="W136">IF(ISNUMBER(AC136),INDEX('All Player Data Store'!$S$7:$S$594,SMALL(IF('All Player Data Store'!$Y$7:$Y$594=AC136,ROW('All Player Data Store'!$Y$7:$Y$594)-ROW('All Player Data Store'!$Y$7)+1),COUNTIF($AC$8:AC136,AC136))),"")</f>
        <v>21.33</v>
      </c>
      <c r="X136" s="108">
        <f t="array" ref="X136">IF(ISNUMBER(AC136),INDEX('All Player Data Store'!$T$7:$T$594,SMALL(IF('All Player Data Store'!$Y$7:$Y$594=AC136,ROW('All Player Data Store'!$Y$7:$Y$594)-ROW('All Player Data Store'!$Y$7)+1),COUNTIF($AC$8:AC136,AC136))),"")</f>
        <v>18.75</v>
      </c>
      <c r="Y136" s="108" t="str">
        <f t="array" ref="Y136">IF(ISNUMBER(AC136),INDEX('All Player Data Store'!$U$7:$U$594,SMALL(IF('All Player Data Store'!$Y$7:$Y$594=AC136,ROW('All Player Data Store'!$Y$7:$Y$594)-ROW('All Player Data Store'!$Y$7)+1),COUNTIF($AC$8:AC136,AC136))),"")</f>
        <v/>
      </c>
      <c r="Z136" s="108">
        <f t="array" ref="Z136">IF(ISNUMBER(AC136),INDEX('All Player Data Store'!$V$7:$V$594,SMALL(IF('All Player Data Store'!$Y$7:$Y$594=AC136,ROW('All Player Data Store'!$Y$7:$Y$594)-ROW('All Player Data Store'!$Y$7)+1),COUNTIF($AC$8:AC136,AC136))),"")</f>
        <v>20.94</v>
      </c>
      <c r="AA136" s="112">
        <f t="array" ref="AA136">IF(ISNUMBER(AC136),INDEX('All Player Data Store'!$W$7:$W$594,SMALL(IF('All Player Data Store'!$Y$7:$Y$594=AC136,ROW('All Player Data Store'!$Y$7:$Y$594)-ROW('All Player Data Store'!$Y$7)+1),COUNTIF($AC$8:AC136,AC136))),"")</f>
        <v>1</v>
      </c>
      <c r="AB136" s="108">
        <f t="array" ref="AB136">IF(ISNUMBER(AC136),INDEX('All Player Data Store'!$X$7:$X$594,SMALL(IF('All Player Data Store'!$Y$7:$Y$594=AC136,ROW('All Player Data Store'!$Y$7:$Y$594)-ROW('All Player Data Store'!$Y$7)+1),COUNTIF($AC$8:AC136,AC136))),"")</f>
        <v>19.615714285714287</v>
      </c>
      <c r="AC136" s="115">
        <f>IF(ISERROR(IF(ISERROR(LARGE('All Player Data Store'!$Y$7:$Y$594,129)),"",(LARGE('All Player Data Store'!$Y$7:$Y$594,129)))),"",(IF(ISERROR(LARGE('All Player Data Store'!$Y$7:$Y$594,129)),"",(LARGE('All Player Data Store'!$Y$7:$Y$594,129)))))</f>
        <v>21.615714285714287</v>
      </c>
      <c r="AD136" s="106">
        <f t="shared" si="16"/>
        <v>3</v>
      </c>
      <c r="AE136" s="107" t="str">
        <f t="array" ref="AE136">IF(ISNUMBER(AC136),INDEX('All Player Data Store'!$J$8:$J$594,SMALL(IF('All Player Data Store'!$Y$7:$Y$594=AC136,ROW('All Player Data Store'!$Y$7:$Y$594)-ROW('All Player Data Store'!$Y$7)+1),COUNTIF($AC$8:AC136,AC136))),"")</f>
        <v>4*3</v>
      </c>
      <c r="AF136" s="108">
        <f t="shared" si="3"/>
        <v>21.98</v>
      </c>
      <c r="AG136" s="108" t="str">
        <f t="array" ref="AG136">IF(ISNUMBER(AC136),INDEX('All Player Data Store'!$K$8:$K$594,SMALL(IF('All Player Data Store'!$Y$7:$Y$594=AC136,ROW('All Player Data Store'!$Y$7:$Y$594)-ROW('All Player Data Store'!$Y$7)+1),COUNTIF($AC$8:AC136,AC136))),"")</f>
        <v/>
      </c>
      <c r="AH136" s="108" t="str">
        <f t="shared" si="4"/>
        <v/>
      </c>
      <c r="AI136" s="108" t="str">
        <f t="array" ref="AI136">IF(ISNUMBER(AC136),INDEX('All Player Data Store'!$L$8:$L$594,SMALL(IF('All Player Data Store'!$Y$7:$Y$594=AC136,ROW('All Player Data Store'!$Y$7:$Y$594)-ROW('All Player Data Store'!$Y$7)+1),COUNTIF($AC$8:AC136,AC136))),"")</f>
        <v/>
      </c>
      <c r="AJ136" s="108" t="str">
        <f t="shared" si="5"/>
        <v/>
      </c>
      <c r="AK136" s="108" t="str">
        <f t="array" ref="AK136">IF(ISNUMBER(AC136),INDEX('All Player Data Store'!$M$8:$M$594,SMALL(IF('All Player Data Store'!$Y$7:$Y$594=AC136,ROW('All Player Data Store'!$Y$7:$Y$594)-ROW('All Player Data Store'!$Y$7)+1),COUNTIF($AC$8:AC136,AC136))),"")</f>
        <v>3*4</v>
      </c>
      <c r="AL136" s="108">
        <f t="shared" si="6"/>
        <v>19.260000000000002</v>
      </c>
      <c r="AM136" s="108" t="str">
        <f t="array" ref="AM136">IF(ISNUMBER(AC136),INDEX('All Player Data Store'!$N$8:$N$594,SMALL(IF('All Player Data Store'!$Y$7:$Y$594=AC136,ROW('All Player Data Store'!$Y$7:$Y$594)-ROW('All Player Data Store'!$Y$7)+1),COUNTIF($AC$8:AC136,AC136))),"")</f>
        <v/>
      </c>
      <c r="AN136" s="108" t="str">
        <f t="shared" si="7"/>
        <v/>
      </c>
      <c r="AO136" s="108" t="str">
        <f t="array" ref="AO136">IF(ISNUMBER(AC136),INDEX('All Player Data Store'!$O$8:$O$594,SMALL(IF('All Player Data Store'!$Y$7:$Y$594=AC136,ROW('All Player Data Store'!$Y$7:$Y$594)-ROW('All Player Data Store'!$Y$7)+1),COUNTIF($AC$8:AC136,AC136))),"")</f>
        <v/>
      </c>
      <c r="AP136" s="108" t="str">
        <f t="shared" si="8"/>
        <v/>
      </c>
      <c r="AQ136" s="108" t="str">
        <f t="array" ref="AQ136">IF(ISNUMBER(AC136),INDEX('All Player Data Store'!$P$8:$P$594,SMALL(IF('All Player Data Store'!$Y$7:$Y$594=AC136,ROW('All Player Data Store'!$Y$7:$Y$594)-ROW('All Player Data Store'!$Y$7)+1),COUNTIF($AC$8:AC136,AC136))),"")</f>
        <v>0*4</v>
      </c>
      <c r="AR136" s="108">
        <f t="shared" si="9"/>
        <v>19.52</v>
      </c>
      <c r="AS136" s="108" t="str">
        <f t="array" ref="AS136">IF(ISNUMBER(AC136),INDEX('All Player Data Store'!$Q$8:$Q$594,SMALL(IF('All Player Data Store'!$Y$7:$Y$594=AC136,ROW('All Player Data Store'!$Y$7:$Y$594)-ROW('All Player Data Store'!$Y$7)+1),COUNTIF($AC$8:AC136,AC136))),"")</f>
        <v/>
      </c>
      <c r="AT136" s="108" t="str">
        <f t="shared" si="10"/>
        <v/>
      </c>
      <c r="AU136" s="108" t="str">
        <f t="array" ref="AU136">IF(ISNUMBER(AC136),INDEX('All Player Data Store'!$R$8:$R$594,SMALL(IF('All Player Data Store'!$Y$7:$Y$594=AC136,ROW('All Player Data Store'!$Y$7:$Y$594)-ROW('All Player Data Store'!$Y$7)+1),COUNTIF($AC$8:AC136,AC136))),"")</f>
        <v>2*4</v>
      </c>
      <c r="AV136" s="108">
        <f t="shared" si="11"/>
        <v>16.53</v>
      </c>
      <c r="AW136" s="108" t="str">
        <f t="array" ref="AW136">IF(ISNUMBER(AC136),INDEX('All Player Data Store'!$S$8:$S$594,SMALL(IF('All Player Data Store'!$Y$7:$Y$594=AC136,ROW('All Player Data Store'!$Y$7:$Y$594)-ROW('All Player Data Store'!$Y$7)+1),COUNTIF($AC$8:AC136,AC136))),"")</f>
        <v>4*1(1)</v>
      </c>
      <c r="AX136" s="108">
        <f t="shared" si="12"/>
        <v>22.33</v>
      </c>
      <c r="AY136" s="108" t="str">
        <f t="array" ref="AY136">IF(ISNUMBER(AC136),INDEX('All Player Data Store'!$T$8:$T$594,SMALL(IF('All Player Data Store'!$Y$7:$Y$594=AC136,ROW('All Player Data Store'!$Y$7:$Y$594)-ROW('All Player Data Store'!$Y$7)+1),COUNTIF($AC$8:AC136,AC136))),"")</f>
        <v>3*4</v>
      </c>
      <c r="AZ136" s="108">
        <f t="shared" si="13"/>
        <v>18.75</v>
      </c>
      <c r="BA136" s="108" t="str">
        <f t="array" ref="BA136">IF(ISNUMBER(AC136),INDEX('All Player Data Store'!$U$8:$U$594,SMALL(IF('All Player Data Store'!$Y$7:$Y$594=AC136,ROW('All Player Data Store'!$Y$7:$Y$594)-ROW('All Player Data Store'!$Y$7)+1),COUNTIF($AC$8:AC136,AC136))),"")</f>
        <v/>
      </c>
      <c r="BB136" s="108" t="str">
        <f t="shared" si="14"/>
        <v/>
      </c>
      <c r="BC136" s="108" t="str">
        <f t="array" ref="BC136">IF(ISNUMBER(AC136),INDEX('All Player Data Store'!$V$8:$V$594,SMALL(IF('All Player Data Store'!$Y$7:$Y$594=AC136,ROW('All Player Data Store'!$Y$7:$Y$594)-ROW('All Player Data Store'!$Y$7)+1),COUNTIF($AC$8:AC136,AC136))),"")</f>
        <v>0*4</v>
      </c>
      <c r="BD136" s="108">
        <f t="shared" si="15"/>
        <v>20.94</v>
      </c>
      <c r="BE136" s="1"/>
    </row>
    <row r="137" spans="2:57" ht="12" customHeight="1" x14ac:dyDescent="0.2">
      <c r="B137" s="98" t="str">
        <f t="shared" si="0"/>
        <v>Y</v>
      </c>
      <c r="C137" s="1"/>
      <c r="D137" s="68">
        <f t="shared" si="1"/>
        <v>130</v>
      </c>
      <c r="E137" s="2"/>
      <c r="F137" s="78">
        <v>130</v>
      </c>
      <c r="G137" s="110" t="str">
        <f t="array" ref="G137">IF(ISNUMBER(AC137),INDEX('All Player Data Store'!$C$7:$C$594,SMALL(IF('All Player Data Store'!$Y$7:$Y$594=AC137,ROW('All Player Data Store'!$Y$7:$Y$594)-ROW('All Player Data Store'!$Y$7)+1),COUNTIF($AC$8:AC137,AC137))),"")</f>
        <v>James Smith</v>
      </c>
      <c r="H137" s="111" t="str">
        <f t="array" ref="H137">IF(ISNUMBER(AC137),INDEX('All Player Data Store'!$D$7:$D$594,SMALL(IF('All Player Data Store'!$Y$7:$Y$594=AC137,ROW('All Player Data Store'!$Y$7:$Y$594)-ROW('All Player Data Store'!$Y$7)+1),COUNTIF($AC$8:AC137,AC137))),"")</f>
        <v>Aly</v>
      </c>
      <c r="I137" s="69">
        <f t="array" ref="I137">IF(ISNUMBER(AC137),INDEX('All Player Data Store'!$E$7:$E$594,SMALL(IF('All Player Data Store'!$Y$7:$Y$594=AC137,ROW('All Player Data Store'!$Y$7:$Y$594)-ROW('All Player Data Store'!$Y$7)+1),COUNTIF($AC$8:AC137,AC137))),"")</f>
        <v>12</v>
      </c>
      <c r="J137" s="70">
        <f t="array" ref="J137">IF(ISNUMBER(AC137),INDEX('All Player Data Store'!$F$7:$F$594,SMALL(IF('All Player Data Store'!$Y$7:$Y$594=AC137,ROW('All Player Data Store'!$Y$7:$Y$594)-ROW('All Player Data Store'!$Y$7)+1),COUNTIF($AC$8:AC137,AC137))),"")</f>
        <v>2</v>
      </c>
      <c r="K137" s="112">
        <f t="array" ref="K137">IF(ISNUMBER(AC137),INDEX('All Player Data Store'!$G$7:$G$594,SMALL(IF('All Player Data Store'!$Y$7:$Y$594=AC137,ROW('All Player Data Store'!$Y$7:$Y$594)-ROW('All Player Data Store'!$Y$7)+1),COUNTIF($AC$8:AC137,AC137))),"")</f>
        <v>10</v>
      </c>
      <c r="L137" s="112">
        <f t="array" ref="L137">IF(ISNUMBER(AC137),INDEX('All Player Data Store'!$H$7:$H$594,SMALL(IF('All Player Data Store'!$Y$7:$Y$594=AC137,ROW('All Player Data Store'!$Y$7:$Y$594)-ROW('All Player Data Store'!$Y$7)+1),COUNTIF($AC$8:AC137,AC137))),"")</f>
        <v>22</v>
      </c>
      <c r="M137" s="113">
        <f t="array" ref="M137">IF(ISNUMBER(AC137),INDEX('All Player Data Store'!$I$7:$I$594,SMALL(IF('All Player Data Store'!$Y$7:$Y$594=AC137,ROW('All Player Data Store'!$Y$7:$Y$594)-ROW('All Player Data Store'!$Y$7)+1),COUNTIF($AC$8:AC137,AC137))),"")</f>
        <v>43</v>
      </c>
      <c r="N137" s="114">
        <f t="array" ref="N137">IF(ISNUMBER(AC137),INDEX('All Player Data Store'!$J$7:$J$594,SMALL(IF('All Player Data Store'!$Y$7:$Y$594=AC137,ROW('All Player Data Store'!$Y$7:$Y$594)-ROW('All Player Data Store'!$Y$7)+1),COUNTIF($AC$8:AC137,AC137))),"")</f>
        <v>18.72</v>
      </c>
      <c r="O137" s="108">
        <f t="array" ref="O137">IF(ISNUMBER(AC137),INDEX('All Player Data Store'!$K$7:$K$594,SMALL(IF('All Player Data Store'!$Y$7:$Y$594=AC137,ROW('All Player Data Store'!$Y$7:$Y$594)-ROW('All Player Data Store'!$Y$7)+1),COUNTIF($AC$8:AC137,AC137))),"")</f>
        <v>16.88</v>
      </c>
      <c r="P137" s="108">
        <f t="array" ref="P137">IF(ISNUMBER(AC137),INDEX('All Player Data Store'!$L$7:$L$594,SMALL(IF('All Player Data Store'!$Y$7:$Y$594=AC137,ROW('All Player Data Store'!$Y$7:$Y$594)-ROW('All Player Data Store'!$Y$7)+1),COUNTIF($AC$8:AC137,AC137))),"")</f>
        <v>18.600000000000001</v>
      </c>
      <c r="Q137" s="108">
        <f t="array" ref="Q137">IF(ISNUMBER(AC137),INDEX('All Player Data Store'!$M$7:$M$594,SMALL(IF('All Player Data Store'!$Y$7:$Y$594=AC137,ROW('All Player Data Store'!$Y$7:$Y$594)-ROW('All Player Data Store'!$Y$7)+1),COUNTIF($AC$8:AC137,AC137))),"")</f>
        <v>17.47</v>
      </c>
      <c r="R137" s="108">
        <f t="array" ref="R137">IF(ISNUMBER(AC137),INDEX('All Player Data Store'!$N$7:$N$594,SMALL(IF('All Player Data Store'!$Y$7:$Y$594=AC137,ROW('All Player Data Store'!$Y$7:$Y$594)-ROW('All Player Data Store'!$Y$7)+1),COUNTIF($AC$8:AC137,AC137))),"")</f>
        <v>18.91</v>
      </c>
      <c r="S137" s="108" t="str">
        <f t="array" ref="S137">IF(ISNUMBER(AC137),INDEX('All Player Data Store'!$O$7:$O$594,SMALL(IF('All Player Data Store'!$Y$7:$Y$594=AC137,ROW('All Player Data Store'!$Y$7:$Y$594)-ROW('All Player Data Store'!$Y$7)+1),COUNTIF($AC$8:AC137,AC137))),"")</f>
        <v/>
      </c>
      <c r="T137" s="108">
        <f t="array" ref="T137">IF(ISNUMBER(AC137),INDEX('All Player Data Store'!$P$7:$P$594,SMALL(IF('All Player Data Store'!$Y$7:$Y$594=AC137,ROW('All Player Data Store'!$Y$7:$Y$594)-ROW('All Player Data Store'!$Y$7)+1),COUNTIF($AC$8:AC137,AC137))),"")</f>
        <v>17.61</v>
      </c>
      <c r="U137" s="108">
        <f t="array" ref="U137">IF(ISNUMBER(AC137),INDEX('All Player Data Store'!$Q$7:$Q$594,SMALL(IF('All Player Data Store'!$Y$7:$Y$594=AC137,ROW('All Player Data Store'!$Y$7:$Y$594)-ROW('All Player Data Store'!$Y$7)+1),COUNTIF($AC$8:AC137,AC137))),"")</f>
        <v>21.65</v>
      </c>
      <c r="V137" s="108">
        <f t="array" ref="V137">IF(ISNUMBER(AC137),INDEX('All Player Data Store'!$R$7:$R$594,SMALL(IF('All Player Data Store'!$Y$7:$Y$594=AC137,ROW('All Player Data Store'!$Y$7:$Y$594)-ROW('All Player Data Store'!$Y$7)+1),COUNTIF($AC$8:AC137,AC137))),"")</f>
        <v>18.82</v>
      </c>
      <c r="W137" s="108">
        <f t="array" ref="W137">IF(ISNUMBER(AC137),INDEX('All Player Data Store'!$S$7:$S$594,SMALL(IF('All Player Data Store'!$Y$7:$Y$594=AC137,ROW('All Player Data Store'!$Y$7:$Y$594)-ROW('All Player Data Store'!$Y$7)+1),COUNTIF($AC$8:AC137,AC137))),"")</f>
        <v>21.55</v>
      </c>
      <c r="X137" s="108">
        <f t="array" ref="X137">IF(ISNUMBER(AC137),INDEX('All Player Data Store'!$T$7:$T$594,SMALL(IF('All Player Data Store'!$Y$7:$Y$594=AC137,ROW('All Player Data Store'!$Y$7:$Y$594)-ROW('All Player Data Store'!$Y$7)+1),COUNTIF($AC$8:AC137,AC137))),"")</f>
        <v>19.53</v>
      </c>
      <c r="Y137" s="108">
        <f t="array" ref="Y137">IF(ISNUMBER(AC137),INDEX('All Player Data Store'!$U$7:$U$594,SMALL(IF('All Player Data Store'!$Y$7:$Y$594=AC137,ROW('All Player Data Store'!$Y$7:$Y$594)-ROW('All Player Data Store'!$Y$7)+1),COUNTIF($AC$8:AC137,AC137))),"")</f>
        <v>18.64</v>
      </c>
      <c r="Z137" s="108">
        <f t="array" ref="Z137">IF(ISNUMBER(AC137),INDEX('All Player Data Store'!$V$7:$V$594,SMALL(IF('All Player Data Store'!$Y$7:$Y$594=AC137,ROW('All Player Data Store'!$Y$7:$Y$594)-ROW('All Player Data Store'!$Y$7)+1),COUNTIF($AC$8:AC137,AC137))),"")</f>
        <v>24.14</v>
      </c>
      <c r="AA137" s="112">
        <f t="array" ref="AA137">IF(ISNUMBER(AC137),INDEX('All Player Data Store'!$W$7:$W$594,SMALL(IF('All Player Data Store'!$Y$7:$Y$594=AC137,ROW('All Player Data Store'!$Y$7:$Y$594)-ROW('All Player Data Store'!$Y$7)+1),COUNTIF($AC$8:AC137,AC137))),"")</f>
        <v>1</v>
      </c>
      <c r="AB137" s="108">
        <f t="array" ref="AB137">IF(ISNUMBER(AC137),INDEX('All Player Data Store'!$X$7:$X$594,SMALL(IF('All Player Data Store'!$Y$7:$Y$594=AC137,ROW('All Player Data Store'!$Y$7:$Y$594)-ROW('All Player Data Store'!$Y$7)+1),COUNTIF($AC$8:AC137,AC137))),"")</f>
        <v>19.376666666666665</v>
      </c>
      <c r="AC137" s="115">
        <f>IF(ISERROR(IF(ISERROR(LARGE('All Player Data Store'!$Y$7:$Y$594,130)),"",(LARGE('All Player Data Store'!$Y$7:$Y$594,130)))),"",(IF(ISERROR(LARGE('All Player Data Store'!$Y$7:$Y$594,130)),"",(LARGE('All Player Data Store'!$Y$7:$Y$594,130)))))</f>
        <v>21.376666666666665</v>
      </c>
      <c r="AD137" s="106">
        <f t="shared" si="16"/>
        <v>3</v>
      </c>
      <c r="AE137" s="107" t="str">
        <f t="array" ref="AE137">IF(ISNUMBER(AC137),INDEX('All Player Data Store'!$J$8:$J$594,SMALL(IF('All Player Data Store'!$Y$7:$Y$594=AC137,ROW('All Player Data Store'!$Y$7:$Y$594)-ROW('All Player Data Store'!$Y$7)+1),COUNTIF($AC$8:AC137,AC137))),"")</f>
        <v>2*4</v>
      </c>
      <c r="AF137" s="108">
        <f t="shared" si="3"/>
        <v>18.72</v>
      </c>
      <c r="AG137" s="108" t="str">
        <f t="array" ref="AG137">IF(ISNUMBER(AC137),INDEX('All Player Data Store'!$K$8:$K$594,SMALL(IF('All Player Data Store'!$Y$7:$Y$594=AC137,ROW('All Player Data Store'!$Y$7:$Y$594)-ROW('All Player Data Store'!$Y$7)+1),COUNTIF($AC$8:AC137,AC137))),"")</f>
        <v>2*4</v>
      </c>
      <c r="AH137" s="108">
        <f t="shared" si="4"/>
        <v>16.88</v>
      </c>
      <c r="AI137" s="108" t="str">
        <f t="array" ref="AI137">IF(ISNUMBER(AC137),INDEX('All Player Data Store'!$L$8:$L$594,SMALL(IF('All Player Data Store'!$Y$7:$Y$594=AC137,ROW('All Player Data Store'!$Y$7:$Y$594)-ROW('All Player Data Store'!$Y$7)+1),COUNTIF($AC$8:AC137,AC137))),"")</f>
        <v>0*4</v>
      </c>
      <c r="AJ137" s="108">
        <f t="shared" si="5"/>
        <v>18.600000000000001</v>
      </c>
      <c r="AK137" s="108" t="str">
        <f t="array" ref="AK137">IF(ISNUMBER(AC137),INDEX('All Player Data Store'!$M$8:$M$594,SMALL(IF('All Player Data Store'!$Y$7:$Y$594=AC137,ROW('All Player Data Store'!$Y$7:$Y$594)-ROW('All Player Data Store'!$Y$7)+1),COUNTIF($AC$8:AC137,AC137))),"")</f>
        <v>4*1</v>
      </c>
      <c r="AL137" s="108">
        <f t="shared" si="6"/>
        <v>18.47</v>
      </c>
      <c r="AM137" s="108" t="str">
        <f t="array" ref="AM137">IF(ISNUMBER(AC137),INDEX('All Player Data Store'!$N$8:$N$594,SMALL(IF('All Player Data Store'!$Y$7:$Y$594=AC137,ROW('All Player Data Store'!$Y$7:$Y$594)-ROW('All Player Data Store'!$Y$7)+1),COUNTIF($AC$8:AC137,AC137))),"")</f>
        <v>0*4</v>
      </c>
      <c r="AN137" s="108">
        <f t="shared" si="7"/>
        <v>18.91</v>
      </c>
      <c r="AO137" s="108" t="str">
        <f t="array" ref="AO137">IF(ISNUMBER(AC137),INDEX('All Player Data Store'!$O$8:$O$594,SMALL(IF('All Player Data Store'!$Y$7:$Y$594=AC137,ROW('All Player Data Store'!$Y$7:$Y$594)-ROW('All Player Data Store'!$Y$7)+1),COUNTIF($AC$8:AC137,AC137))),"")</f>
        <v/>
      </c>
      <c r="AP137" s="108" t="str">
        <f t="shared" si="8"/>
        <v/>
      </c>
      <c r="AQ137" s="108" t="str">
        <f t="array" ref="AQ137">IF(ISNUMBER(AC137),INDEX('All Player Data Store'!$P$8:$P$594,SMALL(IF('All Player Data Store'!$Y$7:$Y$594=AC137,ROW('All Player Data Store'!$Y$7:$Y$594)-ROW('All Player Data Store'!$Y$7)+1),COUNTIF($AC$8:AC137,AC137))),"")</f>
        <v>1*4</v>
      </c>
      <c r="AR137" s="108">
        <f t="shared" si="9"/>
        <v>17.61</v>
      </c>
      <c r="AS137" s="108" t="str">
        <f t="array" ref="AS137">IF(ISNUMBER(AC137),INDEX('All Player Data Store'!$Q$8:$Q$594,SMALL(IF('All Player Data Store'!$Y$7:$Y$594=AC137,ROW('All Player Data Store'!$Y$7:$Y$594)-ROW('All Player Data Store'!$Y$7)+1),COUNTIF($AC$8:AC137,AC137))),"")</f>
        <v>4*2(1)</v>
      </c>
      <c r="AT137" s="108">
        <f t="shared" si="10"/>
        <v>22.65</v>
      </c>
      <c r="AU137" s="108" t="str">
        <f t="array" ref="AU137">IF(ISNUMBER(AC137),INDEX('All Player Data Store'!$R$8:$R$594,SMALL(IF('All Player Data Store'!$Y$7:$Y$594=AC137,ROW('All Player Data Store'!$Y$7:$Y$594)-ROW('All Player Data Store'!$Y$7)+1),COUNTIF($AC$8:AC137,AC137))),"")</f>
        <v>2*4</v>
      </c>
      <c r="AV137" s="108">
        <f t="shared" si="11"/>
        <v>18.82</v>
      </c>
      <c r="AW137" s="108" t="str">
        <f t="array" ref="AW137">IF(ISNUMBER(AC137),INDEX('All Player Data Store'!$S$8:$S$594,SMALL(IF('All Player Data Store'!$Y$7:$Y$594=AC137,ROW('All Player Data Store'!$Y$7:$Y$594)-ROW('All Player Data Store'!$Y$7)+1),COUNTIF($AC$8:AC137,AC137))),"")</f>
        <v>0*4</v>
      </c>
      <c r="AX137" s="108">
        <f t="shared" si="12"/>
        <v>21.55</v>
      </c>
      <c r="AY137" s="108" t="str">
        <f t="array" ref="AY137">IF(ISNUMBER(AC137),INDEX('All Player Data Store'!$T$8:$T$594,SMALL(IF('All Player Data Store'!$Y$7:$Y$594=AC137,ROW('All Player Data Store'!$Y$7:$Y$594)-ROW('All Player Data Store'!$Y$7)+1),COUNTIF($AC$8:AC137,AC137))),"")</f>
        <v>3*4</v>
      </c>
      <c r="AZ137" s="108">
        <f t="shared" si="13"/>
        <v>19.53</v>
      </c>
      <c r="BA137" s="108" t="str">
        <f t="array" ref="BA137">IF(ISNUMBER(AC137),INDEX('All Player Data Store'!$U$8:$U$594,SMALL(IF('All Player Data Store'!$Y$7:$Y$594=AC137,ROW('All Player Data Store'!$Y$7:$Y$594)-ROW('All Player Data Store'!$Y$7)+1),COUNTIF($AC$8:AC137,AC137))),"")</f>
        <v>3*4</v>
      </c>
      <c r="BB137" s="108">
        <f t="shared" si="14"/>
        <v>18.64</v>
      </c>
      <c r="BC137" s="108" t="str">
        <f t="array" ref="BC137">IF(ISNUMBER(AC137),INDEX('All Player Data Store'!$V$8:$V$594,SMALL(IF('All Player Data Store'!$Y$7:$Y$594=AC137,ROW('All Player Data Store'!$Y$7:$Y$594)-ROW('All Player Data Store'!$Y$7)+1),COUNTIF($AC$8:AC137,AC137))),"")</f>
        <v>1*4</v>
      </c>
      <c r="BD137" s="108">
        <f t="shared" si="15"/>
        <v>24.14</v>
      </c>
      <c r="BE137" s="1"/>
    </row>
    <row r="138" spans="2:57" ht="12" customHeight="1" x14ac:dyDescent="0.2">
      <c r="B138" s="98" t="str">
        <f t="shared" si="0"/>
        <v>Y</v>
      </c>
      <c r="C138" s="1"/>
      <c r="D138" s="68">
        <f t="shared" si="1"/>
        <v>131</v>
      </c>
      <c r="E138" s="2"/>
      <c r="F138" s="78">
        <v>131</v>
      </c>
      <c r="G138" s="110" t="str">
        <f t="array" ref="G138">IF(ISNUMBER(AC138),INDEX('All Player Data Store'!$C$7:$C$594,SMALL(IF('All Player Data Store'!$Y$7:$Y$594=AC138,ROW('All Player Data Store'!$Y$7:$Y$594)-ROW('All Player Data Store'!$Y$7)+1),COUNTIF($AC$8:AC138,AC138))),"")</f>
        <v>Andy Willis</v>
      </c>
      <c r="H138" s="111" t="str">
        <f t="array" ref="H138">IF(ISNUMBER(AC138),INDEX('All Player Data Store'!$D$7:$D$594,SMALL(IF('All Player Data Store'!$Y$7:$Y$594=AC138,ROW('All Player Data Store'!$Y$7:$Y$594)-ROW('All Player Data Store'!$Y$7)+1),COUNTIF($AC$8:AC138,AC138))),"")</f>
        <v>Par</v>
      </c>
      <c r="I138" s="69">
        <f t="array" ref="I138">IF(ISNUMBER(AC138),INDEX('All Player Data Store'!$E$7:$E$594,SMALL(IF('All Player Data Store'!$Y$7:$Y$594=AC138,ROW('All Player Data Store'!$Y$7:$Y$594)-ROW('All Player Data Store'!$Y$7)+1),COUNTIF($AC$8:AC138,AC138))),"")</f>
        <v>10</v>
      </c>
      <c r="J138" s="70">
        <f t="array" ref="J138">IF(ISNUMBER(AC138),INDEX('All Player Data Store'!$F$7:$F$594,SMALL(IF('All Player Data Store'!$Y$7:$Y$594=AC138,ROW('All Player Data Store'!$Y$7:$Y$594)-ROW('All Player Data Store'!$Y$7)+1),COUNTIF($AC$8:AC138,AC138))),"")</f>
        <v>2</v>
      </c>
      <c r="K138" s="112">
        <f t="array" ref="K138">IF(ISNUMBER(AC138),INDEX('All Player Data Store'!$G$7:$G$594,SMALL(IF('All Player Data Store'!$Y$7:$Y$594=AC138,ROW('All Player Data Store'!$Y$7:$Y$594)-ROW('All Player Data Store'!$Y$7)+1),COUNTIF($AC$8:AC138,AC138))),"")</f>
        <v>8</v>
      </c>
      <c r="L138" s="112">
        <f t="array" ref="L138">IF(ISNUMBER(AC138),INDEX('All Player Data Store'!$H$7:$H$594,SMALL(IF('All Player Data Store'!$Y$7:$Y$594=AC138,ROW('All Player Data Store'!$Y$7:$Y$594)-ROW('All Player Data Store'!$Y$7)+1),COUNTIF($AC$8:AC138,AC138))),"")</f>
        <v>17</v>
      </c>
      <c r="M138" s="113">
        <f t="array" ref="M138">IF(ISNUMBER(AC138),INDEX('All Player Data Store'!$I$7:$I$594,SMALL(IF('All Player Data Store'!$Y$7:$Y$594=AC138,ROW('All Player Data Store'!$Y$7:$Y$594)-ROW('All Player Data Store'!$Y$7)+1),COUNTIF($AC$8:AC138,AC138))),"")</f>
        <v>37</v>
      </c>
      <c r="N138" s="114">
        <f t="array" ref="N138">IF(ISNUMBER(AC138),INDEX('All Player Data Store'!$J$7:$J$594,SMALL(IF('All Player Data Store'!$Y$7:$Y$594=AC138,ROW('All Player Data Store'!$Y$7:$Y$594)-ROW('All Player Data Store'!$Y$7)+1),COUNTIF($AC$8:AC138,AC138))),"")</f>
        <v>20.010000000000002</v>
      </c>
      <c r="O138" s="108" t="str">
        <f t="array" ref="O138">IF(ISNUMBER(AC138),INDEX('All Player Data Store'!$K$7:$K$594,SMALL(IF('All Player Data Store'!$Y$7:$Y$594=AC138,ROW('All Player Data Store'!$Y$7:$Y$594)-ROW('All Player Data Store'!$Y$7)+1),COUNTIF($AC$8:AC138,AC138))),"")</f>
        <v/>
      </c>
      <c r="P138" s="108">
        <f t="array" ref="P138">IF(ISNUMBER(AC138),INDEX('All Player Data Store'!$L$7:$L$594,SMALL(IF('All Player Data Store'!$Y$7:$Y$594=AC138,ROW('All Player Data Store'!$Y$7:$Y$594)-ROW('All Player Data Store'!$Y$7)+1),COUNTIF($AC$8:AC138,AC138))),"")</f>
        <v>17.39</v>
      </c>
      <c r="Q138" s="108">
        <f t="array" ref="Q138">IF(ISNUMBER(AC138),INDEX('All Player Data Store'!$M$7:$M$594,SMALL(IF('All Player Data Store'!$Y$7:$Y$594=AC138,ROW('All Player Data Store'!$Y$7:$Y$594)-ROW('All Player Data Store'!$Y$7)+1),COUNTIF($AC$8:AC138,AC138))),"")</f>
        <v>20.11</v>
      </c>
      <c r="R138" s="108">
        <f t="array" ref="R138">IF(ISNUMBER(AC138),INDEX('All Player Data Store'!$N$7:$N$594,SMALL(IF('All Player Data Store'!$Y$7:$Y$594=AC138,ROW('All Player Data Store'!$Y$7:$Y$594)-ROW('All Player Data Store'!$Y$7)+1),COUNTIF($AC$8:AC138,AC138))),"")</f>
        <v>19.77</v>
      </c>
      <c r="S138" s="108" t="str">
        <f t="array" ref="S138">IF(ISNUMBER(AC138),INDEX('All Player Data Store'!$O$7:$O$594,SMALL(IF('All Player Data Store'!$Y$7:$Y$594=AC138,ROW('All Player Data Store'!$Y$7:$Y$594)-ROW('All Player Data Store'!$Y$7)+1),COUNTIF($AC$8:AC138,AC138))),"")</f>
        <v/>
      </c>
      <c r="T138" s="108">
        <f t="array" ref="T138">IF(ISNUMBER(AC138),INDEX('All Player Data Store'!$P$7:$P$594,SMALL(IF('All Player Data Store'!$Y$7:$Y$594=AC138,ROW('All Player Data Store'!$Y$7:$Y$594)-ROW('All Player Data Store'!$Y$7)+1),COUNTIF($AC$8:AC138,AC138))),"")</f>
        <v>23.01</v>
      </c>
      <c r="U138" s="108">
        <f t="array" ref="U138">IF(ISNUMBER(AC138),INDEX('All Player Data Store'!$Q$7:$Q$594,SMALL(IF('All Player Data Store'!$Y$7:$Y$594=AC138,ROW('All Player Data Store'!$Y$7:$Y$594)-ROW('All Player Data Store'!$Y$7)+1),COUNTIF($AC$8:AC138,AC138))),"")</f>
        <v>18.61</v>
      </c>
      <c r="V138" s="108">
        <f t="array" ref="V138">IF(ISNUMBER(AC138),INDEX('All Player Data Store'!$R$7:$R$594,SMALL(IF('All Player Data Store'!$Y$7:$Y$594=AC138,ROW('All Player Data Store'!$Y$7:$Y$594)-ROW('All Player Data Store'!$Y$7)+1),COUNTIF($AC$8:AC138,AC138))),"")</f>
        <v>20.95</v>
      </c>
      <c r="W138" s="108">
        <f t="array" ref="W138">IF(ISNUMBER(AC138),INDEX('All Player Data Store'!$S$7:$S$594,SMALL(IF('All Player Data Store'!$Y$7:$Y$594=AC138,ROW('All Player Data Store'!$Y$7:$Y$594)-ROW('All Player Data Store'!$Y$7)+1),COUNTIF($AC$8:AC138,AC138))),"")</f>
        <v>16.989999999999998</v>
      </c>
      <c r="X138" s="108">
        <f t="array" ref="X138">IF(ISNUMBER(AC138),INDEX('All Player Data Store'!$T$7:$T$594,SMALL(IF('All Player Data Store'!$Y$7:$Y$594=AC138,ROW('All Player Data Store'!$Y$7:$Y$594)-ROW('All Player Data Store'!$Y$7)+1),COUNTIF($AC$8:AC138,AC138))),"")</f>
        <v>16.920000000000002</v>
      </c>
      <c r="Y138" s="108">
        <f t="array" ref="Y138">IF(ISNUMBER(AC138),INDEX('All Player Data Store'!$U$7:$U$594,SMALL(IF('All Player Data Store'!$Y$7:$Y$594=AC138,ROW('All Player Data Store'!$Y$7:$Y$594)-ROW('All Player Data Store'!$Y$7)+1),COUNTIF($AC$8:AC138,AC138))),"")</f>
        <v>19.34</v>
      </c>
      <c r="Z138" s="108" t="str">
        <f t="array" ref="Z138">IF(ISNUMBER(AC138),INDEX('All Player Data Store'!$V$7:$V$594,SMALL(IF('All Player Data Store'!$Y$7:$Y$594=AC138,ROW('All Player Data Store'!$Y$7:$Y$594)-ROW('All Player Data Store'!$Y$7)+1),COUNTIF($AC$8:AC138,AC138))),"")</f>
        <v/>
      </c>
      <c r="AA138" s="112">
        <f t="array" ref="AA138">IF(ISNUMBER(AC138),INDEX('All Player Data Store'!$W$7:$W$594,SMALL(IF('All Player Data Store'!$Y$7:$Y$594=AC138,ROW('All Player Data Store'!$Y$7:$Y$594)-ROW('All Player Data Store'!$Y$7)+1),COUNTIF($AC$8:AC138,AC138))),"")</f>
        <v>3</v>
      </c>
      <c r="AB138" s="108">
        <f t="array" ref="AB138">IF(ISNUMBER(AC138),INDEX('All Player Data Store'!$X$7:$X$594,SMALL(IF('All Player Data Store'!$Y$7:$Y$594=AC138,ROW('All Player Data Store'!$Y$7:$Y$594)-ROW('All Player Data Store'!$Y$7)+1),COUNTIF($AC$8:AC138,AC138))),"")</f>
        <v>19.309999999999999</v>
      </c>
      <c r="AC138" s="115">
        <f>IF(ISERROR(IF(ISERROR(LARGE('All Player Data Store'!$Y$7:$Y$594,131)),"",(LARGE('All Player Data Store'!$Y$7:$Y$594,131)))),"",(IF(ISERROR(LARGE('All Player Data Store'!$Y$7:$Y$594,131)),"",(LARGE('All Player Data Store'!$Y$7:$Y$594,131)))))</f>
        <v>21.31</v>
      </c>
      <c r="AD138" s="106">
        <f t="shared" si="16"/>
        <v>3</v>
      </c>
      <c r="AE138" s="107" t="str">
        <f t="array" ref="AE138">IF(ISNUMBER(AC138),INDEX('All Player Data Store'!$J$8:$J$594,SMALL(IF('All Player Data Store'!$Y$7:$Y$594=AC138,ROW('All Player Data Store'!$Y$7:$Y$594)-ROW('All Player Data Store'!$Y$7)+1),COUNTIF($AC$8:AC138,AC138))),"")</f>
        <v>0*4(1)</v>
      </c>
      <c r="AF138" s="108">
        <f t="shared" si="3"/>
        <v>20.010000000000002</v>
      </c>
      <c r="AG138" s="108" t="str">
        <f t="array" ref="AG138">IF(ISNUMBER(AC138),INDEX('All Player Data Store'!$K$8:$K$594,SMALL(IF('All Player Data Store'!$Y$7:$Y$594=AC138,ROW('All Player Data Store'!$Y$7:$Y$594)-ROW('All Player Data Store'!$Y$7)+1),COUNTIF($AC$8:AC138,AC138))),"")</f>
        <v/>
      </c>
      <c r="AH138" s="108" t="str">
        <f t="shared" si="4"/>
        <v/>
      </c>
      <c r="AI138" s="108" t="str">
        <f t="array" ref="AI138">IF(ISNUMBER(AC138),INDEX('All Player Data Store'!$L$8:$L$594,SMALL(IF('All Player Data Store'!$Y$7:$Y$594=AC138,ROW('All Player Data Store'!$Y$7:$Y$594)-ROW('All Player Data Store'!$Y$7)+1),COUNTIF($AC$8:AC138,AC138))),"")</f>
        <v>2*4</v>
      </c>
      <c r="AJ138" s="108">
        <f t="shared" si="5"/>
        <v>17.39</v>
      </c>
      <c r="AK138" s="108" t="str">
        <f t="array" ref="AK138">IF(ISNUMBER(AC138),INDEX('All Player Data Store'!$M$8:$M$594,SMALL(IF('All Player Data Store'!$Y$7:$Y$594=AC138,ROW('All Player Data Store'!$Y$7:$Y$594)-ROW('All Player Data Store'!$Y$7)+1),COUNTIF($AC$8:AC138,AC138))),"")</f>
        <v>2*4</v>
      </c>
      <c r="AL138" s="108">
        <f t="shared" si="6"/>
        <v>20.11</v>
      </c>
      <c r="AM138" s="108" t="str">
        <f t="array" ref="AM138">IF(ISNUMBER(AC138),INDEX('All Player Data Store'!$N$8:$N$594,SMALL(IF('All Player Data Store'!$Y$7:$Y$594=AC138,ROW('All Player Data Store'!$Y$7:$Y$594)-ROW('All Player Data Store'!$Y$7)+1),COUNTIF($AC$8:AC138,AC138))),"")</f>
        <v>1*4</v>
      </c>
      <c r="AN138" s="108">
        <f t="shared" si="7"/>
        <v>19.77</v>
      </c>
      <c r="AO138" s="108" t="str">
        <f t="array" ref="AO138">IF(ISNUMBER(AC138),INDEX('All Player Data Store'!$O$8:$O$594,SMALL(IF('All Player Data Store'!$Y$7:$Y$594=AC138,ROW('All Player Data Store'!$Y$7:$Y$594)-ROW('All Player Data Store'!$Y$7)+1),COUNTIF($AC$8:AC138,AC138))),"")</f>
        <v/>
      </c>
      <c r="AP138" s="108" t="str">
        <f t="shared" si="8"/>
        <v/>
      </c>
      <c r="AQ138" s="108" t="str">
        <f t="array" ref="AQ138">IF(ISNUMBER(AC138),INDEX('All Player Data Store'!$P$8:$P$594,SMALL(IF('All Player Data Store'!$Y$7:$Y$594=AC138,ROW('All Player Data Store'!$Y$7:$Y$594)-ROW('All Player Data Store'!$Y$7)+1),COUNTIF($AC$8:AC138,AC138))),"")</f>
        <v>4*2</v>
      </c>
      <c r="AR138" s="108">
        <f t="shared" si="9"/>
        <v>24.01</v>
      </c>
      <c r="AS138" s="108" t="str">
        <f t="array" ref="AS138">IF(ISNUMBER(AC138),INDEX('All Player Data Store'!$Q$8:$Q$594,SMALL(IF('All Player Data Store'!$Y$7:$Y$594=AC138,ROW('All Player Data Store'!$Y$7:$Y$594)-ROW('All Player Data Store'!$Y$7)+1),COUNTIF($AC$8:AC138,AC138))),"")</f>
        <v>0*4</v>
      </c>
      <c r="AT138" s="108">
        <f t="shared" si="10"/>
        <v>18.61</v>
      </c>
      <c r="AU138" s="108" t="str">
        <f t="array" ref="AU138">IF(ISNUMBER(AC138),INDEX('All Player Data Store'!$R$8:$R$594,SMALL(IF('All Player Data Store'!$Y$7:$Y$594=AC138,ROW('All Player Data Store'!$Y$7:$Y$594)-ROW('All Player Data Store'!$Y$7)+1),COUNTIF($AC$8:AC138,AC138))),"")</f>
        <v>1*4(1)</v>
      </c>
      <c r="AV138" s="108">
        <f t="shared" si="11"/>
        <v>20.95</v>
      </c>
      <c r="AW138" s="108" t="str">
        <f t="array" ref="AW138">IF(ISNUMBER(AC138),INDEX('All Player Data Store'!$S$8:$S$594,SMALL(IF('All Player Data Store'!$Y$7:$Y$594=AC138,ROW('All Player Data Store'!$Y$7:$Y$594)-ROW('All Player Data Store'!$Y$7)+1),COUNTIF($AC$8:AC138,AC138))),"")</f>
        <v>2*4</v>
      </c>
      <c r="AX138" s="108">
        <f t="shared" si="12"/>
        <v>16.989999999999998</v>
      </c>
      <c r="AY138" s="108" t="str">
        <f t="array" ref="AY138">IF(ISNUMBER(AC138),INDEX('All Player Data Store'!$T$8:$T$594,SMALL(IF('All Player Data Store'!$Y$7:$Y$594=AC138,ROW('All Player Data Store'!$Y$7:$Y$594)-ROW('All Player Data Store'!$Y$7)+1),COUNTIF($AC$8:AC138,AC138))),"")</f>
        <v>1*4</v>
      </c>
      <c r="AZ138" s="108">
        <f t="shared" si="13"/>
        <v>16.920000000000002</v>
      </c>
      <c r="BA138" s="108" t="str">
        <f t="array" ref="BA138">IF(ISNUMBER(AC138),INDEX('All Player Data Store'!$U$8:$U$594,SMALL(IF('All Player Data Store'!$Y$7:$Y$594=AC138,ROW('All Player Data Store'!$Y$7:$Y$594)-ROW('All Player Data Store'!$Y$7)+1),COUNTIF($AC$8:AC138,AC138))),"")</f>
        <v>4*3(1)</v>
      </c>
      <c r="BB138" s="108">
        <f t="shared" si="14"/>
        <v>20.34</v>
      </c>
      <c r="BC138" s="108" t="str">
        <f t="array" ref="BC138">IF(ISNUMBER(AC138),INDEX('All Player Data Store'!$V$8:$V$594,SMALL(IF('All Player Data Store'!$Y$7:$Y$594=AC138,ROW('All Player Data Store'!$Y$7:$Y$594)-ROW('All Player Data Store'!$Y$7)+1),COUNTIF($AC$8:AC138,AC138))),"")</f>
        <v/>
      </c>
      <c r="BD138" s="108" t="str">
        <f t="shared" si="15"/>
        <v/>
      </c>
      <c r="BE138" s="1"/>
    </row>
    <row r="139" spans="2:57" ht="12" customHeight="1" x14ac:dyDescent="0.2">
      <c r="B139" s="98" t="str">
        <f t="shared" si="0"/>
        <v>N</v>
      </c>
      <c r="C139" s="1"/>
      <c r="D139" s="68">
        <f t="shared" si="1"/>
        <v>132</v>
      </c>
      <c r="E139" s="2"/>
      <c r="F139" s="78">
        <v>132</v>
      </c>
      <c r="G139" s="110" t="str">
        <f t="array" ref="G139">IF(ISNUMBER(AC139),INDEX('All Player Data Store'!$C$7:$C$594,SMALL(IF('All Player Data Store'!$Y$7:$Y$594=AC139,ROW('All Player Data Store'!$Y$7:$Y$594)-ROW('All Player Data Store'!$Y$7)+1),COUNTIF($AC$8:AC139,AC139))),"")</f>
        <v>Colin Richards</v>
      </c>
      <c r="H139" s="111" t="str">
        <f t="array" ref="H139">IF(ISNUMBER(AC139),INDEX('All Player Data Store'!$D$7:$D$594,SMALL(IF('All Player Data Store'!$Y$7:$Y$594=AC139,ROW('All Player Data Store'!$Y$7:$Y$594)-ROW('All Player Data Store'!$Y$7)+1),COUNTIF($AC$8:AC139,AC139))),"")</f>
        <v>Por</v>
      </c>
      <c r="I139" s="69">
        <f t="array" ref="I139">IF(ISNUMBER(AC139),INDEX('All Player Data Store'!$E$7:$E$594,SMALL(IF('All Player Data Store'!$Y$7:$Y$594=AC139,ROW('All Player Data Store'!$Y$7:$Y$594)-ROW('All Player Data Store'!$Y$7)+1),COUNTIF($AC$8:AC139,AC139))),"")</f>
        <v>9</v>
      </c>
      <c r="J139" s="70">
        <f t="array" ref="J139">IF(ISNUMBER(AC139),INDEX('All Player Data Store'!$F$7:$F$594,SMALL(IF('All Player Data Store'!$Y$7:$Y$594=AC139,ROW('All Player Data Store'!$Y$7:$Y$594)-ROW('All Player Data Store'!$Y$7)+1),COUNTIF($AC$8:AC139,AC139))),"")</f>
        <v>2</v>
      </c>
      <c r="K139" s="112">
        <f t="array" ref="K139">IF(ISNUMBER(AC139),INDEX('All Player Data Store'!$G$7:$G$594,SMALL(IF('All Player Data Store'!$Y$7:$Y$594=AC139,ROW('All Player Data Store'!$Y$7:$Y$594)-ROW('All Player Data Store'!$Y$7)+1),COUNTIF($AC$8:AC139,AC139))),"")</f>
        <v>7</v>
      </c>
      <c r="L139" s="112">
        <f t="array" ref="L139">IF(ISNUMBER(AC139),INDEX('All Player Data Store'!$H$7:$H$594,SMALL(IF('All Player Data Store'!$Y$7:$Y$594=AC139,ROW('All Player Data Store'!$Y$7:$Y$594)-ROW('All Player Data Store'!$Y$7)+1),COUNTIF($AC$8:AC139,AC139))),"")</f>
        <v>12</v>
      </c>
      <c r="M139" s="113">
        <f t="array" ref="M139">IF(ISNUMBER(AC139),INDEX('All Player Data Store'!$I$7:$I$594,SMALL(IF('All Player Data Store'!$Y$7:$Y$594=AC139,ROW('All Player Data Store'!$Y$7:$Y$594)-ROW('All Player Data Store'!$Y$7)+1),COUNTIF($AC$8:AC139,AC139))),"")</f>
        <v>31</v>
      </c>
      <c r="N139" s="114" t="str">
        <f t="array" ref="N139">IF(ISNUMBER(AC139),INDEX('All Player Data Store'!$J$7:$J$594,SMALL(IF('All Player Data Store'!$Y$7:$Y$594=AC139,ROW('All Player Data Store'!$Y$7:$Y$594)-ROW('All Player Data Store'!$Y$7)+1),COUNTIF($AC$8:AC139,AC139))),"")</f>
        <v/>
      </c>
      <c r="O139" s="108" t="str">
        <f t="array" ref="O139">IF(ISNUMBER(AC139),INDEX('All Player Data Store'!$K$7:$K$594,SMALL(IF('All Player Data Store'!$Y$7:$Y$594=AC139,ROW('All Player Data Store'!$Y$7:$Y$594)-ROW('All Player Data Store'!$Y$7)+1),COUNTIF($AC$8:AC139,AC139))),"")</f>
        <v/>
      </c>
      <c r="P139" s="108">
        <f t="array" ref="P139">IF(ISNUMBER(AC139),INDEX('All Player Data Store'!$L$7:$L$594,SMALL(IF('All Player Data Store'!$Y$7:$Y$594=AC139,ROW('All Player Data Store'!$Y$7:$Y$594)-ROW('All Player Data Store'!$Y$7)+1),COUNTIF($AC$8:AC139,AC139))),"")</f>
        <v>19.89</v>
      </c>
      <c r="Q139" s="108">
        <f t="array" ref="Q139">IF(ISNUMBER(AC139),INDEX('All Player Data Store'!$M$7:$M$594,SMALL(IF('All Player Data Store'!$Y$7:$Y$594=AC139,ROW('All Player Data Store'!$Y$7:$Y$594)-ROW('All Player Data Store'!$Y$7)+1),COUNTIF($AC$8:AC139,AC139))),"")</f>
        <v>18.07</v>
      </c>
      <c r="R139" s="108">
        <f t="array" ref="R139">IF(ISNUMBER(AC139),INDEX('All Player Data Store'!$N$7:$N$594,SMALL(IF('All Player Data Store'!$Y$7:$Y$594=AC139,ROW('All Player Data Store'!$Y$7:$Y$594)-ROW('All Player Data Store'!$Y$7)+1),COUNTIF($AC$8:AC139,AC139))),"")</f>
        <v>20.86</v>
      </c>
      <c r="S139" s="108">
        <f t="array" ref="S139">IF(ISNUMBER(AC139),INDEX('All Player Data Store'!$O$7:$O$594,SMALL(IF('All Player Data Store'!$Y$7:$Y$594=AC139,ROW('All Player Data Store'!$Y$7:$Y$594)-ROW('All Player Data Store'!$Y$7)+1),COUNTIF($AC$8:AC139,AC139))),"")</f>
        <v>18.47</v>
      </c>
      <c r="T139" s="108">
        <f t="array" ref="T139">IF(ISNUMBER(AC139),INDEX('All Player Data Store'!$P$7:$P$594,SMALL(IF('All Player Data Store'!$Y$7:$Y$594=AC139,ROW('All Player Data Store'!$Y$7:$Y$594)-ROW('All Player Data Store'!$Y$7)+1),COUNTIF($AC$8:AC139,AC139))),"")</f>
        <v>19.89</v>
      </c>
      <c r="U139" s="108">
        <f t="array" ref="U139">IF(ISNUMBER(AC139),INDEX('All Player Data Store'!$Q$7:$Q$594,SMALL(IF('All Player Data Store'!$Y$7:$Y$594=AC139,ROW('All Player Data Store'!$Y$7:$Y$594)-ROW('All Player Data Store'!$Y$7)+1),COUNTIF($AC$8:AC139,AC139))),"")</f>
        <v>18.45</v>
      </c>
      <c r="V139" s="108" t="str">
        <f t="array" ref="V139">IF(ISNUMBER(AC139),INDEX('All Player Data Store'!$R$7:$R$594,SMALL(IF('All Player Data Store'!$Y$7:$Y$594=AC139,ROW('All Player Data Store'!$Y$7:$Y$594)-ROW('All Player Data Store'!$Y$7)+1),COUNTIF($AC$8:AC139,AC139))),"")</f>
        <v/>
      </c>
      <c r="W139" s="108">
        <f t="array" ref="W139">IF(ISNUMBER(AC139),INDEX('All Player Data Store'!$S$7:$S$594,SMALL(IF('All Player Data Store'!$Y$7:$Y$594=AC139,ROW('All Player Data Store'!$Y$7:$Y$594)-ROW('All Player Data Store'!$Y$7)+1),COUNTIF($AC$8:AC139,AC139))),"")</f>
        <v>20.45</v>
      </c>
      <c r="X139" s="108">
        <f t="array" ref="X139">IF(ISNUMBER(AC139),INDEX('All Player Data Store'!$T$7:$T$594,SMALL(IF('All Player Data Store'!$Y$7:$Y$594=AC139,ROW('All Player Data Store'!$Y$7:$Y$594)-ROW('All Player Data Store'!$Y$7)+1),COUNTIF($AC$8:AC139,AC139))),"")</f>
        <v>19.91</v>
      </c>
      <c r="Y139" s="108" t="str">
        <f t="array" ref="Y139">IF(ISNUMBER(AC139),INDEX('All Player Data Store'!$U$7:$U$594,SMALL(IF('All Player Data Store'!$Y$7:$Y$594=AC139,ROW('All Player Data Store'!$Y$7:$Y$594)-ROW('All Player Data Store'!$Y$7)+1),COUNTIF($AC$8:AC139,AC139))),"")</f>
        <v/>
      </c>
      <c r="Z139" s="108">
        <f t="array" ref="Z139">IF(ISNUMBER(AC139),INDEX('All Player Data Store'!$V$7:$V$594,SMALL(IF('All Player Data Store'!$Y$7:$Y$594=AC139,ROW('All Player Data Store'!$Y$7:$Y$594)-ROW('All Player Data Store'!$Y$7)+1),COUNTIF($AC$8:AC139,AC139))),"")</f>
        <v>16.66</v>
      </c>
      <c r="AA139" s="112" t="str">
        <f t="array" ref="AA139">IF(ISNUMBER(AC139),INDEX('All Player Data Store'!$W$7:$W$594,SMALL(IF('All Player Data Store'!$Y$7:$Y$594=AC139,ROW('All Player Data Store'!$Y$7:$Y$594)-ROW('All Player Data Store'!$Y$7)+1),COUNTIF($AC$8:AC139,AC139))),"")</f>
        <v/>
      </c>
      <c r="AB139" s="108">
        <f t="array" ref="AB139">IF(ISNUMBER(AC139),INDEX('All Player Data Store'!$X$7:$X$594,SMALL(IF('All Player Data Store'!$Y$7:$Y$594=AC139,ROW('All Player Data Store'!$Y$7:$Y$594)-ROW('All Player Data Store'!$Y$7)+1),COUNTIF($AC$8:AC139,AC139))),"")</f>
        <v>19.18333333333333</v>
      </c>
      <c r="AC139" s="115">
        <f>IF(ISERROR(IF(ISERROR(LARGE('All Player Data Store'!$Y$7:$Y$594,132)),"",(LARGE('All Player Data Store'!$Y$7:$Y$594,132)))),"",(IF(ISERROR(LARGE('All Player Data Store'!$Y$7:$Y$594,132)),"",(LARGE('All Player Data Store'!$Y$7:$Y$594,132)))))</f>
        <v>21.18333333333333</v>
      </c>
      <c r="AD139" s="106">
        <f t="shared" si="16"/>
        <v>3</v>
      </c>
      <c r="AE139" s="107" t="str">
        <f t="array" ref="AE139">IF(ISNUMBER(AC139),INDEX('All Player Data Store'!$J$8:$J$594,SMALL(IF('All Player Data Store'!$Y$7:$Y$594=AC139,ROW('All Player Data Store'!$Y$7:$Y$594)-ROW('All Player Data Store'!$Y$7)+1),COUNTIF($AC$8:AC139,AC139))),"")</f>
        <v/>
      </c>
      <c r="AF139" s="108" t="str">
        <f t="shared" si="3"/>
        <v/>
      </c>
      <c r="AG139" s="108" t="str">
        <f t="array" ref="AG139">IF(ISNUMBER(AC139),INDEX('All Player Data Store'!$K$8:$K$594,SMALL(IF('All Player Data Store'!$Y$7:$Y$594=AC139,ROW('All Player Data Store'!$Y$7:$Y$594)-ROW('All Player Data Store'!$Y$7)+1),COUNTIF($AC$8:AC139,AC139))),"")</f>
        <v/>
      </c>
      <c r="AH139" s="108" t="str">
        <f t="shared" si="4"/>
        <v/>
      </c>
      <c r="AI139" s="108" t="str">
        <f t="array" ref="AI139">IF(ISNUMBER(AC139),INDEX('All Player Data Store'!$L$8:$L$594,SMALL(IF('All Player Data Store'!$Y$7:$Y$594=AC139,ROW('All Player Data Store'!$Y$7:$Y$594)-ROW('All Player Data Store'!$Y$7)+1),COUNTIF($AC$8:AC139,AC139))),"")</f>
        <v>2*4</v>
      </c>
      <c r="AJ139" s="108">
        <f t="shared" si="5"/>
        <v>19.89</v>
      </c>
      <c r="AK139" s="108" t="str">
        <f t="array" ref="AK139">IF(ISNUMBER(AC139),INDEX('All Player Data Store'!$M$8:$M$594,SMALL(IF('All Player Data Store'!$Y$7:$Y$594=AC139,ROW('All Player Data Store'!$Y$7:$Y$594)-ROW('All Player Data Store'!$Y$7)+1),COUNTIF($AC$8:AC139,AC139))),"")</f>
        <v>1*4</v>
      </c>
      <c r="AL139" s="108">
        <f t="shared" si="6"/>
        <v>18.07</v>
      </c>
      <c r="AM139" s="108" t="str">
        <f t="array" ref="AM139">IF(ISNUMBER(AC139),INDEX('All Player Data Store'!$N$8:$N$594,SMALL(IF('All Player Data Store'!$Y$7:$Y$594=AC139,ROW('All Player Data Store'!$Y$7:$Y$594)-ROW('All Player Data Store'!$Y$7)+1),COUNTIF($AC$8:AC139,AC139))),"")</f>
        <v>0*4</v>
      </c>
      <c r="AN139" s="108">
        <f t="shared" si="7"/>
        <v>20.86</v>
      </c>
      <c r="AO139" s="108" t="str">
        <f t="array" ref="AO139">IF(ISNUMBER(AC139),INDEX('All Player Data Store'!$O$8:$O$594,SMALL(IF('All Player Data Store'!$Y$7:$Y$594=AC139,ROW('All Player Data Store'!$Y$7:$Y$594)-ROW('All Player Data Store'!$Y$7)+1),COUNTIF($AC$8:AC139,AC139))),"")</f>
        <v>1*4</v>
      </c>
      <c r="AP139" s="108">
        <f t="shared" si="8"/>
        <v>18.47</v>
      </c>
      <c r="AQ139" s="108" t="str">
        <f t="array" ref="AQ139">IF(ISNUMBER(AC139),INDEX('All Player Data Store'!$P$8:$P$594,SMALL(IF('All Player Data Store'!$Y$7:$Y$594=AC139,ROW('All Player Data Store'!$Y$7:$Y$594)-ROW('All Player Data Store'!$Y$7)+1),COUNTIF($AC$8:AC139,AC139))),"")</f>
        <v>0*4</v>
      </c>
      <c r="AR139" s="108">
        <f t="shared" si="9"/>
        <v>19.89</v>
      </c>
      <c r="AS139" s="108" t="str">
        <f t="array" ref="AS139">IF(ISNUMBER(AC139),INDEX('All Player Data Store'!$Q$8:$Q$594,SMALL(IF('All Player Data Store'!$Y$7:$Y$594=AC139,ROW('All Player Data Store'!$Y$7:$Y$594)-ROW('All Player Data Store'!$Y$7)+1),COUNTIF($AC$8:AC139,AC139))),"")</f>
        <v>0*4</v>
      </c>
      <c r="AT139" s="108">
        <f t="shared" si="10"/>
        <v>18.45</v>
      </c>
      <c r="AU139" s="108" t="str">
        <f t="array" ref="AU139">IF(ISNUMBER(AC139),INDEX('All Player Data Store'!$R$8:$R$594,SMALL(IF('All Player Data Store'!$Y$7:$Y$594=AC139,ROW('All Player Data Store'!$Y$7:$Y$594)-ROW('All Player Data Store'!$Y$7)+1),COUNTIF($AC$8:AC139,AC139))),"")</f>
        <v/>
      </c>
      <c r="AV139" s="108" t="str">
        <f t="shared" si="11"/>
        <v/>
      </c>
      <c r="AW139" s="108" t="str">
        <f t="array" ref="AW139">IF(ISNUMBER(AC139),INDEX('All Player Data Store'!$S$8:$S$594,SMALL(IF('All Player Data Store'!$Y$7:$Y$594=AC139,ROW('All Player Data Store'!$Y$7:$Y$594)-ROW('All Player Data Store'!$Y$7)+1),COUNTIF($AC$8:AC139,AC139))),"")</f>
        <v>4*1</v>
      </c>
      <c r="AX139" s="108">
        <f t="shared" si="12"/>
        <v>21.45</v>
      </c>
      <c r="AY139" s="108" t="str">
        <f t="array" ref="AY139">IF(ISNUMBER(AC139),INDEX('All Player Data Store'!$T$8:$T$594,SMALL(IF('All Player Data Store'!$Y$7:$Y$594=AC139,ROW('All Player Data Store'!$Y$7:$Y$594)-ROW('All Player Data Store'!$Y$7)+1),COUNTIF($AC$8:AC139,AC139))),"")</f>
        <v>4*2</v>
      </c>
      <c r="AZ139" s="108">
        <f t="shared" si="13"/>
        <v>20.91</v>
      </c>
      <c r="BA139" s="108" t="str">
        <f t="array" ref="BA139">IF(ISNUMBER(AC139),INDEX('All Player Data Store'!$U$8:$U$594,SMALL(IF('All Player Data Store'!$Y$7:$Y$594=AC139,ROW('All Player Data Store'!$Y$7:$Y$594)-ROW('All Player Data Store'!$Y$7)+1),COUNTIF($AC$8:AC139,AC139))),"")</f>
        <v/>
      </c>
      <c r="BB139" s="108" t="str">
        <f t="shared" si="14"/>
        <v/>
      </c>
      <c r="BC139" s="108" t="str">
        <f t="array" ref="BC139">IF(ISNUMBER(AC139),INDEX('All Player Data Store'!$V$8:$V$594,SMALL(IF('All Player Data Store'!$Y$7:$Y$594=AC139,ROW('All Player Data Store'!$Y$7:$Y$594)-ROW('All Player Data Store'!$Y$7)+1),COUNTIF($AC$8:AC139,AC139))),"")</f>
        <v>0*4</v>
      </c>
      <c r="BD139" s="108">
        <f t="shared" si="15"/>
        <v>16.66</v>
      </c>
      <c r="BE139" s="1"/>
    </row>
    <row r="140" spans="2:57" ht="12" customHeight="1" x14ac:dyDescent="0.2">
      <c r="B140" s="98" t="str">
        <f t="shared" si="0"/>
        <v>N</v>
      </c>
      <c r="C140" s="1"/>
      <c r="D140" s="68">
        <f t="shared" si="1"/>
        <v>133</v>
      </c>
      <c r="E140" s="2"/>
      <c r="F140" s="78">
        <v>133</v>
      </c>
      <c r="G140" s="110" t="str">
        <f t="array" ref="G140">IF(ISNUMBER(AC140),INDEX('All Player Data Store'!$C$7:$C$594,SMALL(IF('All Player Data Store'!$Y$7:$Y$594=AC140,ROW('All Player Data Store'!$Y$7:$Y$594)-ROW('All Player Data Store'!$Y$7)+1),COUNTIF($AC$8:AC140,AC140))),"")</f>
        <v>Nigel Gallimore</v>
      </c>
      <c r="H140" s="111" t="str">
        <f t="array" ref="H140">IF(ISNUMBER(AC140),INDEX('All Player Data Store'!$D$7:$D$594,SMALL(IF('All Player Data Store'!$Y$7:$Y$594=AC140,ROW('All Player Data Store'!$Y$7:$Y$594)-ROW('All Player Data Store'!$Y$7)+1),COUNTIF($AC$8:AC140,AC140))),"")</f>
        <v>Bos</v>
      </c>
      <c r="I140" s="69">
        <f t="array" ref="I140">IF(ISNUMBER(AC140),INDEX('All Player Data Store'!$E$7:$E$594,SMALL(IF('All Player Data Store'!$Y$7:$Y$594=AC140,ROW('All Player Data Store'!$Y$7:$Y$594)-ROW('All Player Data Store'!$Y$7)+1),COUNTIF($AC$8:AC140,AC140))),"")</f>
        <v>5</v>
      </c>
      <c r="J140" s="70">
        <f t="array" ref="J140">IF(ISNUMBER(AC140),INDEX('All Player Data Store'!$F$7:$F$594,SMALL(IF('All Player Data Store'!$Y$7:$Y$594=AC140,ROW('All Player Data Store'!$Y$7:$Y$594)-ROW('All Player Data Store'!$Y$7)+1),COUNTIF($AC$8:AC140,AC140))),"")</f>
        <v>1</v>
      </c>
      <c r="K140" s="112">
        <f t="array" ref="K140">IF(ISNUMBER(AC140),INDEX('All Player Data Store'!$G$7:$G$594,SMALL(IF('All Player Data Store'!$Y$7:$Y$594=AC140,ROW('All Player Data Store'!$Y$7:$Y$594)-ROW('All Player Data Store'!$Y$7)+1),COUNTIF($AC$8:AC140,AC140))),"")</f>
        <v>4</v>
      </c>
      <c r="L140" s="112">
        <f t="array" ref="L140">IF(ISNUMBER(AC140),INDEX('All Player Data Store'!$H$7:$H$594,SMALL(IF('All Player Data Store'!$Y$7:$Y$594=AC140,ROW('All Player Data Store'!$Y$7:$Y$594)-ROW('All Player Data Store'!$Y$7)+1),COUNTIF($AC$8:AC140,AC140))),"")</f>
        <v>7</v>
      </c>
      <c r="M140" s="113">
        <f t="array" ref="M140">IF(ISNUMBER(AC140),INDEX('All Player Data Store'!$I$7:$I$594,SMALL(IF('All Player Data Store'!$Y$7:$Y$594=AC140,ROW('All Player Data Store'!$Y$7:$Y$594)-ROW('All Player Data Store'!$Y$7)+1),COUNTIF($AC$8:AC140,AC140))),"")</f>
        <v>17</v>
      </c>
      <c r="N140" s="114">
        <f t="array" ref="N140">IF(ISNUMBER(AC140),INDEX('All Player Data Store'!$J$7:$J$594,SMALL(IF('All Player Data Store'!$Y$7:$Y$594=AC140,ROW('All Player Data Store'!$Y$7:$Y$594)-ROW('All Player Data Store'!$Y$7)+1),COUNTIF($AC$8:AC140,AC140))),"")</f>
        <v>21.23</v>
      </c>
      <c r="O140" s="108">
        <f t="array" ref="O140">IF(ISNUMBER(AC140),INDEX('All Player Data Store'!$K$7:$K$594,SMALL(IF('All Player Data Store'!$Y$7:$Y$594=AC140,ROW('All Player Data Store'!$Y$7:$Y$594)-ROW('All Player Data Store'!$Y$7)+1),COUNTIF($AC$8:AC140,AC140))),"")</f>
        <v>20.2</v>
      </c>
      <c r="P140" s="108">
        <f t="array" ref="P140">IF(ISNUMBER(AC140),INDEX('All Player Data Store'!$L$7:$L$594,SMALL(IF('All Player Data Store'!$Y$7:$Y$594=AC140,ROW('All Player Data Store'!$Y$7:$Y$594)-ROW('All Player Data Store'!$Y$7)+1),COUNTIF($AC$8:AC140,AC140))),"")</f>
        <v>16.989999999999998</v>
      </c>
      <c r="Q140" s="108">
        <f t="array" ref="Q140">IF(ISNUMBER(AC140),INDEX('All Player Data Store'!$M$7:$M$594,SMALL(IF('All Player Data Store'!$Y$7:$Y$594=AC140,ROW('All Player Data Store'!$Y$7:$Y$594)-ROW('All Player Data Store'!$Y$7)+1),COUNTIF($AC$8:AC140,AC140))),"")</f>
        <v>20.13</v>
      </c>
      <c r="R140" s="108" t="str">
        <f t="array" ref="R140">IF(ISNUMBER(AC140),INDEX('All Player Data Store'!$N$7:$N$594,SMALL(IF('All Player Data Store'!$Y$7:$Y$594=AC140,ROW('All Player Data Store'!$Y$7:$Y$594)-ROW('All Player Data Store'!$Y$7)+1),COUNTIF($AC$8:AC140,AC140))),"")</f>
        <v/>
      </c>
      <c r="S140" s="108" t="str">
        <f t="array" ref="S140">IF(ISNUMBER(AC140),INDEX('All Player Data Store'!$O$7:$O$594,SMALL(IF('All Player Data Store'!$Y$7:$Y$594=AC140,ROW('All Player Data Store'!$Y$7:$Y$594)-ROW('All Player Data Store'!$Y$7)+1),COUNTIF($AC$8:AC140,AC140))),"")</f>
        <v/>
      </c>
      <c r="T140" s="108" t="str">
        <f t="array" ref="T140">IF(ISNUMBER(AC140),INDEX('All Player Data Store'!$P$7:$P$594,SMALL(IF('All Player Data Store'!$Y$7:$Y$594=AC140,ROW('All Player Data Store'!$Y$7:$Y$594)-ROW('All Player Data Store'!$Y$7)+1),COUNTIF($AC$8:AC140,AC140))),"")</f>
        <v/>
      </c>
      <c r="U140" s="108" t="str">
        <f t="array" ref="U140">IF(ISNUMBER(AC140),INDEX('All Player Data Store'!$Q$7:$Q$594,SMALL(IF('All Player Data Store'!$Y$7:$Y$594=AC140,ROW('All Player Data Store'!$Y$7:$Y$594)-ROW('All Player Data Store'!$Y$7)+1),COUNTIF($AC$8:AC140,AC140))),"")</f>
        <v/>
      </c>
      <c r="V140" s="108" t="str">
        <f t="array" ref="V140">IF(ISNUMBER(AC140),INDEX('All Player Data Store'!$R$7:$R$594,SMALL(IF('All Player Data Store'!$Y$7:$Y$594=AC140,ROW('All Player Data Store'!$Y$7:$Y$594)-ROW('All Player Data Store'!$Y$7)+1),COUNTIF($AC$8:AC140,AC140))),"")</f>
        <v/>
      </c>
      <c r="W140" s="108" t="str">
        <f t="array" ref="W140">IF(ISNUMBER(AC140),INDEX('All Player Data Store'!$S$7:$S$594,SMALL(IF('All Player Data Store'!$Y$7:$Y$594=AC140,ROW('All Player Data Store'!$Y$7:$Y$594)-ROW('All Player Data Store'!$Y$7)+1),COUNTIF($AC$8:AC140,AC140))),"")</f>
        <v/>
      </c>
      <c r="X140" s="108" t="str">
        <f t="array" ref="X140">IF(ISNUMBER(AC140),INDEX('All Player Data Store'!$T$7:$T$594,SMALL(IF('All Player Data Store'!$Y$7:$Y$594=AC140,ROW('All Player Data Store'!$Y$7:$Y$594)-ROW('All Player Data Store'!$Y$7)+1),COUNTIF($AC$8:AC140,AC140))),"")</f>
        <v/>
      </c>
      <c r="Y140" s="108" t="str">
        <f t="array" ref="Y140">IF(ISNUMBER(AC140),INDEX('All Player Data Store'!$U$7:$U$594,SMALL(IF('All Player Data Store'!$Y$7:$Y$594=AC140,ROW('All Player Data Store'!$Y$7:$Y$594)-ROW('All Player Data Store'!$Y$7)+1),COUNTIF($AC$8:AC140,AC140))),"")</f>
        <v/>
      </c>
      <c r="Z140" s="108">
        <f t="array" ref="Z140">IF(ISNUMBER(AC140),INDEX('All Player Data Store'!$V$7:$V$594,SMALL(IF('All Player Data Store'!$Y$7:$Y$594=AC140,ROW('All Player Data Store'!$Y$7:$Y$594)-ROW('All Player Data Store'!$Y$7)+1),COUNTIF($AC$8:AC140,AC140))),"")</f>
        <v>21.99</v>
      </c>
      <c r="AA140" s="112">
        <f t="array" ref="AA140">IF(ISNUMBER(AC140),INDEX('All Player Data Store'!$W$7:$W$594,SMALL(IF('All Player Data Store'!$Y$7:$Y$594=AC140,ROW('All Player Data Store'!$Y$7:$Y$594)-ROW('All Player Data Store'!$Y$7)+1),COUNTIF($AC$8:AC140,AC140))),"")</f>
        <v>1</v>
      </c>
      <c r="AB140" s="108">
        <f t="array" ref="AB140">IF(ISNUMBER(AC140),INDEX('All Player Data Store'!$X$7:$X$594,SMALL(IF('All Player Data Store'!$Y$7:$Y$594=AC140,ROW('All Player Data Store'!$Y$7:$Y$594)-ROW('All Player Data Store'!$Y$7)+1),COUNTIF($AC$8:AC140,AC140))),"")</f>
        <v>20.107999999999997</v>
      </c>
      <c r="AC140" s="115">
        <f>IF(ISERROR(IF(ISERROR(LARGE('All Player Data Store'!$Y$7:$Y$594,133)),"",(LARGE('All Player Data Store'!$Y$7:$Y$594,133)))),"",(IF(ISERROR(LARGE('All Player Data Store'!$Y$7:$Y$594,133)),"",(LARGE('All Player Data Store'!$Y$7:$Y$594,133)))))</f>
        <v>21.107999999999997</v>
      </c>
      <c r="AD140" s="106">
        <f t="shared" si="16"/>
        <v>3</v>
      </c>
      <c r="AE140" s="107" t="str">
        <f t="array" ref="AE140">IF(ISNUMBER(AC140),INDEX('All Player Data Store'!$J$8:$J$594,SMALL(IF('All Player Data Store'!$Y$7:$Y$594=AC140,ROW('All Player Data Store'!$Y$7:$Y$594)-ROW('All Player Data Store'!$Y$7)+1),COUNTIF($AC$8:AC140,AC140))),"")</f>
        <v>0*4</v>
      </c>
      <c r="AF140" s="108">
        <f t="shared" si="3"/>
        <v>21.23</v>
      </c>
      <c r="AG140" s="108" t="str">
        <f t="array" ref="AG140">IF(ISNUMBER(AC140),INDEX('All Player Data Store'!$K$8:$K$594,SMALL(IF('All Player Data Store'!$Y$7:$Y$594=AC140,ROW('All Player Data Store'!$Y$7:$Y$594)-ROW('All Player Data Store'!$Y$7)+1),COUNTIF($AC$8:AC140,AC140))),"")</f>
        <v>4*1</v>
      </c>
      <c r="AH140" s="108">
        <f t="shared" si="4"/>
        <v>21.2</v>
      </c>
      <c r="AI140" s="108" t="str">
        <f t="array" ref="AI140">IF(ISNUMBER(AC140),INDEX('All Player Data Store'!$L$8:$L$594,SMALL(IF('All Player Data Store'!$Y$7:$Y$594=AC140,ROW('All Player Data Store'!$Y$7:$Y$594)-ROW('All Player Data Store'!$Y$7)+1),COUNTIF($AC$8:AC140,AC140))),"")</f>
        <v>0*4</v>
      </c>
      <c r="AJ140" s="108">
        <f t="shared" si="5"/>
        <v>16.989999999999998</v>
      </c>
      <c r="AK140" s="108" t="str">
        <f t="array" ref="AK140">IF(ISNUMBER(AC140),INDEX('All Player Data Store'!$M$8:$M$594,SMALL(IF('All Player Data Store'!$Y$7:$Y$594=AC140,ROW('All Player Data Store'!$Y$7:$Y$594)-ROW('All Player Data Store'!$Y$7)+1),COUNTIF($AC$8:AC140,AC140))),"")</f>
        <v>1*4(1)</v>
      </c>
      <c r="AL140" s="108">
        <f t="shared" si="6"/>
        <v>20.13</v>
      </c>
      <c r="AM140" s="108" t="str">
        <f t="array" ref="AM140">IF(ISNUMBER(AC140),INDEX('All Player Data Store'!$N$8:$N$594,SMALL(IF('All Player Data Store'!$Y$7:$Y$594=AC140,ROW('All Player Data Store'!$Y$7:$Y$594)-ROW('All Player Data Store'!$Y$7)+1),COUNTIF($AC$8:AC140,AC140))),"")</f>
        <v/>
      </c>
      <c r="AN140" s="108" t="str">
        <f t="shared" si="7"/>
        <v/>
      </c>
      <c r="AO140" s="108" t="str">
        <f t="array" ref="AO140">IF(ISNUMBER(AC140),INDEX('All Player Data Store'!$O$8:$O$594,SMALL(IF('All Player Data Store'!$Y$7:$Y$594=AC140,ROW('All Player Data Store'!$Y$7:$Y$594)-ROW('All Player Data Store'!$Y$7)+1),COUNTIF($AC$8:AC140,AC140))),"")</f>
        <v/>
      </c>
      <c r="AP140" s="108" t="str">
        <f t="shared" si="8"/>
        <v/>
      </c>
      <c r="AQ140" s="108" t="str">
        <f t="array" ref="AQ140">IF(ISNUMBER(AC140),INDEX('All Player Data Store'!$P$8:$P$594,SMALL(IF('All Player Data Store'!$Y$7:$Y$594=AC140,ROW('All Player Data Store'!$Y$7:$Y$594)-ROW('All Player Data Store'!$Y$7)+1),COUNTIF($AC$8:AC140,AC140))),"")</f>
        <v/>
      </c>
      <c r="AR140" s="108" t="str">
        <f t="shared" si="9"/>
        <v/>
      </c>
      <c r="AS140" s="108" t="str">
        <f t="array" ref="AS140">IF(ISNUMBER(AC140),INDEX('All Player Data Store'!$Q$8:$Q$594,SMALL(IF('All Player Data Store'!$Y$7:$Y$594=AC140,ROW('All Player Data Store'!$Y$7:$Y$594)-ROW('All Player Data Store'!$Y$7)+1),COUNTIF($AC$8:AC140,AC140))),"")</f>
        <v/>
      </c>
      <c r="AT140" s="108" t="str">
        <f t="shared" si="10"/>
        <v/>
      </c>
      <c r="AU140" s="108" t="str">
        <f t="array" ref="AU140">IF(ISNUMBER(AC140),INDEX('All Player Data Store'!$R$8:$R$594,SMALL(IF('All Player Data Store'!$Y$7:$Y$594=AC140,ROW('All Player Data Store'!$Y$7:$Y$594)-ROW('All Player Data Store'!$Y$7)+1),COUNTIF($AC$8:AC140,AC140))),"")</f>
        <v/>
      </c>
      <c r="AV140" s="108" t="str">
        <f t="shared" si="11"/>
        <v/>
      </c>
      <c r="AW140" s="108" t="str">
        <f t="array" ref="AW140">IF(ISNUMBER(AC140),INDEX('All Player Data Store'!$S$8:$S$594,SMALL(IF('All Player Data Store'!$Y$7:$Y$594=AC140,ROW('All Player Data Store'!$Y$7:$Y$594)-ROW('All Player Data Store'!$Y$7)+1),COUNTIF($AC$8:AC140,AC140))),"")</f>
        <v/>
      </c>
      <c r="AX140" s="108" t="str">
        <f t="shared" si="12"/>
        <v/>
      </c>
      <c r="AY140" s="108" t="str">
        <f t="array" ref="AY140">IF(ISNUMBER(AC140),INDEX('All Player Data Store'!$T$8:$T$594,SMALL(IF('All Player Data Store'!$Y$7:$Y$594=AC140,ROW('All Player Data Store'!$Y$7:$Y$594)-ROW('All Player Data Store'!$Y$7)+1),COUNTIF($AC$8:AC140,AC140))),"")</f>
        <v/>
      </c>
      <c r="AZ140" s="108" t="str">
        <f t="shared" si="13"/>
        <v/>
      </c>
      <c r="BA140" s="108" t="str">
        <f t="array" ref="BA140">IF(ISNUMBER(AC140),INDEX('All Player Data Store'!$U$8:$U$594,SMALL(IF('All Player Data Store'!$Y$7:$Y$594=AC140,ROW('All Player Data Store'!$Y$7:$Y$594)-ROW('All Player Data Store'!$Y$7)+1),COUNTIF($AC$8:AC140,AC140))),"")</f>
        <v/>
      </c>
      <c r="BB140" s="108" t="str">
        <f t="shared" si="14"/>
        <v/>
      </c>
      <c r="BC140" s="108" t="str">
        <f t="array" ref="BC140">IF(ISNUMBER(AC140),INDEX('All Player Data Store'!$V$8:$V$594,SMALL(IF('All Player Data Store'!$Y$7:$Y$594=AC140,ROW('All Player Data Store'!$Y$7:$Y$594)-ROW('All Player Data Store'!$Y$7)+1),COUNTIF($AC$8:AC140,AC140))),"")</f>
        <v>2*4</v>
      </c>
      <c r="BD140" s="108">
        <f t="shared" si="15"/>
        <v>21.99</v>
      </c>
      <c r="BE140" s="1"/>
    </row>
    <row r="141" spans="2:57" ht="12" customHeight="1" x14ac:dyDescent="0.2">
      <c r="B141" s="98" t="str">
        <f t="shared" si="0"/>
        <v>N</v>
      </c>
      <c r="C141" s="1"/>
      <c r="D141" s="68">
        <f t="shared" si="1"/>
        <v>134</v>
      </c>
      <c r="E141" s="2"/>
      <c r="F141" s="78">
        <v>134</v>
      </c>
      <c r="G141" s="110" t="str">
        <f t="array" ref="G141">IF(ISNUMBER(AC141),INDEX('All Player Data Store'!$C$7:$C$594,SMALL(IF('All Player Data Store'!$Y$7:$Y$594=AC141,ROW('All Player Data Store'!$Y$7:$Y$594)-ROW('All Player Data Store'!$Y$7)+1),COUNTIF($AC$8:AC141,AC141))),"")</f>
        <v>Chris Stones</v>
      </c>
      <c r="H141" s="111" t="str">
        <f t="array" ref="H141">IF(ISNUMBER(AC141),INDEX('All Player Data Store'!$D$7:$D$594,SMALL(IF('All Player Data Store'!$Y$7:$Y$594=AC141,ROW('All Player Data Store'!$Y$7:$Y$594)-ROW('All Player Data Store'!$Y$7)+1),COUNTIF($AC$8:AC141,AC141))),"")</f>
        <v>Por</v>
      </c>
      <c r="I141" s="69">
        <f t="array" ref="I141">IF(ISNUMBER(AC141),INDEX('All Player Data Store'!$E$7:$E$594,SMALL(IF('All Player Data Store'!$Y$7:$Y$594=AC141,ROW('All Player Data Store'!$Y$7:$Y$594)-ROW('All Player Data Store'!$Y$7)+1),COUNTIF($AC$8:AC141,AC141))),"")</f>
        <v>2</v>
      </c>
      <c r="J141" s="70">
        <f t="array" ref="J141">IF(ISNUMBER(AC141),INDEX('All Player Data Store'!$F$7:$F$594,SMALL(IF('All Player Data Store'!$Y$7:$Y$594=AC141,ROW('All Player Data Store'!$Y$7:$Y$594)-ROW('All Player Data Store'!$Y$7)+1),COUNTIF($AC$8:AC141,AC141))),"")</f>
        <v>1</v>
      </c>
      <c r="K141" s="112">
        <f t="array" ref="K141">IF(ISNUMBER(AC141),INDEX('All Player Data Store'!$G$7:$G$594,SMALL(IF('All Player Data Store'!$Y$7:$Y$594=AC141,ROW('All Player Data Store'!$Y$7:$Y$594)-ROW('All Player Data Store'!$Y$7)+1),COUNTIF($AC$8:AC141,AC141))),"")</f>
        <v>1</v>
      </c>
      <c r="L141" s="112">
        <f t="array" ref="L141">IF(ISNUMBER(AC141),INDEX('All Player Data Store'!$H$7:$H$594,SMALL(IF('All Player Data Store'!$Y$7:$Y$594=AC141,ROW('All Player Data Store'!$Y$7:$Y$594)-ROW('All Player Data Store'!$Y$7)+1),COUNTIF($AC$8:AC141,AC141))),"")</f>
        <v>5</v>
      </c>
      <c r="M141" s="113">
        <f t="array" ref="M141">IF(ISNUMBER(AC141),INDEX('All Player Data Store'!$I$7:$I$594,SMALL(IF('All Player Data Store'!$Y$7:$Y$594=AC141,ROW('All Player Data Store'!$Y$7:$Y$594)-ROW('All Player Data Store'!$Y$7)+1),COUNTIF($AC$8:AC141,AC141))),"")</f>
        <v>5</v>
      </c>
      <c r="N141" s="114" t="str">
        <f t="array" ref="N141">IF(ISNUMBER(AC141),INDEX('All Player Data Store'!$J$7:$J$594,SMALL(IF('All Player Data Store'!$Y$7:$Y$594=AC141,ROW('All Player Data Store'!$Y$7:$Y$594)-ROW('All Player Data Store'!$Y$7)+1),COUNTIF($AC$8:AC141,AC141))),"")</f>
        <v/>
      </c>
      <c r="O141" s="108" t="str">
        <f t="array" ref="O141">IF(ISNUMBER(AC141),INDEX('All Player Data Store'!$K$7:$K$594,SMALL(IF('All Player Data Store'!$Y$7:$Y$594=AC141,ROW('All Player Data Store'!$Y$7:$Y$594)-ROW('All Player Data Store'!$Y$7)+1),COUNTIF($AC$8:AC141,AC141))),"")</f>
        <v/>
      </c>
      <c r="P141" s="108" t="str">
        <f t="array" ref="P141">IF(ISNUMBER(AC141),INDEX('All Player Data Store'!$L$7:$L$594,SMALL(IF('All Player Data Store'!$Y$7:$Y$594=AC141,ROW('All Player Data Store'!$Y$7:$Y$594)-ROW('All Player Data Store'!$Y$7)+1),COUNTIF($AC$8:AC141,AC141))),"")</f>
        <v/>
      </c>
      <c r="Q141" s="108" t="str">
        <f t="array" ref="Q141">IF(ISNUMBER(AC141),INDEX('All Player Data Store'!$M$7:$M$594,SMALL(IF('All Player Data Store'!$Y$7:$Y$594=AC141,ROW('All Player Data Store'!$Y$7:$Y$594)-ROW('All Player Data Store'!$Y$7)+1),COUNTIF($AC$8:AC141,AC141))),"")</f>
        <v/>
      </c>
      <c r="R141" s="108" t="str">
        <f t="array" ref="R141">IF(ISNUMBER(AC141),INDEX('All Player Data Store'!$N$7:$N$594,SMALL(IF('All Player Data Store'!$Y$7:$Y$594=AC141,ROW('All Player Data Store'!$Y$7:$Y$594)-ROW('All Player Data Store'!$Y$7)+1),COUNTIF($AC$8:AC141,AC141))),"")</f>
        <v/>
      </c>
      <c r="S141" s="108" t="str">
        <f t="array" ref="S141">IF(ISNUMBER(AC141),INDEX('All Player Data Store'!$O$7:$O$594,SMALL(IF('All Player Data Store'!$Y$7:$Y$594=AC141,ROW('All Player Data Store'!$Y$7:$Y$594)-ROW('All Player Data Store'!$Y$7)+1),COUNTIF($AC$8:AC141,AC141))),"")</f>
        <v/>
      </c>
      <c r="T141" s="108" t="str">
        <f t="array" ref="T141">IF(ISNUMBER(AC141),INDEX('All Player Data Store'!$P$7:$P$594,SMALL(IF('All Player Data Store'!$Y$7:$Y$594=AC141,ROW('All Player Data Store'!$Y$7:$Y$594)-ROW('All Player Data Store'!$Y$7)+1),COUNTIF($AC$8:AC141,AC141))),"")</f>
        <v/>
      </c>
      <c r="U141" s="108" t="str">
        <f t="array" ref="U141">IF(ISNUMBER(AC141),INDEX('All Player Data Store'!$Q$7:$Q$594,SMALL(IF('All Player Data Store'!$Y$7:$Y$594=AC141,ROW('All Player Data Store'!$Y$7:$Y$594)-ROW('All Player Data Store'!$Y$7)+1),COUNTIF($AC$8:AC141,AC141))),"")</f>
        <v/>
      </c>
      <c r="V141" s="108" t="str">
        <f t="array" ref="V141">IF(ISNUMBER(AC141),INDEX('All Player Data Store'!$R$7:$R$594,SMALL(IF('All Player Data Store'!$Y$7:$Y$594=AC141,ROW('All Player Data Store'!$Y$7:$Y$594)-ROW('All Player Data Store'!$Y$7)+1),COUNTIF($AC$8:AC141,AC141))),"")</f>
        <v/>
      </c>
      <c r="W141" s="108" t="str">
        <f t="array" ref="W141">IF(ISNUMBER(AC141),INDEX('All Player Data Store'!$S$7:$S$594,SMALL(IF('All Player Data Store'!$Y$7:$Y$594=AC141,ROW('All Player Data Store'!$Y$7:$Y$594)-ROW('All Player Data Store'!$Y$7)+1),COUNTIF($AC$8:AC141,AC141))),"")</f>
        <v/>
      </c>
      <c r="X141" s="108" t="str">
        <f t="array" ref="X141">IF(ISNUMBER(AC141),INDEX('All Player Data Store'!$T$7:$T$594,SMALL(IF('All Player Data Store'!$Y$7:$Y$594=AC141,ROW('All Player Data Store'!$Y$7:$Y$594)-ROW('All Player Data Store'!$Y$7)+1),COUNTIF($AC$8:AC141,AC141))),"")</f>
        <v/>
      </c>
      <c r="Y141" s="108">
        <f t="array" ref="Y141">IF(ISNUMBER(AC141),INDEX('All Player Data Store'!$U$7:$U$594,SMALL(IF('All Player Data Store'!$Y$7:$Y$594=AC141,ROW('All Player Data Store'!$Y$7:$Y$594)-ROW('All Player Data Store'!$Y$7)+1),COUNTIF($AC$8:AC141,AC141))),"")</f>
        <v>19.71</v>
      </c>
      <c r="Z141" s="108">
        <f t="array" ref="Z141">IF(ISNUMBER(AC141),INDEX('All Player Data Store'!$V$7:$V$594,SMALL(IF('All Player Data Store'!$Y$7:$Y$594=AC141,ROW('All Player Data Store'!$Y$7:$Y$594)-ROW('All Player Data Store'!$Y$7)+1),COUNTIF($AC$8:AC141,AC141))),"")</f>
        <v>20.43</v>
      </c>
      <c r="AA141" s="112" t="str">
        <f t="array" ref="AA141">IF(ISNUMBER(AC141),INDEX('All Player Data Store'!$W$7:$W$594,SMALL(IF('All Player Data Store'!$Y$7:$Y$594=AC141,ROW('All Player Data Store'!$Y$7:$Y$594)-ROW('All Player Data Store'!$Y$7)+1),COUNTIF($AC$8:AC141,AC141))),"")</f>
        <v/>
      </c>
      <c r="AB141" s="108">
        <f t="array" ref="AB141">IF(ISNUMBER(AC141),INDEX('All Player Data Store'!$X$7:$X$594,SMALL(IF('All Player Data Store'!$Y$7:$Y$594=AC141,ROW('All Player Data Store'!$Y$7:$Y$594)-ROW('All Player Data Store'!$Y$7)+1),COUNTIF($AC$8:AC141,AC141))),"")</f>
        <v>20.07</v>
      </c>
      <c r="AC141" s="115">
        <f>IF(ISERROR(IF(ISERROR(LARGE('All Player Data Store'!$Y$7:$Y$594,134)),"",(LARGE('All Player Data Store'!$Y$7:$Y$594,134)))),"",(IF(ISERROR(LARGE('All Player Data Store'!$Y$7:$Y$594,134)),"",(LARGE('All Player Data Store'!$Y$7:$Y$594,134)))))</f>
        <v>21.07</v>
      </c>
      <c r="AD141" s="106">
        <f t="shared" si="16"/>
        <v>3</v>
      </c>
      <c r="AE141" s="107" t="str">
        <f t="array" ref="AE141">IF(ISNUMBER(AC141),INDEX('All Player Data Store'!$J$8:$J$594,SMALL(IF('All Player Data Store'!$Y$7:$Y$594=AC141,ROW('All Player Data Store'!$Y$7:$Y$594)-ROW('All Player Data Store'!$Y$7)+1),COUNTIF($AC$8:AC141,AC141))),"")</f>
        <v/>
      </c>
      <c r="AF141" s="108" t="str">
        <f t="shared" si="3"/>
        <v/>
      </c>
      <c r="AG141" s="108" t="str">
        <f t="array" ref="AG141">IF(ISNUMBER(AC141),INDEX('All Player Data Store'!$K$8:$K$594,SMALL(IF('All Player Data Store'!$Y$7:$Y$594=AC141,ROW('All Player Data Store'!$Y$7:$Y$594)-ROW('All Player Data Store'!$Y$7)+1),COUNTIF($AC$8:AC141,AC141))),"")</f>
        <v/>
      </c>
      <c r="AH141" s="108" t="str">
        <f t="shared" si="4"/>
        <v/>
      </c>
      <c r="AI141" s="108" t="str">
        <f t="array" ref="AI141">IF(ISNUMBER(AC141),INDEX('All Player Data Store'!$L$8:$L$594,SMALL(IF('All Player Data Store'!$Y$7:$Y$594=AC141,ROW('All Player Data Store'!$Y$7:$Y$594)-ROW('All Player Data Store'!$Y$7)+1),COUNTIF($AC$8:AC141,AC141))),"")</f>
        <v/>
      </c>
      <c r="AJ141" s="108" t="str">
        <f t="shared" si="5"/>
        <v/>
      </c>
      <c r="AK141" s="108" t="str">
        <f t="array" ref="AK141">IF(ISNUMBER(AC141),INDEX('All Player Data Store'!$M$8:$M$594,SMALL(IF('All Player Data Store'!$Y$7:$Y$594=AC141,ROW('All Player Data Store'!$Y$7:$Y$594)-ROW('All Player Data Store'!$Y$7)+1),COUNTIF($AC$8:AC141,AC141))),"")</f>
        <v/>
      </c>
      <c r="AL141" s="108" t="str">
        <f t="shared" si="6"/>
        <v/>
      </c>
      <c r="AM141" s="108" t="str">
        <f t="array" ref="AM141">IF(ISNUMBER(AC141),INDEX('All Player Data Store'!$N$8:$N$594,SMALL(IF('All Player Data Store'!$Y$7:$Y$594=AC141,ROW('All Player Data Store'!$Y$7:$Y$594)-ROW('All Player Data Store'!$Y$7)+1),COUNTIF($AC$8:AC141,AC141))),"")</f>
        <v/>
      </c>
      <c r="AN141" s="108" t="str">
        <f t="shared" si="7"/>
        <v/>
      </c>
      <c r="AO141" s="108" t="str">
        <f t="array" ref="AO141">IF(ISNUMBER(AC141),INDEX('All Player Data Store'!$O$8:$O$594,SMALL(IF('All Player Data Store'!$Y$7:$Y$594=AC141,ROW('All Player Data Store'!$Y$7:$Y$594)-ROW('All Player Data Store'!$Y$7)+1),COUNTIF($AC$8:AC141,AC141))),"")</f>
        <v/>
      </c>
      <c r="AP141" s="108" t="str">
        <f t="shared" si="8"/>
        <v/>
      </c>
      <c r="AQ141" s="108" t="str">
        <f t="array" ref="AQ141">IF(ISNUMBER(AC141),INDEX('All Player Data Store'!$P$8:$P$594,SMALL(IF('All Player Data Store'!$Y$7:$Y$594=AC141,ROW('All Player Data Store'!$Y$7:$Y$594)-ROW('All Player Data Store'!$Y$7)+1),COUNTIF($AC$8:AC141,AC141))),"")</f>
        <v/>
      </c>
      <c r="AR141" s="108" t="str">
        <f t="shared" si="9"/>
        <v/>
      </c>
      <c r="AS141" s="108" t="str">
        <f t="array" ref="AS141">IF(ISNUMBER(AC141),INDEX('All Player Data Store'!$Q$8:$Q$594,SMALL(IF('All Player Data Store'!$Y$7:$Y$594=AC141,ROW('All Player Data Store'!$Y$7:$Y$594)-ROW('All Player Data Store'!$Y$7)+1),COUNTIF($AC$8:AC141,AC141))),"")</f>
        <v/>
      </c>
      <c r="AT141" s="108" t="str">
        <f t="shared" si="10"/>
        <v/>
      </c>
      <c r="AU141" s="108" t="str">
        <f t="array" ref="AU141">IF(ISNUMBER(AC141),INDEX('All Player Data Store'!$R$8:$R$594,SMALL(IF('All Player Data Store'!$Y$7:$Y$594=AC141,ROW('All Player Data Store'!$Y$7:$Y$594)-ROW('All Player Data Store'!$Y$7)+1),COUNTIF($AC$8:AC141,AC141))),"")</f>
        <v/>
      </c>
      <c r="AV141" s="108" t="str">
        <f t="shared" si="11"/>
        <v/>
      </c>
      <c r="AW141" s="108" t="str">
        <f t="array" ref="AW141">IF(ISNUMBER(AC141),INDEX('All Player Data Store'!$S$8:$S$594,SMALL(IF('All Player Data Store'!$Y$7:$Y$594=AC141,ROW('All Player Data Store'!$Y$7:$Y$594)-ROW('All Player Data Store'!$Y$7)+1),COUNTIF($AC$8:AC141,AC141))),"")</f>
        <v/>
      </c>
      <c r="AX141" s="108" t="str">
        <f t="shared" si="12"/>
        <v/>
      </c>
      <c r="AY141" s="108" t="str">
        <f t="array" ref="AY141">IF(ISNUMBER(AC141),INDEX('All Player Data Store'!$T$8:$T$594,SMALL(IF('All Player Data Store'!$Y$7:$Y$594=AC141,ROW('All Player Data Store'!$Y$7:$Y$594)-ROW('All Player Data Store'!$Y$7)+1),COUNTIF($AC$8:AC141,AC141))),"")</f>
        <v/>
      </c>
      <c r="AZ141" s="108" t="str">
        <f t="shared" si="13"/>
        <v/>
      </c>
      <c r="BA141" s="108" t="str">
        <f t="array" ref="BA141">IF(ISNUMBER(AC141),INDEX('All Player Data Store'!$U$8:$U$594,SMALL(IF('All Player Data Store'!$Y$7:$Y$594=AC141,ROW('All Player Data Store'!$Y$7:$Y$594)-ROW('All Player Data Store'!$Y$7)+1),COUNTIF($AC$8:AC141,AC141))),"")</f>
        <v>4*1</v>
      </c>
      <c r="BB141" s="108">
        <f t="shared" si="14"/>
        <v>20.71</v>
      </c>
      <c r="BC141" s="108" t="str">
        <f t="array" ref="BC141">IF(ISNUMBER(AC141),INDEX('All Player Data Store'!$V$8:$V$594,SMALL(IF('All Player Data Store'!$Y$7:$Y$594=AC141,ROW('All Player Data Store'!$Y$7:$Y$594)-ROW('All Player Data Store'!$Y$7)+1),COUNTIF($AC$8:AC141,AC141))),"")</f>
        <v>1*4</v>
      </c>
      <c r="BD141" s="108">
        <f t="shared" si="15"/>
        <v>20.43</v>
      </c>
      <c r="BE141" s="1"/>
    </row>
    <row r="142" spans="2:57" ht="12" customHeight="1" x14ac:dyDescent="0.2">
      <c r="B142" s="98" t="str">
        <f t="shared" si="0"/>
        <v>N</v>
      </c>
      <c r="C142" s="1"/>
      <c r="D142" s="68">
        <f t="shared" si="1"/>
        <v>135</v>
      </c>
      <c r="E142" s="2"/>
      <c r="F142" s="78">
        <v>135</v>
      </c>
      <c r="G142" s="110" t="str">
        <f t="array" ref="G142">IF(ISNUMBER(AC142),INDEX('All Player Data Store'!$C$7:$C$594,SMALL(IF('All Player Data Store'!$Y$7:$Y$594=AC142,ROW('All Player Data Store'!$Y$7:$Y$594)-ROW('All Player Data Store'!$Y$7)+1),COUNTIF($AC$8:AC142,AC142))),"")</f>
        <v>Jack Mitchell</v>
      </c>
      <c r="H142" s="111" t="str">
        <f t="array" ref="H142">IF(ISNUMBER(AC142),INDEX('All Player Data Store'!$D$7:$D$594,SMALL(IF('All Player Data Store'!$Y$7:$Y$594=AC142,ROW('All Player Data Store'!$Y$7:$Y$594)-ROW('All Player Data Store'!$Y$7)+1),COUNTIF($AC$8:AC142,AC142))),"")</f>
        <v>Bos</v>
      </c>
      <c r="I142" s="69">
        <f t="array" ref="I142">IF(ISNUMBER(AC142),INDEX('All Player Data Store'!$E$7:$E$594,SMALL(IF('All Player Data Store'!$Y$7:$Y$594=AC142,ROW('All Player Data Store'!$Y$7:$Y$594)-ROW('All Player Data Store'!$Y$7)+1),COUNTIF($AC$8:AC142,AC142))),"")</f>
        <v>4</v>
      </c>
      <c r="J142" s="70">
        <f t="array" ref="J142">IF(ISNUMBER(AC142),INDEX('All Player Data Store'!$F$7:$F$594,SMALL(IF('All Player Data Store'!$Y$7:$Y$594=AC142,ROW('All Player Data Store'!$Y$7:$Y$594)-ROW('All Player Data Store'!$Y$7)+1),COUNTIF($AC$8:AC142,AC142))),"")</f>
        <v>1</v>
      </c>
      <c r="K142" s="112">
        <f t="array" ref="K142">IF(ISNUMBER(AC142),INDEX('All Player Data Store'!$G$7:$G$594,SMALL(IF('All Player Data Store'!$Y$7:$Y$594=AC142,ROW('All Player Data Store'!$Y$7:$Y$594)-ROW('All Player Data Store'!$Y$7)+1),COUNTIF($AC$8:AC142,AC142))),"")</f>
        <v>3</v>
      </c>
      <c r="L142" s="112">
        <f t="array" ref="L142">IF(ISNUMBER(AC142),INDEX('All Player Data Store'!$H$7:$H$594,SMALL(IF('All Player Data Store'!$Y$7:$Y$594=AC142,ROW('All Player Data Store'!$Y$7:$Y$594)-ROW('All Player Data Store'!$Y$7)+1),COUNTIF($AC$8:AC142,AC142))),"")</f>
        <v>9</v>
      </c>
      <c r="M142" s="113">
        <f t="array" ref="M142">IF(ISNUMBER(AC142),INDEX('All Player Data Store'!$I$7:$I$594,SMALL(IF('All Player Data Store'!$Y$7:$Y$594=AC142,ROW('All Player Data Store'!$Y$7:$Y$594)-ROW('All Player Data Store'!$Y$7)+1),COUNTIF($AC$8:AC142,AC142))),"")</f>
        <v>15</v>
      </c>
      <c r="N142" s="114">
        <f t="array" ref="N142">IF(ISNUMBER(AC142),INDEX('All Player Data Store'!$J$7:$J$594,SMALL(IF('All Player Data Store'!$Y$7:$Y$594=AC142,ROW('All Player Data Store'!$Y$7:$Y$594)-ROW('All Player Data Store'!$Y$7)+1),COUNTIF($AC$8:AC142,AC142))),"")</f>
        <v>21.04</v>
      </c>
      <c r="O142" s="108">
        <f t="array" ref="O142">IF(ISNUMBER(AC142),INDEX('All Player Data Store'!$K$7:$K$594,SMALL(IF('All Player Data Store'!$Y$7:$Y$594=AC142,ROW('All Player Data Store'!$Y$7:$Y$594)-ROW('All Player Data Store'!$Y$7)+1),COUNTIF($AC$8:AC142,AC142))),"")</f>
        <v>20.57</v>
      </c>
      <c r="P142" s="108">
        <f t="array" ref="P142">IF(ISNUMBER(AC142),INDEX('All Player Data Store'!$L$7:$L$594,SMALL(IF('All Player Data Store'!$Y$7:$Y$594=AC142,ROW('All Player Data Store'!$Y$7:$Y$594)-ROW('All Player Data Store'!$Y$7)+1),COUNTIF($AC$8:AC142,AC142))),"")</f>
        <v>21.22</v>
      </c>
      <c r="Q142" s="108">
        <f t="array" ref="Q142">IF(ISNUMBER(AC142),INDEX('All Player Data Store'!$M$7:$M$594,SMALL(IF('All Player Data Store'!$Y$7:$Y$594=AC142,ROW('All Player Data Store'!$Y$7:$Y$594)-ROW('All Player Data Store'!$Y$7)+1),COUNTIF($AC$8:AC142,AC142))),"")</f>
        <v>17.34</v>
      </c>
      <c r="R142" s="108" t="str">
        <f t="array" ref="R142">IF(ISNUMBER(AC142),INDEX('All Player Data Store'!$N$7:$N$594,SMALL(IF('All Player Data Store'!$Y$7:$Y$594=AC142,ROW('All Player Data Store'!$Y$7:$Y$594)-ROW('All Player Data Store'!$Y$7)+1),COUNTIF($AC$8:AC142,AC142))),"")</f>
        <v/>
      </c>
      <c r="S142" s="108" t="str">
        <f t="array" ref="S142">IF(ISNUMBER(AC142),INDEX('All Player Data Store'!$O$7:$O$594,SMALL(IF('All Player Data Store'!$Y$7:$Y$594=AC142,ROW('All Player Data Store'!$Y$7:$Y$594)-ROW('All Player Data Store'!$Y$7)+1),COUNTIF($AC$8:AC142,AC142))),"")</f>
        <v/>
      </c>
      <c r="T142" s="108" t="str">
        <f t="array" ref="T142">IF(ISNUMBER(AC142),INDEX('All Player Data Store'!$P$7:$P$594,SMALL(IF('All Player Data Store'!$Y$7:$Y$594=AC142,ROW('All Player Data Store'!$Y$7:$Y$594)-ROW('All Player Data Store'!$Y$7)+1),COUNTIF($AC$8:AC142,AC142))),"")</f>
        <v/>
      </c>
      <c r="U142" s="108" t="str">
        <f t="array" ref="U142">IF(ISNUMBER(AC142),INDEX('All Player Data Store'!$Q$7:$Q$594,SMALL(IF('All Player Data Store'!$Y$7:$Y$594=AC142,ROW('All Player Data Store'!$Y$7:$Y$594)-ROW('All Player Data Store'!$Y$7)+1),COUNTIF($AC$8:AC142,AC142))),"")</f>
        <v/>
      </c>
      <c r="V142" s="108" t="str">
        <f t="array" ref="V142">IF(ISNUMBER(AC142),INDEX('All Player Data Store'!$R$7:$R$594,SMALL(IF('All Player Data Store'!$Y$7:$Y$594=AC142,ROW('All Player Data Store'!$Y$7:$Y$594)-ROW('All Player Data Store'!$Y$7)+1),COUNTIF($AC$8:AC142,AC142))),"")</f>
        <v/>
      </c>
      <c r="W142" s="108" t="str">
        <f t="array" ref="W142">IF(ISNUMBER(AC142),INDEX('All Player Data Store'!$S$7:$S$594,SMALL(IF('All Player Data Store'!$Y$7:$Y$594=AC142,ROW('All Player Data Store'!$Y$7:$Y$594)-ROW('All Player Data Store'!$Y$7)+1),COUNTIF($AC$8:AC142,AC142))),"")</f>
        <v/>
      </c>
      <c r="X142" s="108" t="str">
        <f t="array" ref="X142">IF(ISNUMBER(AC142),INDEX('All Player Data Store'!$T$7:$T$594,SMALL(IF('All Player Data Store'!$Y$7:$Y$594=AC142,ROW('All Player Data Store'!$Y$7:$Y$594)-ROW('All Player Data Store'!$Y$7)+1),COUNTIF($AC$8:AC142,AC142))),"")</f>
        <v/>
      </c>
      <c r="Y142" s="108" t="str">
        <f t="array" ref="Y142">IF(ISNUMBER(AC142),INDEX('All Player Data Store'!$U$7:$U$594,SMALL(IF('All Player Data Store'!$Y$7:$Y$594=AC142,ROW('All Player Data Store'!$Y$7:$Y$594)-ROW('All Player Data Store'!$Y$7)+1),COUNTIF($AC$8:AC142,AC142))),"")</f>
        <v/>
      </c>
      <c r="Z142" s="108" t="str">
        <f t="array" ref="Z142">IF(ISNUMBER(AC142),INDEX('All Player Data Store'!$V$7:$V$594,SMALL(IF('All Player Data Store'!$Y$7:$Y$594=AC142,ROW('All Player Data Store'!$Y$7:$Y$594)-ROW('All Player Data Store'!$Y$7)+1),COUNTIF($AC$8:AC142,AC142))),"")</f>
        <v/>
      </c>
      <c r="AA142" s="112" t="str">
        <f t="array" ref="AA142">IF(ISNUMBER(AC142),INDEX('All Player Data Store'!$W$7:$W$594,SMALL(IF('All Player Data Store'!$Y$7:$Y$594=AC142,ROW('All Player Data Store'!$Y$7:$Y$594)-ROW('All Player Data Store'!$Y$7)+1),COUNTIF($AC$8:AC142,AC142))),"")</f>
        <v/>
      </c>
      <c r="AB142" s="108">
        <f t="array" ref="AB142">IF(ISNUMBER(AC142),INDEX('All Player Data Store'!$X$7:$X$594,SMALL(IF('All Player Data Store'!$Y$7:$Y$594=AC142,ROW('All Player Data Store'!$Y$7:$Y$594)-ROW('All Player Data Store'!$Y$7)+1),COUNTIF($AC$8:AC142,AC142))),"")</f>
        <v>20.0425</v>
      </c>
      <c r="AC142" s="115">
        <f>IF(ISERROR(IF(ISERROR(LARGE('All Player Data Store'!$Y$7:$Y$594,135)),"",(LARGE('All Player Data Store'!$Y$7:$Y$594,135)))),"",(IF(ISERROR(LARGE('All Player Data Store'!$Y$7:$Y$594,135)),"",(LARGE('All Player Data Store'!$Y$7:$Y$594,135)))))</f>
        <v>21.0425</v>
      </c>
      <c r="AD142" s="106">
        <f t="shared" si="16"/>
        <v>3</v>
      </c>
      <c r="AE142" s="107" t="str">
        <f t="array" ref="AE142">IF(ISNUMBER(AC142),INDEX('All Player Data Store'!$J$8:$J$594,SMALL(IF('All Player Data Store'!$Y$7:$Y$594=AC142,ROW('All Player Data Store'!$Y$7:$Y$594)-ROW('All Player Data Store'!$Y$7)+1),COUNTIF($AC$8:AC142,AC142))),"")</f>
        <v>3*4</v>
      </c>
      <c r="AF142" s="108">
        <f t="shared" si="3"/>
        <v>21.04</v>
      </c>
      <c r="AG142" s="108" t="str">
        <f t="array" ref="AG142">IF(ISNUMBER(AC142),INDEX('All Player Data Store'!$K$8:$K$594,SMALL(IF('All Player Data Store'!$Y$7:$Y$594=AC142,ROW('All Player Data Store'!$Y$7:$Y$594)-ROW('All Player Data Store'!$Y$7)+1),COUNTIF($AC$8:AC142,AC142))),"")</f>
        <v>4*3</v>
      </c>
      <c r="AH142" s="108">
        <f t="shared" si="4"/>
        <v>21.57</v>
      </c>
      <c r="AI142" s="108" t="str">
        <f t="array" ref="AI142">IF(ISNUMBER(AC142),INDEX('All Player Data Store'!$L$8:$L$594,SMALL(IF('All Player Data Store'!$Y$7:$Y$594=AC142,ROW('All Player Data Store'!$Y$7:$Y$594)-ROW('All Player Data Store'!$Y$7)+1),COUNTIF($AC$8:AC142,AC142))),"")</f>
        <v>1*4</v>
      </c>
      <c r="AJ142" s="108">
        <f t="shared" si="5"/>
        <v>21.22</v>
      </c>
      <c r="AK142" s="108" t="str">
        <f t="array" ref="AK142">IF(ISNUMBER(AC142),INDEX('All Player Data Store'!$M$8:$M$594,SMALL(IF('All Player Data Store'!$Y$7:$Y$594=AC142,ROW('All Player Data Store'!$Y$7:$Y$594)-ROW('All Player Data Store'!$Y$7)+1),COUNTIF($AC$8:AC142,AC142))),"")</f>
        <v>1*4</v>
      </c>
      <c r="AL142" s="108">
        <f t="shared" si="6"/>
        <v>17.34</v>
      </c>
      <c r="AM142" s="108" t="str">
        <f t="array" ref="AM142">IF(ISNUMBER(AC142),INDEX('All Player Data Store'!$N$8:$N$594,SMALL(IF('All Player Data Store'!$Y$7:$Y$594=AC142,ROW('All Player Data Store'!$Y$7:$Y$594)-ROW('All Player Data Store'!$Y$7)+1),COUNTIF($AC$8:AC142,AC142))),"")</f>
        <v/>
      </c>
      <c r="AN142" s="108" t="str">
        <f t="shared" si="7"/>
        <v/>
      </c>
      <c r="AO142" s="108" t="str">
        <f t="array" ref="AO142">IF(ISNUMBER(AC142),INDEX('All Player Data Store'!$O$8:$O$594,SMALL(IF('All Player Data Store'!$Y$7:$Y$594=AC142,ROW('All Player Data Store'!$Y$7:$Y$594)-ROW('All Player Data Store'!$Y$7)+1),COUNTIF($AC$8:AC142,AC142))),"")</f>
        <v/>
      </c>
      <c r="AP142" s="108" t="str">
        <f t="shared" si="8"/>
        <v/>
      </c>
      <c r="AQ142" s="108" t="str">
        <f t="array" ref="AQ142">IF(ISNUMBER(AC142),INDEX('All Player Data Store'!$P$8:$P$594,SMALL(IF('All Player Data Store'!$Y$7:$Y$594=AC142,ROW('All Player Data Store'!$Y$7:$Y$594)-ROW('All Player Data Store'!$Y$7)+1),COUNTIF($AC$8:AC142,AC142))),"")</f>
        <v/>
      </c>
      <c r="AR142" s="108" t="str">
        <f t="shared" si="9"/>
        <v/>
      </c>
      <c r="AS142" s="108" t="str">
        <f t="array" ref="AS142">IF(ISNUMBER(AC142),INDEX('All Player Data Store'!$Q$8:$Q$594,SMALL(IF('All Player Data Store'!$Y$7:$Y$594=AC142,ROW('All Player Data Store'!$Y$7:$Y$594)-ROW('All Player Data Store'!$Y$7)+1),COUNTIF($AC$8:AC142,AC142))),"")</f>
        <v/>
      </c>
      <c r="AT142" s="108" t="str">
        <f t="shared" si="10"/>
        <v/>
      </c>
      <c r="AU142" s="108" t="str">
        <f t="array" ref="AU142">IF(ISNUMBER(AC142),INDEX('All Player Data Store'!$R$8:$R$594,SMALL(IF('All Player Data Store'!$Y$7:$Y$594=AC142,ROW('All Player Data Store'!$Y$7:$Y$594)-ROW('All Player Data Store'!$Y$7)+1),COUNTIF($AC$8:AC142,AC142))),"")</f>
        <v/>
      </c>
      <c r="AV142" s="108" t="str">
        <f t="shared" si="11"/>
        <v/>
      </c>
      <c r="AW142" s="108" t="str">
        <f t="array" ref="AW142">IF(ISNUMBER(AC142),INDEX('All Player Data Store'!$S$8:$S$594,SMALL(IF('All Player Data Store'!$Y$7:$Y$594=AC142,ROW('All Player Data Store'!$Y$7:$Y$594)-ROW('All Player Data Store'!$Y$7)+1),COUNTIF($AC$8:AC142,AC142))),"")</f>
        <v/>
      </c>
      <c r="AX142" s="108" t="str">
        <f t="shared" si="12"/>
        <v/>
      </c>
      <c r="AY142" s="108" t="str">
        <f t="array" ref="AY142">IF(ISNUMBER(AC142),INDEX('All Player Data Store'!$T$8:$T$594,SMALL(IF('All Player Data Store'!$Y$7:$Y$594=AC142,ROW('All Player Data Store'!$Y$7:$Y$594)-ROW('All Player Data Store'!$Y$7)+1),COUNTIF($AC$8:AC142,AC142))),"")</f>
        <v/>
      </c>
      <c r="AZ142" s="108" t="str">
        <f t="shared" si="13"/>
        <v/>
      </c>
      <c r="BA142" s="108" t="str">
        <f t="array" ref="BA142">IF(ISNUMBER(AC142),INDEX('All Player Data Store'!$U$8:$U$594,SMALL(IF('All Player Data Store'!$Y$7:$Y$594=AC142,ROW('All Player Data Store'!$Y$7:$Y$594)-ROW('All Player Data Store'!$Y$7)+1),COUNTIF($AC$8:AC142,AC142))),"")</f>
        <v/>
      </c>
      <c r="BB142" s="108" t="str">
        <f t="shared" si="14"/>
        <v/>
      </c>
      <c r="BC142" s="108" t="str">
        <f t="array" ref="BC142">IF(ISNUMBER(AC142),INDEX('All Player Data Store'!$V$8:$V$594,SMALL(IF('All Player Data Store'!$Y$7:$Y$594=AC142,ROW('All Player Data Store'!$Y$7:$Y$594)-ROW('All Player Data Store'!$Y$7)+1),COUNTIF($AC$8:AC142,AC142))),"")</f>
        <v/>
      </c>
      <c r="BD142" s="108" t="str">
        <f t="shared" si="15"/>
        <v/>
      </c>
      <c r="BE142" s="1"/>
    </row>
    <row r="143" spans="2:57" ht="12" customHeight="1" x14ac:dyDescent="0.2">
      <c r="B143" s="98" t="str">
        <f t="shared" si="0"/>
        <v>N</v>
      </c>
      <c r="C143" s="1"/>
      <c r="D143" s="68">
        <f t="shared" si="1"/>
        <v>136</v>
      </c>
      <c r="E143" s="2"/>
      <c r="F143" s="78">
        <v>136</v>
      </c>
      <c r="G143" s="110" t="str">
        <f t="array" ref="G143">IF(ISNUMBER(AC143),INDEX('All Player Data Store'!$C$7:$C$594,SMALL(IF('All Player Data Store'!$Y$7:$Y$594=AC143,ROW('All Player Data Store'!$Y$7:$Y$594)-ROW('All Player Data Store'!$Y$7)+1),COUNTIF($AC$8:AC143,AC143))),"")</f>
        <v>Nick Matthius</v>
      </c>
      <c r="H143" s="111" t="str">
        <f t="array" ref="H143">IF(ISNUMBER(AC143),INDEX('All Player Data Store'!$D$7:$D$594,SMALL(IF('All Player Data Store'!$Y$7:$Y$594=AC143,ROW('All Player Data Store'!$Y$7:$Y$594)-ROW('All Player Data Store'!$Y$7)+1),COUNTIF($AC$8:AC143,AC143))),"")</f>
        <v>Chr</v>
      </c>
      <c r="I143" s="69">
        <f t="array" ref="I143">IF(ISNUMBER(AC143),INDEX('All Player Data Store'!$E$7:$E$594,SMALL(IF('All Player Data Store'!$Y$7:$Y$594=AC143,ROW('All Player Data Store'!$Y$7:$Y$594)-ROW('All Player Data Store'!$Y$7)+1),COUNTIF($AC$8:AC143,AC143))),"")</f>
        <v>1</v>
      </c>
      <c r="J143" s="70">
        <f t="array" ref="J143">IF(ISNUMBER(AC143),INDEX('All Player Data Store'!$F$7:$F$594,SMALL(IF('All Player Data Store'!$Y$7:$Y$594=AC143,ROW('All Player Data Store'!$Y$7:$Y$594)-ROW('All Player Data Store'!$Y$7)+1),COUNTIF($AC$8:AC143,AC143))),"")</f>
        <v>1</v>
      </c>
      <c r="K143" s="112" t="str">
        <f t="array" ref="K143">IF(ISNUMBER(AC143),INDEX('All Player Data Store'!$G$7:$G$594,SMALL(IF('All Player Data Store'!$Y$7:$Y$594=AC143,ROW('All Player Data Store'!$Y$7:$Y$594)-ROW('All Player Data Store'!$Y$7)+1),COUNTIF($AC$8:AC143,AC143))),"")</f>
        <v/>
      </c>
      <c r="L143" s="112">
        <f t="array" ref="L143">IF(ISNUMBER(AC143),INDEX('All Player Data Store'!$H$7:$H$594,SMALL(IF('All Player Data Store'!$Y$7:$Y$594=AC143,ROW('All Player Data Store'!$Y$7:$Y$594)-ROW('All Player Data Store'!$Y$7)+1),COUNTIF($AC$8:AC143,AC143))),"")</f>
        <v>4</v>
      </c>
      <c r="M143" s="113">
        <f t="array" ref="M143">IF(ISNUMBER(AC143),INDEX('All Player Data Store'!$I$7:$I$594,SMALL(IF('All Player Data Store'!$Y$7:$Y$594=AC143,ROW('All Player Data Store'!$Y$7:$Y$594)-ROW('All Player Data Store'!$Y$7)+1),COUNTIF($AC$8:AC143,AC143))),"")</f>
        <v>3</v>
      </c>
      <c r="N143" s="114" t="str">
        <f t="array" ref="N143">IF(ISNUMBER(AC143),INDEX('All Player Data Store'!$J$7:$J$594,SMALL(IF('All Player Data Store'!$Y$7:$Y$594=AC143,ROW('All Player Data Store'!$Y$7:$Y$594)-ROW('All Player Data Store'!$Y$7)+1),COUNTIF($AC$8:AC143,AC143))),"")</f>
        <v/>
      </c>
      <c r="O143" s="108" t="str">
        <f t="array" ref="O143">IF(ISNUMBER(AC143),INDEX('All Player Data Store'!$K$7:$K$594,SMALL(IF('All Player Data Store'!$Y$7:$Y$594=AC143,ROW('All Player Data Store'!$Y$7:$Y$594)-ROW('All Player Data Store'!$Y$7)+1),COUNTIF($AC$8:AC143,AC143))),"")</f>
        <v/>
      </c>
      <c r="P143" s="108" t="str">
        <f t="array" ref="P143">IF(ISNUMBER(AC143),INDEX('All Player Data Store'!$L$7:$L$594,SMALL(IF('All Player Data Store'!$Y$7:$Y$594=AC143,ROW('All Player Data Store'!$Y$7:$Y$594)-ROW('All Player Data Store'!$Y$7)+1),COUNTIF($AC$8:AC143,AC143))),"")</f>
        <v/>
      </c>
      <c r="Q143" s="108" t="str">
        <f t="array" ref="Q143">IF(ISNUMBER(AC143),INDEX('All Player Data Store'!$M$7:$M$594,SMALL(IF('All Player Data Store'!$Y$7:$Y$594=AC143,ROW('All Player Data Store'!$Y$7:$Y$594)-ROW('All Player Data Store'!$Y$7)+1),COUNTIF($AC$8:AC143,AC143))),"")</f>
        <v/>
      </c>
      <c r="R143" s="108" t="str">
        <f t="array" ref="R143">IF(ISNUMBER(AC143),INDEX('All Player Data Store'!$N$7:$N$594,SMALL(IF('All Player Data Store'!$Y$7:$Y$594=AC143,ROW('All Player Data Store'!$Y$7:$Y$594)-ROW('All Player Data Store'!$Y$7)+1),COUNTIF($AC$8:AC143,AC143))),"")</f>
        <v/>
      </c>
      <c r="S143" s="108" t="str">
        <f t="array" ref="S143">IF(ISNUMBER(AC143),INDEX('All Player Data Store'!$O$7:$O$594,SMALL(IF('All Player Data Store'!$Y$7:$Y$594=AC143,ROW('All Player Data Store'!$Y$7:$Y$594)-ROW('All Player Data Store'!$Y$7)+1),COUNTIF($AC$8:AC143,AC143))),"")</f>
        <v/>
      </c>
      <c r="T143" s="108" t="str">
        <f t="array" ref="T143">IF(ISNUMBER(AC143),INDEX('All Player Data Store'!$P$7:$P$594,SMALL(IF('All Player Data Store'!$Y$7:$Y$594=AC143,ROW('All Player Data Store'!$Y$7:$Y$594)-ROW('All Player Data Store'!$Y$7)+1),COUNTIF($AC$8:AC143,AC143))),"")</f>
        <v/>
      </c>
      <c r="U143" s="108" t="str">
        <f t="array" ref="U143">IF(ISNUMBER(AC143),INDEX('All Player Data Store'!$Q$7:$Q$594,SMALL(IF('All Player Data Store'!$Y$7:$Y$594=AC143,ROW('All Player Data Store'!$Y$7:$Y$594)-ROW('All Player Data Store'!$Y$7)+1),COUNTIF($AC$8:AC143,AC143))),"")</f>
        <v/>
      </c>
      <c r="V143" s="108" t="str">
        <f t="array" ref="V143">IF(ISNUMBER(AC143),INDEX('All Player Data Store'!$R$7:$R$594,SMALL(IF('All Player Data Store'!$Y$7:$Y$594=AC143,ROW('All Player Data Store'!$Y$7:$Y$594)-ROW('All Player Data Store'!$Y$7)+1),COUNTIF($AC$8:AC143,AC143))),"")</f>
        <v/>
      </c>
      <c r="W143" s="108" t="str">
        <f t="array" ref="W143">IF(ISNUMBER(AC143),INDEX('All Player Data Store'!$S$7:$S$594,SMALL(IF('All Player Data Store'!$Y$7:$Y$594=AC143,ROW('All Player Data Store'!$Y$7:$Y$594)-ROW('All Player Data Store'!$Y$7)+1),COUNTIF($AC$8:AC143,AC143))),"")</f>
        <v/>
      </c>
      <c r="X143" s="108" t="str">
        <f t="array" ref="X143">IF(ISNUMBER(AC143),INDEX('All Player Data Store'!$T$7:$T$594,SMALL(IF('All Player Data Store'!$Y$7:$Y$594=AC143,ROW('All Player Data Store'!$Y$7:$Y$594)-ROW('All Player Data Store'!$Y$7)+1),COUNTIF($AC$8:AC143,AC143))),"")</f>
        <v/>
      </c>
      <c r="Y143" s="108">
        <f t="array" ref="Y143">IF(ISNUMBER(AC143),INDEX('All Player Data Store'!$U$7:$U$594,SMALL(IF('All Player Data Store'!$Y$7:$Y$594=AC143,ROW('All Player Data Store'!$Y$7:$Y$594)-ROW('All Player Data Store'!$Y$7)+1),COUNTIF($AC$8:AC143,AC143))),"")</f>
        <v>19.899999999999999</v>
      </c>
      <c r="Z143" s="108" t="str">
        <f t="array" ref="Z143">IF(ISNUMBER(AC143),INDEX('All Player Data Store'!$V$7:$V$594,SMALL(IF('All Player Data Store'!$Y$7:$Y$594=AC143,ROW('All Player Data Store'!$Y$7:$Y$594)-ROW('All Player Data Store'!$Y$7)+1),COUNTIF($AC$8:AC143,AC143))),"")</f>
        <v/>
      </c>
      <c r="AA143" s="112">
        <f t="array" ref="AA143">IF(ISNUMBER(AC143),INDEX('All Player Data Store'!$W$7:$W$594,SMALL(IF('All Player Data Store'!$Y$7:$Y$594=AC143,ROW('All Player Data Store'!$Y$7:$Y$594)-ROW('All Player Data Store'!$Y$7)+1),COUNTIF($AC$8:AC143,AC143))),"")</f>
        <v>1</v>
      </c>
      <c r="AB143" s="108">
        <f t="array" ref="AB143">IF(ISNUMBER(AC143),INDEX('All Player Data Store'!$X$7:$X$594,SMALL(IF('All Player Data Store'!$Y$7:$Y$594=AC143,ROW('All Player Data Store'!$Y$7:$Y$594)-ROW('All Player Data Store'!$Y$7)+1),COUNTIF($AC$8:AC143,AC143))),"")</f>
        <v>19.899999999999999</v>
      </c>
      <c r="AC143" s="115">
        <f>IF(ISERROR(IF(ISERROR(LARGE('All Player Data Store'!$Y$7:$Y$594,136)),"",(LARGE('All Player Data Store'!$Y$7:$Y$594,136)))),"",(IF(ISERROR(LARGE('All Player Data Store'!$Y$7:$Y$594,136)),"",(LARGE('All Player Data Store'!$Y$7:$Y$594,136)))))</f>
        <v>20.9</v>
      </c>
      <c r="AD143" s="106">
        <f t="shared" si="16"/>
        <v>3</v>
      </c>
      <c r="AE143" s="107" t="str">
        <f t="array" ref="AE143">IF(ISNUMBER(AC143),INDEX('All Player Data Store'!$J$8:$J$594,SMALL(IF('All Player Data Store'!$Y$7:$Y$594=AC143,ROW('All Player Data Store'!$Y$7:$Y$594)-ROW('All Player Data Store'!$Y$7)+1),COUNTIF($AC$8:AC143,AC143))),"")</f>
        <v/>
      </c>
      <c r="AF143" s="108" t="str">
        <f t="shared" si="3"/>
        <v/>
      </c>
      <c r="AG143" s="108" t="str">
        <f t="array" ref="AG143">IF(ISNUMBER(AC143),INDEX('All Player Data Store'!$K$8:$K$594,SMALL(IF('All Player Data Store'!$Y$7:$Y$594=AC143,ROW('All Player Data Store'!$Y$7:$Y$594)-ROW('All Player Data Store'!$Y$7)+1),COUNTIF($AC$8:AC143,AC143))),"")</f>
        <v/>
      </c>
      <c r="AH143" s="108" t="str">
        <f t="shared" si="4"/>
        <v/>
      </c>
      <c r="AI143" s="108" t="str">
        <f t="array" ref="AI143">IF(ISNUMBER(AC143),INDEX('All Player Data Store'!$L$8:$L$594,SMALL(IF('All Player Data Store'!$Y$7:$Y$594=AC143,ROW('All Player Data Store'!$Y$7:$Y$594)-ROW('All Player Data Store'!$Y$7)+1),COUNTIF($AC$8:AC143,AC143))),"")</f>
        <v/>
      </c>
      <c r="AJ143" s="108" t="str">
        <f t="shared" si="5"/>
        <v/>
      </c>
      <c r="AK143" s="108" t="str">
        <f t="array" ref="AK143">IF(ISNUMBER(AC143),INDEX('All Player Data Store'!$M$8:$M$594,SMALL(IF('All Player Data Store'!$Y$7:$Y$594=AC143,ROW('All Player Data Store'!$Y$7:$Y$594)-ROW('All Player Data Store'!$Y$7)+1),COUNTIF($AC$8:AC143,AC143))),"")</f>
        <v/>
      </c>
      <c r="AL143" s="108" t="str">
        <f t="shared" si="6"/>
        <v/>
      </c>
      <c r="AM143" s="108" t="str">
        <f t="array" ref="AM143">IF(ISNUMBER(AC143),INDEX('All Player Data Store'!$N$8:$N$594,SMALL(IF('All Player Data Store'!$Y$7:$Y$594=AC143,ROW('All Player Data Store'!$Y$7:$Y$594)-ROW('All Player Data Store'!$Y$7)+1),COUNTIF($AC$8:AC143,AC143))),"")</f>
        <v/>
      </c>
      <c r="AN143" s="108" t="str">
        <f t="shared" si="7"/>
        <v/>
      </c>
      <c r="AO143" s="108" t="str">
        <f t="array" ref="AO143">IF(ISNUMBER(AC143),INDEX('All Player Data Store'!$O$8:$O$594,SMALL(IF('All Player Data Store'!$Y$7:$Y$594=AC143,ROW('All Player Data Store'!$Y$7:$Y$594)-ROW('All Player Data Store'!$Y$7)+1),COUNTIF($AC$8:AC143,AC143))),"")</f>
        <v/>
      </c>
      <c r="AP143" s="108" t="str">
        <f t="shared" si="8"/>
        <v/>
      </c>
      <c r="AQ143" s="108" t="str">
        <f t="array" ref="AQ143">IF(ISNUMBER(AC143),INDEX('All Player Data Store'!$P$8:$P$594,SMALL(IF('All Player Data Store'!$Y$7:$Y$594=AC143,ROW('All Player Data Store'!$Y$7:$Y$594)-ROW('All Player Data Store'!$Y$7)+1),COUNTIF($AC$8:AC143,AC143))),"")</f>
        <v/>
      </c>
      <c r="AR143" s="108" t="str">
        <f t="shared" si="9"/>
        <v/>
      </c>
      <c r="AS143" s="108" t="str">
        <f t="array" ref="AS143">IF(ISNUMBER(AC143),INDEX('All Player Data Store'!$Q$8:$Q$594,SMALL(IF('All Player Data Store'!$Y$7:$Y$594=AC143,ROW('All Player Data Store'!$Y$7:$Y$594)-ROW('All Player Data Store'!$Y$7)+1),COUNTIF($AC$8:AC143,AC143))),"")</f>
        <v/>
      </c>
      <c r="AT143" s="108" t="str">
        <f t="shared" si="10"/>
        <v/>
      </c>
      <c r="AU143" s="108" t="str">
        <f t="array" ref="AU143">IF(ISNUMBER(AC143),INDEX('All Player Data Store'!$R$8:$R$594,SMALL(IF('All Player Data Store'!$Y$7:$Y$594=AC143,ROW('All Player Data Store'!$Y$7:$Y$594)-ROW('All Player Data Store'!$Y$7)+1),COUNTIF($AC$8:AC143,AC143))),"")</f>
        <v/>
      </c>
      <c r="AV143" s="108" t="str">
        <f t="shared" si="11"/>
        <v/>
      </c>
      <c r="AW143" s="108" t="str">
        <f t="array" ref="AW143">IF(ISNUMBER(AC143),INDEX('All Player Data Store'!$S$8:$S$594,SMALL(IF('All Player Data Store'!$Y$7:$Y$594=AC143,ROW('All Player Data Store'!$Y$7:$Y$594)-ROW('All Player Data Store'!$Y$7)+1),COUNTIF($AC$8:AC143,AC143))),"")</f>
        <v/>
      </c>
      <c r="AX143" s="108" t="str">
        <f t="shared" si="12"/>
        <v/>
      </c>
      <c r="AY143" s="108" t="str">
        <f t="array" ref="AY143">IF(ISNUMBER(AC143),INDEX('All Player Data Store'!$T$8:$T$594,SMALL(IF('All Player Data Store'!$Y$7:$Y$594=AC143,ROW('All Player Data Store'!$Y$7:$Y$594)-ROW('All Player Data Store'!$Y$7)+1),COUNTIF($AC$8:AC143,AC143))),"")</f>
        <v/>
      </c>
      <c r="AZ143" s="108" t="str">
        <f t="shared" si="13"/>
        <v/>
      </c>
      <c r="BA143" s="108" t="str">
        <f t="array" ref="BA143">IF(ISNUMBER(AC143),INDEX('All Player Data Store'!$U$8:$U$594,SMALL(IF('All Player Data Store'!$Y$7:$Y$594=AC143,ROW('All Player Data Store'!$Y$7:$Y$594)-ROW('All Player Data Store'!$Y$7)+1),COUNTIF($AC$8:AC143,AC143))),"")</f>
        <v>4*3(1)</v>
      </c>
      <c r="BB143" s="108">
        <f t="shared" si="14"/>
        <v>20.9</v>
      </c>
      <c r="BC143" s="108" t="str">
        <f t="array" ref="BC143">IF(ISNUMBER(AC143),INDEX('All Player Data Store'!$V$8:$V$594,SMALL(IF('All Player Data Store'!$Y$7:$Y$594=AC143,ROW('All Player Data Store'!$Y$7:$Y$594)-ROW('All Player Data Store'!$Y$7)+1),COUNTIF($AC$8:AC143,AC143))),"")</f>
        <v/>
      </c>
      <c r="BD143" s="108" t="str">
        <f t="shared" si="15"/>
        <v/>
      </c>
      <c r="BE143" s="1"/>
    </row>
    <row r="144" spans="2:57" ht="12" customHeight="1" x14ac:dyDescent="0.2">
      <c r="B144" s="98" t="str">
        <f t="shared" si="0"/>
        <v>N</v>
      </c>
      <c r="C144" s="1"/>
      <c r="D144" s="68">
        <f t="shared" si="1"/>
        <v>136</v>
      </c>
      <c r="E144" s="2"/>
      <c r="F144" s="78">
        <v>137</v>
      </c>
      <c r="G144" s="110" t="str">
        <f t="array" ref="G144">IF(ISNUMBER(AC144),INDEX('All Player Data Store'!$C$7:$C$594,SMALL(IF('All Player Data Store'!$Y$7:$Y$594=AC144,ROW('All Player Data Store'!$Y$7:$Y$594)-ROW('All Player Data Store'!$Y$7)+1),COUNTIF($AC$8:AC144,AC144))),"")</f>
        <v>Jamie Marten</v>
      </c>
      <c r="H144" s="111" t="str">
        <f t="array" ref="H144">IF(ISNUMBER(AC144),INDEX('All Player Data Store'!$D$7:$D$594,SMALL(IF('All Player Data Store'!$Y$7:$Y$594=AC144,ROW('All Player Data Store'!$Y$7:$Y$594)-ROW('All Player Data Store'!$Y$7)+1),COUNTIF($AC$8:AC144,AC144))),"")</f>
        <v>Lyt</v>
      </c>
      <c r="I144" s="69">
        <f t="array" ref="I144">IF(ISNUMBER(AC144),INDEX('All Player Data Store'!$E$7:$E$594,SMALL(IF('All Player Data Store'!$Y$7:$Y$594=AC144,ROW('All Player Data Store'!$Y$7:$Y$594)-ROW('All Player Data Store'!$Y$7)+1),COUNTIF($AC$8:AC144,AC144))),"")</f>
        <v>1</v>
      </c>
      <c r="J144" s="70">
        <f t="array" ref="J144">IF(ISNUMBER(AC144),INDEX('All Player Data Store'!$F$7:$F$594,SMALL(IF('All Player Data Store'!$Y$7:$Y$594=AC144,ROW('All Player Data Store'!$Y$7:$Y$594)-ROW('All Player Data Store'!$Y$7)+1),COUNTIF($AC$8:AC144,AC144))),"")</f>
        <v>1</v>
      </c>
      <c r="K144" s="112" t="str">
        <f t="array" ref="K144">IF(ISNUMBER(AC144),INDEX('All Player Data Store'!$G$7:$G$594,SMALL(IF('All Player Data Store'!$Y$7:$Y$594=AC144,ROW('All Player Data Store'!$Y$7:$Y$594)-ROW('All Player Data Store'!$Y$7)+1),COUNTIF($AC$8:AC144,AC144))),"")</f>
        <v/>
      </c>
      <c r="L144" s="112">
        <f t="array" ref="L144">IF(ISNUMBER(AC144),INDEX('All Player Data Store'!$H$7:$H$594,SMALL(IF('All Player Data Store'!$Y$7:$Y$594=AC144,ROW('All Player Data Store'!$Y$7:$Y$594)-ROW('All Player Data Store'!$Y$7)+1),COUNTIF($AC$8:AC144,AC144))),"")</f>
        <v>4</v>
      </c>
      <c r="M144" s="113">
        <f t="array" ref="M144">IF(ISNUMBER(AC144),INDEX('All Player Data Store'!$I$7:$I$594,SMALL(IF('All Player Data Store'!$Y$7:$Y$594=AC144,ROW('All Player Data Store'!$Y$7:$Y$594)-ROW('All Player Data Store'!$Y$7)+1),COUNTIF($AC$8:AC144,AC144))),"")</f>
        <v>2</v>
      </c>
      <c r="N144" s="114" t="str">
        <f t="array" ref="N144">IF(ISNUMBER(AC144),INDEX('All Player Data Store'!$J$7:$J$594,SMALL(IF('All Player Data Store'!$Y$7:$Y$594=AC144,ROW('All Player Data Store'!$Y$7:$Y$594)-ROW('All Player Data Store'!$Y$7)+1),COUNTIF($AC$8:AC144,AC144))),"")</f>
        <v/>
      </c>
      <c r="O144" s="108" t="str">
        <f t="array" ref="O144">IF(ISNUMBER(AC144),INDEX('All Player Data Store'!$K$7:$K$594,SMALL(IF('All Player Data Store'!$Y$7:$Y$594=AC144,ROW('All Player Data Store'!$Y$7:$Y$594)-ROW('All Player Data Store'!$Y$7)+1),COUNTIF($AC$8:AC144,AC144))),"")</f>
        <v/>
      </c>
      <c r="P144" s="108" t="str">
        <f t="array" ref="P144">IF(ISNUMBER(AC144),INDEX('All Player Data Store'!$L$7:$L$594,SMALL(IF('All Player Data Store'!$Y$7:$Y$594=AC144,ROW('All Player Data Store'!$Y$7:$Y$594)-ROW('All Player Data Store'!$Y$7)+1),COUNTIF($AC$8:AC144,AC144))),"")</f>
        <v/>
      </c>
      <c r="Q144" s="108" t="str">
        <f t="array" ref="Q144">IF(ISNUMBER(AC144),INDEX('All Player Data Store'!$M$7:$M$594,SMALL(IF('All Player Data Store'!$Y$7:$Y$594=AC144,ROW('All Player Data Store'!$Y$7:$Y$594)-ROW('All Player Data Store'!$Y$7)+1),COUNTIF($AC$8:AC144,AC144))),"")</f>
        <v/>
      </c>
      <c r="R144" s="108" t="str">
        <f t="array" ref="R144">IF(ISNUMBER(AC144),INDEX('All Player Data Store'!$N$7:$N$594,SMALL(IF('All Player Data Store'!$Y$7:$Y$594=AC144,ROW('All Player Data Store'!$Y$7:$Y$594)-ROW('All Player Data Store'!$Y$7)+1),COUNTIF($AC$8:AC144,AC144))),"")</f>
        <v/>
      </c>
      <c r="S144" s="108" t="str">
        <f t="array" ref="S144">IF(ISNUMBER(AC144),INDEX('All Player Data Store'!$O$7:$O$594,SMALL(IF('All Player Data Store'!$Y$7:$Y$594=AC144,ROW('All Player Data Store'!$Y$7:$Y$594)-ROW('All Player Data Store'!$Y$7)+1),COUNTIF($AC$8:AC144,AC144))),"")</f>
        <v/>
      </c>
      <c r="T144" s="108" t="str">
        <f t="array" ref="T144">IF(ISNUMBER(AC144),INDEX('All Player Data Store'!$P$7:$P$594,SMALL(IF('All Player Data Store'!$Y$7:$Y$594=AC144,ROW('All Player Data Store'!$Y$7:$Y$594)-ROW('All Player Data Store'!$Y$7)+1),COUNTIF($AC$8:AC144,AC144))),"")</f>
        <v/>
      </c>
      <c r="U144" s="108" t="str">
        <f t="array" ref="U144">IF(ISNUMBER(AC144),INDEX('All Player Data Store'!$Q$7:$Q$594,SMALL(IF('All Player Data Store'!$Y$7:$Y$594=AC144,ROW('All Player Data Store'!$Y$7:$Y$594)-ROW('All Player Data Store'!$Y$7)+1),COUNTIF($AC$8:AC144,AC144))),"")</f>
        <v/>
      </c>
      <c r="V144" s="108" t="str">
        <f t="array" ref="V144">IF(ISNUMBER(AC144),INDEX('All Player Data Store'!$R$7:$R$594,SMALL(IF('All Player Data Store'!$Y$7:$Y$594=AC144,ROW('All Player Data Store'!$Y$7:$Y$594)-ROW('All Player Data Store'!$Y$7)+1),COUNTIF($AC$8:AC144,AC144))),"")</f>
        <v/>
      </c>
      <c r="W144" s="108">
        <f t="array" ref="W144">IF(ISNUMBER(AC144),INDEX('All Player Data Store'!$S$7:$S$594,SMALL(IF('All Player Data Store'!$Y$7:$Y$594=AC144,ROW('All Player Data Store'!$Y$7:$Y$594)-ROW('All Player Data Store'!$Y$7)+1),COUNTIF($AC$8:AC144,AC144))),"")</f>
        <v>19.899999999999999</v>
      </c>
      <c r="X144" s="108" t="str">
        <f t="array" ref="X144">IF(ISNUMBER(AC144),INDEX('All Player Data Store'!$T$7:$T$594,SMALL(IF('All Player Data Store'!$Y$7:$Y$594=AC144,ROW('All Player Data Store'!$Y$7:$Y$594)-ROW('All Player Data Store'!$Y$7)+1),COUNTIF($AC$8:AC144,AC144))),"")</f>
        <v/>
      </c>
      <c r="Y144" s="108" t="str">
        <f t="array" ref="Y144">IF(ISNUMBER(AC144),INDEX('All Player Data Store'!$U$7:$U$594,SMALL(IF('All Player Data Store'!$Y$7:$Y$594=AC144,ROW('All Player Data Store'!$Y$7:$Y$594)-ROW('All Player Data Store'!$Y$7)+1),COUNTIF($AC$8:AC144,AC144))),"")</f>
        <v/>
      </c>
      <c r="Z144" s="108" t="str">
        <f t="array" ref="Z144">IF(ISNUMBER(AC144),INDEX('All Player Data Store'!$V$7:$V$594,SMALL(IF('All Player Data Store'!$Y$7:$Y$594=AC144,ROW('All Player Data Store'!$Y$7:$Y$594)-ROW('All Player Data Store'!$Y$7)+1),COUNTIF($AC$8:AC144,AC144))),"")</f>
        <v/>
      </c>
      <c r="AA144" s="112" t="str">
        <f t="array" ref="AA144">IF(ISNUMBER(AC144),INDEX('All Player Data Store'!$W$7:$W$594,SMALL(IF('All Player Data Store'!$Y$7:$Y$594=AC144,ROW('All Player Data Store'!$Y$7:$Y$594)-ROW('All Player Data Store'!$Y$7)+1),COUNTIF($AC$8:AC144,AC144))),"")</f>
        <v/>
      </c>
      <c r="AB144" s="108">
        <f t="array" ref="AB144">IF(ISNUMBER(AC144),INDEX('All Player Data Store'!$X$7:$X$594,SMALL(IF('All Player Data Store'!$Y$7:$Y$594=AC144,ROW('All Player Data Store'!$Y$7:$Y$594)-ROW('All Player Data Store'!$Y$7)+1),COUNTIF($AC$8:AC144,AC144))),"")</f>
        <v>19.899999999999999</v>
      </c>
      <c r="AC144" s="115">
        <f>IF(ISERROR(IF(ISERROR(LARGE('All Player Data Store'!$Y$7:$Y$594,137)),"",(LARGE('All Player Data Store'!$Y$7:$Y$594,137)))),"",(IF(ISERROR(LARGE('All Player Data Store'!$Y$7:$Y$594,137)),"",(LARGE('All Player Data Store'!$Y$7:$Y$594,137)))))</f>
        <v>20.9</v>
      </c>
      <c r="AD144" s="106">
        <f t="shared" si="16"/>
        <v>3</v>
      </c>
      <c r="AE144" s="107" t="str">
        <f t="array" ref="AE144">IF(ISNUMBER(AC144),INDEX('All Player Data Store'!$J$8:$J$594,SMALL(IF('All Player Data Store'!$Y$7:$Y$594=AC144,ROW('All Player Data Store'!$Y$7:$Y$594)-ROW('All Player Data Store'!$Y$7)+1),COUNTIF($AC$8:AC144,AC144))),"")</f>
        <v/>
      </c>
      <c r="AF144" s="108" t="str">
        <f t="shared" si="3"/>
        <v/>
      </c>
      <c r="AG144" s="108" t="str">
        <f t="array" ref="AG144">IF(ISNUMBER(AC144),INDEX('All Player Data Store'!$K$8:$K$594,SMALL(IF('All Player Data Store'!$Y$7:$Y$594=AC144,ROW('All Player Data Store'!$Y$7:$Y$594)-ROW('All Player Data Store'!$Y$7)+1),COUNTIF($AC$8:AC144,AC144))),"")</f>
        <v/>
      </c>
      <c r="AH144" s="108" t="str">
        <f t="shared" si="4"/>
        <v/>
      </c>
      <c r="AI144" s="108" t="str">
        <f t="array" ref="AI144">IF(ISNUMBER(AC144),INDEX('All Player Data Store'!$L$8:$L$594,SMALL(IF('All Player Data Store'!$Y$7:$Y$594=AC144,ROW('All Player Data Store'!$Y$7:$Y$594)-ROW('All Player Data Store'!$Y$7)+1),COUNTIF($AC$8:AC144,AC144))),"")</f>
        <v/>
      </c>
      <c r="AJ144" s="108" t="str">
        <f t="shared" si="5"/>
        <v/>
      </c>
      <c r="AK144" s="108" t="str">
        <f t="array" ref="AK144">IF(ISNUMBER(AC144),INDEX('All Player Data Store'!$M$8:$M$594,SMALL(IF('All Player Data Store'!$Y$7:$Y$594=AC144,ROW('All Player Data Store'!$Y$7:$Y$594)-ROW('All Player Data Store'!$Y$7)+1),COUNTIF($AC$8:AC144,AC144))),"")</f>
        <v/>
      </c>
      <c r="AL144" s="108" t="str">
        <f t="shared" si="6"/>
        <v/>
      </c>
      <c r="AM144" s="108" t="str">
        <f t="array" ref="AM144">IF(ISNUMBER(AC144),INDEX('All Player Data Store'!$N$8:$N$594,SMALL(IF('All Player Data Store'!$Y$7:$Y$594=AC144,ROW('All Player Data Store'!$Y$7:$Y$594)-ROW('All Player Data Store'!$Y$7)+1),COUNTIF($AC$8:AC144,AC144))),"")</f>
        <v/>
      </c>
      <c r="AN144" s="108" t="str">
        <f t="shared" si="7"/>
        <v/>
      </c>
      <c r="AO144" s="108" t="str">
        <f t="array" ref="AO144">IF(ISNUMBER(AC144),INDEX('All Player Data Store'!$O$8:$O$594,SMALL(IF('All Player Data Store'!$Y$7:$Y$594=AC144,ROW('All Player Data Store'!$Y$7:$Y$594)-ROW('All Player Data Store'!$Y$7)+1),COUNTIF($AC$8:AC144,AC144))),"")</f>
        <v/>
      </c>
      <c r="AP144" s="108" t="str">
        <f t="shared" si="8"/>
        <v/>
      </c>
      <c r="AQ144" s="108" t="str">
        <f t="array" ref="AQ144">IF(ISNUMBER(AC144),INDEX('All Player Data Store'!$P$8:$P$594,SMALL(IF('All Player Data Store'!$Y$7:$Y$594=AC144,ROW('All Player Data Store'!$Y$7:$Y$594)-ROW('All Player Data Store'!$Y$7)+1),COUNTIF($AC$8:AC144,AC144))),"")</f>
        <v/>
      </c>
      <c r="AR144" s="108" t="str">
        <f t="shared" si="9"/>
        <v/>
      </c>
      <c r="AS144" s="108" t="str">
        <f t="array" ref="AS144">IF(ISNUMBER(AC144),INDEX('All Player Data Store'!$Q$8:$Q$594,SMALL(IF('All Player Data Store'!$Y$7:$Y$594=AC144,ROW('All Player Data Store'!$Y$7:$Y$594)-ROW('All Player Data Store'!$Y$7)+1),COUNTIF($AC$8:AC144,AC144))),"")</f>
        <v/>
      </c>
      <c r="AT144" s="108" t="str">
        <f t="shared" si="10"/>
        <v/>
      </c>
      <c r="AU144" s="108" t="str">
        <f t="array" ref="AU144">IF(ISNUMBER(AC144),INDEX('All Player Data Store'!$R$8:$R$594,SMALL(IF('All Player Data Store'!$Y$7:$Y$594=AC144,ROW('All Player Data Store'!$Y$7:$Y$594)-ROW('All Player Data Store'!$Y$7)+1),COUNTIF($AC$8:AC144,AC144))),"")</f>
        <v/>
      </c>
      <c r="AV144" s="108" t="str">
        <f t="shared" si="11"/>
        <v/>
      </c>
      <c r="AW144" s="108" t="str">
        <f t="array" ref="AW144">IF(ISNUMBER(AC144),INDEX('All Player Data Store'!$S$8:$S$594,SMALL(IF('All Player Data Store'!$Y$7:$Y$594=AC144,ROW('All Player Data Store'!$Y$7:$Y$594)-ROW('All Player Data Store'!$Y$7)+1),COUNTIF($AC$8:AC144,AC144))),"")</f>
        <v>4*2</v>
      </c>
      <c r="AX144" s="108">
        <f t="shared" si="12"/>
        <v>20.9</v>
      </c>
      <c r="AY144" s="108" t="str">
        <f t="array" ref="AY144">IF(ISNUMBER(AC144),INDEX('All Player Data Store'!$T$8:$T$594,SMALL(IF('All Player Data Store'!$Y$7:$Y$594=AC144,ROW('All Player Data Store'!$Y$7:$Y$594)-ROW('All Player Data Store'!$Y$7)+1),COUNTIF($AC$8:AC144,AC144))),"")</f>
        <v/>
      </c>
      <c r="AZ144" s="108" t="str">
        <f t="shared" si="13"/>
        <v/>
      </c>
      <c r="BA144" s="108" t="str">
        <f t="array" ref="BA144">IF(ISNUMBER(AC144),INDEX('All Player Data Store'!$U$8:$U$594,SMALL(IF('All Player Data Store'!$Y$7:$Y$594=AC144,ROW('All Player Data Store'!$Y$7:$Y$594)-ROW('All Player Data Store'!$Y$7)+1),COUNTIF($AC$8:AC144,AC144))),"")</f>
        <v/>
      </c>
      <c r="BB144" s="108" t="str">
        <f t="shared" si="14"/>
        <v/>
      </c>
      <c r="BC144" s="108" t="str">
        <f t="array" ref="BC144">IF(ISNUMBER(AC144),INDEX('All Player Data Store'!$V$8:$V$594,SMALL(IF('All Player Data Store'!$Y$7:$Y$594=AC144,ROW('All Player Data Store'!$Y$7:$Y$594)-ROW('All Player Data Store'!$Y$7)+1),COUNTIF($AC$8:AC144,AC144))),"")</f>
        <v/>
      </c>
      <c r="BD144" s="108" t="str">
        <f t="shared" si="15"/>
        <v/>
      </c>
      <c r="BE144" s="1"/>
    </row>
    <row r="145" spans="2:57" ht="12" customHeight="1" x14ac:dyDescent="0.2">
      <c r="B145" s="98" t="str">
        <f t="shared" si="0"/>
        <v>Y</v>
      </c>
      <c r="C145" s="1"/>
      <c r="D145" s="68">
        <f t="shared" si="1"/>
        <v>138</v>
      </c>
      <c r="E145" s="2"/>
      <c r="F145" s="78">
        <v>138</v>
      </c>
      <c r="G145" s="110" t="str">
        <f t="array" ref="G145">IF(ISNUMBER(AC145),INDEX('All Player Data Store'!$C$7:$C$594,SMALL(IF('All Player Data Store'!$Y$7:$Y$594=AC145,ROW('All Player Data Store'!$Y$7:$Y$594)-ROW('All Player Data Store'!$Y$7)+1),COUNTIF($AC$8:AC145,AC145))),"")</f>
        <v>Nathen Cornish</v>
      </c>
      <c r="H145" s="111" t="str">
        <f t="array" ref="H145">IF(ISNUMBER(AC145),INDEX('All Player Data Store'!$D$7:$D$594,SMALL(IF('All Player Data Store'!$Y$7:$Y$594=AC145,ROW('All Player Data Store'!$Y$7:$Y$594)-ROW('All Player Data Store'!$Y$7)+1),COUNTIF($AC$8:AC145,AC145))),"")</f>
        <v>Por</v>
      </c>
      <c r="I145" s="69">
        <f t="array" ref="I145">IF(ISNUMBER(AC145),INDEX('All Player Data Store'!$E$7:$E$594,SMALL(IF('All Player Data Store'!$Y$7:$Y$594=AC145,ROW('All Player Data Store'!$Y$7:$Y$594)-ROW('All Player Data Store'!$Y$7)+1),COUNTIF($AC$8:AC145,AC145))),"")</f>
        <v>12</v>
      </c>
      <c r="J145" s="70">
        <f t="array" ref="J145">IF(ISNUMBER(AC145),INDEX('All Player Data Store'!$F$7:$F$594,SMALL(IF('All Player Data Store'!$Y$7:$Y$594=AC145,ROW('All Player Data Store'!$Y$7:$Y$594)-ROW('All Player Data Store'!$Y$7)+1),COUNTIF($AC$8:AC145,AC145))),"")</f>
        <v>2</v>
      </c>
      <c r="K145" s="112">
        <f t="array" ref="K145">IF(ISNUMBER(AC145),INDEX('All Player Data Store'!$G$7:$G$594,SMALL(IF('All Player Data Store'!$Y$7:$Y$594=AC145,ROW('All Player Data Store'!$Y$7:$Y$594)-ROW('All Player Data Store'!$Y$7)+1),COUNTIF($AC$8:AC145,AC145))),"")</f>
        <v>10</v>
      </c>
      <c r="L145" s="112">
        <f t="array" ref="L145">IF(ISNUMBER(AC145),INDEX('All Player Data Store'!$H$7:$H$594,SMALL(IF('All Player Data Store'!$Y$7:$Y$594=AC145,ROW('All Player Data Store'!$Y$7:$Y$594)-ROW('All Player Data Store'!$Y$7)+1),COUNTIF($AC$8:AC145,AC145))),"")</f>
        <v>21</v>
      </c>
      <c r="M145" s="113">
        <f t="array" ref="M145">IF(ISNUMBER(AC145),INDEX('All Player Data Store'!$I$7:$I$594,SMALL(IF('All Player Data Store'!$Y$7:$Y$594=AC145,ROW('All Player Data Store'!$Y$7:$Y$594)-ROW('All Player Data Store'!$Y$7)+1),COUNTIF($AC$8:AC145,AC145))),"")</f>
        <v>44</v>
      </c>
      <c r="N145" s="114">
        <f t="array" ref="N145">IF(ISNUMBER(AC145),INDEX('All Player Data Store'!$J$7:$J$594,SMALL(IF('All Player Data Store'!$Y$7:$Y$594=AC145,ROW('All Player Data Store'!$Y$7:$Y$594)-ROW('All Player Data Store'!$Y$7)+1),COUNTIF($AC$8:AC145,AC145))),"")</f>
        <v>19.2</v>
      </c>
      <c r="O145" s="108">
        <f t="array" ref="O145">IF(ISNUMBER(AC145),INDEX('All Player Data Store'!$K$7:$K$594,SMALL(IF('All Player Data Store'!$Y$7:$Y$594=AC145,ROW('All Player Data Store'!$Y$7:$Y$594)-ROW('All Player Data Store'!$Y$7)+1),COUNTIF($AC$8:AC145,AC145))),"")</f>
        <v>18.34</v>
      </c>
      <c r="P145" s="108">
        <f t="array" ref="P145">IF(ISNUMBER(AC145),INDEX('All Player Data Store'!$L$7:$L$594,SMALL(IF('All Player Data Store'!$Y$7:$Y$594=AC145,ROW('All Player Data Store'!$Y$7:$Y$594)-ROW('All Player Data Store'!$Y$7)+1),COUNTIF($AC$8:AC145,AC145))),"")</f>
        <v>14.85</v>
      </c>
      <c r="Q145" s="108">
        <f t="array" ref="Q145">IF(ISNUMBER(AC145),INDEX('All Player Data Store'!$M$7:$M$594,SMALL(IF('All Player Data Store'!$Y$7:$Y$594=AC145,ROW('All Player Data Store'!$Y$7:$Y$594)-ROW('All Player Data Store'!$Y$7)+1),COUNTIF($AC$8:AC145,AC145))),"")</f>
        <v>16.399999999999999</v>
      </c>
      <c r="R145" s="108">
        <f t="array" ref="R145">IF(ISNUMBER(AC145),INDEX('All Player Data Store'!$N$7:$N$594,SMALL(IF('All Player Data Store'!$Y$7:$Y$594=AC145,ROW('All Player Data Store'!$Y$7:$Y$594)-ROW('All Player Data Store'!$Y$7)+1),COUNTIF($AC$8:AC145,AC145))),"")</f>
        <v>19.45</v>
      </c>
      <c r="S145" s="108">
        <f t="array" ref="S145">IF(ISNUMBER(AC145),INDEX('All Player Data Store'!$O$7:$O$594,SMALL(IF('All Player Data Store'!$Y$7:$Y$594=AC145,ROW('All Player Data Store'!$Y$7:$Y$594)-ROW('All Player Data Store'!$Y$7)+1),COUNTIF($AC$8:AC145,AC145))),"")</f>
        <v>19.39</v>
      </c>
      <c r="T145" s="108" t="str">
        <f t="array" ref="T145">IF(ISNUMBER(AC145),INDEX('All Player Data Store'!$P$7:$P$594,SMALL(IF('All Player Data Store'!$Y$7:$Y$594=AC145,ROW('All Player Data Store'!$Y$7:$Y$594)-ROW('All Player Data Store'!$Y$7)+1),COUNTIF($AC$8:AC145,AC145))),"")</f>
        <v/>
      </c>
      <c r="U145" s="108">
        <f t="array" ref="U145">IF(ISNUMBER(AC145),INDEX('All Player Data Store'!$Q$7:$Q$594,SMALL(IF('All Player Data Store'!$Y$7:$Y$594=AC145,ROW('All Player Data Store'!$Y$7:$Y$594)-ROW('All Player Data Store'!$Y$7)+1),COUNTIF($AC$8:AC145,AC145))),"")</f>
        <v>18.829999999999998</v>
      </c>
      <c r="V145" s="108">
        <f t="array" ref="V145">IF(ISNUMBER(AC145),INDEX('All Player Data Store'!$R$7:$R$594,SMALL(IF('All Player Data Store'!$Y$7:$Y$594=AC145,ROW('All Player Data Store'!$Y$7:$Y$594)-ROW('All Player Data Store'!$Y$7)+1),COUNTIF($AC$8:AC145,AC145))),"")</f>
        <v>19.86</v>
      </c>
      <c r="W145" s="108">
        <f t="array" ref="W145">IF(ISNUMBER(AC145),INDEX('All Player Data Store'!$S$7:$S$594,SMALL(IF('All Player Data Store'!$Y$7:$Y$594=AC145,ROW('All Player Data Store'!$Y$7:$Y$594)-ROW('All Player Data Store'!$Y$7)+1),COUNTIF($AC$8:AC145,AC145))),"")</f>
        <v>20.48</v>
      </c>
      <c r="X145" s="108">
        <f t="array" ref="X145">IF(ISNUMBER(AC145),INDEX('All Player Data Store'!$T$7:$T$594,SMALL(IF('All Player Data Store'!$Y$7:$Y$594=AC145,ROW('All Player Data Store'!$Y$7:$Y$594)-ROW('All Player Data Store'!$Y$7)+1),COUNTIF($AC$8:AC145,AC145))),"")</f>
        <v>19.12</v>
      </c>
      <c r="Y145" s="108">
        <f t="array" ref="Y145">IF(ISNUMBER(AC145),INDEX('All Player Data Store'!$U$7:$U$594,SMALL(IF('All Player Data Store'!$Y$7:$Y$594=AC145,ROW('All Player Data Store'!$Y$7:$Y$594)-ROW('All Player Data Store'!$Y$7)+1),COUNTIF($AC$8:AC145,AC145))),"")</f>
        <v>22.43</v>
      </c>
      <c r="Z145" s="108">
        <f t="array" ref="Z145">IF(ISNUMBER(AC145),INDEX('All Player Data Store'!$V$7:$V$594,SMALL(IF('All Player Data Store'!$Y$7:$Y$594=AC145,ROW('All Player Data Store'!$Y$7:$Y$594)-ROW('All Player Data Store'!$Y$7)+1),COUNTIF($AC$8:AC145,AC145))),"")</f>
        <v>18.09</v>
      </c>
      <c r="AA145" s="112" t="str">
        <f t="array" ref="AA145">IF(ISNUMBER(AC145),INDEX('All Player Data Store'!$W$7:$W$594,SMALL(IF('All Player Data Store'!$Y$7:$Y$594=AC145,ROW('All Player Data Store'!$Y$7:$Y$594)-ROW('All Player Data Store'!$Y$7)+1),COUNTIF($AC$8:AC145,AC145))),"")</f>
        <v/>
      </c>
      <c r="AB145" s="108">
        <f t="array" ref="AB145">IF(ISNUMBER(AC145),INDEX('All Player Data Store'!$X$7:$X$594,SMALL(IF('All Player Data Store'!$Y$7:$Y$594=AC145,ROW('All Player Data Store'!$Y$7:$Y$594)-ROW('All Player Data Store'!$Y$7)+1),COUNTIF($AC$8:AC145,AC145))),"")</f>
        <v>18.87</v>
      </c>
      <c r="AC145" s="115">
        <f>IF(ISERROR(IF(ISERROR(LARGE('All Player Data Store'!$Y$7:$Y$594,138)),"",(LARGE('All Player Data Store'!$Y$7:$Y$594,138)))),"",(IF(ISERROR(LARGE('All Player Data Store'!$Y$7:$Y$594,138)),"",(LARGE('All Player Data Store'!$Y$7:$Y$594,138)))))</f>
        <v>20.87</v>
      </c>
      <c r="AD145" s="106">
        <f t="shared" si="16"/>
        <v>3</v>
      </c>
      <c r="AE145" s="107" t="str">
        <f t="array" ref="AE145">IF(ISNUMBER(AC145),INDEX('All Player Data Store'!$J$8:$J$594,SMALL(IF('All Player Data Store'!$Y$7:$Y$594=AC145,ROW('All Player Data Store'!$Y$7:$Y$594)-ROW('All Player Data Store'!$Y$7)+1),COUNTIF($AC$8:AC145,AC145))),"")</f>
        <v>1*4</v>
      </c>
      <c r="AF145" s="108">
        <f t="shared" si="3"/>
        <v>19.2</v>
      </c>
      <c r="AG145" s="108" t="str">
        <f t="array" ref="AG145">IF(ISNUMBER(AC145),INDEX('All Player Data Store'!$K$8:$K$594,SMALL(IF('All Player Data Store'!$Y$7:$Y$594=AC145,ROW('All Player Data Store'!$Y$7:$Y$594)-ROW('All Player Data Store'!$Y$7)+1),COUNTIF($AC$8:AC145,AC145))),"")</f>
        <v>1*4</v>
      </c>
      <c r="AH145" s="108">
        <f t="shared" si="4"/>
        <v>18.34</v>
      </c>
      <c r="AI145" s="108" t="str">
        <f t="array" ref="AI145">IF(ISNUMBER(AC145),INDEX('All Player Data Store'!$L$8:$L$594,SMALL(IF('All Player Data Store'!$Y$7:$Y$594=AC145,ROW('All Player Data Store'!$Y$7:$Y$594)-ROW('All Player Data Store'!$Y$7)+1),COUNTIF($AC$8:AC145,AC145))),"")</f>
        <v>0*4</v>
      </c>
      <c r="AJ145" s="108">
        <f t="shared" si="5"/>
        <v>14.85</v>
      </c>
      <c r="AK145" s="108" t="str">
        <f t="array" ref="AK145">IF(ISNUMBER(AC145),INDEX('All Player Data Store'!$M$8:$M$594,SMALL(IF('All Player Data Store'!$Y$7:$Y$594=AC145,ROW('All Player Data Store'!$Y$7:$Y$594)-ROW('All Player Data Store'!$Y$7)+1),COUNTIF($AC$8:AC145,AC145))),"")</f>
        <v>1*4</v>
      </c>
      <c r="AL145" s="108">
        <f t="shared" si="6"/>
        <v>16.399999999999999</v>
      </c>
      <c r="AM145" s="108" t="str">
        <f t="array" ref="AM145">IF(ISNUMBER(AC145),INDEX('All Player Data Store'!$N$8:$N$594,SMALL(IF('All Player Data Store'!$Y$7:$Y$594=AC145,ROW('All Player Data Store'!$Y$7:$Y$594)-ROW('All Player Data Store'!$Y$7)+1),COUNTIF($AC$8:AC145,AC145))),"")</f>
        <v>1*4</v>
      </c>
      <c r="AN145" s="108">
        <f t="shared" si="7"/>
        <v>19.45</v>
      </c>
      <c r="AO145" s="108" t="str">
        <f t="array" ref="AO145">IF(ISNUMBER(AC145),INDEX('All Player Data Store'!$O$8:$O$594,SMALL(IF('All Player Data Store'!$Y$7:$Y$594=AC145,ROW('All Player Data Store'!$Y$7:$Y$594)-ROW('All Player Data Store'!$Y$7)+1),COUNTIF($AC$8:AC145,AC145))),"")</f>
        <v>3*4</v>
      </c>
      <c r="AP145" s="108">
        <f t="shared" si="8"/>
        <v>19.39</v>
      </c>
      <c r="AQ145" s="108" t="str">
        <f t="array" ref="AQ145">IF(ISNUMBER(AC145),INDEX('All Player Data Store'!$P$8:$P$594,SMALL(IF('All Player Data Store'!$Y$7:$Y$594=AC145,ROW('All Player Data Store'!$Y$7:$Y$594)-ROW('All Player Data Store'!$Y$7)+1),COUNTIF($AC$8:AC145,AC145))),"")</f>
        <v/>
      </c>
      <c r="AR145" s="108" t="str">
        <f t="shared" si="9"/>
        <v/>
      </c>
      <c r="AS145" s="108" t="str">
        <f t="array" ref="AS145">IF(ISNUMBER(AC145),INDEX('All Player Data Store'!$Q$8:$Q$594,SMALL(IF('All Player Data Store'!$Y$7:$Y$594=AC145,ROW('All Player Data Store'!$Y$7:$Y$594)-ROW('All Player Data Store'!$Y$7)+1),COUNTIF($AC$8:AC145,AC145))),"")</f>
        <v>1*4</v>
      </c>
      <c r="AT145" s="108">
        <f t="shared" si="10"/>
        <v>18.829999999999998</v>
      </c>
      <c r="AU145" s="108" t="str">
        <f t="array" ref="AU145">IF(ISNUMBER(AC145),INDEX('All Player Data Store'!$R$8:$R$594,SMALL(IF('All Player Data Store'!$Y$7:$Y$594=AC145,ROW('All Player Data Store'!$Y$7:$Y$594)-ROW('All Player Data Store'!$Y$7)+1),COUNTIF($AC$8:AC145,AC145))),"")</f>
        <v>1*4</v>
      </c>
      <c r="AV145" s="108">
        <f t="shared" si="11"/>
        <v>19.86</v>
      </c>
      <c r="AW145" s="108" t="str">
        <f t="array" ref="AW145">IF(ISNUMBER(AC145),INDEX('All Player Data Store'!$S$8:$S$594,SMALL(IF('All Player Data Store'!$Y$7:$Y$594=AC145,ROW('All Player Data Store'!$Y$7:$Y$594)-ROW('All Player Data Store'!$Y$7)+1),COUNTIF($AC$8:AC145,AC145))),"")</f>
        <v>4*3</v>
      </c>
      <c r="AX145" s="108">
        <f t="shared" si="12"/>
        <v>21.48</v>
      </c>
      <c r="AY145" s="108" t="str">
        <f t="array" ref="AY145">IF(ISNUMBER(AC145),INDEX('All Player Data Store'!$T$8:$T$594,SMALL(IF('All Player Data Store'!$Y$7:$Y$594=AC145,ROW('All Player Data Store'!$Y$7:$Y$594)-ROW('All Player Data Store'!$Y$7)+1),COUNTIF($AC$8:AC145,AC145))),"")</f>
        <v>1*4</v>
      </c>
      <c r="AZ145" s="108">
        <f t="shared" si="13"/>
        <v>19.12</v>
      </c>
      <c r="BA145" s="108" t="str">
        <f t="array" ref="BA145">IF(ISNUMBER(AC145),INDEX('All Player Data Store'!$U$8:$U$594,SMALL(IF('All Player Data Store'!$Y$7:$Y$594=AC145,ROW('All Player Data Store'!$Y$7:$Y$594)-ROW('All Player Data Store'!$Y$7)+1),COUNTIF($AC$8:AC145,AC145))),"")</f>
        <v>3*4</v>
      </c>
      <c r="BB145" s="108">
        <f t="shared" si="14"/>
        <v>22.43</v>
      </c>
      <c r="BC145" s="108" t="str">
        <f t="array" ref="BC145">IF(ISNUMBER(AC145),INDEX('All Player Data Store'!$V$8:$V$594,SMALL(IF('All Player Data Store'!$Y$7:$Y$594=AC145,ROW('All Player Data Store'!$Y$7:$Y$594)-ROW('All Player Data Store'!$Y$7)+1),COUNTIF($AC$8:AC145,AC145))),"")</f>
        <v>4*1</v>
      </c>
      <c r="BD145" s="108">
        <f t="shared" si="15"/>
        <v>19.09</v>
      </c>
      <c r="BE145" s="1"/>
    </row>
    <row r="146" spans="2:57" ht="12" customHeight="1" x14ac:dyDescent="0.2">
      <c r="B146" s="98" t="str">
        <f t="shared" si="0"/>
        <v>N</v>
      </c>
      <c r="C146" s="1"/>
      <c r="D146" s="68">
        <f t="shared" si="1"/>
        <v>139</v>
      </c>
      <c r="E146" s="2"/>
      <c r="F146" s="78">
        <v>139</v>
      </c>
      <c r="G146" s="110" t="str">
        <f t="array" ref="G146">IF(ISNUMBER(AC146),INDEX('All Player Data Store'!$C$7:$C$594,SMALL(IF('All Player Data Store'!$Y$7:$Y$594=AC146,ROW('All Player Data Store'!$Y$7:$Y$594)-ROW('All Player Data Store'!$Y$7)+1),COUNTIF($AC$8:AC146,AC146))),"")</f>
        <v>Luke Sargeant</v>
      </c>
      <c r="H146" s="111" t="str">
        <f t="array" ref="H146">IF(ISNUMBER(AC146),INDEX('All Player Data Store'!$D$7:$D$594,SMALL(IF('All Player Data Store'!$Y$7:$Y$594=AC146,ROW('All Player Data Store'!$Y$7:$Y$594)-ROW('All Player Data Store'!$Y$7)+1),COUNTIF($AC$8:AC146,AC146))),"")</f>
        <v>Sha</v>
      </c>
      <c r="I146" s="69">
        <f t="array" ref="I146">IF(ISNUMBER(AC146),INDEX('All Player Data Store'!$E$7:$E$594,SMALL(IF('All Player Data Store'!$Y$7:$Y$594=AC146,ROW('All Player Data Store'!$Y$7:$Y$594)-ROW('All Player Data Store'!$Y$7)+1),COUNTIF($AC$8:AC146,AC146))),"")</f>
        <v>1</v>
      </c>
      <c r="J146" s="70" t="str">
        <f t="array" ref="J146">IF(ISNUMBER(AC146),INDEX('All Player Data Store'!$F$7:$F$594,SMALL(IF('All Player Data Store'!$Y$7:$Y$594=AC146,ROW('All Player Data Store'!$Y$7:$Y$594)-ROW('All Player Data Store'!$Y$7)+1),COUNTIF($AC$8:AC146,AC146))),"")</f>
        <v/>
      </c>
      <c r="K146" s="112">
        <f t="array" ref="K146">IF(ISNUMBER(AC146),INDEX('All Player Data Store'!$G$7:$G$594,SMALL(IF('All Player Data Store'!$Y$7:$Y$594=AC146,ROW('All Player Data Store'!$Y$7:$Y$594)-ROW('All Player Data Store'!$Y$7)+1),COUNTIF($AC$8:AC146,AC146))),"")</f>
        <v>1</v>
      </c>
      <c r="L146" s="112" t="str">
        <f t="array" ref="L146">IF(ISNUMBER(AC146),INDEX('All Player Data Store'!$H$7:$H$594,SMALL(IF('All Player Data Store'!$Y$7:$Y$594=AC146,ROW('All Player Data Store'!$Y$7:$Y$594)-ROW('All Player Data Store'!$Y$7)+1),COUNTIF($AC$8:AC146,AC146))),"")</f>
        <v/>
      </c>
      <c r="M146" s="113">
        <f t="array" ref="M146">IF(ISNUMBER(AC146),INDEX('All Player Data Store'!$I$7:$I$594,SMALL(IF('All Player Data Store'!$Y$7:$Y$594=AC146,ROW('All Player Data Store'!$Y$7:$Y$594)-ROW('All Player Data Store'!$Y$7)+1),COUNTIF($AC$8:AC146,AC146))),"")</f>
        <v>4</v>
      </c>
      <c r="N146" s="114" t="str">
        <f t="array" ref="N146">IF(ISNUMBER(AC146),INDEX('All Player Data Store'!$J$7:$J$594,SMALL(IF('All Player Data Store'!$Y$7:$Y$594=AC146,ROW('All Player Data Store'!$Y$7:$Y$594)-ROW('All Player Data Store'!$Y$7)+1),COUNTIF($AC$8:AC146,AC146))),"")</f>
        <v/>
      </c>
      <c r="O146" s="108" t="str">
        <f t="array" ref="O146">IF(ISNUMBER(AC146),INDEX('All Player Data Store'!$K$7:$K$594,SMALL(IF('All Player Data Store'!$Y$7:$Y$594=AC146,ROW('All Player Data Store'!$Y$7:$Y$594)-ROW('All Player Data Store'!$Y$7)+1),COUNTIF($AC$8:AC146,AC146))),"")</f>
        <v/>
      </c>
      <c r="P146" s="108" t="str">
        <f t="array" ref="P146">IF(ISNUMBER(AC146),INDEX('All Player Data Store'!$L$7:$L$594,SMALL(IF('All Player Data Store'!$Y$7:$Y$594=AC146,ROW('All Player Data Store'!$Y$7:$Y$594)-ROW('All Player Data Store'!$Y$7)+1),COUNTIF($AC$8:AC146,AC146))),"")</f>
        <v/>
      </c>
      <c r="Q146" s="108" t="str">
        <f t="array" ref="Q146">IF(ISNUMBER(AC146),INDEX('All Player Data Store'!$M$7:$M$594,SMALL(IF('All Player Data Store'!$Y$7:$Y$594=AC146,ROW('All Player Data Store'!$Y$7:$Y$594)-ROW('All Player Data Store'!$Y$7)+1),COUNTIF($AC$8:AC146,AC146))),"")</f>
        <v/>
      </c>
      <c r="R146" s="108" t="str">
        <f t="array" ref="R146">IF(ISNUMBER(AC146),INDEX('All Player Data Store'!$N$7:$N$594,SMALL(IF('All Player Data Store'!$Y$7:$Y$594=AC146,ROW('All Player Data Store'!$Y$7:$Y$594)-ROW('All Player Data Store'!$Y$7)+1),COUNTIF($AC$8:AC146,AC146))),"")</f>
        <v/>
      </c>
      <c r="S146" s="108">
        <f t="array" ref="S146">IF(ISNUMBER(AC146),INDEX('All Player Data Store'!$O$7:$O$594,SMALL(IF('All Player Data Store'!$Y$7:$Y$594=AC146,ROW('All Player Data Store'!$Y$7:$Y$594)-ROW('All Player Data Store'!$Y$7)+1),COUNTIF($AC$8:AC146,AC146))),"")</f>
        <v>20.85</v>
      </c>
      <c r="T146" s="108" t="str">
        <f t="array" ref="T146">IF(ISNUMBER(AC146),INDEX('All Player Data Store'!$P$7:$P$594,SMALL(IF('All Player Data Store'!$Y$7:$Y$594=AC146,ROW('All Player Data Store'!$Y$7:$Y$594)-ROW('All Player Data Store'!$Y$7)+1),COUNTIF($AC$8:AC146,AC146))),"")</f>
        <v/>
      </c>
      <c r="U146" s="108" t="str">
        <f t="array" ref="U146">IF(ISNUMBER(AC146),INDEX('All Player Data Store'!$Q$7:$Q$594,SMALL(IF('All Player Data Store'!$Y$7:$Y$594=AC146,ROW('All Player Data Store'!$Y$7:$Y$594)-ROW('All Player Data Store'!$Y$7)+1),COUNTIF($AC$8:AC146,AC146))),"")</f>
        <v/>
      </c>
      <c r="V146" s="108" t="str">
        <f t="array" ref="V146">IF(ISNUMBER(AC146),INDEX('All Player Data Store'!$R$7:$R$594,SMALL(IF('All Player Data Store'!$Y$7:$Y$594=AC146,ROW('All Player Data Store'!$Y$7:$Y$594)-ROW('All Player Data Store'!$Y$7)+1),COUNTIF($AC$8:AC146,AC146))),"")</f>
        <v/>
      </c>
      <c r="W146" s="108" t="str">
        <f t="array" ref="W146">IF(ISNUMBER(AC146),INDEX('All Player Data Store'!$S$7:$S$594,SMALL(IF('All Player Data Store'!$Y$7:$Y$594=AC146,ROW('All Player Data Store'!$Y$7:$Y$594)-ROW('All Player Data Store'!$Y$7)+1),COUNTIF($AC$8:AC146,AC146))),"")</f>
        <v/>
      </c>
      <c r="X146" s="108" t="str">
        <f t="array" ref="X146">IF(ISNUMBER(AC146),INDEX('All Player Data Store'!$T$7:$T$594,SMALL(IF('All Player Data Store'!$Y$7:$Y$594=AC146,ROW('All Player Data Store'!$Y$7:$Y$594)-ROW('All Player Data Store'!$Y$7)+1),COUNTIF($AC$8:AC146,AC146))),"")</f>
        <v/>
      </c>
      <c r="Y146" s="108" t="str">
        <f t="array" ref="Y146">IF(ISNUMBER(AC146),INDEX('All Player Data Store'!$U$7:$U$594,SMALL(IF('All Player Data Store'!$Y$7:$Y$594=AC146,ROW('All Player Data Store'!$Y$7:$Y$594)-ROW('All Player Data Store'!$Y$7)+1),COUNTIF($AC$8:AC146,AC146))),"")</f>
        <v/>
      </c>
      <c r="Z146" s="108" t="str">
        <f t="array" ref="Z146">IF(ISNUMBER(AC146),INDEX('All Player Data Store'!$V$7:$V$594,SMALL(IF('All Player Data Store'!$Y$7:$Y$594=AC146,ROW('All Player Data Store'!$Y$7:$Y$594)-ROW('All Player Data Store'!$Y$7)+1),COUNTIF($AC$8:AC146,AC146))),"")</f>
        <v/>
      </c>
      <c r="AA146" s="112" t="str">
        <f t="array" ref="AA146">IF(ISNUMBER(AC146),INDEX('All Player Data Store'!$W$7:$W$594,SMALL(IF('All Player Data Store'!$Y$7:$Y$594=AC146,ROW('All Player Data Store'!$Y$7:$Y$594)-ROW('All Player Data Store'!$Y$7)+1),COUNTIF($AC$8:AC146,AC146))),"")</f>
        <v/>
      </c>
      <c r="AB146" s="108">
        <f t="array" ref="AB146">IF(ISNUMBER(AC146),INDEX('All Player Data Store'!$X$7:$X$594,SMALL(IF('All Player Data Store'!$Y$7:$Y$594=AC146,ROW('All Player Data Store'!$Y$7:$Y$594)-ROW('All Player Data Store'!$Y$7)+1),COUNTIF($AC$8:AC146,AC146))),"")</f>
        <v>20.85</v>
      </c>
      <c r="AC146" s="115">
        <f>IF(ISERROR(IF(ISERROR(LARGE('All Player Data Store'!$Y$7:$Y$594,139)),"",(LARGE('All Player Data Store'!$Y$7:$Y$594,139)))),"",(IF(ISERROR(LARGE('All Player Data Store'!$Y$7:$Y$594,139)),"",(LARGE('All Player Data Store'!$Y$7:$Y$594,139)))))</f>
        <v>20.85</v>
      </c>
      <c r="AD146" s="106">
        <f t="shared" si="16"/>
        <v>3</v>
      </c>
      <c r="AE146" s="107" t="str">
        <f t="array" ref="AE146">IF(ISNUMBER(AC146),INDEX('All Player Data Store'!$J$8:$J$594,SMALL(IF('All Player Data Store'!$Y$7:$Y$594=AC146,ROW('All Player Data Store'!$Y$7:$Y$594)-ROW('All Player Data Store'!$Y$7)+1),COUNTIF($AC$8:AC146,AC146))),"")</f>
        <v/>
      </c>
      <c r="AF146" s="108" t="str">
        <f t="shared" si="3"/>
        <v/>
      </c>
      <c r="AG146" s="108" t="str">
        <f t="array" ref="AG146">IF(ISNUMBER(AC146),INDEX('All Player Data Store'!$K$8:$K$594,SMALL(IF('All Player Data Store'!$Y$7:$Y$594=AC146,ROW('All Player Data Store'!$Y$7:$Y$594)-ROW('All Player Data Store'!$Y$7)+1),COUNTIF($AC$8:AC146,AC146))),"")</f>
        <v/>
      </c>
      <c r="AH146" s="108" t="str">
        <f t="shared" si="4"/>
        <v/>
      </c>
      <c r="AI146" s="108" t="str">
        <f t="array" ref="AI146">IF(ISNUMBER(AC146),INDEX('All Player Data Store'!$L$8:$L$594,SMALL(IF('All Player Data Store'!$Y$7:$Y$594=AC146,ROW('All Player Data Store'!$Y$7:$Y$594)-ROW('All Player Data Store'!$Y$7)+1),COUNTIF($AC$8:AC146,AC146))),"")</f>
        <v/>
      </c>
      <c r="AJ146" s="108" t="str">
        <f t="shared" si="5"/>
        <v/>
      </c>
      <c r="AK146" s="108" t="str">
        <f t="array" ref="AK146">IF(ISNUMBER(AC146),INDEX('All Player Data Store'!$M$8:$M$594,SMALL(IF('All Player Data Store'!$Y$7:$Y$594=AC146,ROW('All Player Data Store'!$Y$7:$Y$594)-ROW('All Player Data Store'!$Y$7)+1),COUNTIF($AC$8:AC146,AC146))),"")</f>
        <v/>
      </c>
      <c r="AL146" s="108" t="str">
        <f t="shared" si="6"/>
        <v/>
      </c>
      <c r="AM146" s="108" t="str">
        <f t="array" ref="AM146">IF(ISNUMBER(AC146),INDEX('All Player Data Store'!$N$8:$N$594,SMALL(IF('All Player Data Store'!$Y$7:$Y$594=AC146,ROW('All Player Data Store'!$Y$7:$Y$594)-ROW('All Player Data Store'!$Y$7)+1),COUNTIF($AC$8:AC146,AC146))),"")</f>
        <v/>
      </c>
      <c r="AN146" s="108" t="str">
        <f t="shared" si="7"/>
        <v/>
      </c>
      <c r="AO146" s="108" t="str">
        <f t="array" ref="AO146">IF(ISNUMBER(AC146),INDEX('All Player Data Store'!$O$8:$O$594,SMALL(IF('All Player Data Store'!$Y$7:$Y$594=AC146,ROW('All Player Data Store'!$Y$7:$Y$594)-ROW('All Player Data Store'!$Y$7)+1),COUNTIF($AC$8:AC146,AC146))),"")</f>
        <v>0*4</v>
      </c>
      <c r="AP146" s="108">
        <f t="shared" si="8"/>
        <v>20.85</v>
      </c>
      <c r="AQ146" s="108" t="str">
        <f t="array" ref="AQ146">IF(ISNUMBER(AC146),INDEX('All Player Data Store'!$P$8:$P$594,SMALL(IF('All Player Data Store'!$Y$7:$Y$594=AC146,ROW('All Player Data Store'!$Y$7:$Y$594)-ROW('All Player Data Store'!$Y$7)+1),COUNTIF($AC$8:AC146,AC146))),"")</f>
        <v/>
      </c>
      <c r="AR146" s="108" t="str">
        <f t="shared" si="9"/>
        <v/>
      </c>
      <c r="AS146" s="108" t="str">
        <f t="array" ref="AS146">IF(ISNUMBER(AC146),INDEX('All Player Data Store'!$Q$8:$Q$594,SMALL(IF('All Player Data Store'!$Y$7:$Y$594=AC146,ROW('All Player Data Store'!$Y$7:$Y$594)-ROW('All Player Data Store'!$Y$7)+1),COUNTIF($AC$8:AC146,AC146))),"")</f>
        <v/>
      </c>
      <c r="AT146" s="108" t="str">
        <f t="shared" si="10"/>
        <v/>
      </c>
      <c r="AU146" s="108" t="str">
        <f t="array" ref="AU146">IF(ISNUMBER(AC146),INDEX('All Player Data Store'!$R$8:$R$594,SMALL(IF('All Player Data Store'!$Y$7:$Y$594=AC146,ROW('All Player Data Store'!$Y$7:$Y$594)-ROW('All Player Data Store'!$Y$7)+1),COUNTIF($AC$8:AC146,AC146))),"")</f>
        <v/>
      </c>
      <c r="AV146" s="108" t="str">
        <f t="shared" si="11"/>
        <v/>
      </c>
      <c r="AW146" s="108" t="str">
        <f t="array" ref="AW146">IF(ISNUMBER(AC146),INDEX('All Player Data Store'!$S$8:$S$594,SMALL(IF('All Player Data Store'!$Y$7:$Y$594=AC146,ROW('All Player Data Store'!$Y$7:$Y$594)-ROW('All Player Data Store'!$Y$7)+1),COUNTIF($AC$8:AC146,AC146))),"")</f>
        <v/>
      </c>
      <c r="AX146" s="108" t="str">
        <f t="shared" si="12"/>
        <v/>
      </c>
      <c r="AY146" s="108" t="str">
        <f t="array" ref="AY146">IF(ISNUMBER(AC146),INDEX('All Player Data Store'!$T$8:$T$594,SMALL(IF('All Player Data Store'!$Y$7:$Y$594=AC146,ROW('All Player Data Store'!$Y$7:$Y$594)-ROW('All Player Data Store'!$Y$7)+1),COUNTIF($AC$8:AC146,AC146))),"")</f>
        <v/>
      </c>
      <c r="AZ146" s="108" t="str">
        <f t="shared" si="13"/>
        <v/>
      </c>
      <c r="BA146" s="108" t="str">
        <f t="array" ref="BA146">IF(ISNUMBER(AC146),INDEX('All Player Data Store'!$U$8:$U$594,SMALL(IF('All Player Data Store'!$Y$7:$Y$594=AC146,ROW('All Player Data Store'!$Y$7:$Y$594)-ROW('All Player Data Store'!$Y$7)+1),COUNTIF($AC$8:AC146,AC146))),"")</f>
        <v/>
      </c>
      <c r="BB146" s="108" t="str">
        <f t="shared" si="14"/>
        <v/>
      </c>
      <c r="BC146" s="108" t="str">
        <f t="array" ref="BC146">IF(ISNUMBER(AC146),INDEX('All Player Data Store'!$V$8:$V$594,SMALL(IF('All Player Data Store'!$Y$7:$Y$594=AC146,ROW('All Player Data Store'!$Y$7:$Y$594)-ROW('All Player Data Store'!$Y$7)+1),COUNTIF($AC$8:AC146,AC146))),"")</f>
        <v/>
      </c>
      <c r="BD146" s="108" t="str">
        <f t="shared" si="15"/>
        <v/>
      </c>
      <c r="BE146" s="1"/>
    </row>
    <row r="147" spans="2:57" ht="12" customHeight="1" x14ac:dyDescent="0.2">
      <c r="B147" s="98" t="str">
        <f t="shared" si="0"/>
        <v>N</v>
      </c>
      <c r="C147" s="1"/>
      <c r="D147" s="68">
        <f t="shared" si="1"/>
        <v>140</v>
      </c>
      <c r="E147" s="2"/>
      <c r="F147" s="78">
        <v>140</v>
      </c>
      <c r="G147" s="110" t="str">
        <f t="array" ref="G147">IF(ISNUMBER(AC147),INDEX('All Player Data Store'!$C$7:$C$594,SMALL(IF('All Player Data Store'!$Y$7:$Y$594=AC147,ROW('All Player Data Store'!$Y$7:$Y$594)-ROW('All Player Data Store'!$Y$7)+1),COUNTIF($AC$8:AC147,AC147))),"")</f>
        <v>Steve Stone</v>
      </c>
      <c r="H147" s="111" t="str">
        <f t="array" ref="H147">IF(ISNUMBER(AC147),INDEX('All Player Data Store'!$D$7:$D$594,SMALL(IF('All Player Data Store'!$Y$7:$Y$594=AC147,ROW('All Player Data Store'!$Y$7:$Y$594)-ROW('All Player Data Store'!$Y$7)+1),COUNTIF($AC$8:AC147,AC147))),"")</f>
        <v>Sha</v>
      </c>
      <c r="I147" s="69">
        <f t="array" ref="I147">IF(ISNUMBER(AC147),INDEX('All Player Data Store'!$E$7:$E$594,SMALL(IF('All Player Data Store'!$Y$7:$Y$594=AC147,ROW('All Player Data Store'!$Y$7:$Y$594)-ROW('All Player Data Store'!$Y$7)+1),COUNTIF($AC$8:AC147,AC147))),"")</f>
        <v>2</v>
      </c>
      <c r="J147" s="70" t="str">
        <f t="array" ref="J147">IF(ISNUMBER(AC147),INDEX('All Player Data Store'!$F$7:$F$594,SMALL(IF('All Player Data Store'!$Y$7:$Y$594=AC147,ROW('All Player Data Store'!$Y$7:$Y$594)-ROW('All Player Data Store'!$Y$7)+1),COUNTIF($AC$8:AC147,AC147))),"")</f>
        <v/>
      </c>
      <c r="K147" s="112">
        <f t="array" ref="K147">IF(ISNUMBER(AC147),INDEX('All Player Data Store'!$G$7:$G$594,SMALL(IF('All Player Data Store'!$Y$7:$Y$594=AC147,ROW('All Player Data Store'!$Y$7:$Y$594)-ROW('All Player Data Store'!$Y$7)+1),COUNTIF($AC$8:AC147,AC147))),"")</f>
        <v>2</v>
      </c>
      <c r="L147" s="112">
        <f t="array" ref="L147">IF(ISNUMBER(AC147),INDEX('All Player Data Store'!$H$7:$H$594,SMALL(IF('All Player Data Store'!$Y$7:$Y$594=AC147,ROW('All Player Data Store'!$Y$7:$Y$594)-ROW('All Player Data Store'!$Y$7)+1),COUNTIF($AC$8:AC147,AC147))),"")</f>
        <v>2</v>
      </c>
      <c r="M147" s="113">
        <f t="array" ref="M147">IF(ISNUMBER(AC147),INDEX('All Player Data Store'!$I$7:$I$594,SMALL(IF('All Player Data Store'!$Y$7:$Y$594=AC147,ROW('All Player Data Store'!$Y$7:$Y$594)-ROW('All Player Data Store'!$Y$7)+1),COUNTIF($AC$8:AC147,AC147))),"")</f>
        <v>8</v>
      </c>
      <c r="N147" s="114" t="str">
        <f t="array" ref="N147">IF(ISNUMBER(AC147),INDEX('All Player Data Store'!$J$7:$J$594,SMALL(IF('All Player Data Store'!$Y$7:$Y$594=AC147,ROW('All Player Data Store'!$Y$7:$Y$594)-ROW('All Player Data Store'!$Y$7)+1),COUNTIF($AC$8:AC147,AC147))),"")</f>
        <v/>
      </c>
      <c r="O147" s="108" t="str">
        <f t="array" ref="O147">IF(ISNUMBER(AC147),INDEX('All Player Data Store'!$K$7:$K$594,SMALL(IF('All Player Data Store'!$Y$7:$Y$594=AC147,ROW('All Player Data Store'!$Y$7:$Y$594)-ROW('All Player Data Store'!$Y$7)+1),COUNTIF($AC$8:AC147,AC147))),"")</f>
        <v/>
      </c>
      <c r="P147" s="108" t="str">
        <f t="array" ref="P147">IF(ISNUMBER(AC147),INDEX('All Player Data Store'!$L$7:$L$594,SMALL(IF('All Player Data Store'!$Y$7:$Y$594=AC147,ROW('All Player Data Store'!$Y$7:$Y$594)-ROW('All Player Data Store'!$Y$7)+1),COUNTIF($AC$8:AC147,AC147))),"")</f>
        <v/>
      </c>
      <c r="Q147" s="108" t="str">
        <f t="array" ref="Q147">IF(ISNUMBER(AC147),INDEX('All Player Data Store'!$M$7:$M$594,SMALL(IF('All Player Data Store'!$Y$7:$Y$594=AC147,ROW('All Player Data Store'!$Y$7:$Y$594)-ROW('All Player Data Store'!$Y$7)+1),COUNTIF($AC$8:AC147,AC147))),"")</f>
        <v/>
      </c>
      <c r="R147" s="108">
        <f t="array" ref="R147">IF(ISNUMBER(AC147),INDEX('All Player Data Store'!$N$7:$N$594,SMALL(IF('All Player Data Store'!$Y$7:$Y$594=AC147,ROW('All Player Data Store'!$Y$7:$Y$594)-ROW('All Player Data Store'!$Y$7)+1),COUNTIF($AC$8:AC147,AC147))),"")</f>
        <v>21.79</v>
      </c>
      <c r="S147" s="108" t="str">
        <f t="array" ref="S147">IF(ISNUMBER(AC147),INDEX('All Player Data Store'!$O$7:$O$594,SMALL(IF('All Player Data Store'!$Y$7:$Y$594=AC147,ROW('All Player Data Store'!$Y$7:$Y$594)-ROW('All Player Data Store'!$Y$7)+1),COUNTIF($AC$8:AC147,AC147))),"")</f>
        <v/>
      </c>
      <c r="T147" s="108" t="str">
        <f t="array" ref="T147">IF(ISNUMBER(AC147),INDEX('All Player Data Store'!$P$7:$P$594,SMALL(IF('All Player Data Store'!$Y$7:$Y$594=AC147,ROW('All Player Data Store'!$Y$7:$Y$594)-ROW('All Player Data Store'!$Y$7)+1),COUNTIF($AC$8:AC147,AC147))),"")</f>
        <v/>
      </c>
      <c r="U147" s="108">
        <f t="array" ref="U147">IF(ISNUMBER(AC147),INDEX('All Player Data Store'!$Q$7:$Q$594,SMALL(IF('All Player Data Store'!$Y$7:$Y$594=AC147,ROW('All Player Data Store'!$Y$7:$Y$594)-ROW('All Player Data Store'!$Y$7)+1),COUNTIF($AC$8:AC147,AC147))),"")</f>
        <v>19.5</v>
      </c>
      <c r="V147" s="108" t="str">
        <f t="array" ref="V147">IF(ISNUMBER(AC147),INDEX('All Player Data Store'!$R$7:$R$594,SMALL(IF('All Player Data Store'!$Y$7:$Y$594=AC147,ROW('All Player Data Store'!$Y$7:$Y$594)-ROW('All Player Data Store'!$Y$7)+1),COUNTIF($AC$8:AC147,AC147))),"")</f>
        <v/>
      </c>
      <c r="W147" s="108" t="str">
        <f t="array" ref="W147">IF(ISNUMBER(AC147),INDEX('All Player Data Store'!$S$7:$S$594,SMALL(IF('All Player Data Store'!$Y$7:$Y$594=AC147,ROW('All Player Data Store'!$Y$7:$Y$594)-ROW('All Player Data Store'!$Y$7)+1),COUNTIF($AC$8:AC147,AC147))),"")</f>
        <v/>
      </c>
      <c r="X147" s="108" t="str">
        <f t="array" ref="X147">IF(ISNUMBER(AC147),INDEX('All Player Data Store'!$T$7:$T$594,SMALL(IF('All Player Data Store'!$Y$7:$Y$594=AC147,ROW('All Player Data Store'!$Y$7:$Y$594)-ROW('All Player Data Store'!$Y$7)+1),COUNTIF($AC$8:AC147,AC147))),"")</f>
        <v/>
      </c>
      <c r="Y147" s="108" t="str">
        <f t="array" ref="Y147">IF(ISNUMBER(AC147),INDEX('All Player Data Store'!$U$7:$U$594,SMALL(IF('All Player Data Store'!$Y$7:$Y$594=AC147,ROW('All Player Data Store'!$Y$7:$Y$594)-ROW('All Player Data Store'!$Y$7)+1),COUNTIF($AC$8:AC147,AC147))),"")</f>
        <v/>
      </c>
      <c r="Z147" s="108" t="str">
        <f t="array" ref="Z147">IF(ISNUMBER(AC147),INDEX('All Player Data Store'!$V$7:$V$594,SMALL(IF('All Player Data Store'!$Y$7:$Y$594=AC147,ROW('All Player Data Store'!$Y$7:$Y$594)-ROW('All Player Data Store'!$Y$7)+1),COUNTIF($AC$8:AC147,AC147))),"")</f>
        <v/>
      </c>
      <c r="AA147" s="112" t="str">
        <f t="array" ref="AA147">IF(ISNUMBER(AC147),INDEX('All Player Data Store'!$W$7:$W$594,SMALL(IF('All Player Data Store'!$Y$7:$Y$594=AC147,ROW('All Player Data Store'!$Y$7:$Y$594)-ROW('All Player Data Store'!$Y$7)+1),COUNTIF($AC$8:AC147,AC147))),"")</f>
        <v/>
      </c>
      <c r="AB147" s="108">
        <f t="array" ref="AB147">IF(ISNUMBER(AC147),INDEX('All Player Data Store'!$X$7:$X$594,SMALL(IF('All Player Data Store'!$Y$7:$Y$594=AC147,ROW('All Player Data Store'!$Y$7:$Y$594)-ROW('All Player Data Store'!$Y$7)+1),COUNTIF($AC$8:AC147,AC147))),"")</f>
        <v>20.645</v>
      </c>
      <c r="AC147" s="115">
        <f>IF(ISERROR(IF(ISERROR(LARGE('All Player Data Store'!$Y$7:$Y$594,140)),"",(LARGE('All Player Data Store'!$Y$7:$Y$594,140)))),"",(IF(ISERROR(LARGE('All Player Data Store'!$Y$7:$Y$594,140)),"",(LARGE('All Player Data Store'!$Y$7:$Y$594,140)))))</f>
        <v>20.645</v>
      </c>
      <c r="AD147" s="106">
        <f t="shared" si="16"/>
        <v>3</v>
      </c>
      <c r="AE147" s="107" t="str">
        <f t="array" ref="AE147">IF(ISNUMBER(AC147),INDEX('All Player Data Store'!$J$8:$J$594,SMALL(IF('All Player Data Store'!$Y$7:$Y$594=AC147,ROW('All Player Data Store'!$Y$7:$Y$594)-ROW('All Player Data Store'!$Y$7)+1),COUNTIF($AC$8:AC147,AC147))),"")</f>
        <v/>
      </c>
      <c r="AF147" s="108" t="str">
        <f t="shared" si="3"/>
        <v/>
      </c>
      <c r="AG147" s="108" t="str">
        <f t="array" ref="AG147">IF(ISNUMBER(AC147),INDEX('All Player Data Store'!$K$8:$K$594,SMALL(IF('All Player Data Store'!$Y$7:$Y$594=AC147,ROW('All Player Data Store'!$Y$7:$Y$594)-ROW('All Player Data Store'!$Y$7)+1),COUNTIF($AC$8:AC147,AC147))),"")</f>
        <v/>
      </c>
      <c r="AH147" s="108" t="str">
        <f t="shared" si="4"/>
        <v/>
      </c>
      <c r="AI147" s="108" t="str">
        <f t="array" ref="AI147">IF(ISNUMBER(AC147),INDEX('All Player Data Store'!$L$8:$L$594,SMALL(IF('All Player Data Store'!$Y$7:$Y$594=AC147,ROW('All Player Data Store'!$Y$7:$Y$594)-ROW('All Player Data Store'!$Y$7)+1),COUNTIF($AC$8:AC147,AC147))),"")</f>
        <v/>
      </c>
      <c r="AJ147" s="108" t="str">
        <f t="shared" si="5"/>
        <v/>
      </c>
      <c r="AK147" s="108" t="str">
        <f t="array" ref="AK147">IF(ISNUMBER(AC147),INDEX('All Player Data Store'!$M$8:$M$594,SMALL(IF('All Player Data Store'!$Y$7:$Y$594=AC147,ROW('All Player Data Store'!$Y$7:$Y$594)-ROW('All Player Data Store'!$Y$7)+1),COUNTIF($AC$8:AC147,AC147))),"")</f>
        <v/>
      </c>
      <c r="AL147" s="108" t="str">
        <f t="shared" si="6"/>
        <v/>
      </c>
      <c r="AM147" s="108" t="str">
        <f t="array" ref="AM147">IF(ISNUMBER(AC147),INDEX('All Player Data Store'!$N$8:$N$594,SMALL(IF('All Player Data Store'!$Y$7:$Y$594=AC147,ROW('All Player Data Store'!$Y$7:$Y$594)-ROW('All Player Data Store'!$Y$7)+1),COUNTIF($AC$8:AC147,AC147))),"")</f>
        <v>0*4</v>
      </c>
      <c r="AN147" s="108">
        <f t="shared" si="7"/>
        <v>21.79</v>
      </c>
      <c r="AO147" s="108" t="str">
        <f t="array" ref="AO147">IF(ISNUMBER(AC147),INDEX('All Player Data Store'!$O$8:$O$594,SMALL(IF('All Player Data Store'!$Y$7:$Y$594=AC147,ROW('All Player Data Store'!$Y$7:$Y$594)-ROW('All Player Data Store'!$Y$7)+1),COUNTIF($AC$8:AC147,AC147))),"")</f>
        <v/>
      </c>
      <c r="AP147" s="108" t="str">
        <f t="shared" si="8"/>
        <v/>
      </c>
      <c r="AQ147" s="108" t="str">
        <f t="array" ref="AQ147">IF(ISNUMBER(AC147),INDEX('All Player Data Store'!$P$8:$P$594,SMALL(IF('All Player Data Store'!$Y$7:$Y$594=AC147,ROW('All Player Data Store'!$Y$7:$Y$594)-ROW('All Player Data Store'!$Y$7)+1),COUNTIF($AC$8:AC147,AC147))),"")</f>
        <v/>
      </c>
      <c r="AR147" s="108" t="str">
        <f t="shared" si="9"/>
        <v/>
      </c>
      <c r="AS147" s="108" t="str">
        <f t="array" ref="AS147">IF(ISNUMBER(AC147),INDEX('All Player Data Store'!$Q$8:$Q$594,SMALL(IF('All Player Data Store'!$Y$7:$Y$594=AC147,ROW('All Player Data Store'!$Y$7:$Y$594)-ROW('All Player Data Store'!$Y$7)+1),COUNTIF($AC$8:AC147,AC147))),"")</f>
        <v>2*4</v>
      </c>
      <c r="AT147" s="108">
        <f t="shared" si="10"/>
        <v>19.5</v>
      </c>
      <c r="AU147" s="108" t="str">
        <f t="array" ref="AU147">IF(ISNUMBER(AC147),INDEX('All Player Data Store'!$R$8:$R$594,SMALL(IF('All Player Data Store'!$Y$7:$Y$594=AC147,ROW('All Player Data Store'!$Y$7:$Y$594)-ROW('All Player Data Store'!$Y$7)+1),COUNTIF($AC$8:AC147,AC147))),"")</f>
        <v/>
      </c>
      <c r="AV147" s="108" t="str">
        <f t="shared" si="11"/>
        <v/>
      </c>
      <c r="AW147" s="108" t="str">
        <f t="array" ref="AW147">IF(ISNUMBER(AC147),INDEX('All Player Data Store'!$S$8:$S$594,SMALL(IF('All Player Data Store'!$Y$7:$Y$594=AC147,ROW('All Player Data Store'!$Y$7:$Y$594)-ROW('All Player Data Store'!$Y$7)+1),COUNTIF($AC$8:AC147,AC147))),"")</f>
        <v/>
      </c>
      <c r="AX147" s="108" t="str">
        <f t="shared" si="12"/>
        <v/>
      </c>
      <c r="AY147" s="108" t="str">
        <f t="array" ref="AY147">IF(ISNUMBER(AC147),INDEX('All Player Data Store'!$T$8:$T$594,SMALL(IF('All Player Data Store'!$Y$7:$Y$594=AC147,ROW('All Player Data Store'!$Y$7:$Y$594)-ROW('All Player Data Store'!$Y$7)+1),COUNTIF($AC$8:AC147,AC147))),"")</f>
        <v/>
      </c>
      <c r="AZ147" s="108" t="str">
        <f t="shared" si="13"/>
        <v/>
      </c>
      <c r="BA147" s="108" t="str">
        <f t="array" ref="BA147">IF(ISNUMBER(AC147),INDEX('All Player Data Store'!$U$8:$U$594,SMALL(IF('All Player Data Store'!$Y$7:$Y$594=AC147,ROW('All Player Data Store'!$Y$7:$Y$594)-ROW('All Player Data Store'!$Y$7)+1),COUNTIF($AC$8:AC147,AC147))),"")</f>
        <v/>
      </c>
      <c r="BB147" s="108" t="str">
        <f t="shared" si="14"/>
        <v/>
      </c>
      <c r="BC147" s="108" t="str">
        <f t="array" ref="BC147">IF(ISNUMBER(AC147),INDEX('All Player Data Store'!$V$8:$V$594,SMALL(IF('All Player Data Store'!$Y$7:$Y$594=AC147,ROW('All Player Data Store'!$Y$7:$Y$594)-ROW('All Player Data Store'!$Y$7)+1),COUNTIF($AC$8:AC147,AC147))),"")</f>
        <v/>
      </c>
      <c r="BD147" s="108" t="str">
        <f t="shared" si="15"/>
        <v/>
      </c>
      <c r="BE147" s="1"/>
    </row>
    <row r="148" spans="2:57" ht="12" customHeight="1" x14ac:dyDescent="0.2">
      <c r="B148" s="98" t="str">
        <f t="shared" si="0"/>
        <v>N</v>
      </c>
      <c r="C148" s="1"/>
      <c r="D148" s="68">
        <f t="shared" si="1"/>
        <v>141</v>
      </c>
      <c r="E148" s="2"/>
      <c r="F148" s="78">
        <v>141</v>
      </c>
      <c r="G148" s="110" t="str">
        <f t="array" ref="G148">IF(ISNUMBER(AC148),INDEX('All Player Data Store'!$C$7:$C$594,SMALL(IF('All Player Data Store'!$Y$7:$Y$594=AC148,ROW('All Player Data Store'!$Y$7:$Y$594)-ROW('All Player Data Store'!$Y$7)+1),COUNTIF($AC$8:AC148,AC148))),"")</f>
        <v>Les Browning</v>
      </c>
      <c r="H148" s="111" t="str">
        <f t="array" ref="H148">IF(ISNUMBER(AC148),INDEX('All Player Data Store'!$D$7:$D$594,SMALL(IF('All Player Data Store'!$Y$7:$Y$594=AC148,ROW('All Player Data Store'!$Y$7:$Y$594)-ROW('All Player Data Store'!$Y$7)+1),COUNTIF($AC$8:AC148,AC148))),"")</f>
        <v>Ald</v>
      </c>
      <c r="I148" s="69">
        <f t="array" ref="I148">IF(ISNUMBER(AC148),INDEX('All Player Data Store'!$E$7:$E$594,SMALL(IF('All Player Data Store'!$Y$7:$Y$594=AC148,ROW('All Player Data Store'!$Y$7:$Y$594)-ROW('All Player Data Store'!$Y$7)+1),COUNTIF($AC$8:AC148,AC148))),"")</f>
        <v>1</v>
      </c>
      <c r="J148" s="70" t="str">
        <f t="array" ref="J148">IF(ISNUMBER(AC148),INDEX('All Player Data Store'!$F$7:$F$594,SMALL(IF('All Player Data Store'!$Y$7:$Y$594=AC148,ROW('All Player Data Store'!$Y$7:$Y$594)-ROW('All Player Data Store'!$Y$7)+1),COUNTIF($AC$8:AC148,AC148))),"")</f>
        <v/>
      </c>
      <c r="K148" s="112">
        <f t="array" ref="K148">IF(ISNUMBER(AC148),INDEX('All Player Data Store'!$G$7:$G$594,SMALL(IF('All Player Data Store'!$Y$7:$Y$594=AC148,ROW('All Player Data Store'!$Y$7:$Y$594)-ROW('All Player Data Store'!$Y$7)+1),COUNTIF($AC$8:AC148,AC148))),"")</f>
        <v>1</v>
      </c>
      <c r="L148" s="112">
        <f t="array" ref="L148">IF(ISNUMBER(AC148),INDEX('All Player Data Store'!$H$7:$H$594,SMALL(IF('All Player Data Store'!$Y$7:$Y$594=AC148,ROW('All Player Data Store'!$Y$7:$Y$594)-ROW('All Player Data Store'!$Y$7)+1),COUNTIF($AC$8:AC148,AC148))),"")</f>
        <v>3</v>
      </c>
      <c r="M148" s="113">
        <f t="array" ref="M148">IF(ISNUMBER(AC148),INDEX('All Player Data Store'!$I$7:$I$594,SMALL(IF('All Player Data Store'!$Y$7:$Y$594=AC148,ROW('All Player Data Store'!$Y$7:$Y$594)-ROW('All Player Data Store'!$Y$7)+1),COUNTIF($AC$8:AC148,AC148))),"")</f>
        <v>4</v>
      </c>
      <c r="N148" s="114">
        <f t="array" ref="N148">IF(ISNUMBER(AC148),INDEX('All Player Data Store'!$J$7:$J$594,SMALL(IF('All Player Data Store'!$Y$7:$Y$594=AC148,ROW('All Player Data Store'!$Y$7:$Y$594)-ROW('All Player Data Store'!$Y$7)+1),COUNTIF($AC$8:AC148,AC148))),"")</f>
        <v>20.63</v>
      </c>
      <c r="O148" s="108" t="str">
        <f t="array" ref="O148">IF(ISNUMBER(AC148),INDEX('All Player Data Store'!$K$7:$K$594,SMALL(IF('All Player Data Store'!$Y$7:$Y$594=AC148,ROW('All Player Data Store'!$Y$7:$Y$594)-ROW('All Player Data Store'!$Y$7)+1),COUNTIF($AC$8:AC148,AC148))),"")</f>
        <v/>
      </c>
      <c r="P148" s="108" t="str">
        <f t="array" ref="P148">IF(ISNUMBER(AC148),INDEX('All Player Data Store'!$L$7:$L$594,SMALL(IF('All Player Data Store'!$Y$7:$Y$594=AC148,ROW('All Player Data Store'!$Y$7:$Y$594)-ROW('All Player Data Store'!$Y$7)+1),COUNTIF($AC$8:AC148,AC148))),"")</f>
        <v/>
      </c>
      <c r="Q148" s="108" t="str">
        <f t="array" ref="Q148">IF(ISNUMBER(AC148),INDEX('All Player Data Store'!$M$7:$M$594,SMALL(IF('All Player Data Store'!$Y$7:$Y$594=AC148,ROW('All Player Data Store'!$Y$7:$Y$594)-ROW('All Player Data Store'!$Y$7)+1),COUNTIF($AC$8:AC148,AC148))),"")</f>
        <v/>
      </c>
      <c r="R148" s="108" t="str">
        <f t="array" ref="R148">IF(ISNUMBER(AC148),INDEX('All Player Data Store'!$N$7:$N$594,SMALL(IF('All Player Data Store'!$Y$7:$Y$594=AC148,ROW('All Player Data Store'!$Y$7:$Y$594)-ROW('All Player Data Store'!$Y$7)+1),COUNTIF($AC$8:AC148,AC148))),"")</f>
        <v/>
      </c>
      <c r="S148" s="108" t="str">
        <f t="array" ref="S148">IF(ISNUMBER(AC148),INDEX('All Player Data Store'!$O$7:$O$594,SMALL(IF('All Player Data Store'!$Y$7:$Y$594=AC148,ROW('All Player Data Store'!$Y$7:$Y$594)-ROW('All Player Data Store'!$Y$7)+1),COUNTIF($AC$8:AC148,AC148))),"")</f>
        <v/>
      </c>
      <c r="T148" s="108" t="str">
        <f t="array" ref="T148">IF(ISNUMBER(AC148),INDEX('All Player Data Store'!$P$7:$P$594,SMALL(IF('All Player Data Store'!$Y$7:$Y$594=AC148,ROW('All Player Data Store'!$Y$7:$Y$594)-ROW('All Player Data Store'!$Y$7)+1),COUNTIF($AC$8:AC148,AC148))),"")</f>
        <v/>
      </c>
      <c r="U148" s="108" t="str">
        <f t="array" ref="U148">IF(ISNUMBER(AC148),INDEX('All Player Data Store'!$Q$7:$Q$594,SMALL(IF('All Player Data Store'!$Y$7:$Y$594=AC148,ROW('All Player Data Store'!$Y$7:$Y$594)-ROW('All Player Data Store'!$Y$7)+1),COUNTIF($AC$8:AC148,AC148))),"")</f>
        <v/>
      </c>
      <c r="V148" s="108" t="str">
        <f t="array" ref="V148">IF(ISNUMBER(AC148),INDEX('All Player Data Store'!$R$7:$R$594,SMALL(IF('All Player Data Store'!$Y$7:$Y$594=AC148,ROW('All Player Data Store'!$Y$7:$Y$594)-ROW('All Player Data Store'!$Y$7)+1),COUNTIF($AC$8:AC148,AC148))),"")</f>
        <v/>
      </c>
      <c r="W148" s="108" t="str">
        <f t="array" ref="W148">IF(ISNUMBER(AC148),INDEX('All Player Data Store'!$S$7:$S$594,SMALL(IF('All Player Data Store'!$Y$7:$Y$594=AC148,ROW('All Player Data Store'!$Y$7:$Y$594)-ROW('All Player Data Store'!$Y$7)+1),COUNTIF($AC$8:AC148,AC148))),"")</f>
        <v/>
      </c>
      <c r="X148" s="108" t="str">
        <f t="array" ref="X148">IF(ISNUMBER(AC148),INDEX('All Player Data Store'!$T$7:$T$594,SMALL(IF('All Player Data Store'!$Y$7:$Y$594=AC148,ROW('All Player Data Store'!$Y$7:$Y$594)-ROW('All Player Data Store'!$Y$7)+1),COUNTIF($AC$8:AC148,AC148))),"")</f>
        <v/>
      </c>
      <c r="Y148" s="108" t="str">
        <f t="array" ref="Y148">IF(ISNUMBER(AC148),INDEX('All Player Data Store'!$U$7:$U$594,SMALL(IF('All Player Data Store'!$Y$7:$Y$594=AC148,ROW('All Player Data Store'!$Y$7:$Y$594)-ROW('All Player Data Store'!$Y$7)+1),COUNTIF($AC$8:AC148,AC148))),"")</f>
        <v/>
      </c>
      <c r="Z148" s="108" t="str">
        <f t="array" ref="Z148">IF(ISNUMBER(AC148),INDEX('All Player Data Store'!$V$7:$V$594,SMALL(IF('All Player Data Store'!$Y$7:$Y$594=AC148,ROW('All Player Data Store'!$Y$7:$Y$594)-ROW('All Player Data Store'!$Y$7)+1),COUNTIF($AC$8:AC148,AC148))),"")</f>
        <v/>
      </c>
      <c r="AA148" s="112" t="str">
        <f t="array" ref="AA148">IF(ISNUMBER(AC148),INDEX('All Player Data Store'!$W$7:$W$594,SMALL(IF('All Player Data Store'!$Y$7:$Y$594=AC148,ROW('All Player Data Store'!$Y$7:$Y$594)-ROW('All Player Data Store'!$Y$7)+1),COUNTIF($AC$8:AC148,AC148))),"")</f>
        <v/>
      </c>
      <c r="AB148" s="108">
        <f t="array" ref="AB148">IF(ISNUMBER(AC148),INDEX('All Player Data Store'!$X$7:$X$594,SMALL(IF('All Player Data Store'!$Y$7:$Y$594=AC148,ROW('All Player Data Store'!$Y$7:$Y$594)-ROW('All Player Data Store'!$Y$7)+1),COUNTIF($AC$8:AC148,AC148))),"")</f>
        <v>20.63</v>
      </c>
      <c r="AC148" s="115">
        <f>IF(ISERROR(IF(ISERROR(LARGE('All Player Data Store'!$Y$7:$Y$594,141)),"",(LARGE('All Player Data Store'!$Y$7:$Y$594,141)))),"",(IF(ISERROR(LARGE('All Player Data Store'!$Y$7:$Y$594,141)),"",(LARGE('All Player Data Store'!$Y$7:$Y$594,141)))))</f>
        <v>20.63</v>
      </c>
      <c r="AD148" s="106">
        <f t="shared" si="16"/>
        <v>3</v>
      </c>
      <c r="AE148" s="107" t="str">
        <f t="array" ref="AE148">IF(ISNUMBER(AC148),INDEX('All Player Data Store'!$J$8:$J$594,SMALL(IF('All Player Data Store'!$Y$7:$Y$594=AC148,ROW('All Player Data Store'!$Y$7:$Y$594)-ROW('All Player Data Store'!$Y$7)+1),COUNTIF($AC$8:AC148,AC148))),"")</f>
        <v>3*4</v>
      </c>
      <c r="AF148" s="108">
        <f t="shared" si="3"/>
        <v>20.63</v>
      </c>
      <c r="AG148" s="108" t="str">
        <f t="array" ref="AG148">IF(ISNUMBER(AC148),INDEX('All Player Data Store'!$K$8:$K$594,SMALL(IF('All Player Data Store'!$Y$7:$Y$594=AC148,ROW('All Player Data Store'!$Y$7:$Y$594)-ROW('All Player Data Store'!$Y$7)+1),COUNTIF($AC$8:AC148,AC148))),"")</f>
        <v/>
      </c>
      <c r="AH148" s="108" t="str">
        <f t="shared" si="4"/>
        <v/>
      </c>
      <c r="AI148" s="108" t="str">
        <f t="array" ref="AI148">IF(ISNUMBER(AC148),INDEX('All Player Data Store'!$L$8:$L$594,SMALL(IF('All Player Data Store'!$Y$7:$Y$594=AC148,ROW('All Player Data Store'!$Y$7:$Y$594)-ROW('All Player Data Store'!$Y$7)+1),COUNTIF($AC$8:AC148,AC148))),"")</f>
        <v/>
      </c>
      <c r="AJ148" s="108" t="str">
        <f t="shared" si="5"/>
        <v/>
      </c>
      <c r="AK148" s="108" t="str">
        <f t="array" ref="AK148">IF(ISNUMBER(AC148),INDEX('All Player Data Store'!$M$8:$M$594,SMALL(IF('All Player Data Store'!$Y$7:$Y$594=AC148,ROW('All Player Data Store'!$Y$7:$Y$594)-ROW('All Player Data Store'!$Y$7)+1),COUNTIF($AC$8:AC148,AC148))),"")</f>
        <v/>
      </c>
      <c r="AL148" s="108" t="str">
        <f t="shared" si="6"/>
        <v/>
      </c>
      <c r="AM148" s="108" t="str">
        <f t="array" ref="AM148">IF(ISNUMBER(AC148),INDEX('All Player Data Store'!$N$8:$N$594,SMALL(IF('All Player Data Store'!$Y$7:$Y$594=AC148,ROW('All Player Data Store'!$Y$7:$Y$594)-ROW('All Player Data Store'!$Y$7)+1),COUNTIF($AC$8:AC148,AC148))),"")</f>
        <v/>
      </c>
      <c r="AN148" s="108" t="str">
        <f t="shared" si="7"/>
        <v/>
      </c>
      <c r="AO148" s="108" t="str">
        <f t="array" ref="AO148">IF(ISNUMBER(AC148),INDEX('All Player Data Store'!$O$8:$O$594,SMALL(IF('All Player Data Store'!$Y$7:$Y$594=AC148,ROW('All Player Data Store'!$Y$7:$Y$594)-ROW('All Player Data Store'!$Y$7)+1),COUNTIF($AC$8:AC148,AC148))),"")</f>
        <v/>
      </c>
      <c r="AP148" s="108" t="str">
        <f t="shared" si="8"/>
        <v/>
      </c>
      <c r="AQ148" s="108" t="str">
        <f t="array" ref="AQ148">IF(ISNUMBER(AC148),INDEX('All Player Data Store'!$P$8:$P$594,SMALL(IF('All Player Data Store'!$Y$7:$Y$594=AC148,ROW('All Player Data Store'!$Y$7:$Y$594)-ROW('All Player Data Store'!$Y$7)+1),COUNTIF($AC$8:AC148,AC148))),"")</f>
        <v/>
      </c>
      <c r="AR148" s="108" t="str">
        <f t="shared" si="9"/>
        <v/>
      </c>
      <c r="AS148" s="108" t="str">
        <f t="array" ref="AS148">IF(ISNUMBER(AC148),INDEX('All Player Data Store'!$Q$8:$Q$594,SMALL(IF('All Player Data Store'!$Y$7:$Y$594=AC148,ROW('All Player Data Store'!$Y$7:$Y$594)-ROW('All Player Data Store'!$Y$7)+1),COUNTIF($AC$8:AC148,AC148))),"")</f>
        <v/>
      </c>
      <c r="AT148" s="108" t="str">
        <f t="shared" si="10"/>
        <v/>
      </c>
      <c r="AU148" s="108" t="str">
        <f t="array" ref="AU148">IF(ISNUMBER(AC148),INDEX('All Player Data Store'!$R$8:$R$594,SMALL(IF('All Player Data Store'!$Y$7:$Y$594=AC148,ROW('All Player Data Store'!$Y$7:$Y$594)-ROW('All Player Data Store'!$Y$7)+1),COUNTIF($AC$8:AC148,AC148))),"")</f>
        <v/>
      </c>
      <c r="AV148" s="108" t="str">
        <f t="shared" si="11"/>
        <v/>
      </c>
      <c r="AW148" s="108" t="str">
        <f t="array" ref="AW148">IF(ISNUMBER(AC148),INDEX('All Player Data Store'!$S$8:$S$594,SMALL(IF('All Player Data Store'!$Y$7:$Y$594=AC148,ROW('All Player Data Store'!$Y$7:$Y$594)-ROW('All Player Data Store'!$Y$7)+1),COUNTIF($AC$8:AC148,AC148))),"")</f>
        <v/>
      </c>
      <c r="AX148" s="108" t="str">
        <f t="shared" si="12"/>
        <v/>
      </c>
      <c r="AY148" s="108" t="str">
        <f t="array" ref="AY148">IF(ISNUMBER(AC148),INDEX('All Player Data Store'!$T$8:$T$594,SMALL(IF('All Player Data Store'!$Y$7:$Y$594=AC148,ROW('All Player Data Store'!$Y$7:$Y$594)-ROW('All Player Data Store'!$Y$7)+1),COUNTIF($AC$8:AC148,AC148))),"")</f>
        <v/>
      </c>
      <c r="AZ148" s="108" t="str">
        <f t="shared" si="13"/>
        <v/>
      </c>
      <c r="BA148" s="108" t="str">
        <f t="array" ref="BA148">IF(ISNUMBER(AC148),INDEX('All Player Data Store'!$U$8:$U$594,SMALL(IF('All Player Data Store'!$Y$7:$Y$594=AC148,ROW('All Player Data Store'!$Y$7:$Y$594)-ROW('All Player Data Store'!$Y$7)+1),COUNTIF($AC$8:AC148,AC148))),"")</f>
        <v/>
      </c>
      <c r="BB148" s="108" t="str">
        <f t="shared" si="14"/>
        <v/>
      </c>
      <c r="BC148" s="108" t="str">
        <f t="array" ref="BC148">IF(ISNUMBER(AC148),INDEX('All Player Data Store'!$V$8:$V$594,SMALL(IF('All Player Data Store'!$Y$7:$Y$594=AC148,ROW('All Player Data Store'!$Y$7:$Y$594)-ROW('All Player Data Store'!$Y$7)+1),COUNTIF($AC$8:AC148,AC148))),"")</f>
        <v/>
      </c>
      <c r="BD148" s="108" t="str">
        <f t="shared" si="15"/>
        <v/>
      </c>
      <c r="BE148" s="1"/>
    </row>
    <row r="149" spans="2:57" ht="12" customHeight="1" x14ac:dyDescent="0.2">
      <c r="B149" s="98" t="str">
        <f t="shared" si="0"/>
        <v>N</v>
      </c>
      <c r="C149" s="1"/>
      <c r="D149" s="68">
        <f t="shared" si="1"/>
        <v>142</v>
      </c>
      <c r="E149" s="2"/>
      <c r="F149" s="78">
        <v>142</v>
      </c>
      <c r="G149" s="110" t="str">
        <f t="array" ref="G149">IF(ISNUMBER(AC149),INDEX('All Player Data Store'!$C$7:$C$594,SMALL(IF('All Player Data Store'!$Y$7:$Y$594=AC149,ROW('All Player Data Store'!$Y$7:$Y$594)-ROW('All Player Data Store'!$Y$7)+1),COUNTIF($AC$8:AC149,AC149))),"")</f>
        <v>Kaine Pragnell</v>
      </c>
      <c r="H149" s="111" t="str">
        <f t="array" ref="H149">IF(ISNUMBER(AC149),INDEX('All Player Data Store'!$D$7:$D$594,SMALL(IF('All Player Data Store'!$Y$7:$Y$594=AC149,ROW('All Player Data Store'!$Y$7:$Y$594)-ROW('All Player Data Store'!$Y$7)+1),COUNTIF($AC$8:AC149,AC149))),"")</f>
        <v>Swa</v>
      </c>
      <c r="I149" s="69">
        <f t="array" ref="I149">IF(ISNUMBER(AC149),INDEX('All Player Data Store'!$E$7:$E$594,SMALL(IF('All Player Data Store'!$Y$7:$Y$594=AC149,ROW('All Player Data Store'!$Y$7:$Y$594)-ROW('All Player Data Store'!$Y$7)+1),COUNTIF($AC$8:AC149,AC149))),"")</f>
        <v>2</v>
      </c>
      <c r="J149" s="70">
        <f t="array" ref="J149">IF(ISNUMBER(AC149),INDEX('All Player Data Store'!$F$7:$F$594,SMALL(IF('All Player Data Store'!$Y$7:$Y$594=AC149,ROW('All Player Data Store'!$Y$7:$Y$594)-ROW('All Player Data Store'!$Y$7)+1),COUNTIF($AC$8:AC149,AC149))),"")</f>
        <v>1</v>
      </c>
      <c r="K149" s="112">
        <f t="array" ref="K149">IF(ISNUMBER(AC149),INDEX('All Player Data Store'!$G$7:$G$594,SMALL(IF('All Player Data Store'!$Y$7:$Y$594=AC149,ROW('All Player Data Store'!$Y$7:$Y$594)-ROW('All Player Data Store'!$Y$7)+1),COUNTIF($AC$8:AC149,AC149))),"")</f>
        <v>1</v>
      </c>
      <c r="L149" s="112">
        <f t="array" ref="L149">IF(ISNUMBER(AC149),INDEX('All Player Data Store'!$H$7:$H$594,SMALL(IF('All Player Data Store'!$Y$7:$Y$594=AC149,ROW('All Player Data Store'!$Y$7:$Y$594)-ROW('All Player Data Store'!$Y$7)+1),COUNTIF($AC$8:AC149,AC149))),"")</f>
        <v>4</v>
      </c>
      <c r="M149" s="113">
        <f t="array" ref="M149">IF(ISNUMBER(AC149),INDEX('All Player Data Store'!$I$7:$I$594,SMALL(IF('All Player Data Store'!$Y$7:$Y$594=AC149,ROW('All Player Data Store'!$Y$7:$Y$594)-ROW('All Player Data Store'!$Y$7)+1),COUNTIF($AC$8:AC149,AC149))),"")</f>
        <v>6</v>
      </c>
      <c r="N149" s="114" t="str">
        <f t="array" ref="N149">IF(ISNUMBER(AC149),INDEX('All Player Data Store'!$J$7:$J$594,SMALL(IF('All Player Data Store'!$Y$7:$Y$594=AC149,ROW('All Player Data Store'!$Y$7:$Y$594)-ROW('All Player Data Store'!$Y$7)+1),COUNTIF($AC$8:AC149,AC149))),"")</f>
        <v/>
      </c>
      <c r="O149" s="108" t="str">
        <f t="array" ref="O149">IF(ISNUMBER(AC149),INDEX('All Player Data Store'!$K$7:$K$594,SMALL(IF('All Player Data Store'!$Y$7:$Y$594=AC149,ROW('All Player Data Store'!$Y$7:$Y$594)-ROW('All Player Data Store'!$Y$7)+1),COUNTIF($AC$8:AC149,AC149))),"")</f>
        <v/>
      </c>
      <c r="P149" s="108" t="str">
        <f t="array" ref="P149">IF(ISNUMBER(AC149),INDEX('All Player Data Store'!$L$7:$L$594,SMALL(IF('All Player Data Store'!$Y$7:$Y$594=AC149,ROW('All Player Data Store'!$Y$7:$Y$594)-ROW('All Player Data Store'!$Y$7)+1),COUNTIF($AC$8:AC149,AC149))),"")</f>
        <v/>
      </c>
      <c r="Q149" s="108" t="str">
        <f t="array" ref="Q149">IF(ISNUMBER(AC149),INDEX('All Player Data Store'!$M$7:$M$594,SMALL(IF('All Player Data Store'!$Y$7:$Y$594=AC149,ROW('All Player Data Store'!$Y$7:$Y$594)-ROW('All Player Data Store'!$Y$7)+1),COUNTIF($AC$8:AC149,AC149))),"")</f>
        <v/>
      </c>
      <c r="R149" s="108" t="str">
        <f t="array" ref="R149">IF(ISNUMBER(AC149),INDEX('All Player Data Store'!$N$7:$N$594,SMALL(IF('All Player Data Store'!$Y$7:$Y$594=AC149,ROW('All Player Data Store'!$Y$7:$Y$594)-ROW('All Player Data Store'!$Y$7)+1),COUNTIF($AC$8:AC149,AC149))),"")</f>
        <v/>
      </c>
      <c r="S149" s="108" t="str">
        <f t="array" ref="S149">IF(ISNUMBER(AC149),INDEX('All Player Data Store'!$O$7:$O$594,SMALL(IF('All Player Data Store'!$Y$7:$Y$594=AC149,ROW('All Player Data Store'!$Y$7:$Y$594)-ROW('All Player Data Store'!$Y$7)+1),COUNTIF($AC$8:AC149,AC149))),"")</f>
        <v/>
      </c>
      <c r="T149" s="108" t="str">
        <f t="array" ref="T149">IF(ISNUMBER(AC149),INDEX('All Player Data Store'!$P$7:$P$594,SMALL(IF('All Player Data Store'!$Y$7:$Y$594=AC149,ROW('All Player Data Store'!$Y$7:$Y$594)-ROW('All Player Data Store'!$Y$7)+1),COUNTIF($AC$8:AC149,AC149))),"")</f>
        <v/>
      </c>
      <c r="U149" s="108" t="str">
        <f t="array" ref="U149">IF(ISNUMBER(AC149),INDEX('All Player Data Store'!$Q$7:$Q$594,SMALL(IF('All Player Data Store'!$Y$7:$Y$594=AC149,ROW('All Player Data Store'!$Y$7:$Y$594)-ROW('All Player Data Store'!$Y$7)+1),COUNTIF($AC$8:AC149,AC149))),"")</f>
        <v/>
      </c>
      <c r="V149" s="108" t="str">
        <f t="array" ref="V149">IF(ISNUMBER(AC149),INDEX('All Player Data Store'!$R$7:$R$594,SMALL(IF('All Player Data Store'!$Y$7:$Y$594=AC149,ROW('All Player Data Store'!$Y$7:$Y$594)-ROW('All Player Data Store'!$Y$7)+1),COUNTIF($AC$8:AC149,AC149))),"")</f>
        <v/>
      </c>
      <c r="W149" s="108" t="str">
        <f t="array" ref="W149">IF(ISNUMBER(AC149),INDEX('All Player Data Store'!$S$7:$S$594,SMALL(IF('All Player Data Store'!$Y$7:$Y$594=AC149,ROW('All Player Data Store'!$Y$7:$Y$594)-ROW('All Player Data Store'!$Y$7)+1),COUNTIF($AC$8:AC149,AC149))),"")</f>
        <v/>
      </c>
      <c r="X149" s="108" t="str">
        <f t="array" ref="X149">IF(ISNUMBER(AC149),INDEX('All Player Data Store'!$T$7:$T$594,SMALL(IF('All Player Data Store'!$Y$7:$Y$594=AC149,ROW('All Player Data Store'!$Y$7:$Y$594)-ROW('All Player Data Store'!$Y$7)+1),COUNTIF($AC$8:AC149,AC149))),"")</f>
        <v/>
      </c>
      <c r="Y149" s="108">
        <f t="array" ref="Y149">IF(ISNUMBER(AC149),INDEX('All Player Data Store'!$U$7:$U$594,SMALL(IF('All Player Data Store'!$Y$7:$Y$594=AC149,ROW('All Player Data Store'!$Y$7:$Y$594)-ROW('All Player Data Store'!$Y$7)+1),COUNTIF($AC$8:AC149,AC149))),"")</f>
        <v>19.690000000000001</v>
      </c>
      <c r="Z149" s="108">
        <f t="array" ref="Z149">IF(ISNUMBER(AC149),INDEX('All Player Data Store'!$V$7:$V$594,SMALL(IF('All Player Data Store'!$Y$7:$Y$594=AC149,ROW('All Player Data Store'!$Y$7:$Y$594)-ROW('All Player Data Store'!$Y$7)+1),COUNTIF($AC$8:AC149,AC149))),"")</f>
        <v>19.45</v>
      </c>
      <c r="AA149" s="112" t="str">
        <f t="array" ref="AA149">IF(ISNUMBER(AC149),INDEX('All Player Data Store'!$W$7:$W$594,SMALL(IF('All Player Data Store'!$Y$7:$Y$594=AC149,ROW('All Player Data Store'!$Y$7:$Y$594)-ROW('All Player Data Store'!$Y$7)+1),COUNTIF($AC$8:AC149,AC149))),"")</f>
        <v/>
      </c>
      <c r="AB149" s="108">
        <f t="array" ref="AB149">IF(ISNUMBER(AC149),INDEX('All Player Data Store'!$X$7:$X$594,SMALL(IF('All Player Data Store'!$Y$7:$Y$594=AC149,ROW('All Player Data Store'!$Y$7:$Y$594)-ROW('All Player Data Store'!$Y$7)+1),COUNTIF($AC$8:AC149,AC149))),"")</f>
        <v>19.57</v>
      </c>
      <c r="AC149" s="115">
        <f>IF(ISERROR(IF(ISERROR(LARGE('All Player Data Store'!$Y$7:$Y$594,142)),"",(LARGE('All Player Data Store'!$Y$7:$Y$594,142)))),"",(IF(ISERROR(LARGE('All Player Data Store'!$Y$7:$Y$594,142)),"",(LARGE('All Player Data Store'!$Y$7:$Y$594,142)))))</f>
        <v>20.57</v>
      </c>
      <c r="AD149" s="106">
        <f t="shared" si="16"/>
        <v>3</v>
      </c>
      <c r="AE149" s="107" t="str">
        <f t="array" ref="AE149">IF(ISNUMBER(AC149),INDEX('All Player Data Store'!$J$8:$J$594,SMALL(IF('All Player Data Store'!$Y$7:$Y$594=AC149,ROW('All Player Data Store'!$Y$7:$Y$594)-ROW('All Player Data Store'!$Y$7)+1),COUNTIF($AC$8:AC149,AC149))),"")</f>
        <v/>
      </c>
      <c r="AF149" s="108" t="str">
        <f t="shared" si="3"/>
        <v/>
      </c>
      <c r="AG149" s="108" t="str">
        <f t="array" ref="AG149">IF(ISNUMBER(AC149),INDEX('All Player Data Store'!$K$8:$K$594,SMALL(IF('All Player Data Store'!$Y$7:$Y$594=AC149,ROW('All Player Data Store'!$Y$7:$Y$594)-ROW('All Player Data Store'!$Y$7)+1),COUNTIF($AC$8:AC149,AC149))),"")</f>
        <v/>
      </c>
      <c r="AH149" s="108" t="str">
        <f t="shared" si="4"/>
        <v/>
      </c>
      <c r="AI149" s="108" t="str">
        <f t="array" ref="AI149">IF(ISNUMBER(AC149),INDEX('All Player Data Store'!$L$8:$L$594,SMALL(IF('All Player Data Store'!$Y$7:$Y$594=AC149,ROW('All Player Data Store'!$Y$7:$Y$594)-ROW('All Player Data Store'!$Y$7)+1),COUNTIF($AC$8:AC149,AC149))),"")</f>
        <v/>
      </c>
      <c r="AJ149" s="108" t="str">
        <f t="shared" si="5"/>
        <v/>
      </c>
      <c r="AK149" s="108" t="str">
        <f t="array" ref="AK149">IF(ISNUMBER(AC149),INDEX('All Player Data Store'!$M$8:$M$594,SMALL(IF('All Player Data Store'!$Y$7:$Y$594=AC149,ROW('All Player Data Store'!$Y$7:$Y$594)-ROW('All Player Data Store'!$Y$7)+1),COUNTIF($AC$8:AC149,AC149))),"")</f>
        <v/>
      </c>
      <c r="AL149" s="108" t="str">
        <f t="shared" si="6"/>
        <v/>
      </c>
      <c r="AM149" s="108" t="str">
        <f t="array" ref="AM149">IF(ISNUMBER(AC149),INDEX('All Player Data Store'!$N$8:$N$594,SMALL(IF('All Player Data Store'!$Y$7:$Y$594=AC149,ROW('All Player Data Store'!$Y$7:$Y$594)-ROW('All Player Data Store'!$Y$7)+1),COUNTIF($AC$8:AC149,AC149))),"")</f>
        <v/>
      </c>
      <c r="AN149" s="108" t="str">
        <f t="shared" si="7"/>
        <v/>
      </c>
      <c r="AO149" s="108" t="str">
        <f t="array" ref="AO149">IF(ISNUMBER(AC149),INDEX('All Player Data Store'!$O$8:$O$594,SMALL(IF('All Player Data Store'!$Y$7:$Y$594=AC149,ROW('All Player Data Store'!$Y$7:$Y$594)-ROW('All Player Data Store'!$Y$7)+1),COUNTIF($AC$8:AC149,AC149))),"")</f>
        <v/>
      </c>
      <c r="AP149" s="108" t="str">
        <f t="shared" si="8"/>
        <v/>
      </c>
      <c r="AQ149" s="108" t="str">
        <f t="array" ref="AQ149">IF(ISNUMBER(AC149),INDEX('All Player Data Store'!$P$8:$P$594,SMALL(IF('All Player Data Store'!$Y$7:$Y$594=AC149,ROW('All Player Data Store'!$Y$7:$Y$594)-ROW('All Player Data Store'!$Y$7)+1),COUNTIF($AC$8:AC149,AC149))),"")</f>
        <v/>
      </c>
      <c r="AR149" s="108" t="str">
        <f t="shared" si="9"/>
        <v/>
      </c>
      <c r="AS149" s="108" t="str">
        <f t="array" ref="AS149">IF(ISNUMBER(AC149),INDEX('All Player Data Store'!$Q$8:$Q$594,SMALL(IF('All Player Data Store'!$Y$7:$Y$594=AC149,ROW('All Player Data Store'!$Y$7:$Y$594)-ROW('All Player Data Store'!$Y$7)+1),COUNTIF($AC$8:AC149,AC149))),"")</f>
        <v/>
      </c>
      <c r="AT149" s="108" t="str">
        <f t="shared" si="10"/>
        <v/>
      </c>
      <c r="AU149" s="108" t="str">
        <f t="array" ref="AU149">IF(ISNUMBER(AC149),INDEX('All Player Data Store'!$R$8:$R$594,SMALL(IF('All Player Data Store'!$Y$7:$Y$594=AC149,ROW('All Player Data Store'!$Y$7:$Y$594)-ROW('All Player Data Store'!$Y$7)+1),COUNTIF($AC$8:AC149,AC149))),"")</f>
        <v/>
      </c>
      <c r="AV149" s="108" t="str">
        <f t="shared" si="11"/>
        <v/>
      </c>
      <c r="AW149" s="108" t="str">
        <f t="array" ref="AW149">IF(ISNUMBER(AC149),INDEX('All Player Data Store'!$S$8:$S$594,SMALL(IF('All Player Data Store'!$Y$7:$Y$594=AC149,ROW('All Player Data Store'!$Y$7:$Y$594)-ROW('All Player Data Store'!$Y$7)+1),COUNTIF($AC$8:AC149,AC149))),"")</f>
        <v/>
      </c>
      <c r="AX149" s="108" t="str">
        <f t="shared" si="12"/>
        <v/>
      </c>
      <c r="AY149" s="108" t="str">
        <f t="array" ref="AY149">IF(ISNUMBER(AC149),INDEX('All Player Data Store'!$T$8:$T$594,SMALL(IF('All Player Data Store'!$Y$7:$Y$594=AC149,ROW('All Player Data Store'!$Y$7:$Y$594)-ROW('All Player Data Store'!$Y$7)+1),COUNTIF($AC$8:AC149,AC149))),"")</f>
        <v/>
      </c>
      <c r="AZ149" s="108" t="str">
        <f t="shared" si="13"/>
        <v/>
      </c>
      <c r="BA149" s="108" t="str">
        <f t="array" ref="BA149">IF(ISNUMBER(AC149),INDEX('All Player Data Store'!$U$8:$U$594,SMALL(IF('All Player Data Store'!$Y$7:$Y$594=AC149,ROW('All Player Data Store'!$Y$7:$Y$594)-ROW('All Player Data Store'!$Y$7)+1),COUNTIF($AC$8:AC149,AC149))),"")</f>
        <v>0*4</v>
      </c>
      <c r="BB149" s="108">
        <f t="shared" si="14"/>
        <v>19.690000000000001</v>
      </c>
      <c r="BC149" s="108" t="str">
        <f t="array" ref="BC149">IF(ISNUMBER(AC149),INDEX('All Player Data Store'!$V$8:$V$594,SMALL(IF('All Player Data Store'!$Y$7:$Y$594=AC149,ROW('All Player Data Store'!$Y$7:$Y$594)-ROW('All Player Data Store'!$Y$7)+1),COUNTIF($AC$8:AC149,AC149))),"")</f>
        <v>4*2</v>
      </c>
      <c r="BD149" s="108">
        <f t="shared" si="15"/>
        <v>20.45</v>
      </c>
      <c r="BE149" s="1"/>
    </row>
    <row r="150" spans="2:57" ht="12" customHeight="1" x14ac:dyDescent="0.2">
      <c r="B150" s="98" t="str">
        <f t="shared" si="0"/>
        <v>N</v>
      </c>
      <c r="C150" s="1"/>
      <c r="D150" s="68">
        <f t="shared" si="1"/>
        <v>143</v>
      </c>
      <c r="E150" s="2"/>
      <c r="F150" s="78">
        <v>143</v>
      </c>
      <c r="G150" s="110" t="str">
        <f t="array" ref="G150">IF(ISNUMBER(AC150),INDEX('All Player Data Store'!$C$7:$C$594,SMALL(IF('All Player Data Store'!$Y$7:$Y$594=AC150,ROW('All Player Data Store'!$Y$7:$Y$594)-ROW('All Player Data Store'!$Y$7)+1),COUNTIF($AC$8:AC150,AC150))),"")</f>
        <v>Richard Clark</v>
      </c>
      <c r="H150" s="111" t="str">
        <f t="array" ref="H150">IF(ISNUMBER(AC150),INDEX('All Player Data Store'!$D$7:$D$594,SMALL(IF('All Player Data Store'!$Y$7:$Y$594=AC150,ROW('All Player Data Store'!$Y$7:$Y$594)-ROW('All Player Data Store'!$Y$7)+1),COUNTIF($AC$8:AC150,AC150))),"")</f>
        <v>Bos</v>
      </c>
      <c r="I150" s="69">
        <f t="array" ref="I150">IF(ISNUMBER(AC150),INDEX('All Player Data Store'!$E$7:$E$594,SMALL(IF('All Player Data Store'!$Y$7:$Y$594=AC150,ROW('All Player Data Store'!$Y$7:$Y$594)-ROW('All Player Data Store'!$Y$7)+1),COUNTIF($AC$8:AC150,AC150))),"")</f>
        <v>6</v>
      </c>
      <c r="J150" s="70">
        <f t="array" ref="J150">IF(ISNUMBER(AC150),INDEX('All Player Data Store'!$F$7:$F$594,SMALL(IF('All Player Data Store'!$Y$7:$Y$594=AC150,ROW('All Player Data Store'!$Y$7:$Y$594)-ROW('All Player Data Store'!$Y$7)+1),COUNTIF($AC$8:AC150,AC150))),"")</f>
        <v>2</v>
      </c>
      <c r="K150" s="112">
        <f t="array" ref="K150">IF(ISNUMBER(AC150),INDEX('All Player Data Store'!$G$7:$G$594,SMALL(IF('All Player Data Store'!$Y$7:$Y$594=AC150,ROW('All Player Data Store'!$Y$7:$Y$594)-ROW('All Player Data Store'!$Y$7)+1),COUNTIF($AC$8:AC150,AC150))),"")</f>
        <v>4</v>
      </c>
      <c r="L150" s="112">
        <f t="array" ref="L150">IF(ISNUMBER(AC150),INDEX('All Player Data Store'!$H$7:$H$594,SMALL(IF('All Player Data Store'!$Y$7:$Y$594=AC150,ROW('All Player Data Store'!$Y$7:$Y$594)-ROW('All Player Data Store'!$Y$7)+1),COUNTIF($AC$8:AC150,AC150))),"")</f>
        <v>14</v>
      </c>
      <c r="M150" s="113">
        <f t="array" ref="M150">IF(ISNUMBER(AC150),INDEX('All Player Data Store'!$I$7:$I$594,SMALL(IF('All Player Data Store'!$Y$7:$Y$594=AC150,ROW('All Player Data Store'!$Y$7:$Y$594)-ROW('All Player Data Store'!$Y$7)+1),COUNTIF($AC$8:AC150,AC150))),"")</f>
        <v>21</v>
      </c>
      <c r="N150" s="114" t="str">
        <f t="array" ref="N150">IF(ISNUMBER(AC150),INDEX('All Player Data Store'!$J$7:$J$594,SMALL(IF('All Player Data Store'!$Y$7:$Y$594=AC150,ROW('All Player Data Store'!$Y$7:$Y$594)-ROW('All Player Data Store'!$Y$7)+1),COUNTIF($AC$8:AC150,AC150))),"")</f>
        <v/>
      </c>
      <c r="O150" s="108" t="str">
        <f t="array" ref="O150">IF(ISNUMBER(AC150),INDEX('All Player Data Store'!$K$7:$K$594,SMALL(IF('All Player Data Store'!$Y$7:$Y$594=AC150,ROW('All Player Data Store'!$Y$7:$Y$594)-ROW('All Player Data Store'!$Y$7)+1),COUNTIF($AC$8:AC150,AC150))),"")</f>
        <v/>
      </c>
      <c r="P150" s="108" t="str">
        <f t="array" ref="P150">IF(ISNUMBER(AC150),INDEX('All Player Data Store'!$L$7:$L$594,SMALL(IF('All Player Data Store'!$Y$7:$Y$594=AC150,ROW('All Player Data Store'!$Y$7:$Y$594)-ROW('All Player Data Store'!$Y$7)+1),COUNTIF($AC$8:AC150,AC150))),"")</f>
        <v/>
      </c>
      <c r="Q150" s="108" t="str">
        <f t="array" ref="Q150">IF(ISNUMBER(AC150),INDEX('All Player Data Store'!$M$7:$M$594,SMALL(IF('All Player Data Store'!$Y$7:$Y$594=AC150,ROW('All Player Data Store'!$Y$7:$Y$594)-ROW('All Player Data Store'!$Y$7)+1),COUNTIF($AC$8:AC150,AC150))),"")</f>
        <v/>
      </c>
      <c r="R150" s="108">
        <f t="array" ref="R150">IF(ISNUMBER(AC150),INDEX('All Player Data Store'!$N$7:$N$594,SMALL(IF('All Player Data Store'!$Y$7:$Y$594=AC150,ROW('All Player Data Store'!$Y$7:$Y$594)-ROW('All Player Data Store'!$Y$7)+1),COUNTIF($AC$8:AC150,AC150))),"")</f>
        <v>15.96</v>
      </c>
      <c r="S150" s="108">
        <f t="array" ref="S150">IF(ISNUMBER(AC150),INDEX('All Player Data Store'!$O$7:$O$594,SMALL(IF('All Player Data Store'!$Y$7:$Y$594=AC150,ROW('All Player Data Store'!$Y$7:$Y$594)-ROW('All Player Data Store'!$Y$7)+1),COUNTIF($AC$8:AC150,AC150))),"")</f>
        <v>17.41</v>
      </c>
      <c r="T150" s="108">
        <f t="array" ref="T150">IF(ISNUMBER(AC150),INDEX('All Player Data Store'!$P$7:$P$594,SMALL(IF('All Player Data Store'!$Y$7:$Y$594=AC150,ROW('All Player Data Store'!$Y$7:$Y$594)-ROW('All Player Data Store'!$Y$7)+1),COUNTIF($AC$8:AC150,AC150))),"")</f>
        <v>18.57</v>
      </c>
      <c r="U150" s="108">
        <f t="array" ref="U150">IF(ISNUMBER(AC150),INDEX('All Player Data Store'!$Q$7:$Q$594,SMALL(IF('All Player Data Store'!$Y$7:$Y$594=AC150,ROW('All Player Data Store'!$Y$7:$Y$594)-ROW('All Player Data Store'!$Y$7)+1),COUNTIF($AC$8:AC150,AC150))),"")</f>
        <v>18.93</v>
      </c>
      <c r="V150" s="108" t="str">
        <f t="array" ref="V150">IF(ISNUMBER(AC150),INDEX('All Player Data Store'!$R$7:$R$594,SMALL(IF('All Player Data Store'!$Y$7:$Y$594=AC150,ROW('All Player Data Store'!$Y$7:$Y$594)-ROW('All Player Data Store'!$Y$7)+1),COUNTIF($AC$8:AC150,AC150))),"")</f>
        <v/>
      </c>
      <c r="W150" s="108" t="str">
        <f t="array" ref="W150">IF(ISNUMBER(AC150),INDEX('All Player Data Store'!$S$7:$S$594,SMALL(IF('All Player Data Store'!$Y$7:$Y$594=AC150,ROW('All Player Data Store'!$Y$7:$Y$594)-ROW('All Player Data Store'!$Y$7)+1),COUNTIF($AC$8:AC150,AC150))),"")</f>
        <v/>
      </c>
      <c r="X150" s="108">
        <f t="array" ref="X150">IF(ISNUMBER(AC150),INDEX('All Player Data Store'!$T$7:$T$594,SMALL(IF('All Player Data Store'!$Y$7:$Y$594=AC150,ROW('All Player Data Store'!$Y$7:$Y$594)-ROW('All Player Data Store'!$Y$7)+1),COUNTIF($AC$8:AC150,AC150))),"")</f>
        <v>22.92</v>
      </c>
      <c r="Y150" s="108">
        <f t="array" ref="Y150">IF(ISNUMBER(AC150),INDEX('All Player Data Store'!$U$7:$U$594,SMALL(IF('All Player Data Store'!$Y$7:$Y$594=AC150,ROW('All Player Data Store'!$Y$7:$Y$594)-ROW('All Player Data Store'!$Y$7)+1),COUNTIF($AC$8:AC150,AC150))),"")</f>
        <v>17.11</v>
      </c>
      <c r="Z150" s="108" t="str">
        <f t="array" ref="Z150">IF(ISNUMBER(AC150),INDEX('All Player Data Store'!$V$7:$V$594,SMALL(IF('All Player Data Store'!$Y$7:$Y$594=AC150,ROW('All Player Data Store'!$Y$7:$Y$594)-ROW('All Player Data Store'!$Y$7)+1),COUNTIF($AC$8:AC150,AC150))),"")</f>
        <v/>
      </c>
      <c r="AA150" s="112">
        <f t="array" ref="AA150">IF(ISNUMBER(AC150),INDEX('All Player Data Store'!$W$7:$W$594,SMALL(IF('All Player Data Store'!$Y$7:$Y$594=AC150,ROW('All Player Data Store'!$Y$7:$Y$594)-ROW('All Player Data Store'!$Y$7)+1),COUNTIF($AC$8:AC150,AC150))),"")</f>
        <v>2</v>
      </c>
      <c r="AB150" s="108">
        <f t="array" ref="AB150">IF(ISNUMBER(AC150),INDEX('All Player Data Store'!$X$7:$X$594,SMALL(IF('All Player Data Store'!$Y$7:$Y$594=AC150,ROW('All Player Data Store'!$Y$7:$Y$594)-ROW('All Player Data Store'!$Y$7)+1),COUNTIF($AC$8:AC150,AC150))),"")</f>
        <v>18.483333333333334</v>
      </c>
      <c r="AC150" s="115">
        <f>IF(ISERROR(IF(ISERROR(LARGE('All Player Data Store'!$Y$7:$Y$594,143)),"",(LARGE('All Player Data Store'!$Y$7:$Y$594,143)))),"",(IF(ISERROR(LARGE('All Player Data Store'!$Y$7:$Y$594,143)),"",(LARGE('All Player Data Store'!$Y$7:$Y$594,143)))))</f>
        <v>20.483333333333334</v>
      </c>
      <c r="AD150" s="106">
        <f t="shared" si="16"/>
        <v>3</v>
      </c>
      <c r="AE150" s="107" t="str">
        <f t="array" ref="AE150">IF(ISNUMBER(AC150),INDEX('All Player Data Store'!$J$8:$J$594,SMALL(IF('All Player Data Store'!$Y$7:$Y$594=AC150,ROW('All Player Data Store'!$Y$7:$Y$594)-ROW('All Player Data Store'!$Y$7)+1),COUNTIF($AC$8:AC150,AC150))),"")</f>
        <v/>
      </c>
      <c r="AF150" s="108" t="str">
        <f t="shared" si="3"/>
        <v/>
      </c>
      <c r="AG150" s="108" t="str">
        <f t="array" ref="AG150">IF(ISNUMBER(AC150),INDEX('All Player Data Store'!$K$8:$K$594,SMALL(IF('All Player Data Store'!$Y$7:$Y$594=AC150,ROW('All Player Data Store'!$Y$7:$Y$594)-ROW('All Player Data Store'!$Y$7)+1),COUNTIF($AC$8:AC150,AC150))),"")</f>
        <v/>
      </c>
      <c r="AH150" s="108" t="str">
        <f t="shared" si="4"/>
        <v/>
      </c>
      <c r="AI150" s="108" t="str">
        <f t="array" ref="AI150">IF(ISNUMBER(AC150),INDEX('All Player Data Store'!$L$8:$L$594,SMALL(IF('All Player Data Store'!$Y$7:$Y$594=AC150,ROW('All Player Data Store'!$Y$7:$Y$594)-ROW('All Player Data Store'!$Y$7)+1),COUNTIF($AC$8:AC150,AC150))),"")</f>
        <v/>
      </c>
      <c r="AJ150" s="108" t="str">
        <f t="shared" si="5"/>
        <v/>
      </c>
      <c r="AK150" s="108" t="str">
        <f t="array" ref="AK150">IF(ISNUMBER(AC150),INDEX('All Player Data Store'!$M$8:$M$594,SMALL(IF('All Player Data Store'!$Y$7:$Y$594=AC150,ROW('All Player Data Store'!$Y$7:$Y$594)-ROW('All Player Data Store'!$Y$7)+1),COUNTIF($AC$8:AC150,AC150))),"")</f>
        <v/>
      </c>
      <c r="AL150" s="108" t="str">
        <f t="shared" si="6"/>
        <v/>
      </c>
      <c r="AM150" s="108" t="str">
        <f t="array" ref="AM150">IF(ISNUMBER(AC150),INDEX('All Player Data Store'!$N$8:$N$594,SMALL(IF('All Player Data Store'!$Y$7:$Y$594=AC150,ROW('All Player Data Store'!$Y$7:$Y$594)-ROW('All Player Data Store'!$Y$7)+1),COUNTIF($AC$8:AC150,AC150))),"")</f>
        <v>1*4</v>
      </c>
      <c r="AN150" s="108">
        <f t="shared" si="7"/>
        <v>15.96</v>
      </c>
      <c r="AO150" s="108" t="str">
        <f t="array" ref="AO150">IF(ISNUMBER(AC150),INDEX('All Player Data Store'!$O$8:$O$594,SMALL(IF('All Player Data Store'!$Y$7:$Y$594=AC150,ROW('All Player Data Store'!$Y$7:$Y$594)-ROW('All Player Data Store'!$Y$7)+1),COUNTIF($AC$8:AC150,AC150))),"")</f>
        <v>4*2</v>
      </c>
      <c r="AP150" s="108">
        <f t="shared" si="8"/>
        <v>18.41</v>
      </c>
      <c r="AQ150" s="108" t="str">
        <f t="array" ref="AQ150">IF(ISNUMBER(AC150),INDEX('All Player Data Store'!$P$8:$P$594,SMALL(IF('All Player Data Store'!$Y$7:$Y$594=AC150,ROW('All Player Data Store'!$Y$7:$Y$594)-ROW('All Player Data Store'!$Y$7)+1),COUNTIF($AC$8:AC150,AC150))),"")</f>
        <v>2*4</v>
      </c>
      <c r="AR150" s="108">
        <f t="shared" si="9"/>
        <v>18.57</v>
      </c>
      <c r="AS150" s="108" t="str">
        <f t="array" ref="AS150">IF(ISNUMBER(AC150),INDEX('All Player Data Store'!$Q$8:$Q$594,SMALL(IF('All Player Data Store'!$Y$7:$Y$594=AC150,ROW('All Player Data Store'!$Y$7:$Y$594)-ROW('All Player Data Store'!$Y$7)+1),COUNTIF($AC$8:AC150,AC150))),"")</f>
        <v>1*4(1)</v>
      </c>
      <c r="AT150" s="108">
        <f t="shared" si="10"/>
        <v>18.93</v>
      </c>
      <c r="AU150" s="108" t="str">
        <f t="array" ref="AU150">IF(ISNUMBER(AC150),INDEX('All Player Data Store'!$R$8:$R$594,SMALL(IF('All Player Data Store'!$Y$7:$Y$594=AC150,ROW('All Player Data Store'!$Y$7:$Y$594)-ROW('All Player Data Store'!$Y$7)+1),COUNTIF($AC$8:AC150,AC150))),"")</f>
        <v/>
      </c>
      <c r="AV150" s="108" t="str">
        <f t="shared" si="11"/>
        <v/>
      </c>
      <c r="AW150" s="108" t="str">
        <f t="array" ref="AW150">IF(ISNUMBER(AC150),INDEX('All Player Data Store'!$S$8:$S$594,SMALL(IF('All Player Data Store'!$Y$7:$Y$594=AC150,ROW('All Player Data Store'!$Y$7:$Y$594)-ROW('All Player Data Store'!$Y$7)+1),COUNTIF($AC$8:AC150,AC150))),"")</f>
        <v/>
      </c>
      <c r="AX150" s="108" t="str">
        <f t="shared" si="12"/>
        <v/>
      </c>
      <c r="AY150" s="108" t="str">
        <f t="array" ref="AY150">IF(ISNUMBER(AC150),INDEX('All Player Data Store'!$T$8:$T$594,SMALL(IF('All Player Data Store'!$Y$7:$Y$594=AC150,ROW('All Player Data Store'!$Y$7:$Y$594)-ROW('All Player Data Store'!$Y$7)+1),COUNTIF($AC$8:AC150,AC150))),"")</f>
        <v>2*4(1)</v>
      </c>
      <c r="AZ150" s="108">
        <f t="shared" si="13"/>
        <v>22.92</v>
      </c>
      <c r="BA150" s="108" t="str">
        <f t="array" ref="BA150">IF(ISNUMBER(AC150),INDEX('All Player Data Store'!$U$8:$U$594,SMALL(IF('All Player Data Store'!$Y$7:$Y$594=AC150,ROW('All Player Data Store'!$Y$7:$Y$594)-ROW('All Player Data Store'!$Y$7)+1),COUNTIF($AC$8:AC150,AC150))),"")</f>
        <v>4*3</v>
      </c>
      <c r="BB150" s="108">
        <f t="shared" si="14"/>
        <v>18.11</v>
      </c>
      <c r="BC150" s="108" t="str">
        <f t="array" ref="BC150">IF(ISNUMBER(AC150),INDEX('All Player Data Store'!$V$8:$V$594,SMALL(IF('All Player Data Store'!$Y$7:$Y$594=AC150,ROW('All Player Data Store'!$Y$7:$Y$594)-ROW('All Player Data Store'!$Y$7)+1),COUNTIF($AC$8:AC150,AC150))),"")</f>
        <v/>
      </c>
      <c r="BD150" s="108" t="str">
        <f t="shared" si="15"/>
        <v/>
      </c>
      <c r="BE150" s="1"/>
    </row>
    <row r="151" spans="2:57" ht="12" customHeight="1" x14ac:dyDescent="0.2">
      <c r="B151" s="98" t="str">
        <f t="shared" si="0"/>
        <v>N</v>
      </c>
      <c r="C151" s="1"/>
      <c r="D151" s="68">
        <f t="shared" si="1"/>
        <v>144</v>
      </c>
      <c r="E151" s="2"/>
      <c r="F151" s="78">
        <v>144</v>
      </c>
      <c r="G151" s="110" t="str">
        <f t="array" ref="G151">IF(ISNUMBER(AC151),INDEX('All Player Data Store'!$C$7:$C$594,SMALL(IF('All Player Data Store'!$Y$7:$Y$594=AC151,ROW('All Player Data Store'!$Y$7:$Y$594)-ROW('All Player Data Store'!$Y$7)+1),COUNTIF($AC$8:AC151,AC151))),"")</f>
        <v>Ollie Mears</v>
      </c>
      <c r="H151" s="111" t="str">
        <f t="array" ref="H151">IF(ISNUMBER(AC151),INDEX('All Player Data Store'!$D$7:$D$594,SMALL(IF('All Player Data Store'!$Y$7:$Y$594=AC151,ROW('All Player Data Store'!$Y$7:$Y$594)-ROW('All Player Data Store'!$Y$7)+1),COUNTIF($AC$8:AC151,AC151))),"")</f>
        <v>Bri</v>
      </c>
      <c r="I151" s="69">
        <f t="array" ref="I151">IF(ISNUMBER(AC151),INDEX('All Player Data Store'!$E$7:$E$594,SMALL(IF('All Player Data Store'!$Y$7:$Y$594=AC151,ROW('All Player Data Store'!$Y$7:$Y$594)-ROW('All Player Data Store'!$Y$7)+1),COUNTIF($AC$8:AC151,AC151))),"")</f>
        <v>6</v>
      </c>
      <c r="J151" s="70">
        <f t="array" ref="J151">IF(ISNUMBER(AC151),INDEX('All Player Data Store'!$F$7:$F$594,SMALL(IF('All Player Data Store'!$Y$7:$Y$594=AC151,ROW('All Player Data Store'!$Y$7:$Y$594)-ROW('All Player Data Store'!$Y$7)+1),COUNTIF($AC$8:AC151,AC151))),"")</f>
        <v>2</v>
      </c>
      <c r="K151" s="112">
        <f t="array" ref="K151">IF(ISNUMBER(AC151),INDEX('All Player Data Store'!$G$7:$G$594,SMALL(IF('All Player Data Store'!$Y$7:$Y$594=AC151,ROW('All Player Data Store'!$Y$7:$Y$594)-ROW('All Player Data Store'!$Y$7)+1),COUNTIF($AC$8:AC151,AC151))),"")</f>
        <v>4</v>
      </c>
      <c r="L151" s="112">
        <f t="array" ref="L151">IF(ISNUMBER(AC151),INDEX('All Player Data Store'!$H$7:$H$594,SMALL(IF('All Player Data Store'!$Y$7:$Y$594=AC151,ROW('All Player Data Store'!$Y$7:$Y$594)-ROW('All Player Data Store'!$Y$7)+1),COUNTIF($AC$8:AC151,AC151))),"")</f>
        <v>14</v>
      </c>
      <c r="M151" s="113">
        <f t="array" ref="M151">IF(ISNUMBER(AC151),INDEX('All Player Data Store'!$I$7:$I$594,SMALL(IF('All Player Data Store'!$Y$7:$Y$594=AC151,ROW('All Player Data Store'!$Y$7:$Y$594)-ROW('All Player Data Store'!$Y$7)+1),COUNTIF($AC$8:AC151,AC151))),"")</f>
        <v>21</v>
      </c>
      <c r="N151" s="114">
        <f t="array" ref="N151">IF(ISNUMBER(AC151),INDEX('All Player Data Store'!$J$7:$J$594,SMALL(IF('All Player Data Store'!$Y$7:$Y$594=AC151,ROW('All Player Data Store'!$Y$7:$Y$594)-ROW('All Player Data Store'!$Y$7)+1),COUNTIF($AC$8:AC151,AC151))),"")</f>
        <v>17.27</v>
      </c>
      <c r="O151" s="108" t="str">
        <f t="array" ref="O151">IF(ISNUMBER(AC151),INDEX('All Player Data Store'!$K$7:$K$594,SMALL(IF('All Player Data Store'!$Y$7:$Y$594=AC151,ROW('All Player Data Store'!$Y$7:$Y$594)-ROW('All Player Data Store'!$Y$7)+1),COUNTIF($AC$8:AC151,AC151))),"")</f>
        <v/>
      </c>
      <c r="P151" s="108" t="str">
        <f t="array" ref="P151">IF(ISNUMBER(AC151),INDEX('All Player Data Store'!$L$7:$L$594,SMALL(IF('All Player Data Store'!$Y$7:$Y$594=AC151,ROW('All Player Data Store'!$Y$7:$Y$594)-ROW('All Player Data Store'!$Y$7)+1),COUNTIF($AC$8:AC151,AC151))),"")</f>
        <v/>
      </c>
      <c r="Q151" s="108" t="str">
        <f t="array" ref="Q151">IF(ISNUMBER(AC151),INDEX('All Player Data Store'!$M$7:$M$594,SMALL(IF('All Player Data Store'!$Y$7:$Y$594=AC151,ROW('All Player Data Store'!$Y$7:$Y$594)-ROW('All Player Data Store'!$Y$7)+1),COUNTIF($AC$8:AC151,AC151))),"")</f>
        <v/>
      </c>
      <c r="R151" s="108" t="str">
        <f t="array" ref="R151">IF(ISNUMBER(AC151),INDEX('All Player Data Store'!$N$7:$N$594,SMALL(IF('All Player Data Store'!$Y$7:$Y$594=AC151,ROW('All Player Data Store'!$Y$7:$Y$594)-ROW('All Player Data Store'!$Y$7)+1),COUNTIF($AC$8:AC151,AC151))),"")</f>
        <v/>
      </c>
      <c r="S151" s="108" t="str">
        <f t="array" ref="S151">IF(ISNUMBER(AC151),INDEX('All Player Data Store'!$O$7:$O$594,SMALL(IF('All Player Data Store'!$Y$7:$Y$594=AC151,ROW('All Player Data Store'!$Y$7:$Y$594)-ROW('All Player Data Store'!$Y$7)+1),COUNTIF($AC$8:AC151,AC151))),"")</f>
        <v/>
      </c>
      <c r="T151" s="108" t="str">
        <f t="array" ref="T151">IF(ISNUMBER(AC151),INDEX('All Player Data Store'!$P$7:$P$594,SMALL(IF('All Player Data Store'!$Y$7:$Y$594=AC151,ROW('All Player Data Store'!$Y$7:$Y$594)-ROW('All Player Data Store'!$Y$7)+1),COUNTIF($AC$8:AC151,AC151))),"")</f>
        <v/>
      </c>
      <c r="U151" s="108">
        <f t="array" ref="U151">IF(ISNUMBER(AC151),INDEX('All Player Data Store'!$Q$7:$Q$594,SMALL(IF('All Player Data Store'!$Y$7:$Y$594=AC151,ROW('All Player Data Store'!$Y$7:$Y$594)-ROW('All Player Data Store'!$Y$7)+1),COUNTIF($AC$8:AC151,AC151))),"")</f>
        <v>18.52</v>
      </c>
      <c r="V151" s="108">
        <f t="array" ref="V151">IF(ISNUMBER(AC151),INDEX('All Player Data Store'!$R$7:$R$594,SMALL(IF('All Player Data Store'!$Y$7:$Y$594=AC151,ROW('All Player Data Store'!$Y$7:$Y$594)-ROW('All Player Data Store'!$Y$7)+1),COUNTIF($AC$8:AC151,AC151))),"")</f>
        <v>19.11</v>
      </c>
      <c r="W151" s="108" t="str">
        <f t="array" ref="W151">IF(ISNUMBER(AC151),INDEX('All Player Data Store'!$S$7:$S$594,SMALL(IF('All Player Data Store'!$Y$7:$Y$594=AC151,ROW('All Player Data Store'!$Y$7:$Y$594)-ROW('All Player Data Store'!$Y$7)+1),COUNTIF($AC$8:AC151,AC151))),"")</f>
        <v/>
      </c>
      <c r="X151" s="108">
        <f t="array" ref="X151">IF(ISNUMBER(AC151),INDEX('All Player Data Store'!$T$7:$T$594,SMALL(IF('All Player Data Store'!$Y$7:$Y$594=AC151,ROW('All Player Data Store'!$Y$7:$Y$594)-ROW('All Player Data Store'!$Y$7)+1),COUNTIF($AC$8:AC151,AC151))),"")</f>
        <v>18.53</v>
      </c>
      <c r="Y151" s="108">
        <f t="array" ref="Y151">IF(ISNUMBER(AC151),INDEX('All Player Data Store'!$U$7:$U$594,SMALL(IF('All Player Data Store'!$Y$7:$Y$594=AC151,ROW('All Player Data Store'!$Y$7:$Y$594)-ROW('All Player Data Store'!$Y$7)+1),COUNTIF($AC$8:AC151,AC151))),"")</f>
        <v>16.600000000000001</v>
      </c>
      <c r="Z151" s="108">
        <f t="array" ref="Z151">IF(ISNUMBER(AC151),INDEX('All Player Data Store'!$V$7:$V$594,SMALL(IF('All Player Data Store'!$Y$7:$Y$594=AC151,ROW('All Player Data Store'!$Y$7:$Y$594)-ROW('All Player Data Store'!$Y$7)+1),COUNTIF($AC$8:AC151,AC151))),"")</f>
        <v>19.55</v>
      </c>
      <c r="AA151" s="112">
        <f t="array" ref="AA151">IF(ISNUMBER(AC151),INDEX('All Player Data Store'!$W$7:$W$594,SMALL(IF('All Player Data Store'!$Y$7:$Y$594=AC151,ROW('All Player Data Store'!$Y$7:$Y$594)-ROW('All Player Data Store'!$Y$7)+1),COUNTIF($AC$8:AC151,AC151))),"")</f>
        <v>1</v>
      </c>
      <c r="AB151" s="108">
        <f t="array" ref="AB151">IF(ISNUMBER(AC151),INDEX('All Player Data Store'!$X$7:$X$594,SMALL(IF('All Player Data Store'!$Y$7:$Y$594=AC151,ROW('All Player Data Store'!$Y$7:$Y$594)-ROW('All Player Data Store'!$Y$7)+1),COUNTIF($AC$8:AC151,AC151))),"")</f>
        <v>18.263333333333332</v>
      </c>
      <c r="AC151" s="115">
        <f>IF(ISERROR(IF(ISERROR(LARGE('All Player Data Store'!$Y$7:$Y$594,144)),"",(LARGE('All Player Data Store'!$Y$7:$Y$594,144)))),"",(IF(ISERROR(LARGE('All Player Data Store'!$Y$7:$Y$594,144)),"",(LARGE('All Player Data Store'!$Y$7:$Y$594,144)))))</f>
        <v>20.263333333333332</v>
      </c>
      <c r="AD151" s="106">
        <f t="shared" si="16"/>
        <v>3</v>
      </c>
      <c r="AE151" s="107" t="str">
        <f t="array" ref="AE151">IF(ISNUMBER(AC151),INDEX('All Player Data Store'!$J$8:$J$594,SMALL(IF('All Player Data Store'!$Y$7:$Y$594=AC151,ROW('All Player Data Store'!$Y$7:$Y$594)-ROW('All Player Data Store'!$Y$7)+1),COUNTIF($AC$8:AC151,AC151))),"")</f>
        <v>1*4</v>
      </c>
      <c r="AF151" s="108">
        <f t="shared" si="3"/>
        <v>17.27</v>
      </c>
      <c r="AG151" s="108" t="str">
        <f t="array" ref="AG151">IF(ISNUMBER(AC151),INDEX('All Player Data Store'!$K$8:$K$594,SMALL(IF('All Player Data Store'!$Y$7:$Y$594=AC151,ROW('All Player Data Store'!$Y$7:$Y$594)-ROW('All Player Data Store'!$Y$7)+1),COUNTIF($AC$8:AC151,AC151))),"")</f>
        <v/>
      </c>
      <c r="AH151" s="108" t="str">
        <f t="shared" si="4"/>
        <v/>
      </c>
      <c r="AI151" s="108" t="str">
        <f t="array" ref="AI151">IF(ISNUMBER(AC151),INDEX('All Player Data Store'!$L$8:$L$594,SMALL(IF('All Player Data Store'!$Y$7:$Y$594=AC151,ROW('All Player Data Store'!$Y$7:$Y$594)-ROW('All Player Data Store'!$Y$7)+1),COUNTIF($AC$8:AC151,AC151))),"")</f>
        <v/>
      </c>
      <c r="AJ151" s="108" t="str">
        <f t="shared" si="5"/>
        <v/>
      </c>
      <c r="AK151" s="108" t="str">
        <f t="array" ref="AK151">IF(ISNUMBER(AC151),INDEX('All Player Data Store'!$M$8:$M$594,SMALL(IF('All Player Data Store'!$Y$7:$Y$594=AC151,ROW('All Player Data Store'!$Y$7:$Y$594)-ROW('All Player Data Store'!$Y$7)+1),COUNTIF($AC$8:AC151,AC151))),"")</f>
        <v/>
      </c>
      <c r="AL151" s="108" t="str">
        <f t="shared" si="6"/>
        <v/>
      </c>
      <c r="AM151" s="108" t="str">
        <f t="array" ref="AM151">IF(ISNUMBER(AC151),INDEX('All Player Data Store'!$N$8:$N$594,SMALL(IF('All Player Data Store'!$Y$7:$Y$594=AC151,ROW('All Player Data Store'!$Y$7:$Y$594)-ROW('All Player Data Store'!$Y$7)+1),COUNTIF($AC$8:AC151,AC151))),"")</f>
        <v/>
      </c>
      <c r="AN151" s="108" t="str">
        <f t="shared" si="7"/>
        <v/>
      </c>
      <c r="AO151" s="108" t="str">
        <f t="array" ref="AO151">IF(ISNUMBER(AC151),INDEX('All Player Data Store'!$O$8:$O$594,SMALL(IF('All Player Data Store'!$Y$7:$Y$594=AC151,ROW('All Player Data Store'!$Y$7:$Y$594)-ROW('All Player Data Store'!$Y$7)+1),COUNTIF($AC$8:AC151,AC151))),"")</f>
        <v/>
      </c>
      <c r="AP151" s="108" t="str">
        <f t="shared" si="8"/>
        <v/>
      </c>
      <c r="AQ151" s="108" t="str">
        <f t="array" ref="AQ151">IF(ISNUMBER(AC151),INDEX('All Player Data Store'!$P$8:$P$594,SMALL(IF('All Player Data Store'!$Y$7:$Y$594=AC151,ROW('All Player Data Store'!$Y$7:$Y$594)-ROW('All Player Data Store'!$Y$7)+1),COUNTIF($AC$8:AC151,AC151))),"")</f>
        <v/>
      </c>
      <c r="AR151" s="108" t="str">
        <f t="shared" si="9"/>
        <v/>
      </c>
      <c r="AS151" s="108" t="str">
        <f t="array" ref="AS151">IF(ISNUMBER(AC151),INDEX('All Player Data Store'!$Q$8:$Q$594,SMALL(IF('All Player Data Store'!$Y$7:$Y$594=AC151,ROW('All Player Data Store'!$Y$7:$Y$594)-ROW('All Player Data Store'!$Y$7)+1),COUNTIF($AC$8:AC151,AC151))),"")</f>
        <v>3*4</v>
      </c>
      <c r="AT151" s="108">
        <f t="shared" si="10"/>
        <v>18.52</v>
      </c>
      <c r="AU151" s="108" t="str">
        <f t="array" ref="AU151">IF(ISNUMBER(AC151),INDEX('All Player Data Store'!$R$8:$R$594,SMALL(IF('All Player Data Store'!$Y$7:$Y$594=AC151,ROW('All Player Data Store'!$Y$7:$Y$594)-ROW('All Player Data Store'!$Y$7)+1),COUNTIF($AC$8:AC151,AC151))),"")</f>
        <v>2*4</v>
      </c>
      <c r="AV151" s="108">
        <f t="shared" si="11"/>
        <v>19.11</v>
      </c>
      <c r="AW151" s="108" t="str">
        <f t="array" ref="AW151">IF(ISNUMBER(AC151),INDEX('All Player Data Store'!$S$8:$S$594,SMALL(IF('All Player Data Store'!$Y$7:$Y$594=AC151,ROW('All Player Data Store'!$Y$7:$Y$594)-ROW('All Player Data Store'!$Y$7)+1),COUNTIF($AC$8:AC151,AC151))),"")</f>
        <v/>
      </c>
      <c r="AX151" s="108" t="str">
        <f t="shared" si="12"/>
        <v/>
      </c>
      <c r="AY151" s="108" t="str">
        <f t="array" ref="AY151">IF(ISNUMBER(AC151),INDEX('All Player Data Store'!$T$8:$T$594,SMALL(IF('All Player Data Store'!$Y$7:$Y$594=AC151,ROW('All Player Data Store'!$Y$7:$Y$594)-ROW('All Player Data Store'!$Y$7)+1),COUNTIF($AC$8:AC151,AC151))),"")</f>
        <v>4*3</v>
      </c>
      <c r="AZ151" s="108">
        <f t="shared" si="13"/>
        <v>19.53</v>
      </c>
      <c r="BA151" s="108" t="str">
        <f t="array" ref="BA151">IF(ISNUMBER(AC151),INDEX('All Player Data Store'!$U$8:$U$594,SMALL(IF('All Player Data Store'!$Y$7:$Y$594=AC151,ROW('All Player Data Store'!$Y$7:$Y$594)-ROW('All Player Data Store'!$Y$7)+1),COUNTIF($AC$8:AC151,AC151))),"")</f>
        <v>4*2</v>
      </c>
      <c r="BB151" s="108">
        <f t="shared" si="14"/>
        <v>17.600000000000001</v>
      </c>
      <c r="BC151" s="108" t="str">
        <f t="array" ref="BC151">IF(ISNUMBER(AC151),INDEX('All Player Data Store'!$V$8:$V$594,SMALL(IF('All Player Data Store'!$Y$7:$Y$594=AC151,ROW('All Player Data Store'!$Y$7:$Y$594)-ROW('All Player Data Store'!$Y$7)+1),COUNTIF($AC$8:AC151,AC151))),"")</f>
        <v>0*4(1)</v>
      </c>
      <c r="BD151" s="108">
        <f t="shared" si="15"/>
        <v>19.55</v>
      </c>
      <c r="BE151" s="1"/>
    </row>
    <row r="152" spans="2:57" ht="12" customHeight="1" x14ac:dyDescent="0.2">
      <c r="B152" s="98" t="str">
        <f t="shared" si="0"/>
        <v>N</v>
      </c>
      <c r="C152" s="1"/>
      <c r="D152" s="68">
        <f t="shared" si="1"/>
        <v>145</v>
      </c>
      <c r="E152" s="2"/>
      <c r="F152" s="78">
        <v>145</v>
      </c>
      <c r="G152" s="110" t="str">
        <f t="array" ref="G152">IF(ISNUMBER(AC152),INDEX('All Player Data Store'!$C$7:$C$594,SMALL(IF('All Player Data Store'!$Y$7:$Y$594=AC152,ROW('All Player Data Store'!$Y$7:$Y$594)-ROW('All Player Data Store'!$Y$7)+1),COUNTIF($AC$8:AC152,AC152))),"")</f>
        <v>Carl Rigler</v>
      </c>
      <c r="H152" s="111" t="str">
        <f t="array" ref="H152">IF(ISNUMBER(AC152),INDEX('All Player Data Store'!$D$7:$D$594,SMALL(IF('All Player Data Store'!$Y$7:$Y$594=AC152,ROW('All Player Data Store'!$Y$7:$Y$594)-ROW('All Player Data Store'!$Y$7)+1),COUNTIF($AC$8:AC152,AC152))),"")</f>
        <v>Ald</v>
      </c>
      <c r="I152" s="69">
        <f t="array" ref="I152">IF(ISNUMBER(AC152),INDEX('All Player Data Store'!$E$7:$E$594,SMALL(IF('All Player Data Store'!$Y$7:$Y$594=AC152,ROW('All Player Data Store'!$Y$7:$Y$594)-ROW('All Player Data Store'!$Y$7)+1),COUNTIF($AC$8:AC152,AC152))),"")</f>
        <v>5</v>
      </c>
      <c r="J152" s="70">
        <f t="array" ref="J152">IF(ISNUMBER(AC152),INDEX('All Player Data Store'!$F$7:$F$594,SMALL(IF('All Player Data Store'!$Y$7:$Y$594=AC152,ROW('All Player Data Store'!$Y$7:$Y$594)-ROW('All Player Data Store'!$Y$7)+1),COUNTIF($AC$8:AC152,AC152))),"")</f>
        <v>1</v>
      </c>
      <c r="K152" s="112">
        <f t="array" ref="K152">IF(ISNUMBER(AC152),INDEX('All Player Data Store'!$G$7:$G$594,SMALL(IF('All Player Data Store'!$Y$7:$Y$594=AC152,ROW('All Player Data Store'!$Y$7:$Y$594)-ROW('All Player Data Store'!$Y$7)+1),COUNTIF($AC$8:AC152,AC152))),"")</f>
        <v>4</v>
      </c>
      <c r="L152" s="112">
        <f t="array" ref="L152">IF(ISNUMBER(AC152),INDEX('All Player Data Store'!$H$7:$H$594,SMALL(IF('All Player Data Store'!$Y$7:$Y$594=AC152,ROW('All Player Data Store'!$Y$7:$Y$594)-ROW('All Player Data Store'!$Y$7)+1),COUNTIF($AC$8:AC152,AC152))),"")</f>
        <v>11</v>
      </c>
      <c r="M152" s="113">
        <f t="array" ref="M152">IF(ISNUMBER(AC152),INDEX('All Player Data Store'!$I$7:$I$594,SMALL(IF('All Player Data Store'!$Y$7:$Y$594=AC152,ROW('All Player Data Store'!$Y$7:$Y$594)-ROW('All Player Data Store'!$Y$7)+1),COUNTIF($AC$8:AC152,AC152))),"")</f>
        <v>16</v>
      </c>
      <c r="N152" s="114" t="str">
        <f t="array" ref="N152">IF(ISNUMBER(AC152),INDEX('All Player Data Store'!$J$7:$J$594,SMALL(IF('All Player Data Store'!$Y$7:$Y$594=AC152,ROW('All Player Data Store'!$Y$7:$Y$594)-ROW('All Player Data Store'!$Y$7)+1),COUNTIF($AC$8:AC152,AC152))),"")</f>
        <v/>
      </c>
      <c r="O152" s="108" t="str">
        <f t="array" ref="O152">IF(ISNUMBER(AC152),INDEX('All Player Data Store'!$K$7:$K$594,SMALL(IF('All Player Data Store'!$Y$7:$Y$594=AC152,ROW('All Player Data Store'!$Y$7:$Y$594)-ROW('All Player Data Store'!$Y$7)+1),COUNTIF($AC$8:AC152,AC152))),"")</f>
        <v/>
      </c>
      <c r="P152" s="108" t="str">
        <f t="array" ref="P152">IF(ISNUMBER(AC152),INDEX('All Player Data Store'!$L$7:$L$594,SMALL(IF('All Player Data Store'!$Y$7:$Y$594=AC152,ROW('All Player Data Store'!$Y$7:$Y$594)-ROW('All Player Data Store'!$Y$7)+1),COUNTIF($AC$8:AC152,AC152))),"")</f>
        <v/>
      </c>
      <c r="Q152" s="108" t="str">
        <f t="array" ref="Q152">IF(ISNUMBER(AC152),INDEX('All Player Data Store'!$M$7:$M$594,SMALL(IF('All Player Data Store'!$Y$7:$Y$594=AC152,ROW('All Player Data Store'!$Y$7:$Y$594)-ROW('All Player Data Store'!$Y$7)+1),COUNTIF($AC$8:AC152,AC152))),"")</f>
        <v/>
      </c>
      <c r="R152" s="108">
        <f t="array" ref="R152">IF(ISNUMBER(AC152),INDEX('All Player Data Store'!$N$7:$N$594,SMALL(IF('All Player Data Store'!$Y$7:$Y$594=AC152,ROW('All Player Data Store'!$Y$7:$Y$594)-ROW('All Player Data Store'!$Y$7)+1),COUNTIF($AC$8:AC152,AC152))),"")</f>
        <v>22.17</v>
      </c>
      <c r="S152" s="108">
        <f t="array" ref="S152">IF(ISNUMBER(AC152),INDEX('All Player Data Store'!$O$7:$O$594,SMALL(IF('All Player Data Store'!$Y$7:$Y$594=AC152,ROW('All Player Data Store'!$Y$7:$Y$594)-ROW('All Player Data Store'!$Y$7)+1),COUNTIF($AC$8:AC152,AC152))),"")</f>
        <v>18.13</v>
      </c>
      <c r="T152" s="108" t="str">
        <f t="array" ref="T152">IF(ISNUMBER(AC152),INDEX('All Player Data Store'!$P$7:$P$594,SMALL(IF('All Player Data Store'!$Y$7:$Y$594=AC152,ROW('All Player Data Store'!$Y$7:$Y$594)-ROW('All Player Data Store'!$Y$7)+1),COUNTIF($AC$8:AC152,AC152))),"")</f>
        <v/>
      </c>
      <c r="U152" s="108" t="str">
        <f t="array" ref="U152">IF(ISNUMBER(AC152),INDEX('All Player Data Store'!$Q$7:$Q$594,SMALL(IF('All Player Data Store'!$Y$7:$Y$594=AC152,ROW('All Player Data Store'!$Y$7:$Y$594)-ROW('All Player Data Store'!$Y$7)+1),COUNTIF($AC$8:AC152,AC152))),"")</f>
        <v/>
      </c>
      <c r="V152" s="108" t="str">
        <f t="array" ref="V152">IF(ISNUMBER(AC152),INDEX('All Player Data Store'!$R$7:$R$594,SMALL(IF('All Player Data Store'!$Y$7:$Y$594=AC152,ROW('All Player Data Store'!$Y$7:$Y$594)-ROW('All Player Data Store'!$Y$7)+1),COUNTIF($AC$8:AC152,AC152))),"")</f>
        <v/>
      </c>
      <c r="W152" s="108" t="str">
        <f t="array" ref="W152">IF(ISNUMBER(AC152),INDEX('All Player Data Store'!$S$7:$S$594,SMALL(IF('All Player Data Store'!$Y$7:$Y$594=AC152,ROW('All Player Data Store'!$Y$7:$Y$594)-ROW('All Player Data Store'!$Y$7)+1),COUNTIF($AC$8:AC152,AC152))),"")</f>
        <v/>
      </c>
      <c r="X152" s="108">
        <f t="array" ref="X152">IF(ISNUMBER(AC152),INDEX('All Player Data Store'!$T$7:$T$594,SMALL(IF('All Player Data Store'!$Y$7:$Y$594=AC152,ROW('All Player Data Store'!$Y$7:$Y$594)-ROW('All Player Data Store'!$Y$7)+1),COUNTIF($AC$8:AC152,AC152))),"")</f>
        <v>18.53</v>
      </c>
      <c r="Y152" s="108">
        <f t="array" ref="Y152">IF(ISNUMBER(AC152),INDEX('All Player Data Store'!$U$7:$U$594,SMALL(IF('All Player Data Store'!$Y$7:$Y$594=AC152,ROW('All Player Data Store'!$Y$7:$Y$594)-ROW('All Player Data Store'!$Y$7)+1),COUNTIF($AC$8:AC152,AC152))),"")</f>
        <v>16.7</v>
      </c>
      <c r="Z152" s="108">
        <f t="array" ref="Z152">IF(ISNUMBER(AC152),INDEX('All Player Data Store'!$V$7:$V$594,SMALL(IF('All Player Data Store'!$Y$7:$Y$594=AC152,ROW('All Player Data Store'!$Y$7:$Y$594)-ROW('All Player Data Store'!$Y$7)+1),COUNTIF($AC$8:AC152,AC152))),"")</f>
        <v>20.51</v>
      </c>
      <c r="AA152" s="112">
        <f t="array" ref="AA152">IF(ISNUMBER(AC152),INDEX('All Player Data Store'!$W$7:$W$594,SMALL(IF('All Player Data Store'!$Y$7:$Y$594=AC152,ROW('All Player Data Store'!$Y$7:$Y$594)-ROW('All Player Data Store'!$Y$7)+1),COUNTIF($AC$8:AC152,AC152))),"")</f>
        <v>1</v>
      </c>
      <c r="AB152" s="108">
        <f t="array" ref="AB152">IF(ISNUMBER(AC152),INDEX('All Player Data Store'!$X$7:$X$594,SMALL(IF('All Player Data Store'!$Y$7:$Y$594=AC152,ROW('All Player Data Store'!$Y$7:$Y$594)-ROW('All Player Data Store'!$Y$7)+1),COUNTIF($AC$8:AC152,AC152))),"")</f>
        <v>19.208000000000002</v>
      </c>
      <c r="AC152" s="115">
        <f>IF(ISERROR(IF(ISERROR(LARGE('All Player Data Store'!$Y$7:$Y$594,145)),"",(LARGE('All Player Data Store'!$Y$7:$Y$594,145)))),"",(IF(ISERROR(LARGE('All Player Data Store'!$Y$7:$Y$594,145)),"",(LARGE('All Player Data Store'!$Y$7:$Y$594,145)))))</f>
        <v>20.208000000000002</v>
      </c>
      <c r="AD152" s="106">
        <f t="shared" si="16"/>
        <v>3</v>
      </c>
      <c r="AE152" s="107" t="str">
        <f t="array" ref="AE152">IF(ISNUMBER(AC152),INDEX('All Player Data Store'!$J$8:$J$594,SMALL(IF('All Player Data Store'!$Y$7:$Y$594=AC152,ROW('All Player Data Store'!$Y$7:$Y$594)-ROW('All Player Data Store'!$Y$7)+1),COUNTIF($AC$8:AC152,AC152))),"")</f>
        <v/>
      </c>
      <c r="AF152" s="108" t="str">
        <f t="shared" si="3"/>
        <v/>
      </c>
      <c r="AG152" s="108" t="str">
        <f t="array" ref="AG152">IF(ISNUMBER(AC152),INDEX('All Player Data Store'!$K$8:$K$594,SMALL(IF('All Player Data Store'!$Y$7:$Y$594=AC152,ROW('All Player Data Store'!$Y$7:$Y$594)-ROW('All Player Data Store'!$Y$7)+1),COUNTIF($AC$8:AC152,AC152))),"")</f>
        <v/>
      </c>
      <c r="AH152" s="108" t="str">
        <f t="shared" si="4"/>
        <v/>
      </c>
      <c r="AI152" s="108" t="str">
        <f t="array" ref="AI152">IF(ISNUMBER(AC152),INDEX('All Player Data Store'!$L$8:$L$594,SMALL(IF('All Player Data Store'!$Y$7:$Y$594=AC152,ROW('All Player Data Store'!$Y$7:$Y$594)-ROW('All Player Data Store'!$Y$7)+1),COUNTIF($AC$8:AC152,AC152))),"")</f>
        <v/>
      </c>
      <c r="AJ152" s="108" t="str">
        <f t="shared" si="5"/>
        <v/>
      </c>
      <c r="AK152" s="108" t="str">
        <f t="array" ref="AK152">IF(ISNUMBER(AC152),INDEX('All Player Data Store'!$M$8:$M$594,SMALL(IF('All Player Data Store'!$Y$7:$Y$594=AC152,ROW('All Player Data Store'!$Y$7:$Y$594)-ROW('All Player Data Store'!$Y$7)+1),COUNTIF($AC$8:AC152,AC152))),"")</f>
        <v/>
      </c>
      <c r="AL152" s="108" t="str">
        <f t="shared" si="6"/>
        <v/>
      </c>
      <c r="AM152" s="108" t="str">
        <f t="array" ref="AM152">IF(ISNUMBER(AC152),INDEX('All Player Data Store'!$N$8:$N$594,SMALL(IF('All Player Data Store'!$Y$7:$Y$594=AC152,ROW('All Player Data Store'!$Y$7:$Y$594)-ROW('All Player Data Store'!$Y$7)+1),COUNTIF($AC$8:AC152,AC152))),"")</f>
        <v>4*0(1)</v>
      </c>
      <c r="AN152" s="108">
        <f t="shared" si="7"/>
        <v>23.17</v>
      </c>
      <c r="AO152" s="108" t="str">
        <f t="array" ref="AO152">IF(ISNUMBER(AC152),INDEX('All Player Data Store'!$O$8:$O$594,SMALL(IF('All Player Data Store'!$Y$7:$Y$594=AC152,ROW('All Player Data Store'!$Y$7:$Y$594)-ROW('All Player Data Store'!$Y$7)+1),COUNTIF($AC$8:AC152,AC152))),"")</f>
        <v>2*4</v>
      </c>
      <c r="AP152" s="108">
        <f t="shared" si="8"/>
        <v>18.13</v>
      </c>
      <c r="AQ152" s="108" t="str">
        <f t="array" ref="AQ152">IF(ISNUMBER(AC152),INDEX('All Player Data Store'!$P$8:$P$594,SMALL(IF('All Player Data Store'!$Y$7:$Y$594=AC152,ROW('All Player Data Store'!$Y$7:$Y$594)-ROW('All Player Data Store'!$Y$7)+1),COUNTIF($AC$8:AC152,AC152))),"")</f>
        <v/>
      </c>
      <c r="AR152" s="108" t="str">
        <f t="shared" si="9"/>
        <v/>
      </c>
      <c r="AS152" s="108" t="str">
        <f t="array" ref="AS152">IF(ISNUMBER(AC152),INDEX('All Player Data Store'!$Q$8:$Q$594,SMALL(IF('All Player Data Store'!$Y$7:$Y$594=AC152,ROW('All Player Data Store'!$Y$7:$Y$594)-ROW('All Player Data Store'!$Y$7)+1),COUNTIF($AC$8:AC152,AC152))),"")</f>
        <v/>
      </c>
      <c r="AT152" s="108" t="str">
        <f t="shared" si="10"/>
        <v/>
      </c>
      <c r="AU152" s="108" t="str">
        <f t="array" ref="AU152">IF(ISNUMBER(AC152),INDEX('All Player Data Store'!$R$8:$R$594,SMALL(IF('All Player Data Store'!$Y$7:$Y$594=AC152,ROW('All Player Data Store'!$Y$7:$Y$594)-ROW('All Player Data Store'!$Y$7)+1),COUNTIF($AC$8:AC152,AC152))),"")</f>
        <v/>
      </c>
      <c r="AV152" s="108" t="str">
        <f t="shared" si="11"/>
        <v/>
      </c>
      <c r="AW152" s="108" t="str">
        <f t="array" ref="AW152">IF(ISNUMBER(AC152),INDEX('All Player Data Store'!$S$8:$S$594,SMALL(IF('All Player Data Store'!$Y$7:$Y$594=AC152,ROW('All Player Data Store'!$Y$7:$Y$594)-ROW('All Player Data Store'!$Y$7)+1),COUNTIF($AC$8:AC152,AC152))),"")</f>
        <v/>
      </c>
      <c r="AX152" s="108" t="str">
        <f t="shared" si="12"/>
        <v/>
      </c>
      <c r="AY152" s="108" t="str">
        <f t="array" ref="AY152">IF(ISNUMBER(AC152),INDEX('All Player Data Store'!$T$8:$T$594,SMALL(IF('All Player Data Store'!$Y$7:$Y$594=AC152,ROW('All Player Data Store'!$Y$7:$Y$594)-ROW('All Player Data Store'!$Y$7)+1),COUNTIF($AC$8:AC152,AC152))),"")</f>
        <v>1*4</v>
      </c>
      <c r="AZ152" s="108">
        <f t="shared" si="13"/>
        <v>18.53</v>
      </c>
      <c r="BA152" s="108" t="str">
        <f t="array" ref="BA152">IF(ISNUMBER(AC152),INDEX('All Player Data Store'!$U$8:$U$594,SMALL(IF('All Player Data Store'!$Y$7:$Y$594=AC152,ROW('All Player Data Store'!$Y$7:$Y$594)-ROW('All Player Data Store'!$Y$7)+1),COUNTIF($AC$8:AC152,AC152))),"")</f>
        <v>3*4</v>
      </c>
      <c r="BB152" s="108">
        <f t="shared" si="14"/>
        <v>16.7</v>
      </c>
      <c r="BC152" s="108" t="str">
        <f t="array" ref="BC152">IF(ISNUMBER(AC152),INDEX('All Player Data Store'!$V$8:$V$594,SMALL(IF('All Player Data Store'!$Y$7:$Y$594=AC152,ROW('All Player Data Store'!$Y$7:$Y$594)-ROW('All Player Data Store'!$Y$7)+1),COUNTIF($AC$8:AC152,AC152))),"")</f>
        <v>1*4</v>
      </c>
      <c r="BD152" s="108">
        <f t="shared" si="15"/>
        <v>20.51</v>
      </c>
      <c r="BE152" s="1"/>
    </row>
    <row r="153" spans="2:57" ht="12" customHeight="1" x14ac:dyDescent="0.2">
      <c r="B153" s="98" t="str">
        <f t="shared" si="0"/>
        <v>N</v>
      </c>
      <c r="C153" s="1"/>
      <c r="D153" s="68">
        <f t="shared" si="1"/>
        <v>146</v>
      </c>
      <c r="E153" s="2"/>
      <c r="F153" s="78">
        <v>146</v>
      </c>
      <c r="G153" s="110" t="str">
        <f t="array" ref="G153">IF(ISNUMBER(AC153),INDEX('All Player Data Store'!$C$7:$C$594,SMALL(IF('All Player Data Store'!$Y$7:$Y$594=AC153,ROW('All Player Data Store'!$Y$7:$Y$594)-ROW('All Player Data Store'!$Y$7)+1),COUNTIF($AC$8:AC153,AC153))),"")</f>
        <v>Mike Stokes</v>
      </c>
      <c r="H153" s="111" t="str">
        <f t="array" ref="H153">IF(ISNUMBER(AC153),INDEX('All Player Data Store'!$D$7:$D$594,SMALL(IF('All Player Data Store'!$Y$7:$Y$594=AC153,ROW('All Player Data Store'!$Y$7:$Y$594)-ROW('All Player Data Store'!$Y$7)+1),COUNTIF($AC$8:AC153,AC153))),"")</f>
        <v>Bos</v>
      </c>
      <c r="I153" s="69">
        <f t="array" ref="I153">IF(ISNUMBER(AC153),INDEX('All Player Data Store'!$E$7:$E$594,SMALL(IF('All Player Data Store'!$Y$7:$Y$594=AC153,ROW('All Player Data Store'!$Y$7:$Y$594)-ROW('All Player Data Store'!$Y$7)+1),COUNTIF($AC$8:AC153,AC153))),"")</f>
        <v>6</v>
      </c>
      <c r="J153" s="70">
        <f t="array" ref="J153">IF(ISNUMBER(AC153),INDEX('All Player Data Store'!$F$7:$F$594,SMALL(IF('All Player Data Store'!$Y$7:$Y$594=AC153,ROW('All Player Data Store'!$Y$7:$Y$594)-ROW('All Player Data Store'!$Y$7)+1),COUNTIF($AC$8:AC153,AC153))),"")</f>
        <v>1</v>
      </c>
      <c r="K153" s="112">
        <f t="array" ref="K153">IF(ISNUMBER(AC153),INDEX('All Player Data Store'!$G$7:$G$594,SMALL(IF('All Player Data Store'!$Y$7:$Y$594=AC153,ROW('All Player Data Store'!$Y$7:$Y$594)-ROW('All Player Data Store'!$Y$7)+1),COUNTIF($AC$8:AC153,AC153))),"")</f>
        <v>5</v>
      </c>
      <c r="L153" s="112">
        <f t="array" ref="L153">IF(ISNUMBER(AC153),INDEX('All Player Data Store'!$H$7:$H$594,SMALL(IF('All Player Data Store'!$Y$7:$Y$594=AC153,ROW('All Player Data Store'!$Y$7:$Y$594)-ROW('All Player Data Store'!$Y$7)+1),COUNTIF($AC$8:AC153,AC153))),"")</f>
        <v>12</v>
      </c>
      <c r="M153" s="113">
        <f t="array" ref="M153">IF(ISNUMBER(AC153),INDEX('All Player Data Store'!$I$7:$I$594,SMALL(IF('All Player Data Store'!$Y$7:$Y$594=AC153,ROW('All Player Data Store'!$Y$7:$Y$594)-ROW('All Player Data Store'!$Y$7)+1),COUNTIF($AC$8:AC153,AC153))),"")</f>
        <v>22</v>
      </c>
      <c r="N153" s="114">
        <f t="array" ref="N153">IF(ISNUMBER(AC153),INDEX('All Player Data Store'!$J$7:$J$594,SMALL(IF('All Player Data Store'!$Y$7:$Y$594=AC153,ROW('All Player Data Store'!$Y$7:$Y$594)-ROW('All Player Data Store'!$Y$7)+1),COUNTIF($AC$8:AC153,AC153))),"")</f>
        <v>22.82</v>
      </c>
      <c r="O153" s="108">
        <f t="array" ref="O153">IF(ISNUMBER(AC153),INDEX('All Player Data Store'!$K$7:$K$594,SMALL(IF('All Player Data Store'!$Y$7:$Y$594=AC153,ROW('All Player Data Store'!$Y$7:$Y$594)-ROW('All Player Data Store'!$Y$7)+1),COUNTIF($AC$8:AC153,AC153))),"")</f>
        <v>18.2</v>
      </c>
      <c r="P153" s="108" t="str">
        <f t="array" ref="P153">IF(ISNUMBER(AC153),INDEX('All Player Data Store'!$L$7:$L$594,SMALL(IF('All Player Data Store'!$Y$7:$Y$594=AC153,ROW('All Player Data Store'!$Y$7:$Y$594)-ROW('All Player Data Store'!$Y$7)+1),COUNTIF($AC$8:AC153,AC153))),"")</f>
        <v/>
      </c>
      <c r="Q153" s="108">
        <f t="array" ref="Q153">IF(ISNUMBER(AC153),INDEX('All Player Data Store'!$M$7:$M$594,SMALL(IF('All Player Data Store'!$Y$7:$Y$594=AC153,ROW('All Player Data Store'!$Y$7:$Y$594)-ROW('All Player Data Store'!$Y$7)+1),COUNTIF($AC$8:AC153,AC153))),"")</f>
        <v>19.32</v>
      </c>
      <c r="R153" s="108" t="str">
        <f t="array" ref="R153">IF(ISNUMBER(AC153),INDEX('All Player Data Store'!$N$7:$N$594,SMALL(IF('All Player Data Store'!$Y$7:$Y$594=AC153,ROW('All Player Data Store'!$Y$7:$Y$594)-ROW('All Player Data Store'!$Y$7)+1),COUNTIF($AC$8:AC153,AC153))),"")</f>
        <v/>
      </c>
      <c r="S153" s="108" t="str">
        <f t="array" ref="S153">IF(ISNUMBER(AC153),INDEX('All Player Data Store'!$O$7:$O$594,SMALL(IF('All Player Data Store'!$Y$7:$Y$594=AC153,ROW('All Player Data Store'!$Y$7:$Y$594)-ROW('All Player Data Store'!$Y$7)+1),COUNTIF($AC$8:AC153,AC153))),"")</f>
        <v/>
      </c>
      <c r="T153" s="108" t="str">
        <f t="array" ref="T153">IF(ISNUMBER(AC153),INDEX('All Player Data Store'!$P$7:$P$594,SMALL(IF('All Player Data Store'!$Y$7:$Y$594=AC153,ROW('All Player Data Store'!$Y$7:$Y$594)-ROW('All Player Data Store'!$Y$7)+1),COUNTIF($AC$8:AC153,AC153))),"")</f>
        <v/>
      </c>
      <c r="U153" s="108" t="str">
        <f t="array" ref="U153">IF(ISNUMBER(AC153),INDEX('All Player Data Store'!$Q$7:$Q$594,SMALL(IF('All Player Data Store'!$Y$7:$Y$594=AC153,ROW('All Player Data Store'!$Y$7:$Y$594)-ROW('All Player Data Store'!$Y$7)+1),COUNTIF($AC$8:AC153,AC153))),"")</f>
        <v/>
      </c>
      <c r="V153" s="108" t="str">
        <f t="array" ref="V153">IF(ISNUMBER(AC153),INDEX('All Player Data Store'!$R$7:$R$594,SMALL(IF('All Player Data Store'!$Y$7:$Y$594=AC153,ROW('All Player Data Store'!$Y$7:$Y$594)-ROW('All Player Data Store'!$Y$7)+1),COUNTIF($AC$8:AC153,AC153))),"")</f>
        <v/>
      </c>
      <c r="W153" s="108" t="str">
        <f t="array" ref="W153">IF(ISNUMBER(AC153),INDEX('All Player Data Store'!$S$7:$S$594,SMALL(IF('All Player Data Store'!$Y$7:$Y$594=AC153,ROW('All Player Data Store'!$Y$7:$Y$594)-ROW('All Player Data Store'!$Y$7)+1),COUNTIF($AC$8:AC153,AC153))),"")</f>
        <v/>
      </c>
      <c r="X153" s="108">
        <f t="array" ref="X153">IF(ISNUMBER(AC153),INDEX('All Player Data Store'!$T$7:$T$594,SMALL(IF('All Player Data Store'!$Y$7:$Y$594=AC153,ROW('All Player Data Store'!$Y$7:$Y$594)-ROW('All Player Data Store'!$Y$7)+1),COUNTIF($AC$8:AC153,AC153))),"")</f>
        <v>18.649999999999999</v>
      </c>
      <c r="Y153" s="108">
        <f t="array" ref="Y153">IF(ISNUMBER(AC153),INDEX('All Player Data Store'!$U$7:$U$594,SMALL(IF('All Player Data Store'!$Y$7:$Y$594=AC153,ROW('All Player Data Store'!$Y$7:$Y$594)-ROW('All Player Data Store'!$Y$7)+1),COUNTIF($AC$8:AC153,AC153))),"")</f>
        <v>17.96</v>
      </c>
      <c r="Z153" s="108">
        <f t="array" ref="Z153">IF(ISNUMBER(AC153),INDEX('All Player Data Store'!$V$7:$V$594,SMALL(IF('All Player Data Store'!$Y$7:$Y$594=AC153,ROW('All Player Data Store'!$Y$7:$Y$594)-ROW('All Player Data Store'!$Y$7)+1),COUNTIF($AC$8:AC153,AC153))),"")</f>
        <v>17.61</v>
      </c>
      <c r="AA153" s="112">
        <f t="array" ref="AA153">IF(ISNUMBER(AC153),INDEX('All Player Data Store'!$W$7:$W$594,SMALL(IF('All Player Data Store'!$Y$7:$Y$594=AC153,ROW('All Player Data Store'!$Y$7:$Y$594)-ROW('All Player Data Store'!$Y$7)+1),COUNTIF($AC$8:AC153,AC153))),"")</f>
        <v>2</v>
      </c>
      <c r="AB153" s="108">
        <f t="array" ref="AB153">IF(ISNUMBER(AC153),INDEX('All Player Data Store'!$X$7:$X$594,SMALL(IF('All Player Data Store'!$Y$7:$Y$594=AC153,ROW('All Player Data Store'!$Y$7:$Y$594)-ROW('All Player Data Store'!$Y$7)+1),COUNTIF($AC$8:AC153,AC153))),"")</f>
        <v>19.09333333333333</v>
      </c>
      <c r="AC153" s="115">
        <f>IF(ISERROR(IF(ISERROR(LARGE('All Player Data Store'!$Y$7:$Y$594,146)),"",(LARGE('All Player Data Store'!$Y$7:$Y$594,146)))),"",(IF(ISERROR(LARGE('All Player Data Store'!$Y$7:$Y$594,146)),"",(LARGE('All Player Data Store'!$Y$7:$Y$594,146)))))</f>
        <v>20.09333333333333</v>
      </c>
      <c r="AD153" s="106">
        <f t="shared" si="16"/>
        <v>3</v>
      </c>
      <c r="AE153" s="107" t="str">
        <f t="array" ref="AE153">IF(ISNUMBER(AC153),INDEX('All Player Data Store'!$J$8:$J$594,SMALL(IF('All Player Data Store'!$Y$7:$Y$594=AC153,ROW('All Player Data Store'!$Y$7:$Y$594)-ROW('All Player Data Store'!$Y$7)+1),COUNTIF($AC$8:AC153,AC153))),"")</f>
        <v>2*4(2)</v>
      </c>
      <c r="AF153" s="108">
        <f t="shared" si="3"/>
        <v>22.82</v>
      </c>
      <c r="AG153" s="108" t="str">
        <f t="array" ref="AG153">IF(ISNUMBER(AC153),INDEX('All Player Data Store'!$K$8:$K$594,SMALL(IF('All Player Data Store'!$Y$7:$Y$594=AC153,ROW('All Player Data Store'!$Y$7:$Y$594)-ROW('All Player Data Store'!$Y$7)+1),COUNTIF($AC$8:AC153,AC153))),"")</f>
        <v>1*4</v>
      </c>
      <c r="AH153" s="108">
        <f t="shared" si="4"/>
        <v>18.2</v>
      </c>
      <c r="AI153" s="108" t="str">
        <f t="array" ref="AI153">IF(ISNUMBER(AC153),INDEX('All Player Data Store'!$L$8:$L$594,SMALL(IF('All Player Data Store'!$Y$7:$Y$594=AC153,ROW('All Player Data Store'!$Y$7:$Y$594)-ROW('All Player Data Store'!$Y$7)+1),COUNTIF($AC$8:AC153,AC153))),"")</f>
        <v/>
      </c>
      <c r="AJ153" s="108" t="str">
        <f t="shared" si="5"/>
        <v/>
      </c>
      <c r="AK153" s="108" t="str">
        <f t="array" ref="AK153">IF(ISNUMBER(AC153),INDEX('All Player Data Store'!$M$8:$M$594,SMALL(IF('All Player Data Store'!$Y$7:$Y$594=AC153,ROW('All Player Data Store'!$Y$7:$Y$594)-ROW('All Player Data Store'!$Y$7)+1),COUNTIF($AC$8:AC153,AC153))),"")</f>
        <v>1*4</v>
      </c>
      <c r="AL153" s="108">
        <f t="shared" si="6"/>
        <v>19.32</v>
      </c>
      <c r="AM153" s="108" t="str">
        <f t="array" ref="AM153">IF(ISNUMBER(AC153),INDEX('All Player Data Store'!$N$8:$N$594,SMALL(IF('All Player Data Store'!$Y$7:$Y$594=AC153,ROW('All Player Data Store'!$Y$7:$Y$594)-ROW('All Player Data Store'!$Y$7)+1),COUNTIF($AC$8:AC153,AC153))),"")</f>
        <v/>
      </c>
      <c r="AN153" s="108" t="str">
        <f t="shared" si="7"/>
        <v/>
      </c>
      <c r="AO153" s="108" t="str">
        <f t="array" ref="AO153">IF(ISNUMBER(AC153),INDEX('All Player Data Store'!$O$8:$O$594,SMALL(IF('All Player Data Store'!$Y$7:$Y$594=AC153,ROW('All Player Data Store'!$Y$7:$Y$594)-ROW('All Player Data Store'!$Y$7)+1),COUNTIF($AC$8:AC153,AC153))),"")</f>
        <v/>
      </c>
      <c r="AP153" s="108" t="str">
        <f t="shared" si="8"/>
        <v/>
      </c>
      <c r="AQ153" s="108" t="str">
        <f t="array" ref="AQ153">IF(ISNUMBER(AC153),INDEX('All Player Data Store'!$P$8:$P$594,SMALL(IF('All Player Data Store'!$Y$7:$Y$594=AC153,ROW('All Player Data Store'!$Y$7:$Y$594)-ROW('All Player Data Store'!$Y$7)+1),COUNTIF($AC$8:AC153,AC153))),"")</f>
        <v/>
      </c>
      <c r="AR153" s="108" t="str">
        <f t="shared" si="9"/>
        <v/>
      </c>
      <c r="AS153" s="108" t="str">
        <f t="array" ref="AS153">IF(ISNUMBER(AC153),INDEX('All Player Data Store'!$Q$8:$Q$594,SMALL(IF('All Player Data Store'!$Y$7:$Y$594=AC153,ROW('All Player Data Store'!$Y$7:$Y$594)-ROW('All Player Data Store'!$Y$7)+1),COUNTIF($AC$8:AC153,AC153))),"")</f>
        <v/>
      </c>
      <c r="AT153" s="108" t="str">
        <f t="shared" si="10"/>
        <v/>
      </c>
      <c r="AU153" s="108" t="str">
        <f t="array" ref="AU153">IF(ISNUMBER(AC153),INDEX('All Player Data Store'!$R$8:$R$594,SMALL(IF('All Player Data Store'!$Y$7:$Y$594=AC153,ROW('All Player Data Store'!$Y$7:$Y$594)-ROW('All Player Data Store'!$Y$7)+1),COUNTIF($AC$8:AC153,AC153))),"")</f>
        <v/>
      </c>
      <c r="AV153" s="108" t="str">
        <f t="shared" si="11"/>
        <v/>
      </c>
      <c r="AW153" s="108" t="str">
        <f t="array" ref="AW153">IF(ISNUMBER(AC153),INDEX('All Player Data Store'!$S$8:$S$594,SMALL(IF('All Player Data Store'!$Y$7:$Y$594=AC153,ROW('All Player Data Store'!$Y$7:$Y$594)-ROW('All Player Data Store'!$Y$7)+1),COUNTIF($AC$8:AC153,AC153))),"")</f>
        <v/>
      </c>
      <c r="AX153" s="108" t="str">
        <f t="shared" si="12"/>
        <v/>
      </c>
      <c r="AY153" s="108" t="str">
        <f t="array" ref="AY153">IF(ISNUMBER(AC153),INDEX('All Player Data Store'!$T$8:$T$594,SMALL(IF('All Player Data Store'!$Y$7:$Y$594=AC153,ROW('All Player Data Store'!$Y$7:$Y$594)-ROW('All Player Data Store'!$Y$7)+1),COUNTIF($AC$8:AC153,AC153))),"")</f>
        <v>2*4</v>
      </c>
      <c r="AZ153" s="108">
        <f t="shared" si="13"/>
        <v>18.649999999999999</v>
      </c>
      <c r="BA153" s="108" t="str">
        <f t="array" ref="BA153">IF(ISNUMBER(AC153),INDEX('All Player Data Store'!$U$8:$U$594,SMALL(IF('All Player Data Store'!$Y$7:$Y$594=AC153,ROW('All Player Data Store'!$Y$7:$Y$594)-ROW('All Player Data Store'!$Y$7)+1),COUNTIF($AC$8:AC153,AC153))),"")</f>
        <v>4*2</v>
      </c>
      <c r="BB153" s="108">
        <f t="shared" si="14"/>
        <v>18.96</v>
      </c>
      <c r="BC153" s="108" t="str">
        <f t="array" ref="BC153">IF(ISNUMBER(AC153),INDEX('All Player Data Store'!$V$8:$V$594,SMALL(IF('All Player Data Store'!$Y$7:$Y$594=AC153,ROW('All Player Data Store'!$Y$7:$Y$594)-ROW('All Player Data Store'!$Y$7)+1),COUNTIF($AC$8:AC153,AC153))),"")</f>
        <v>2*4</v>
      </c>
      <c r="BD153" s="108">
        <f t="shared" si="15"/>
        <v>17.61</v>
      </c>
      <c r="BE153" s="1"/>
    </row>
    <row r="154" spans="2:57" ht="12" customHeight="1" x14ac:dyDescent="0.2">
      <c r="B154" s="98" t="str">
        <f t="shared" si="0"/>
        <v>N</v>
      </c>
      <c r="C154" s="1"/>
      <c r="D154" s="68">
        <f t="shared" si="1"/>
        <v>147</v>
      </c>
      <c r="E154" s="2"/>
      <c r="F154" s="78">
        <v>147</v>
      </c>
      <c r="G154" s="110" t="str">
        <f t="array" ref="G154">IF(ISNUMBER(AC154),INDEX('All Player Data Store'!$C$7:$C$594,SMALL(IF('All Player Data Store'!$Y$7:$Y$594=AC154,ROW('All Player Data Store'!$Y$7:$Y$594)-ROW('All Player Data Store'!$Y$7)+1),COUNTIF($AC$8:AC154,AC154))),"")</f>
        <v>Sam Kapur</v>
      </c>
      <c r="H154" s="111" t="str">
        <f t="array" ref="H154">IF(ISNUMBER(AC154),INDEX('All Player Data Store'!$D$7:$D$594,SMALL(IF('All Player Data Store'!$Y$7:$Y$594=AC154,ROW('All Player Data Store'!$Y$7:$Y$594)-ROW('All Player Data Store'!$Y$7)+1),COUNTIF($AC$8:AC154,AC154))),"")</f>
        <v>Bri</v>
      </c>
      <c r="I154" s="69">
        <f t="array" ref="I154">IF(ISNUMBER(AC154),INDEX('All Player Data Store'!$E$7:$E$594,SMALL(IF('All Player Data Store'!$Y$7:$Y$594=AC154,ROW('All Player Data Store'!$Y$7:$Y$594)-ROW('All Player Data Store'!$Y$7)+1),COUNTIF($AC$8:AC154,AC154))),"")</f>
        <v>6</v>
      </c>
      <c r="J154" s="70">
        <f t="array" ref="J154">IF(ISNUMBER(AC154),INDEX('All Player Data Store'!$F$7:$F$594,SMALL(IF('All Player Data Store'!$Y$7:$Y$594=AC154,ROW('All Player Data Store'!$Y$7:$Y$594)-ROW('All Player Data Store'!$Y$7)+1),COUNTIF($AC$8:AC154,AC154))),"")</f>
        <v>1</v>
      </c>
      <c r="K154" s="112">
        <f t="array" ref="K154">IF(ISNUMBER(AC154),INDEX('All Player Data Store'!$G$7:$G$594,SMALL(IF('All Player Data Store'!$Y$7:$Y$594=AC154,ROW('All Player Data Store'!$Y$7:$Y$594)-ROW('All Player Data Store'!$Y$7)+1),COUNTIF($AC$8:AC154,AC154))),"")</f>
        <v>5</v>
      </c>
      <c r="L154" s="112">
        <f t="array" ref="L154">IF(ISNUMBER(AC154),INDEX('All Player Data Store'!$H$7:$H$594,SMALL(IF('All Player Data Store'!$Y$7:$Y$594=AC154,ROW('All Player Data Store'!$Y$7:$Y$594)-ROW('All Player Data Store'!$Y$7)+1),COUNTIF($AC$8:AC154,AC154))),"")</f>
        <v>12</v>
      </c>
      <c r="M154" s="113">
        <f t="array" ref="M154">IF(ISNUMBER(AC154),INDEX('All Player Data Store'!$I$7:$I$594,SMALL(IF('All Player Data Store'!$Y$7:$Y$594=AC154,ROW('All Player Data Store'!$Y$7:$Y$594)-ROW('All Player Data Store'!$Y$7)+1),COUNTIF($AC$8:AC154,AC154))),"")</f>
        <v>22</v>
      </c>
      <c r="N154" s="114" t="str">
        <f t="array" ref="N154">IF(ISNUMBER(AC154),INDEX('All Player Data Store'!$J$7:$J$594,SMALL(IF('All Player Data Store'!$Y$7:$Y$594=AC154,ROW('All Player Data Store'!$Y$7:$Y$594)-ROW('All Player Data Store'!$Y$7)+1),COUNTIF($AC$8:AC154,AC154))),"")</f>
        <v/>
      </c>
      <c r="O154" s="108">
        <f t="array" ref="O154">IF(ISNUMBER(AC154),INDEX('All Player Data Store'!$K$7:$K$594,SMALL(IF('All Player Data Store'!$Y$7:$Y$594=AC154,ROW('All Player Data Store'!$Y$7:$Y$594)-ROW('All Player Data Store'!$Y$7)+1),COUNTIF($AC$8:AC154,AC154))),"")</f>
        <v>20.21</v>
      </c>
      <c r="P154" s="108" t="str">
        <f t="array" ref="P154">IF(ISNUMBER(AC154),INDEX('All Player Data Store'!$L$7:$L$594,SMALL(IF('All Player Data Store'!$Y$7:$Y$594=AC154,ROW('All Player Data Store'!$Y$7:$Y$594)-ROW('All Player Data Store'!$Y$7)+1),COUNTIF($AC$8:AC154,AC154))),"")</f>
        <v/>
      </c>
      <c r="Q154" s="108">
        <f t="array" ref="Q154">IF(ISNUMBER(AC154),INDEX('All Player Data Store'!$M$7:$M$594,SMALL(IF('All Player Data Store'!$Y$7:$Y$594=AC154,ROW('All Player Data Store'!$Y$7:$Y$594)-ROW('All Player Data Store'!$Y$7)+1),COUNTIF($AC$8:AC154,AC154))),"")</f>
        <v>20.59</v>
      </c>
      <c r="R154" s="108" t="str">
        <f t="array" ref="R154">IF(ISNUMBER(AC154),INDEX('All Player Data Store'!$N$7:$N$594,SMALL(IF('All Player Data Store'!$Y$7:$Y$594=AC154,ROW('All Player Data Store'!$Y$7:$Y$594)-ROW('All Player Data Store'!$Y$7)+1),COUNTIF($AC$8:AC154,AC154))),"")</f>
        <v/>
      </c>
      <c r="S154" s="108" t="str">
        <f t="array" ref="S154">IF(ISNUMBER(AC154),INDEX('All Player Data Store'!$O$7:$O$594,SMALL(IF('All Player Data Store'!$Y$7:$Y$594=AC154,ROW('All Player Data Store'!$Y$7:$Y$594)-ROW('All Player Data Store'!$Y$7)+1),COUNTIF($AC$8:AC154,AC154))),"")</f>
        <v/>
      </c>
      <c r="T154" s="108">
        <f t="array" ref="T154">IF(ISNUMBER(AC154),INDEX('All Player Data Store'!$P$7:$P$594,SMALL(IF('All Player Data Store'!$Y$7:$Y$594=AC154,ROW('All Player Data Store'!$Y$7:$Y$594)-ROW('All Player Data Store'!$Y$7)+1),COUNTIF($AC$8:AC154,AC154))),"")</f>
        <v>18.63</v>
      </c>
      <c r="U154" s="108">
        <f t="array" ref="U154">IF(ISNUMBER(AC154),INDEX('All Player Data Store'!$Q$7:$Q$594,SMALL(IF('All Player Data Store'!$Y$7:$Y$594=AC154,ROW('All Player Data Store'!$Y$7:$Y$594)-ROW('All Player Data Store'!$Y$7)+1),COUNTIF($AC$8:AC154,AC154))),"")</f>
        <v>16.190000000000001</v>
      </c>
      <c r="V154" s="108" t="str">
        <f t="array" ref="V154">IF(ISNUMBER(AC154),INDEX('All Player Data Store'!$R$7:$R$594,SMALL(IF('All Player Data Store'!$Y$7:$Y$594=AC154,ROW('All Player Data Store'!$Y$7:$Y$594)-ROW('All Player Data Store'!$Y$7)+1),COUNTIF($AC$8:AC154,AC154))),"")</f>
        <v/>
      </c>
      <c r="W154" s="108" t="str">
        <f t="array" ref="W154">IF(ISNUMBER(AC154),INDEX('All Player Data Store'!$S$7:$S$594,SMALL(IF('All Player Data Store'!$Y$7:$Y$594=AC154,ROW('All Player Data Store'!$Y$7:$Y$594)-ROW('All Player Data Store'!$Y$7)+1),COUNTIF($AC$8:AC154,AC154))),"")</f>
        <v/>
      </c>
      <c r="X154" s="108" t="str">
        <f t="array" ref="X154">IF(ISNUMBER(AC154),INDEX('All Player Data Store'!$T$7:$T$594,SMALL(IF('All Player Data Store'!$Y$7:$Y$594=AC154,ROW('All Player Data Store'!$Y$7:$Y$594)-ROW('All Player Data Store'!$Y$7)+1),COUNTIF($AC$8:AC154,AC154))),"")</f>
        <v/>
      </c>
      <c r="Y154" s="108">
        <f t="array" ref="Y154">IF(ISNUMBER(AC154),INDEX('All Player Data Store'!$U$7:$U$594,SMALL(IF('All Player Data Store'!$Y$7:$Y$594=AC154,ROW('All Player Data Store'!$Y$7:$Y$594)-ROW('All Player Data Store'!$Y$7)+1),COUNTIF($AC$8:AC154,AC154))),"")</f>
        <v>20.91</v>
      </c>
      <c r="Z154" s="108">
        <f t="array" ref="Z154">IF(ISNUMBER(AC154),INDEX('All Player Data Store'!$V$7:$V$594,SMALL(IF('All Player Data Store'!$Y$7:$Y$594=AC154,ROW('All Player Data Store'!$Y$7:$Y$594)-ROW('All Player Data Store'!$Y$7)+1),COUNTIF($AC$8:AC154,AC154))),"")</f>
        <v>17.72</v>
      </c>
      <c r="AA154" s="112">
        <f t="array" ref="AA154">IF(ISNUMBER(AC154),INDEX('All Player Data Store'!$W$7:$W$594,SMALL(IF('All Player Data Store'!$Y$7:$Y$594=AC154,ROW('All Player Data Store'!$Y$7:$Y$594)-ROW('All Player Data Store'!$Y$7)+1),COUNTIF($AC$8:AC154,AC154))),"")</f>
        <v>1</v>
      </c>
      <c r="AB154" s="108">
        <f t="array" ref="AB154">IF(ISNUMBER(AC154),INDEX('All Player Data Store'!$X$7:$X$594,SMALL(IF('All Player Data Store'!$Y$7:$Y$594=AC154,ROW('All Player Data Store'!$Y$7:$Y$594)-ROW('All Player Data Store'!$Y$7)+1),COUNTIF($AC$8:AC154,AC154))),"")</f>
        <v>19.041666666666664</v>
      </c>
      <c r="AC154" s="115">
        <f>IF(ISERROR(IF(ISERROR(LARGE('All Player Data Store'!$Y$7:$Y$594,147)),"",(LARGE('All Player Data Store'!$Y$7:$Y$594,147)))),"",(IF(ISERROR(LARGE('All Player Data Store'!$Y$7:$Y$594,147)),"",(LARGE('All Player Data Store'!$Y$7:$Y$594,147)))))</f>
        <v>20.041666666666664</v>
      </c>
      <c r="AD154" s="106">
        <f t="shared" si="16"/>
        <v>3</v>
      </c>
      <c r="AE154" s="107" t="str">
        <f t="array" ref="AE154">IF(ISNUMBER(AC154),INDEX('All Player Data Store'!$J$8:$J$594,SMALL(IF('All Player Data Store'!$Y$7:$Y$594=AC154,ROW('All Player Data Store'!$Y$7:$Y$594)-ROW('All Player Data Store'!$Y$7)+1),COUNTIF($AC$8:AC154,AC154))),"")</f>
        <v/>
      </c>
      <c r="AF154" s="108" t="str">
        <f t="shared" si="3"/>
        <v/>
      </c>
      <c r="AG154" s="108" t="str">
        <f t="array" ref="AG154">IF(ISNUMBER(AC154),INDEX('All Player Data Store'!$K$8:$K$594,SMALL(IF('All Player Data Store'!$Y$7:$Y$594=AC154,ROW('All Player Data Store'!$Y$7:$Y$594)-ROW('All Player Data Store'!$Y$7)+1),COUNTIF($AC$8:AC154,AC154))),"")</f>
        <v>0*4</v>
      </c>
      <c r="AH154" s="108">
        <f t="shared" si="4"/>
        <v>20.21</v>
      </c>
      <c r="AI154" s="108" t="str">
        <f t="array" ref="AI154">IF(ISNUMBER(AC154),INDEX('All Player Data Store'!$L$8:$L$594,SMALL(IF('All Player Data Store'!$Y$7:$Y$594=AC154,ROW('All Player Data Store'!$Y$7:$Y$594)-ROW('All Player Data Store'!$Y$7)+1),COUNTIF($AC$8:AC154,AC154))),"")</f>
        <v/>
      </c>
      <c r="AJ154" s="108" t="str">
        <f t="shared" si="5"/>
        <v/>
      </c>
      <c r="AK154" s="108" t="str">
        <f t="array" ref="AK154">IF(ISNUMBER(AC154),INDEX('All Player Data Store'!$M$8:$M$594,SMALL(IF('All Player Data Store'!$Y$7:$Y$594=AC154,ROW('All Player Data Store'!$Y$7:$Y$594)-ROW('All Player Data Store'!$Y$7)+1),COUNTIF($AC$8:AC154,AC154))),"")</f>
        <v>3*4</v>
      </c>
      <c r="AL154" s="108">
        <f t="shared" si="6"/>
        <v>20.59</v>
      </c>
      <c r="AM154" s="108" t="str">
        <f t="array" ref="AM154">IF(ISNUMBER(AC154),INDEX('All Player Data Store'!$N$8:$N$594,SMALL(IF('All Player Data Store'!$Y$7:$Y$594=AC154,ROW('All Player Data Store'!$Y$7:$Y$594)-ROW('All Player Data Store'!$Y$7)+1),COUNTIF($AC$8:AC154,AC154))),"")</f>
        <v/>
      </c>
      <c r="AN154" s="108" t="str">
        <f t="shared" si="7"/>
        <v/>
      </c>
      <c r="AO154" s="108" t="str">
        <f t="array" ref="AO154">IF(ISNUMBER(AC154),INDEX('All Player Data Store'!$O$8:$O$594,SMALL(IF('All Player Data Store'!$Y$7:$Y$594=AC154,ROW('All Player Data Store'!$Y$7:$Y$594)-ROW('All Player Data Store'!$Y$7)+1),COUNTIF($AC$8:AC154,AC154))),"")</f>
        <v/>
      </c>
      <c r="AP154" s="108" t="str">
        <f t="shared" si="8"/>
        <v/>
      </c>
      <c r="AQ154" s="108" t="str">
        <f t="array" ref="AQ154">IF(ISNUMBER(AC154),INDEX('All Player Data Store'!$P$8:$P$594,SMALL(IF('All Player Data Store'!$Y$7:$Y$594=AC154,ROW('All Player Data Store'!$Y$7:$Y$594)-ROW('All Player Data Store'!$Y$7)+1),COUNTIF($AC$8:AC154,AC154))),"")</f>
        <v>3*4</v>
      </c>
      <c r="AR154" s="108">
        <f t="shared" si="9"/>
        <v>18.63</v>
      </c>
      <c r="AS154" s="108" t="str">
        <f t="array" ref="AS154">IF(ISNUMBER(AC154),INDEX('All Player Data Store'!$Q$8:$Q$594,SMALL(IF('All Player Data Store'!$Y$7:$Y$594=AC154,ROW('All Player Data Store'!$Y$7:$Y$594)-ROW('All Player Data Store'!$Y$7)+1),COUNTIF($AC$8:AC154,AC154))),"")</f>
        <v>0*4</v>
      </c>
      <c r="AT154" s="108">
        <f t="shared" si="10"/>
        <v>16.190000000000001</v>
      </c>
      <c r="AU154" s="108" t="str">
        <f t="array" ref="AU154">IF(ISNUMBER(AC154),INDEX('All Player Data Store'!$R$8:$R$594,SMALL(IF('All Player Data Store'!$Y$7:$Y$594=AC154,ROW('All Player Data Store'!$Y$7:$Y$594)-ROW('All Player Data Store'!$Y$7)+1),COUNTIF($AC$8:AC154,AC154))),"")</f>
        <v/>
      </c>
      <c r="AV154" s="108" t="str">
        <f t="shared" si="11"/>
        <v/>
      </c>
      <c r="AW154" s="108" t="str">
        <f t="array" ref="AW154">IF(ISNUMBER(AC154),INDEX('All Player Data Store'!$S$8:$S$594,SMALL(IF('All Player Data Store'!$Y$7:$Y$594=AC154,ROW('All Player Data Store'!$Y$7:$Y$594)-ROW('All Player Data Store'!$Y$7)+1),COUNTIF($AC$8:AC154,AC154))),"")</f>
        <v/>
      </c>
      <c r="AX154" s="108" t="str">
        <f t="shared" si="12"/>
        <v/>
      </c>
      <c r="AY154" s="108" t="str">
        <f t="array" ref="AY154">IF(ISNUMBER(AC154),INDEX('All Player Data Store'!$T$8:$T$594,SMALL(IF('All Player Data Store'!$Y$7:$Y$594=AC154,ROW('All Player Data Store'!$Y$7:$Y$594)-ROW('All Player Data Store'!$Y$7)+1),COUNTIF($AC$8:AC154,AC154))),"")</f>
        <v/>
      </c>
      <c r="AZ154" s="108" t="str">
        <f t="shared" si="13"/>
        <v/>
      </c>
      <c r="BA154" s="108" t="str">
        <f t="array" ref="BA154">IF(ISNUMBER(AC154),INDEX('All Player Data Store'!$U$8:$U$594,SMALL(IF('All Player Data Store'!$Y$7:$Y$594=AC154,ROW('All Player Data Store'!$Y$7:$Y$594)-ROW('All Player Data Store'!$Y$7)+1),COUNTIF($AC$8:AC154,AC154))),"")</f>
        <v>2*4(1)</v>
      </c>
      <c r="BB154" s="108">
        <f t="shared" si="14"/>
        <v>20.91</v>
      </c>
      <c r="BC154" s="108" t="str">
        <f t="array" ref="BC154">IF(ISNUMBER(AC154),INDEX('All Player Data Store'!$V$8:$V$594,SMALL(IF('All Player Data Store'!$Y$7:$Y$594=AC154,ROW('All Player Data Store'!$Y$7:$Y$594)-ROW('All Player Data Store'!$Y$7)+1),COUNTIF($AC$8:AC154,AC154))),"")</f>
        <v>4*2</v>
      </c>
      <c r="BD154" s="108">
        <f t="shared" si="15"/>
        <v>18.72</v>
      </c>
      <c r="BE154" s="1"/>
    </row>
    <row r="155" spans="2:57" ht="12" customHeight="1" x14ac:dyDescent="0.2">
      <c r="B155" s="98" t="str">
        <f t="shared" si="0"/>
        <v>N</v>
      </c>
      <c r="C155" s="1"/>
      <c r="D155" s="68">
        <f t="shared" si="1"/>
        <v>148</v>
      </c>
      <c r="E155" s="2"/>
      <c r="F155" s="78">
        <v>148</v>
      </c>
      <c r="G155" s="110" t="str">
        <f t="array" ref="G155">IF(ISNUMBER(AC155),INDEX('All Player Data Store'!$C$7:$C$594,SMALL(IF('All Player Data Store'!$Y$7:$Y$594=AC155,ROW('All Player Data Store'!$Y$7:$Y$594)-ROW('All Player Data Store'!$Y$7)+1),COUNTIF($AC$8:AC155,AC155))),"")</f>
        <v>Martin Attree</v>
      </c>
      <c r="H155" s="111" t="str">
        <f t="array" ref="H155">IF(ISNUMBER(AC155),INDEX('All Player Data Store'!$D$7:$D$594,SMALL(IF('All Player Data Store'!$Y$7:$Y$594=AC155,ROW('All Player Data Store'!$Y$7:$Y$594)-ROW('All Player Data Store'!$Y$7)+1),COUNTIF($AC$8:AC155,AC155))),"")</f>
        <v>Wey</v>
      </c>
      <c r="I155" s="69">
        <f t="array" ref="I155">IF(ISNUMBER(AC155),INDEX('All Player Data Store'!$E$7:$E$594,SMALL(IF('All Player Data Store'!$Y$7:$Y$594=AC155,ROW('All Player Data Store'!$Y$7:$Y$594)-ROW('All Player Data Store'!$Y$7)+1),COUNTIF($AC$8:AC155,AC155))),"")</f>
        <v>7</v>
      </c>
      <c r="J155" s="70">
        <f t="array" ref="J155">IF(ISNUMBER(AC155),INDEX('All Player Data Store'!$F$7:$F$594,SMALL(IF('All Player Data Store'!$Y$7:$Y$594=AC155,ROW('All Player Data Store'!$Y$7:$Y$594)-ROW('All Player Data Store'!$Y$7)+1),COUNTIF($AC$8:AC155,AC155))),"")</f>
        <v>1</v>
      </c>
      <c r="K155" s="112">
        <f t="array" ref="K155">IF(ISNUMBER(AC155),INDEX('All Player Data Store'!$G$7:$G$594,SMALL(IF('All Player Data Store'!$Y$7:$Y$594=AC155,ROW('All Player Data Store'!$Y$7:$Y$594)-ROW('All Player Data Store'!$Y$7)+1),COUNTIF($AC$8:AC155,AC155))),"")</f>
        <v>6</v>
      </c>
      <c r="L155" s="112">
        <f t="array" ref="L155">IF(ISNUMBER(AC155),INDEX('All Player Data Store'!$H$7:$H$594,SMALL(IF('All Player Data Store'!$Y$7:$Y$594=AC155,ROW('All Player Data Store'!$Y$7:$Y$594)-ROW('All Player Data Store'!$Y$7)+1),COUNTIF($AC$8:AC155,AC155))),"")</f>
        <v>10</v>
      </c>
      <c r="M155" s="113">
        <f t="array" ref="M155">IF(ISNUMBER(AC155),INDEX('All Player Data Store'!$I$7:$I$594,SMALL(IF('All Player Data Store'!$Y$7:$Y$594=AC155,ROW('All Player Data Store'!$Y$7:$Y$594)-ROW('All Player Data Store'!$Y$7)+1),COUNTIF($AC$8:AC155,AC155))),"")</f>
        <v>26</v>
      </c>
      <c r="N155" s="114">
        <f t="array" ref="N155">IF(ISNUMBER(AC155),INDEX('All Player Data Store'!$J$7:$J$594,SMALL(IF('All Player Data Store'!$Y$7:$Y$594=AC155,ROW('All Player Data Store'!$Y$7:$Y$594)-ROW('All Player Data Store'!$Y$7)+1),COUNTIF($AC$8:AC155,AC155))),"")</f>
        <v>19.420000000000002</v>
      </c>
      <c r="O155" s="108" t="str">
        <f t="array" ref="O155">IF(ISNUMBER(AC155),INDEX('All Player Data Store'!$K$7:$K$594,SMALL(IF('All Player Data Store'!$Y$7:$Y$594=AC155,ROW('All Player Data Store'!$Y$7:$Y$594)-ROW('All Player Data Store'!$Y$7)+1),COUNTIF($AC$8:AC155,AC155))),"")</f>
        <v/>
      </c>
      <c r="P155" s="108">
        <f t="array" ref="P155">IF(ISNUMBER(AC155),INDEX('All Player Data Store'!$L$7:$L$594,SMALL(IF('All Player Data Store'!$Y$7:$Y$594=AC155,ROW('All Player Data Store'!$Y$7:$Y$594)-ROW('All Player Data Store'!$Y$7)+1),COUNTIF($AC$8:AC155,AC155))),"")</f>
        <v>16.690000000000001</v>
      </c>
      <c r="Q155" s="108">
        <f t="array" ref="Q155">IF(ISNUMBER(AC155),INDEX('All Player Data Store'!$M$7:$M$594,SMALL(IF('All Player Data Store'!$Y$7:$Y$594=AC155,ROW('All Player Data Store'!$Y$7:$Y$594)-ROW('All Player Data Store'!$Y$7)+1),COUNTIF($AC$8:AC155,AC155))),"")</f>
        <v>19.53</v>
      </c>
      <c r="R155" s="108" t="str">
        <f t="array" ref="R155">IF(ISNUMBER(AC155),INDEX('All Player Data Store'!$N$7:$N$594,SMALL(IF('All Player Data Store'!$Y$7:$Y$594=AC155,ROW('All Player Data Store'!$Y$7:$Y$594)-ROW('All Player Data Store'!$Y$7)+1),COUNTIF($AC$8:AC155,AC155))),"")</f>
        <v/>
      </c>
      <c r="S155" s="108">
        <f t="array" ref="S155">IF(ISNUMBER(AC155),INDEX('All Player Data Store'!$O$7:$O$594,SMALL(IF('All Player Data Store'!$Y$7:$Y$594=AC155,ROW('All Player Data Store'!$Y$7:$Y$594)-ROW('All Player Data Store'!$Y$7)+1),COUNTIF($AC$8:AC155,AC155))),"")</f>
        <v>23.52</v>
      </c>
      <c r="T155" s="108">
        <f t="array" ref="T155">IF(ISNUMBER(AC155),INDEX('All Player Data Store'!$P$7:$P$594,SMALL(IF('All Player Data Store'!$Y$7:$Y$594=AC155,ROW('All Player Data Store'!$Y$7:$Y$594)-ROW('All Player Data Store'!$Y$7)+1),COUNTIF($AC$8:AC155,AC155))),"")</f>
        <v>17.59</v>
      </c>
      <c r="U155" s="108">
        <f t="array" ref="U155">IF(ISNUMBER(AC155),INDEX('All Player Data Store'!$Q$7:$Q$594,SMALL(IF('All Player Data Store'!$Y$7:$Y$594=AC155,ROW('All Player Data Store'!$Y$7:$Y$594)-ROW('All Player Data Store'!$Y$7)+1),COUNTIF($AC$8:AC155,AC155))),"")</f>
        <v>20.170000000000002</v>
      </c>
      <c r="V155" s="108" t="str">
        <f t="array" ref="V155">IF(ISNUMBER(AC155),INDEX('All Player Data Store'!$R$7:$R$594,SMALL(IF('All Player Data Store'!$Y$7:$Y$594=AC155,ROW('All Player Data Store'!$Y$7:$Y$594)-ROW('All Player Data Store'!$Y$7)+1),COUNTIF($AC$8:AC155,AC155))),"")</f>
        <v/>
      </c>
      <c r="W155" s="108">
        <f t="array" ref="W155">IF(ISNUMBER(AC155),INDEX('All Player Data Store'!$S$7:$S$594,SMALL(IF('All Player Data Store'!$Y$7:$Y$594=AC155,ROW('All Player Data Store'!$Y$7:$Y$594)-ROW('All Player Data Store'!$Y$7)+1),COUNTIF($AC$8:AC155,AC155))),"")</f>
        <v>16.02</v>
      </c>
      <c r="X155" s="108" t="str">
        <f t="array" ref="X155">IF(ISNUMBER(AC155),INDEX('All Player Data Store'!$T$7:$T$594,SMALL(IF('All Player Data Store'!$Y$7:$Y$594=AC155,ROW('All Player Data Store'!$Y$7:$Y$594)-ROW('All Player Data Store'!$Y$7)+1),COUNTIF($AC$8:AC155,AC155))),"")</f>
        <v/>
      </c>
      <c r="Y155" s="108" t="str">
        <f t="array" ref="Y155">IF(ISNUMBER(AC155),INDEX('All Player Data Store'!$U$7:$U$594,SMALL(IF('All Player Data Store'!$Y$7:$Y$594=AC155,ROW('All Player Data Store'!$Y$7:$Y$594)-ROW('All Player Data Store'!$Y$7)+1),COUNTIF($AC$8:AC155,AC155))),"")</f>
        <v/>
      </c>
      <c r="Z155" s="108" t="str">
        <f t="array" ref="Z155">IF(ISNUMBER(AC155),INDEX('All Player Data Store'!$V$7:$V$594,SMALL(IF('All Player Data Store'!$Y$7:$Y$594=AC155,ROW('All Player Data Store'!$Y$7:$Y$594)-ROW('All Player Data Store'!$Y$7)+1),COUNTIF($AC$8:AC155,AC155))),"")</f>
        <v/>
      </c>
      <c r="AA155" s="112">
        <f t="array" ref="AA155">IF(ISNUMBER(AC155),INDEX('All Player Data Store'!$W$7:$W$594,SMALL(IF('All Player Data Store'!$Y$7:$Y$594=AC155,ROW('All Player Data Store'!$Y$7:$Y$594)-ROW('All Player Data Store'!$Y$7)+1),COUNTIF($AC$8:AC155,AC155))),"")</f>
        <v>2</v>
      </c>
      <c r="AB155" s="108">
        <f t="array" ref="AB155">IF(ISNUMBER(AC155),INDEX('All Player Data Store'!$X$7:$X$594,SMALL(IF('All Player Data Store'!$Y$7:$Y$594=AC155,ROW('All Player Data Store'!$Y$7:$Y$594)-ROW('All Player Data Store'!$Y$7)+1),COUNTIF($AC$8:AC155,AC155))),"")</f>
        <v>18.991428571428571</v>
      </c>
      <c r="AC155" s="115">
        <f>IF(ISERROR(IF(ISERROR(LARGE('All Player Data Store'!$Y$7:$Y$594,148)),"",(LARGE('All Player Data Store'!$Y$7:$Y$594,148)))),"",(IF(ISERROR(LARGE('All Player Data Store'!$Y$7:$Y$594,148)),"",(LARGE('All Player Data Store'!$Y$7:$Y$594,148)))))</f>
        <v>19.991428571428571</v>
      </c>
      <c r="AD155" s="106">
        <f t="shared" si="16"/>
        <v>3</v>
      </c>
      <c r="AE155" s="107" t="str">
        <f t="array" ref="AE155">IF(ISNUMBER(AC155),INDEX('All Player Data Store'!$J$8:$J$594,SMALL(IF('All Player Data Store'!$Y$7:$Y$594=AC155,ROW('All Player Data Store'!$Y$7:$Y$594)-ROW('All Player Data Store'!$Y$7)+1),COUNTIF($AC$8:AC155,AC155))),"")</f>
        <v>0*4</v>
      </c>
      <c r="AF155" s="108">
        <f t="shared" si="3"/>
        <v>19.420000000000002</v>
      </c>
      <c r="AG155" s="108" t="str">
        <f t="array" ref="AG155">IF(ISNUMBER(AC155),INDEX('All Player Data Store'!$K$8:$K$594,SMALL(IF('All Player Data Store'!$Y$7:$Y$594=AC155,ROW('All Player Data Store'!$Y$7:$Y$594)-ROW('All Player Data Store'!$Y$7)+1),COUNTIF($AC$8:AC155,AC155))),"")</f>
        <v/>
      </c>
      <c r="AH155" s="108" t="str">
        <f t="shared" si="4"/>
        <v/>
      </c>
      <c r="AI155" s="108" t="str">
        <f t="array" ref="AI155">IF(ISNUMBER(AC155),INDEX('All Player Data Store'!$L$8:$L$594,SMALL(IF('All Player Data Store'!$Y$7:$Y$594=AC155,ROW('All Player Data Store'!$Y$7:$Y$594)-ROW('All Player Data Store'!$Y$7)+1),COUNTIF($AC$8:AC155,AC155))),"")</f>
        <v>2*4</v>
      </c>
      <c r="AJ155" s="108">
        <f t="shared" si="5"/>
        <v>16.690000000000001</v>
      </c>
      <c r="AK155" s="108" t="str">
        <f t="array" ref="AK155">IF(ISNUMBER(AC155),INDEX('All Player Data Store'!$M$8:$M$594,SMALL(IF('All Player Data Store'!$Y$7:$Y$594=AC155,ROW('All Player Data Store'!$Y$7:$Y$594)-ROW('All Player Data Store'!$Y$7)+1),COUNTIF($AC$8:AC155,AC155))),"")</f>
        <v>4*2(1)</v>
      </c>
      <c r="AL155" s="108">
        <f t="shared" si="6"/>
        <v>20.53</v>
      </c>
      <c r="AM155" s="108" t="str">
        <f t="array" ref="AM155">IF(ISNUMBER(AC155),INDEX('All Player Data Store'!$N$8:$N$594,SMALL(IF('All Player Data Store'!$Y$7:$Y$594=AC155,ROW('All Player Data Store'!$Y$7:$Y$594)-ROW('All Player Data Store'!$Y$7)+1),COUNTIF($AC$8:AC155,AC155))),"")</f>
        <v/>
      </c>
      <c r="AN155" s="108" t="str">
        <f t="shared" si="7"/>
        <v/>
      </c>
      <c r="AO155" s="108" t="str">
        <f t="array" ref="AO155">IF(ISNUMBER(AC155),INDEX('All Player Data Store'!$O$8:$O$594,SMALL(IF('All Player Data Store'!$Y$7:$Y$594=AC155,ROW('All Player Data Store'!$Y$7:$Y$594)-ROW('All Player Data Store'!$Y$7)+1),COUNTIF($AC$8:AC155,AC155))),"")</f>
        <v>1*4</v>
      </c>
      <c r="AP155" s="108">
        <f t="shared" si="8"/>
        <v>23.52</v>
      </c>
      <c r="AQ155" s="108" t="str">
        <f t="array" ref="AQ155">IF(ISNUMBER(AC155),INDEX('All Player Data Store'!$P$8:$P$594,SMALL(IF('All Player Data Store'!$Y$7:$Y$594=AC155,ROW('All Player Data Store'!$Y$7:$Y$594)-ROW('All Player Data Store'!$Y$7)+1),COUNTIF($AC$8:AC155,AC155))),"")</f>
        <v>0*4</v>
      </c>
      <c r="AR155" s="108">
        <f t="shared" si="9"/>
        <v>17.59</v>
      </c>
      <c r="AS155" s="108" t="str">
        <f t="array" ref="AS155">IF(ISNUMBER(AC155),INDEX('All Player Data Store'!$Q$8:$Q$594,SMALL(IF('All Player Data Store'!$Y$7:$Y$594=AC155,ROW('All Player Data Store'!$Y$7:$Y$594)-ROW('All Player Data Store'!$Y$7)+1),COUNTIF($AC$8:AC155,AC155))),"")</f>
        <v>3*4(1)</v>
      </c>
      <c r="AT155" s="108">
        <f t="shared" si="10"/>
        <v>20.170000000000002</v>
      </c>
      <c r="AU155" s="108" t="str">
        <f t="array" ref="AU155">IF(ISNUMBER(AC155),INDEX('All Player Data Store'!$R$8:$R$594,SMALL(IF('All Player Data Store'!$Y$7:$Y$594=AC155,ROW('All Player Data Store'!$Y$7:$Y$594)-ROW('All Player Data Store'!$Y$7)+1),COUNTIF($AC$8:AC155,AC155))),"")</f>
        <v/>
      </c>
      <c r="AV155" s="108" t="str">
        <f t="shared" si="11"/>
        <v/>
      </c>
      <c r="AW155" s="108" t="str">
        <f t="array" ref="AW155">IF(ISNUMBER(AC155),INDEX('All Player Data Store'!$S$8:$S$594,SMALL(IF('All Player Data Store'!$Y$7:$Y$594=AC155,ROW('All Player Data Store'!$Y$7:$Y$594)-ROW('All Player Data Store'!$Y$7)+1),COUNTIF($AC$8:AC155,AC155))),"")</f>
        <v>0*4</v>
      </c>
      <c r="AX155" s="108">
        <f t="shared" si="12"/>
        <v>16.02</v>
      </c>
      <c r="AY155" s="108" t="str">
        <f t="array" ref="AY155">IF(ISNUMBER(AC155),INDEX('All Player Data Store'!$T$8:$T$594,SMALL(IF('All Player Data Store'!$Y$7:$Y$594=AC155,ROW('All Player Data Store'!$Y$7:$Y$594)-ROW('All Player Data Store'!$Y$7)+1),COUNTIF($AC$8:AC155,AC155))),"")</f>
        <v/>
      </c>
      <c r="AZ155" s="108" t="str">
        <f t="shared" si="13"/>
        <v/>
      </c>
      <c r="BA155" s="108" t="str">
        <f t="array" ref="BA155">IF(ISNUMBER(AC155),INDEX('All Player Data Store'!$U$8:$U$594,SMALL(IF('All Player Data Store'!$Y$7:$Y$594=AC155,ROW('All Player Data Store'!$Y$7:$Y$594)-ROW('All Player Data Store'!$Y$7)+1),COUNTIF($AC$8:AC155,AC155))),"")</f>
        <v/>
      </c>
      <c r="BB155" s="108" t="str">
        <f t="shared" si="14"/>
        <v/>
      </c>
      <c r="BC155" s="108" t="str">
        <f t="array" ref="BC155">IF(ISNUMBER(AC155),INDEX('All Player Data Store'!$V$8:$V$594,SMALL(IF('All Player Data Store'!$Y$7:$Y$594=AC155,ROW('All Player Data Store'!$Y$7:$Y$594)-ROW('All Player Data Store'!$Y$7)+1),COUNTIF($AC$8:AC155,AC155))),"")</f>
        <v/>
      </c>
      <c r="BD155" s="108" t="str">
        <f t="shared" si="15"/>
        <v/>
      </c>
      <c r="BE155" s="1"/>
    </row>
    <row r="156" spans="2:57" ht="12" customHeight="1" x14ac:dyDescent="0.2">
      <c r="B156" s="98" t="str">
        <f t="shared" si="0"/>
        <v>N</v>
      </c>
      <c r="C156" s="1"/>
      <c r="D156" s="68">
        <f t="shared" si="1"/>
        <v>149</v>
      </c>
      <c r="E156" s="2"/>
      <c r="F156" s="78">
        <v>149</v>
      </c>
      <c r="G156" s="110" t="str">
        <f t="array" ref="G156">IF(ISNUMBER(AC156),INDEX('All Player Data Store'!$C$7:$C$594,SMALL(IF('All Player Data Store'!$Y$7:$Y$594=AC156,ROW('All Player Data Store'!$Y$7:$Y$594)-ROW('All Player Data Store'!$Y$7)+1),COUNTIF($AC$8:AC156,AC156))),"")</f>
        <v>John Hampton</v>
      </c>
      <c r="H156" s="111" t="str">
        <f t="array" ref="H156">IF(ISNUMBER(AC156),INDEX('All Player Data Store'!$D$7:$D$594,SMALL(IF('All Player Data Store'!$Y$7:$Y$594=AC156,ROW('All Player Data Store'!$Y$7:$Y$594)-ROW('All Player Data Store'!$Y$7)+1),COUNTIF($AC$8:AC156,AC156))),"")</f>
        <v>Swa</v>
      </c>
      <c r="I156" s="69">
        <f t="array" ref="I156">IF(ISNUMBER(AC156),INDEX('All Player Data Store'!$E$7:$E$594,SMALL(IF('All Player Data Store'!$Y$7:$Y$594=AC156,ROW('All Player Data Store'!$Y$7:$Y$594)-ROW('All Player Data Store'!$Y$7)+1),COUNTIF($AC$8:AC156,AC156))),"")</f>
        <v>3</v>
      </c>
      <c r="J156" s="70">
        <f t="array" ref="J156">IF(ISNUMBER(AC156),INDEX('All Player Data Store'!$F$7:$F$594,SMALL(IF('All Player Data Store'!$Y$7:$Y$594=AC156,ROW('All Player Data Store'!$Y$7:$Y$594)-ROW('All Player Data Store'!$Y$7)+1),COUNTIF($AC$8:AC156,AC156))),"")</f>
        <v>1</v>
      </c>
      <c r="K156" s="112">
        <f t="array" ref="K156">IF(ISNUMBER(AC156),INDEX('All Player Data Store'!$G$7:$G$594,SMALL(IF('All Player Data Store'!$Y$7:$Y$594=AC156,ROW('All Player Data Store'!$Y$7:$Y$594)-ROW('All Player Data Store'!$Y$7)+1),COUNTIF($AC$8:AC156,AC156))),"")</f>
        <v>2</v>
      </c>
      <c r="L156" s="112">
        <f t="array" ref="L156">IF(ISNUMBER(AC156),INDEX('All Player Data Store'!$H$7:$H$594,SMALL(IF('All Player Data Store'!$Y$7:$Y$594=AC156,ROW('All Player Data Store'!$Y$7:$Y$594)-ROW('All Player Data Store'!$Y$7)+1),COUNTIF($AC$8:AC156,AC156))),"")</f>
        <v>7</v>
      </c>
      <c r="M156" s="113">
        <f t="array" ref="M156">IF(ISNUMBER(AC156),INDEX('All Player Data Store'!$I$7:$I$594,SMALL(IF('All Player Data Store'!$Y$7:$Y$594=AC156,ROW('All Player Data Store'!$Y$7:$Y$594)-ROW('All Player Data Store'!$Y$7)+1),COUNTIF($AC$8:AC156,AC156))),"")</f>
        <v>11</v>
      </c>
      <c r="N156" s="114" t="str">
        <f t="array" ref="N156">IF(ISNUMBER(AC156),INDEX('All Player Data Store'!$J$7:$J$594,SMALL(IF('All Player Data Store'!$Y$7:$Y$594=AC156,ROW('All Player Data Store'!$Y$7:$Y$594)-ROW('All Player Data Store'!$Y$7)+1),COUNTIF($AC$8:AC156,AC156))),"")</f>
        <v/>
      </c>
      <c r="O156" s="108" t="str">
        <f t="array" ref="O156">IF(ISNUMBER(AC156),INDEX('All Player Data Store'!$K$7:$K$594,SMALL(IF('All Player Data Store'!$Y$7:$Y$594=AC156,ROW('All Player Data Store'!$Y$7:$Y$594)-ROW('All Player Data Store'!$Y$7)+1),COUNTIF($AC$8:AC156,AC156))),"")</f>
        <v/>
      </c>
      <c r="P156" s="108" t="str">
        <f t="array" ref="P156">IF(ISNUMBER(AC156),INDEX('All Player Data Store'!$L$7:$L$594,SMALL(IF('All Player Data Store'!$Y$7:$Y$594=AC156,ROW('All Player Data Store'!$Y$7:$Y$594)-ROW('All Player Data Store'!$Y$7)+1),COUNTIF($AC$8:AC156,AC156))),"")</f>
        <v/>
      </c>
      <c r="Q156" s="108" t="str">
        <f t="array" ref="Q156">IF(ISNUMBER(AC156),INDEX('All Player Data Store'!$M$7:$M$594,SMALL(IF('All Player Data Store'!$Y$7:$Y$594=AC156,ROW('All Player Data Store'!$Y$7:$Y$594)-ROW('All Player Data Store'!$Y$7)+1),COUNTIF($AC$8:AC156,AC156))),"")</f>
        <v/>
      </c>
      <c r="R156" s="108" t="str">
        <f t="array" ref="R156">IF(ISNUMBER(AC156),INDEX('All Player Data Store'!$N$7:$N$594,SMALL(IF('All Player Data Store'!$Y$7:$Y$594=AC156,ROW('All Player Data Store'!$Y$7:$Y$594)-ROW('All Player Data Store'!$Y$7)+1),COUNTIF($AC$8:AC156,AC156))),"")</f>
        <v/>
      </c>
      <c r="S156" s="108" t="str">
        <f t="array" ref="S156">IF(ISNUMBER(AC156),INDEX('All Player Data Store'!$O$7:$O$594,SMALL(IF('All Player Data Store'!$Y$7:$Y$594=AC156,ROW('All Player Data Store'!$Y$7:$Y$594)-ROW('All Player Data Store'!$Y$7)+1),COUNTIF($AC$8:AC156,AC156))),"")</f>
        <v/>
      </c>
      <c r="T156" s="108" t="str">
        <f t="array" ref="T156">IF(ISNUMBER(AC156),INDEX('All Player Data Store'!$P$7:$P$594,SMALL(IF('All Player Data Store'!$Y$7:$Y$594=AC156,ROW('All Player Data Store'!$Y$7:$Y$594)-ROW('All Player Data Store'!$Y$7)+1),COUNTIF($AC$8:AC156,AC156))),"")</f>
        <v/>
      </c>
      <c r="U156" s="108" t="str">
        <f t="array" ref="U156">IF(ISNUMBER(AC156),INDEX('All Player Data Store'!$Q$7:$Q$594,SMALL(IF('All Player Data Store'!$Y$7:$Y$594=AC156,ROW('All Player Data Store'!$Y$7:$Y$594)-ROW('All Player Data Store'!$Y$7)+1),COUNTIF($AC$8:AC156,AC156))),"")</f>
        <v/>
      </c>
      <c r="V156" s="108" t="str">
        <f t="array" ref="V156">IF(ISNUMBER(AC156),INDEX('All Player Data Store'!$R$7:$R$594,SMALL(IF('All Player Data Store'!$Y$7:$Y$594=AC156,ROW('All Player Data Store'!$Y$7:$Y$594)-ROW('All Player Data Store'!$Y$7)+1),COUNTIF($AC$8:AC156,AC156))),"")</f>
        <v/>
      </c>
      <c r="W156" s="108">
        <f t="array" ref="W156">IF(ISNUMBER(AC156),INDEX('All Player Data Store'!$S$7:$S$594,SMALL(IF('All Player Data Store'!$Y$7:$Y$594=AC156,ROW('All Player Data Store'!$Y$7:$Y$594)-ROW('All Player Data Store'!$Y$7)+1),COUNTIF($AC$8:AC156,AC156))),"")</f>
        <v>21.12</v>
      </c>
      <c r="X156" s="108" t="str">
        <f t="array" ref="X156">IF(ISNUMBER(AC156),INDEX('All Player Data Store'!$T$7:$T$594,SMALL(IF('All Player Data Store'!$Y$7:$Y$594=AC156,ROW('All Player Data Store'!$Y$7:$Y$594)-ROW('All Player Data Store'!$Y$7)+1),COUNTIF($AC$8:AC156,AC156))),"")</f>
        <v/>
      </c>
      <c r="Y156" s="108">
        <f t="array" ref="Y156">IF(ISNUMBER(AC156),INDEX('All Player Data Store'!$U$7:$U$594,SMALL(IF('All Player Data Store'!$Y$7:$Y$594=AC156,ROW('All Player Data Store'!$Y$7:$Y$594)-ROW('All Player Data Store'!$Y$7)+1),COUNTIF($AC$8:AC156,AC156))),"")</f>
        <v>17.48</v>
      </c>
      <c r="Z156" s="108">
        <f t="array" ref="Z156">IF(ISNUMBER(AC156),INDEX('All Player Data Store'!$V$7:$V$594,SMALL(IF('All Player Data Store'!$Y$7:$Y$594=AC156,ROW('All Player Data Store'!$Y$7:$Y$594)-ROW('All Player Data Store'!$Y$7)+1),COUNTIF($AC$8:AC156,AC156))),"")</f>
        <v>18.22</v>
      </c>
      <c r="AA156" s="112" t="str">
        <f t="array" ref="AA156">IF(ISNUMBER(AC156),INDEX('All Player Data Store'!$W$7:$W$594,SMALL(IF('All Player Data Store'!$Y$7:$Y$594=AC156,ROW('All Player Data Store'!$Y$7:$Y$594)-ROW('All Player Data Store'!$Y$7)+1),COUNTIF($AC$8:AC156,AC156))),"")</f>
        <v/>
      </c>
      <c r="AB156" s="108">
        <f t="array" ref="AB156">IF(ISNUMBER(AC156),INDEX('All Player Data Store'!$X$7:$X$594,SMALL(IF('All Player Data Store'!$Y$7:$Y$594=AC156,ROW('All Player Data Store'!$Y$7:$Y$594)-ROW('All Player Data Store'!$Y$7)+1),COUNTIF($AC$8:AC156,AC156))),"")</f>
        <v>18.940000000000001</v>
      </c>
      <c r="AC156" s="115">
        <f>IF(ISERROR(IF(ISERROR(LARGE('All Player Data Store'!$Y$7:$Y$594,149)),"",(LARGE('All Player Data Store'!$Y$7:$Y$594,149)))),"",(IF(ISERROR(LARGE('All Player Data Store'!$Y$7:$Y$594,149)),"",(LARGE('All Player Data Store'!$Y$7:$Y$594,149)))))</f>
        <v>19.940000000000001</v>
      </c>
      <c r="AD156" s="106">
        <f t="shared" si="16"/>
        <v>3</v>
      </c>
      <c r="AE156" s="107" t="str">
        <f t="array" ref="AE156">IF(ISNUMBER(AC156),INDEX('All Player Data Store'!$J$8:$J$594,SMALL(IF('All Player Data Store'!$Y$7:$Y$594=AC156,ROW('All Player Data Store'!$Y$7:$Y$594)-ROW('All Player Data Store'!$Y$7)+1),COUNTIF($AC$8:AC156,AC156))),"")</f>
        <v/>
      </c>
      <c r="AF156" s="108" t="str">
        <f t="shared" si="3"/>
        <v/>
      </c>
      <c r="AG156" s="108" t="str">
        <f t="array" ref="AG156">IF(ISNUMBER(AC156),INDEX('All Player Data Store'!$K$8:$K$594,SMALL(IF('All Player Data Store'!$Y$7:$Y$594=AC156,ROW('All Player Data Store'!$Y$7:$Y$594)-ROW('All Player Data Store'!$Y$7)+1),COUNTIF($AC$8:AC156,AC156))),"")</f>
        <v/>
      </c>
      <c r="AH156" s="108" t="str">
        <f t="shared" si="4"/>
        <v/>
      </c>
      <c r="AI156" s="108" t="str">
        <f t="array" ref="AI156">IF(ISNUMBER(AC156),INDEX('All Player Data Store'!$L$8:$L$594,SMALL(IF('All Player Data Store'!$Y$7:$Y$594=AC156,ROW('All Player Data Store'!$Y$7:$Y$594)-ROW('All Player Data Store'!$Y$7)+1),COUNTIF($AC$8:AC156,AC156))),"")</f>
        <v/>
      </c>
      <c r="AJ156" s="108" t="str">
        <f t="shared" si="5"/>
        <v/>
      </c>
      <c r="AK156" s="108" t="str">
        <f t="array" ref="AK156">IF(ISNUMBER(AC156),INDEX('All Player Data Store'!$M$8:$M$594,SMALL(IF('All Player Data Store'!$Y$7:$Y$594=AC156,ROW('All Player Data Store'!$Y$7:$Y$594)-ROW('All Player Data Store'!$Y$7)+1),COUNTIF($AC$8:AC156,AC156))),"")</f>
        <v/>
      </c>
      <c r="AL156" s="108" t="str">
        <f t="shared" si="6"/>
        <v/>
      </c>
      <c r="AM156" s="108" t="str">
        <f t="array" ref="AM156">IF(ISNUMBER(AC156),INDEX('All Player Data Store'!$N$8:$N$594,SMALL(IF('All Player Data Store'!$Y$7:$Y$594=AC156,ROW('All Player Data Store'!$Y$7:$Y$594)-ROW('All Player Data Store'!$Y$7)+1),COUNTIF($AC$8:AC156,AC156))),"")</f>
        <v/>
      </c>
      <c r="AN156" s="108" t="str">
        <f t="shared" si="7"/>
        <v/>
      </c>
      <c r="AO156" s="108" t="str">
        <f t="array" ref="AO156">IF(ISNUMBER(AC156),INDEX('All Player Data Store'!$O$8:$O$594,SMALL(IF('All Player Data Store'!$Y$7:$Y$594=AC156,ROW('All Player Data Store'!$Y$7:$Y$594)-ROW('All Player Data Store'!$Y$7)+1),COUNTIF($AC$8:AC156,AC156))),"")</f>
        <v/>
      </c>
      <c r="AP156" s="108" t="str">
        <f t="shared" si="8"/>
        <v/>
      </c>
      <c r="AQ156" s="108" t="str">
        <f t="array" ref="AQ156">IF(ISNUMBER(AC156),INDEX('All Player Data Store'!$P$8:$P$594,SMALL(IF('All Player Data Store'!$Y$7:$Y$594=AC156,ROW('All Player Data Store'!$Y$7:$Y$594)-ROW('All Player Data Store'!$Y$7)+1),COUNTIF($AC$8:AC156,AC156))),"")</f>
        <v/>
      </c>
      <c r="AR156" s="108" t="str">
        <f t="shared" si="9"/>
        <v/>
      </c>
      <c r="AS156" s="108" t="str">
        <f t="array" ref="AS156">IF(ISNUMBER(AC156),INDEX('All Player Data Store'!$Q$8:$Q$594,SMALL(IF('All Player Data Store'!$Y$7:$Y$594=AC156,ROW('All Player Data Store'!$Y$7:$Y$594)-ROW('All Player Data Store'!$Y$7)+1),COUNTIF($AC$8:AC156,AC156))),"")</f>
        <v/>
      </c>
      <c r="AT156" s="108" t="str">
        <f t="shared" si="10"/>
        <v/>
      </c>
      <c r="AU156" s="108" t="str">
        <f t="array" ref="AU156">IF(ISNUMBER(AC156),INDEX('All Player Data Store'!$R$8:$R$594,SMALL(IF('All Player Data Store'!$Y$7:$Y$594=AC156,ROW('All Player Data Store'!$Y$7:$Y$594)-ROW('All Player Data Store'!$Y$7)+1),COUNTIF($AC$8:AC156,AC156))),"")</f>
        <v/>
      </c>
      <c r="AV156" s="108" t="str">
        <f t="shared" si="11"/>
        <v/>
      </c>
      <c r="AW156" s="108" t="str">
        <f t="array" ref="AW156">IF(ISNUMBER(AC156),INDEX('All Player Data Store'!$S$8:$S$594,SMALL(IF('All Player Data Store'!$Y$7:$Y$594=AC156,ROW('All Player Data Store'!$Y$7:$Y$594)-ROW('All Player Data Store'!$Y$7)+1),COUNTIF($AC$8:AC156,AC156))),"")</f>
        <v>0*4</v>
      </c>
      <c r="AX156" s="108">
        <f t="shared" si="12"/>
        <v>21.12</v>
      </c>
      <c r="AY156" s="108" t="str">
        <f t="array" ref="AY156">IF(ISNUMBER(AC156),INDEX('All Player Data Store'!$T$8:$T$594,SMALL(IF('All Player Data Store'!$Y$7:$Y$594=AC156,ROW('All Player Data Store'!$Y$7:$Y$594)-ROW('All Player Data Store'!$Y$7)+1),COUNTIF($AC$8:AC156,AC156))),"")</f>
        <v/>
      </c>
      <c r="AZ156" s="108" t="str">
        <f t="shared" si="13"/>
        <v/>
      </c>
      <c r="BA156" s="108" t="str">
        <f t="array" ref="BA156">IF(ISNUMBER(AC156),INDEX('All Player Data Store'!$U$8:$U$594,SMALL(IF('All Player Data Store'!$Y$7:$Y$594=AC156,ROW('All Player Data Store'!$Y$7:$Y$594)-ROW('All Player Data Store'!$Y$7)+1),COUNTIF($AC$8:AC156,AC156))),"")</f>
        <v>3*4</v>
      </c>
      <c r="BB156" s="108">
        <f t="shared" si="14"/>
        <v>17.48</v>
      </c>
      <c r="BC156" s="108" t="str">
        <f t="array" ref="BC156">IF(ISNUMBER(AC156),INDEX('All Player Data Store'!$V$8:$V$594,SMALL(IF('All Player Data Store'!$Y$7:$Y$594=AC156,ROW('All Player Data Store'!$Y$7:$Y$594)-ROW('All Player Data Store'!$Y$7)+1),COUNTIF($AC$8:AC156,AC156))),"")</f>
        <v>4*3</v>
      </c>
      <c r="BD156" s="108">
        <f t="shared" si="15"/>
        <v>19.22</v>
      </c>
      <c r="BE156" s="1"/>
    </row>
    <row r="157" spans="2:57" ht="12" customHeight="1" x14ac:dyDescent="0.2">
      <c r="B157" s="98" t="str">
        <f t="shared" si="0"/>
        <v>N</v>
      </c>
      <c r="C157" s="1"/>
      <c r="D157" s="68">
        <f t="shared" si="1"/>
        <v>150</v>
      </c>
      <c r="E157" s="2"/>
      <c r="F157" s="78">
        <v>150</v>
      </c>
      <c r="G157" s="110" t="str">
        <f t="array" ref="G157">IF(ISNUMBER(AC157),INDEX('All Player Data Store'!$C$7:$C$594,SMALL(IF('All Player Data Store'!$Y$7:$Y$594=AC157,ROW('All Player Data Store'!$Y$7:$Y$594)-ROW('All Player Data Store'!$Y$7)+1),COUNTIF($AC$8:AC157,AC157))),"")</f>
        <v>Jack Seymour</v>
      </c>
      <c r="H157" s="111" t="str">
        <f t="array" ref="H157">IF(ISNUMBER(AC157),INDEX('All Player Data Store'!$D$7:$D$594,SMALL(IF('All Player Data Store'!$Y$7:$Y$594=AC157,ROW('All Player Data Store'!$Y$7:$Y$594)-ROW('All Player Data Store'!$Y$7)+1),COUNTIF($AC$8:AC157,AC157))),"")</f>
        <v>Wey</v>
      </c>
      <c r="I157" s="69">
        <f t="array" ref="I157">IF(ISNUMBER(AC157),INDEX('All Player Data Store'!$E$7:$E$594,SMALL(IF('All Player Data Store'!$Y$7:$Y$594=AC157,ROW('All Player Data Store'!$Y$7:$Y$594)-ROW('All Player Data Store'!$Y$7)+1),COUNTIF($AC$8:AC157,AC157))),"")</f>
        <v>1</v>
      </c>
      <c r="J157" s="70" t="str">
        <f t="array" ref="J157">IF(ISNUMBER(AC157),INDEX('All Player Data Store'!$F$7:$F$594,SMALL(IF('All Player Data Store'!$Y$7:$Y$594=AC157,ROW('All Player Data Store'!$Y$7:$Y$594)-ROW('All Player Data Store'!$Y$7)+1),COUNTIF($AC$8:AC157,AC157))),"")</f>
        <v/>
      </c>
      <c r="K157" s="112">
        <f t="array" ref="K157">IF(ISNUMBER(AC157),INDEX('All Player Data Store'!$G$7:$G$594,SMALL(IF('All Player Data Store'!$Y$7:$Y$594=AC157,ROW('All Player Data Store'!$Y$7:$Y$594)-ROW('All Player Data Store'!$Y$7)+1),COUNTIF($AC$8:AC157,AC157))),"")</f>
        <v>1</v>
      </c>
      <c r="L157" s="112">
        <f t="array" ref="L157">IF(ISNUMBER(AC157),INDEX('All Player Data Store'!$H$7:$H$594,SMALL(IF('All Player Data Store'!$Y$7:$Y$594=AC157,ROW('All Player Data Store'!$Y$7:$Y$594)-ROW('All Player Data Store'!$Y$7)+1),COUNTIF($AC$8:AC157,AC157))),"")</f>
        <v>3</v>
      </c>
      <c r="M157" s="113">
        <f t="array" ref="M157">IF(ISNUMBER(AC157),INDEX('All Player Data Store'!$I$7:$I$594,SMALL(IF('All Player Data Store'!$Y$7:$Y$594=AC157,ROW('All Player Data Store'!$Y$7:$Y$594)-ROW('All Player Data Store'!$Y$7)+1),COUNTIF($AC$8:AC157,AC157))),"")</f>
        <v>4</v>
      </c>
      <c r="N157" s="114">
        <f t="array" ref="N157">IF(ISNUMBER(AC157),INDEX('All Player Data Store'!$J$7:$J$594,SMALL(IF('All Player Data Store'!$Y$7:$Y$594=AC157,ROW('All Player Data Store'!$Y$7:$Y$594)-ROW('All Player Data Store'!$Y$7)+1),COUNTIF($AC$8:AC157,AC157))),"")</f>
        <v>19.72</v>
      </c>
      <c r="O157" s="108" t="str">
        <f t="array" ref="O157">IF(ISNUMBER(AC157),INDEX('All Player Data Store'!$K$7:$K$594,SMALL(IF('All Player Data Store'!$Y$7:$Y$594=AC157,ROW('All Player Data Store'!$Y$7:$Y$594)-ROW('All Player Data Store'!$Y$7)+1),COUNTIF($AC$8:AC157,AC157))),"")</f>
        <v/>
      </c>
      <c r="P157" s="108" t="str">
        <f t="array" ref="P157">IF(ISNUMBER(AC157),INDEX('All Player Data Store'!$L$7:$L$594,SMALL(IF('All Player Data Store'!$Y$7:$Y$594=AC157,ROW('All Player Data Store'!$Y$7:$Y$594)-ROW('All Player Data Store'!$Y$7)+1),COUNTIF($AC$8:AC157,AC157))),"")</f>
        <v/>
      </c>
      <c r="Q157" s="108" t="str">
        <f t="array" ref="Q157">IF(ISNUMBER(AC157),INDEX('All Player Data Store'!$M$7:$M$594,SMALL(IF('All Player Data Store'!$Y$7:$Y$594=AC157,ROW('All Player Data Store'!$Y$7:$Y$594)-ROW('All Player Data Store'!$Y$7)+1),COUNTIF($AC$8:AC157,AC157))),"")</f>
        <v/>
      </c>
      <c r="R157" s="108" t="str">
        <f t="array" ref="R157">IF(ISNUMBER(AC157),INDEX('All Player Data Store'!$N$7:$N$594,SMALL(IF('All Player Data Store'!$Y$7:$Y$594=AC157,ROW('All Player Data Store'!$Y$7:$Y$594)-ROW('All Player Data Store'!$Y$7)+1),COUNTIF($AC$8:AC157,AC157))),"")</f>
        <v/>
      </c>
      <c r="S157" s="108" t="str">
        <f t="array" ref="S157">IF(ISNUMBER(AC157),INDEX('All Player Data Store'!$O$7:$O$594,SMALL(IF('All Player Data Store'!$Y$7:$Y$594=AC157,ROW('All Player Data Store'!$Y$7:$Y$594)-ROW('All Player Data Store'!$Y$7)+1),COUNTIF($AC$8:AC157,AC157))),"")</f>
        <v/>
      </c>
      <c r="T157" s="108" t="str">
        <f t="array" ref="T157">IF(ISNUMBER(AC157),INDEX('All Player Data Store'!$P$7:$P$594,SMALL(IF('All Player Data Store'!$Y$7:$Y$594=AC157,ROW('All Player Data Store'!$Y$7:$Y$594)-ROW('All Player Data Store'!$Y$7)+1),COUNTIF($AC$8:AC157,AC157))),"")</f>
        <v/>
      </c>
      <c r="U157" s="108" t="str">
        <f t="array" ref="U157">IF(ISNUMBER(AC157),INDEX('All Player Data Store'!$Q$7:$Q$594,SMALL(IF('All Player Data Store'!$Y$7:$Y$594=AC157,ROW('All Player Data Store'!$Y$7:$Y$594)-ROW('All Player Data Store'!$Y$7)+1),COUNTIF($AC$8:AC157,AC157))),"")</f>
        <v/>
      </c>
      <c r="V157" s="108" t="str">
        <f t="array" ref="V157">IF(ISNUMBER(AC157),INDEX('All Player Data Store'!$R$7:$R$594,SMALL(IF('All Player Data Store'!$Y$7:$Y$594=AC157,ROW('All Player Data Store'!$Y$7:$Y$594)-ROW('All Player Data Store'!$Y$7)+1),COUNTIF($AC$8:AC157,AC157))),"")</f>
        <v/>
      </c>
      <c r="W157" s="108" t="str">
        <f t="array" ref="W157">IF(ISNUMBER(AC157),INDEX('All Player Data Store'!$S$7:$S$594,SMALL(IF('All Player Data Store'!$Y$7:$Y$594=AC157,ROW('All Player Data Store'!$Y$7:$Y$594)-ROW('All Player Data Store'!$Y$7)+1),COUNTIF($AC$8:AC157,AC157))),"")</f>
        <v/>
      </c>
      <c r="X157" s="108" t="str">
        <f t="array" ref="X157">IF(ISNUMBER(AC157),INDEX('All Player Data Store'!$T$7:$T$594,SMALL(IF('All Player Data Store'!$Y$7:$Y$594=AC157,ROW('All Player Data Store'!$Y$7:$Y$594)-ROW('All Player Data Store'!$Y$7)+1),COUNTIF($AC$8:AC157,AC157))),"")</f>
        <v/>
      </c>
      <c r="Y157" s="108" t="str">
        <f t="array" ref="Y157">IF(ISNUMBER(AC157),INDEX('All Player Data Store'!$U$7:$U$594,SMALL(IF('All Player Data Store'!$Y$7:$Y$594=AC157,ROW('All Player Data Store'!$Y$7:$Y$594)-ROW('All Player Data Store'!$Y$7)+1),COUNTIF($AC$8:AC157,AC157))),"")</f>
        <v/>
      </c>
      <c r="Z157" s="108" t="str">
        <f t="array" ref="Z157">IF(ISNUMBER(AC157),INDEX('All Player Data Store'!$V$7:$V$594,SMALL(IF('All Player Data Store'!$Y$7:$Y$594=AC157,ROW('All Player Data Store'!$Y$7:$Y$594)-ROW('All Player Data Store'!$Y$7)+1),COUNTIF($AC$8:AC157,AC157))),"")</f>
        <v/>
      </c>
      <c r="AA157" s="112" t="str">
        <f t="array" ref="AA157">IF(ISNUMBER(AC157),INDEX('All Player Data Store'!$W$7:$W$594,SMALL(IF('All Player Data Store'!$Y$7:$Y$594=AC157,ROW('All Player Data Store'!$Y$7:$Y$594)-ROW('All Player Data Store'!$Y$7)+1),COUNTIF($AC$8:AC157,AC157))),"")</f>
        <v/>
      </c>
      <c r="AB157" s="108">
        <f t="array" ref="AB157">IF(ISNUMBER(AC157),INDEX('All Player Data Store'!$X$7:$X$594,SMALL(IF('All Player Data Store'!$Y$7:$Y$594=AC157,ROW('All Player Data Store'!$Y$7:$Y$594)-ROW('All Player Data Store'!$Y$7)+1),COUNTIF($AC$8:AC157,AC157))),"")</f>
        <v>19.72</v>
      </c>
      <c r="AC157" s="115">
        <f>IF(ISERROR(IF(ISERROR(LARGE('All Player Data Store'!$Y$7:$Y$594,150)),"",(LARGE('All Player Data Store'!$Y$7:$Y$594,150)))),"",(IF(ISERROR(LARGE('All Player Data Store'!$Y$7:$Y$594,150)),"",(LARGE('All Player Data Store'!$Y$7:$Y$594,150)))))</f>
        <v>19.72</v>
      </c>
      <c r="AD157" s="106">
        <f t="shared" si="16"/>
        <v>3</v>
      </c>
      <c r="AE157" s="107" t="str">
        <f t="array" ref="AE157">IF(ISNUMBER(AC157),INDEX('All Player Data Store'!$J$8:$J$594,SMALL(IF('All Player Data Store'!$Y$7:$Y$594=AC157,ROW('All Player Data Store'!$Y$7:$Y$594)-ROW('All Player Data Store'!$Y$7)+1),COUNTIF($AC$8:AC157,AC157))),"")</f>
        <v>3*4</v>
      </c>
      <c r="AF157" s="108">
        <f t="shared" si="3"/>
        <v>19.72</v>
      </c>
      <c r="AG157" s="108" t="str">
        <f t="array" ref="AG157">IF(ISNUMBER(AC157),INDEX('All Player Data Store'!$K$8:$K$594,SMALL(IF('All Player Data Store'!$Y$7:$Y$594=AC157,ROW('All Player Data Store'!$Y$7:$Y$594)-ROW('All Player Data Store'!$Y$7)+1),COUNTIF($AC$8:AC157,AC157))),"")</f>
        <v/>
      </c>
      <c r="AH157" s="108" t="str">
        <f t="shared" si="4"/>
        <v/>
      </c>
      <c r="AI157" s="108" t="str">
        <f t="array" ref="AI157">IF(ISNUMBER(AC157),INDEX('All Player Data Store'!$L$8:$L$594,SMALL(IF('All Player Data Store'!$Y$7:$Y$594=AC157,ROW('All Player Data Store'!$Y$7:$Y$594)-ROW('All Player Data Store'!$Y$7)+1),COUNTIF($AC$8:AC157,AC157))),"")</f>
        <v/>
      </c>
      <c r="AJ157" s="108" t="str">
        <f t="shared" si="5"/>
        <v/>
      </c>
      <c r="AK157" s="108" t="str">
        <f t="array" ref="AK157">IF(ISNUMBER(AC157),INDEX('All Player Data Store'!$M$8:$M$594,SMALL(IF('All Player Data Store'!$Y$7:$Y$594=AC157,ROW('All Player Data Store'!$Y$7:$Y$594)-ROW('All Player Data Store'!$Y$7)+1),COUNTIF($AC$8:AC157,AC157))),"")</f>
        <v/>
      </c>
      <c r="AL157" s="108" t="str">
        <f t="shared" si="6"/>
        <v/>
      </c>
      <c r="AM157" s="108" t="str">
        <f t="array" ref="AM157">IF(ISNUMBER(AC157),INDEX('All Player Data Store'!$N$8:$N$594,SMALL(IF('All Player Data Store'!$Y$7:$Y$594=AC157,ROW('All Player Data Store'!$Y$7:$Y$594)-ROW('All Player Data Store'!$Y$7)+1),COUNTIF($AC$8:AC157,AC157))),"")</f>
        <v/>
      </c>
      <c r="AN157" s="108" t="str">
        <f t="shared" si="7"/>
        <v/>
      </c>
      <c r="AO157" s="108" t="str">
        <f t="array" ref="AO157">IF(ISNUMBER(AC157),INDEX('All Player Data Store'!$O$8:$O$594,SMALL(IF('All Player Data Store'!$Y$7:$Y$594=AC157,ROW('All Player Data Store'!$Y$7:$Y$594)-ROW('All Player Data Store'!$Y$7)+1),COUNTIF($AC$8:AC157,AC157))),"")</f>
        <v/>
      </c>
      <c r="AP157" s="108" t="str">
        <f t="shared" si="8"/>
        <v/>
      </c>
      <c r="AQ157" s="108" t="str">
        <f t="array" ref="AQ157">IF(ISNUMBER(AC157),INDEX('All Player Data Store'!$P$8:$P$594,SMALL(IF('All Player Data Store'!$Y$7:$Y$594=AC157,ROW('All Player Data Store'!$Y$7:$Y$594)-ROW('All Player Data Store'!$Y$7)+1),COUNTIF($AC$8:AC157,AC157))),"")</f>
        <v/>
      </c>
      <c r="AR157" s="108" t="str">
        <f t="shared" si="9"/>
        <v/>
      </c>
      <c r="AS157" s="108" t="str">
        <f t="array" ref="AS157">IF(ISNUMBER(AC157),INDEX('All Player Data Store'!$Q$8:$Q$594,SMALL(IF('All Player Data Store'!$Y$7:$Y$594=AC157,ROW('All Player Data Store'!$Y$7:$Y$594)-ROW('All Player Data Store'!$Y$7)+1),COUNTIF($AC$8:AC157,AC157))),"")</f>
        <v/>
      </c>
      <c r="AT157" s="108" t="str">
        <f t="shared" si="10"/>
        <v/>
      </c>
      <c r="AU157" s="108" t="str">
        <f t="array" ref="AU157">IF(ISNUMBER(AC157),INDEX('All Player Data Store'!$R$8:$R$594,SMALL(IF('All Player Data Store'!$Y$7:$Y$594=AC157,ROW('All Player Data Store'!$Y$7:$Y$594)-ROW('All Player Data Store'!$Y$7)+1),COUNTIF($AC$8:AC157,AC157))),"")</f>
        <v/>
      </c>
      <c r="AV157" s="108" t="str">
        <f t="shared" si="11"/>
        <v/>
      </c>
      <c r="AW157" s="108" t="str">
        <f t="array" ref="AW157">IF(ISNUMBER(AC157),INDEX('All Player Data Store'!$S$8:$S$594,SMALL(IF('All Player Data Store'!$Y$7:$Y$594=AC157,ROW('All Player Data Store'!$Y$7:$Y$594)-ROW('All Player Data Store'!$Y$7)+1),COUNTIF($AC$8:AC157,AC157))),"")</f>
        <v/>
      </c>
      <c r="AX157" s="108" t="str">
        <f t="shared" si="12"/>
        <v/>
      </c>
      <c r="AY157" s="108" t="str">
        <f t="array" ref="AY157">IF(ISNUMBER(AC157),INDEX('All Player Data Store'!$T$8:$T$594,SMALL(IF('All Player Data Store'!$Y$7:$Y$594=AC157,ROW('All Player Data Store'!$Y$7:$Y$594)-ROW('All Player Data Store'!$Y$7)+1),COUNTIF($AC$8:AC157,AC157))),"")</f>
        <v/>
      </c>
      <c r="AZ157" s="108" t="str">
        <f t="shared" si="13"/>
        <v/>
      </c>
      <c r="BA157" s="108" t="str">
        <f t="array" ref="BA157">IF(ISNUMBER(AC157),INDEX('All Player Data Store'!$U$8:$U$594,SMALL(IF('All Player Data Store'!$Y$7:$Y$594=AC157,ROW('All Player Data Store'!$Y$7:$Y$594)-ROW('All Player Data Store'!$Y$7)+1),COUNTIF($AC$8:AC157,AC157))),"")</f>
        <v/>
      </c>
      <c r="BB157" s="108" t="str">
        <f t="shared" si="14"/>
        <v/>
      </c>
      <c r="BC157" s="108" t="str">
        <f t="array" ref="BC157">IF(ISNUMBER(AC157),INDEX('All Player Data Store'!$V$8:$V$594,SMALL(IF('All Player Data Store'!$Y$7:$Y$594=AC157,ROW('All Player Data Store'!$Y$7:$Y$594)-ROW('All Player Data Store'!$Y$7)+1),COUNTIF($AC$8:AC157,AC157))),"")</f>
        <v/>
      </c>
      <c r="BD157" s="108" t="str">
        <f t="shared" si="15"/>
        <v/>
      </c>
      <c r="BE157" s="1"/>
    </row>
    <row r="158" spans="2:57" ht="12" customHeight="1" x14ac:dyDescent="0.2">
      <c r="B158" s="98" t="str">
        <f t="shared" si="0"/>
        <v>Y</v>
      </c>
      <c r="C158" s="1"/>
      <c r="D158" s="68">
        <f t="shared" si="1"/>
        <v>151</v>
      </c>
      <c r="E158" s="2"/>
      <c r="F158" s="78">
        <v>151</v>
      </c>
      <c r="G158" s="110" t="str">
        <f t="array" ref="G158">IF(ISNUMBER(AC158),INDEX('All Player Data Store'!$C$7:$C$594,SMALL(IF('All Player Data Store'!$Y$7:$Y$594=AC158,ROW('All Player Data Store'!$Y$7:$Y$594)-ROW('All Player Data Store'!$Y$7)+1),COUNTIF($AC$8:AC158,AC158))),"")</f>
        <v>Bob Winton</v>
      </c>
      <c r="H158" s="111" t="str">
        <f t="array" ref="H158">IF(ISNUMBER(AC158),INDEX('All Player Data Store'!$D$7:$D$594,SMALL(IF('All Player Data Store'!$Y$7:$Y$594=AC158,ROW('All Player Data Store'!$Y$7:$Y$594)-ROW('All Player Data Store'!$Y$7)+1),COUNTIF($AC$8:AC158,AC158))),"")</f>
        <v>Sha</v>
      </c>
      <c r="I158" s="69">
        <f t="array" ref="I158">IF(ISNUMBER(AC158),INDEX('All Player Data Store'!$E$7:$E$594,SMALL(IF('All Player Data Store'!$Y$7:$Y$594=AC158,ROW('All Player Data Store'!$Y$7:$Y$594)-ROW('All Player Data Store'!$Y$7)+1),COUNTIF($AC$8:AC158,AC158))),"")</f>
        <v>12</v>
      </c>
      <c r="J158" s="70">
        <f t="array" ref="J158">IF(ISNUMBER(AC158),INDEX('All Player Data Store'!$F$7:$F$594,SMALL(IF('All Player Data Store'!$Y$7:$Y$594=AC158,ROW('All Player Data Store'!$Y$7:$Y$594)-ROW('All Player Data Store'!$Y$7)+1),COUNTIF($AC$8:AC158,AC158))),"")</f>
        <v>1</v>
      </c>
      <c r="K158" s="112">
        <f t="array" ref="K158">IF(ISNUMBER(AC158),INDEX('All Player Data Store'!$G$7:$G$594,SMALL(IF('All Player Data Store'!$Y$7:$Y$594=AC158,ROW('All Player Data Store'!$Y$7:$Y$594)-ROW('All Player Data Store'!$Y$7)+1),COUNTIF($AC$8:AC158,AC158))),"")</f>
        <v>11</v>
      </c>
      <c r="L158" s="112">
        <f t="array" ref="L158">IF(ISNUMBER(AC158),INDEX('All Player Data Store'!$H$7:$H$594,SMALL(IF('All Player Data Store'!$Y$7:$Y$594=AC158,ROW('All Player Data Store'!$Y$7:$Y$594)-ROW('All Player Data Store'!$Y$7)+1),COUNTIF($AC$8:AC158,AC158))),"")</f>
        <v>15</v>
      </c>
      <c r="M158" s="113">
        <f t="array" ref="M158">IF(ISNUMBER(AC158),INDEX('All Player Data Store'!$I$7:$I$594,SMALL(IF('All Player Data Store'!$Y$7:$Y$594=AC158,ROW('All Player Data Store'!$Y$7:$Y$594)-ROW('All Player Data Store'!$Y$7)+1),COUNTIF($AC$8:AC158,AC158))),"")</f>
        <v>46</v>
      </c>
      <c r="N158" s="114">
        <f t="array" ref="N158">IF(ISNUMBER(AC158),INDEX('All Player Data Store'!$J$7:$J$594,SMALL(IF('All Player Data Store'!$Y$7:$Y$594=AC158,ROW('All Player Data Store'!$Y$7:$Y$594)-ROW('All Player Data Store'!$Y$7)+1),COUNTIF($AC$8:AC158,AC158))),"")</f>
        <v>21.52</v>
      </c>
      <c r="O158" s="108">
        <f t="array" ref="O158">IF(ISNUMBER(AC158),INDEX('All Player Data Store'!$K$7:$K$594,SMALL(IF('All Player Data Store'!$Y$7:$Y$594=AC158,ROW('All Player Data Store'!$Y$7:$Y$594)-ROW('All Player Data Store'!$Y$7)+1),COUNTIF($AC$8:AC158,AC158))),"")</f>
        <v>18.78</v>
      </c>
      <c r="P158" s="108">
        <f t="array" ref="P158">IF(ISNUMBER(AC158),INDEX('All Player Data Store'!$L$7:$L$594,SMALL(IF('All Player Data Store'!$Y$7:$Y$594=AC158,ROW('All Player Data Store'!$Y$7:$Y$594)-ROW('All Player Data Store'!$Y$7)+1),COUNTIF($AC$8:AC158,AC158))),"")</f>
        <v>17.48</v>
      </c>
      <c r="Q158" s="108">
        <f t="array" ref="Q158">IF(ISNUMBER(AC158),INDEX('All Player Data Store'!$M$7:$M$594,SMALL(IF('All Player Data Store'!$Y$7:$Y$594=AC158,ROW('All Player Data Store'!$Y$7:$Y$594)-ROW('All Player Data Store'!$Y$7)+1),COUNTIF($AC$8:AC158,AC158))),"")</f>
        <v>18.41</v>
      </c>
      <c r="R158" s="108">
        <f t="array" ref="R158">IF(ISNUMBER(AC158),INDEX('All Player Data Store'!$N$7:$N$594,SMALL(IF('All Player Data Store'!$Y$7:$Y$594=AC158,ROW('All Player Data Store'!$Y$7:$Y$594)-ROW('All Player Data Store'!$Y$7)+1),COUNTIF($AC$8:AC158,AC158))),"")</f>
        <v>18.940000000000001</v>
      </c>
      <c r="S158" s="108" t="str">
        <f t="array" ref="S158">IF(ISNUMBER(AC158),INDEX('All Player Data Store'!$O$7:$O$594,SMALL(IF('All Player Data Store'!$Y$7:$Y$594=AC158,ROW('All Player Data Store'!$Y$7:$Y$594)-ROW('All Player Data Store'!$Y$7)+1),COUNTIF($AC$8:AC158,AC158))),"")</f>
        <v/>
      </c>
      <c r="T158" s="108">
        <f t="array" ref="T158">IF(ISNUMBER(AC158),INDEX('All Player Data Store'!$P$7:$P$594,SMALL(IF('All Player Data Store'!$Y$7:$Y$594=AC158,ROW('All Player Data Store'!$Y$7:$Y$594)-ROW('All Player Data Store'!$Y$7)+1),COUNTIF($AC$8:AC158,AC158))),"")</f>
        <v>17.8</v>
      </c>
      <c r="U158" s="108">
        <f t="array" ref="U158">IF(ISNUMBER(AC158),INDEX('All Player Data Store'!$Q$7:$Q$594,SMALL(IF('All Player Data Store'!$Y$7:$Y$594=AC158,ROW('All Player Data Store'!$Y$7:$Y$594)-ROW('All Player Data Store'!$Y$7)+1),COUNTIF($AC$8:AC158,AC158))),"")</f>
        <v>18.190000000000001</v>
      </c>
      <c r="V158" s="108">
        <f t="array" ref="V158">IF(ISNUMBER(AC158),INDEX('All Player Data Store'!$R$7:$R$594,SMALL(IF('All Player Data Store'!$Y$7:$Y$594=AC158,ROW('All Player Data Store'!$Y$7:$Y$594)-ROW('All Player Data Store'!$Y$7)+1),COUNTIF($AC$8:AC158,AC158))),"")</f>
        <v>21.21</v>
      </c>
      <c r="W158" s="108">
        <f t="array" ref="W158">IF(ISNUMBER(AC158),INDEX('All Player Data Store'!$S$7:$S$594,SMALL(IF('All Player Data Store'!$Y$7:$Y$594=AC158,ROW('All Player Data Store'!$Y$7:$Y$594)-ROW('All Player Data Store'!$Y$7)+1),COUNTIF($AC$8:AC158,AC158))),"")</f>
        <v>18.68</v>
      </c>
      <c r="X158" s="108">
        <f t="array" ref="X158">IF(ISNUMBER(AC158),INDEX('All Player Data Store'!$T$7:$T$594,SMALL(IF('All Player Data Store'!$Y$7:$Y$594=AC158,ROW('All Player Data Store'!$Y$7:$Y$594)-ROW('All Player Data Store'!$Y$7)+1),COUNTIF($AC$8:AC158,AC158))),"")</f>
        <v>19.350000000000001</v>
      </c>
      <c r="Y158" s="108">
        <f t="array" ref="Y158">IF(ISNUMBER(AC158),INDEX('All Player Data Store'!$U$7:$U$594,SMALL(IF('All Player Data Store'!$Y$7:$Y$594=AC158,ROW('All Player Data Store'!$Y$7:$Y$594)-ROW('All Player Data Store'!$Y$7)+1),COUNTIF($AC$8:AC158,AC158))),"")</f>
        <v>13.8</v>
      </c>
      <c r="Z158" s="108">
        <f t="array" ref="Z158">IF(ISNUMBER(AC158),INDEX('All Player Data Store'!$V$7:$V$594,SMALL(IF('All Player Data Store'!$Y$7:$Y$594=AC158,ROW('All Player Data Store'!$Y$7:$Y$594)-ROW('All Player Data Store'!$Y$7)+1),COUNTIF($AC$8:AC158,AC158))),"")</f>
        <v>19.41</v>
      </c>
      <c r="AA158" s="112" t="str">
        <f t="array" ref="AA158">IF(ISNUMBER(AC158),INDEX('All Player Data Store'!$W$7:$W$594,SMALL(IF('All Player Data Store'!$Y$7:$Y$594=AC158,ROW('All Player Data Store'!$Y$7:$Y$594)-ROW('All Player Data Store'!$Y$7)+1),COUNTIF($AC$8:AC158,AC158))),"")</f>
        <v/>
      </c>
      <c r="AB158" s="108">
        <f t="array" ref="AB158">IF(ISNUMBER(AC158),INDEX('All Player Data Store'!$X$7:$X$594,SMALL(IF('All Player Data Store'!$Y$7:$Y$594=AC158,ROW('All Player Data Store'!$Y$7:$Y$594)-ROW('All Player Data Store'!$Y$7)+1),COUNTIF($AC$8:AC158,AC158))),"")</f>
        <v>18.630833333333335</v>
      </c>
      <c r="AC158" s="115">
        <f>IF(ISERROR(IF(ISERROR(LARGE('All Player Data Store'!$Y$7:$Y$594,151)),"",(LARGE('All Player Data Store'!$Y$7:$Y$594,151)))),"",(IF(ISERROR(LARGE('All Player Data Store'!$Y$7:$Y$594,151)),"",(LARGE('All Player Data Store'!$Y$7:$Y$594,151)))))</f>
        <v>19.630833333333335</v>
      </c>
      <c r="AD158" s="106">
        <f t="shared" si="16"/>
        <v>3</v>
      </c>
      <c r="AE158" s="107" t="str">
        <f t="array" ref="AE158">IF(ISNUMBER(AC158),INDEX('All Player Data Store'!$J$8:$J$594,SMALL(IF('All Player Data Store'!$Y$7:$Y$594=AC158,ROW('All Player Data Store'!$Y$7:$Y$594)-ROW('All Player Data Store'!$Y$7)+1),COUNTIF($AC$8:AC158,AC158))),"")</f>
        <v>1*4</v>
      </c>
      <c r="AF158" s="108">
        <f t="shared" si="3"/>
        <v>21.52</v>
      </c>
      <c r="AG158" s="108" t="str">
        <f t="array" ref="AG158">IF(ISNUMBER(AC158),INDEX('All Player Data Store'!$K$8:$K$594,SMALL(IF('All Player Data Store'!$Y$7:$Y$594=AC158,ROW('All Player Data Store'!$Y$7:$Y$594)-ROW('All Player Data Store'!$Y$7)+1),COUNTIF($AC$8:AC158,AC158))),"")</f>
        <v>1*4</v>
      </c>
      <c r="AH158" s="108">
        <f t="shared" si="4"/>
        <v>18.78</v>
      </c>
      <c r="AI158" s="108" t="str">
        <f t="array" ref="AI158">IF(ISNUMBER(AC158),INDEX('All Player Data Store'!$L$8:$L$594,SMALL(IF('All Player Data Store'!$Y$7:$Y$594=AC158,ROW('All Player Data Store'!$Y$7:$Y$594)-ROW('All Player Data Store'!$Y$7)+1),COUNTIF($AC$8:AC158,AC158))),"")</f>
        <v>0*4</v>
      </c>
      <c r="AJ158" s="108">
        <f t="shared" si="5"/>
        <v>17.48</v>
      </c>
      <c r="AK158" s="108" t="str">
        <f t="array" ref="AK158">IF(ISNUMBER(AC158),INDEX('All Player Data Store'!$M$8:$M$594,SMALL(IF('All Player Data Store'!$Y$7:$Y$594=AC158,ROW('All Player Data Store'!$Y$7:$Y$594)-ROW('All Player Data Store'!$Y$7)+1),COUNTIF($AC$8:AC158,AC158))),"")</f>
        <v>2*4</v>
      </c>
      <c r="AL158" s="108">
        <f t="shared" si="6"/>
        <v>18.41</v>
      </c>
      <c r="AM158" s="108" t="str">
        <f t="array" ref="AM158">IF(ISNUMBER(AC158),INDEX('All Player Data Store'!$N$8:$N$594,SMALL(IF('All Player Data Store'!$Y$7:$Y$594=AC158,ROW('All Player Data Store'!$Y$7:$Y$594)-ROW('All Player Data Store'!$Y$7)+1),COUNTIF($AC$8:AC158,AC158))),"")</f>
        <v>1*4</v>
      </c>
      <c r="AN158" s="108">
        <f t="shared" si="7"/>
        <v>18.940000000000001</v>
      </c>
      <c r="AO158" s="108" t="str">
        <f t="array" ref="AO158">IF(ISNUMBER(AC158),INDEX('All Player Data Store'!$O$8:$O$594,SMALL(IF('All Player Data Store'!$Y$7:$Y$594=AC158,ROW('All Player Data Store'!$Y$7:$Y$594)-ROW('All Player Data Store'!$Y$7)+1),COUNTIF($AC$8:AC158,AC158))),"")</f>
        <v/>
      </c>
      <c r="AP158" s="108" t="str">
        <f t="shared" si="8"/>
        <v/>
      </c>
      <c r="AQ158" s="108" t="str">
        <f t="array" ref="AQ158">IF(ISNUMBER(AC158),INDEX('All Player Data Store'!$P$8:$P$594,SMALL(IF('All Player Data Store'!$Y$7:$Y$594=AC158,ROW('All Player Data Store'!$Y$7:$Y$594)-ROW('All Player Data Store'!$Y$7)+1),COUNTIF($AC$8:AC158,AC158))),"")</f>
        <v>3*4</v>
      </c>
      <c r="AR158" s="108">
        <f t="shared" si="9"/>
        <v>17.8</v>
      </c>
      <c r="AS158" s="108" t="str">
        <f t="array" ref="AS158">IF(ISNUMBER(AC158),INDEX('All Player Data Store'!$Q$8:$Q$594,SMALL(IF('All Player Data Store'!$Y$7:$Y$594=AC158,ROW('All Player Data Store'!$Y$7:$Y$594)-ROW('All Player Data Store'!$Y$7)+1),COUNTIF($AC$8:AC158,AC158))),"")</f>
        <v>2*4</v>
      </c>
      <c r="AT158" s="108">
        <f t="shared" si="10"/>
        <v>18.190000000000001</v>
      </c>
      <c r="AU158" s="108" t="str">
        <f t="array" ref="AU158">IF(ISNUMBER(AC158),INDEX('All Player Data Store'!$R$8:$R$594,SMALL(IF('All Player Data Store'!$Y$7:$Y$594=AC158,ROW('All Player Data Store'!$Y$7:$Y$594)-ROW('All Player Data Store'!$Y$7)+1),COUNTIF($AC$8:AC158,AC158))),"")</f>
        <v>0*4</v>
      </c>
      <c r="AV158" s="108">
        <f t="shared" si="11"/>
        <v>21.21</v>
      </c>
      <c r="AW158" s="108" t="str">
        <f t="array" ref="AW158">IF(ISNUMBER(AC158),INDEX('All Player Data Store'!$S$8:$S$594,SMALL(IF('All Player Data Store'!$Y$7:$Y$594=AC158,ROW('All Player Data Store'!$Y$7:$Y$594)-ROW('All Player Data Store'!$Y$7)+1),COUNTIF($AC$8:AC158,AC158))),"")</f>
        <v>0*4</v>
      </c>
      <c r="AX158" s="108">
        <f t="shared" si="12"/>
        <v>18.68</v>
      </c>
      <c r="AY158" s="108" t="str">
        <f t="array" ref="AY158">IF(ISNUMBER(AC158),INDEX('All Player Data Store'!$T$8:$T$594,SMALL(IF('All Player Data Store'!$Y$7:$Y$594=AC158,ROW('All Player Data Store'!$Y$7:$Y$594)-ROW('All Player Data Store'!$Y$7)+1),COUNTIF($AC$8:AC158,AC158))),"")</f>
        <v>4*2</v>
      </c>
      <c r="AZ158" s="108">
        <f t="shared" si="13"/>
        <v>20.350000000000001</v>
      </c>
      <c r="BA158" s="108" t="str">
        <f t="array" ref="BA158">IF(ISNUMBER(AC158),INDEX('All Player Data Store'!$U$8:$U$594,SMALL(IF('All Player Data Store'!$Y$7:$Y$594=AC158,ROW('All Player Data Store'!$Y$7:$Y$594)-ROW('All Player Data Store'!$Y$7)+1),COUNTIF($AC$8:AC158,AC158))),"")</f>
        <v>1*4</v>
      </c>
      <c r="BB158" s="108">
        <f t="shared" si="14"/>
        <v>13.8</v>
      </c>
      <c r="BC158" s="108" t="str">
        <f t="array" ref="BC158">IF(ISNUMBER(AC158),INDEX('All Player Data Store'!$V$8:$V$594,SMALL(IF('All Player Data Store'!$Y$7:$Y$594=AC158,ROW('All Player Data Store'!$Y$7:$Y$594)-ROW('All Player Data Store'!$Y$7)+1),COUNTIF($AC$8:AC158,AC158))),"")</f>
        <v>0*4</v>
      </c>
      <c r="BD158" s="108">
        <f t="shared" si="15"/>
        <v>19.41</v>
      </c>
      <c r="BE158" s="1"/>
    </row>
    <row r="159" spans="2:57" ht="12" customHeight="1" x14ac:dyDescent="0.2">
      <c r="B159" s="98" t="str">
        <f t="shared" si="0"/>
        <v>N</v>
      </c>
      <c r="C159" s="1"/>
      <c r="D159" s="68">
        <f t="shared" si="1"/>
        <v>152</v>
      </c>
      <c r="E159" s="2"/>
      <c r="F159" s="78">
        <v>152</v>
      </c>
      <c r="G159" s="110" t="str">
        <f t="array" ref="G159">IF(ISNUMBER(AC159),INDEX('All Player Data Store'!$C$7:$C$594,SMALL(IF('All Player Data Store'!$Y$7:$Y$594=AC159,ROW('All Player Data Store'!$Y$7:$Y$594)-ROW('All Player Data Store'!$Y$7)+1),COUNTIF($AC$8:AC159,AC159))),"")</f>
        <v>Sam Legg</v>
      </c>
      <c r="H159" s="111" t="str">
        <f t="array" ref="H159">IF(ISNUMBER(AC159),INDEX('All Player Data Store'!$D$7:$D$594,SMALL(IF('All Player Data Store'!$Y$7:$Y$594=AC159,ROW('All Player Data Store'!$Y$7:$Y$594)-ROW('All Player Data Store'!$Y$7)+1),COUNTIF($AC$8:AC159,AC159))),"")</f>
        <v>Bri</v>
      </c>
      <c r="I159" s="69">
        <f t="array" ref="I159">IF(ISNUMBER(AC159),INDEX('All Player Data Store'!$E$7:$E$594,SMALL(IF('All Player Data Store'!$Y$7:$Y$594=AC159,ROW('All Player Data Store'!$Y$7:$Y$594)-ROW('All Player Data Store'!$Y$7)+1),COUNTIF($AC$8:AC159,AC159))),"")</f>
        <v>9</v>
      </c>
      <c r="J159" s="70">
        <f t="array" ref="J159">IF(ISNUMBER(AC159),INDEX('All Player Data Store'!$F$7:$F$594,SMALL(IF('All Player Data Store'!$Y$7:$Y$594=AC159,ROW('All Player Data Store'!$Y$7:$Y$594)-ROW('All Player Data Store'!$Y$7)+1),COUNTIF($AC$8:AC159,AC159))),"")</f>
        <v>2</v>
      </c>
      <c r="K159" s="112">
        <f t="array" ref="K159">IF(ISNUMBER(AC159),INDEX('All Player Data Store'!$G$7:$G$594,SMALL(IF('All Player Data Store'!$Y$7:$Y$594=AC159,ROW('All Player Data Store'!$Y$7:$Y$594)-ROW('All Player Data Store'!$Y$7)+1),COUNTIF($AC$8:AC159,AC159))),"")</f>
        <v>7</v>
      </c>
      <c r="L159" s="112">
        <f t="array" ref="L159">IF(ISNUMBER(AC159),INDEX('All Player Data Store'!$H$7:$H$594,SMALL(IF('All Player Data Store'!$Y$7:$Y$594=AC159,ROW('All Player Data Store'!$Y$7:$Y$594)-ROW('All Player Data Store'!$Y$7)+1),COUNTIF($AC$8:AC159,AC159))),"")</f>
        <v>25</v>
      </c>
      <c r="M159" s="113">
        <f t="array" ref="M159">IF(ISNUMBER(AC159),INDEX('All Player Data Store'!$I$7:$I$594,SMALL(IF('All Player Data Store'!$Y$7:$Y$594=AC159,ROW('All Player Data Store'!$Y$7:$Y$594)-ROW('All Player Data Store'!$Y$7)+1),COUNTIF($AC$8:AC159,AC159))),"")</f>
        <v>34</v>
      </c>
      <c r="N159" s="114">
        <f t="array" ref="N159">IF(ISNUMBER(AC159),INDEX('All Player Data Store'!$J$7:$J$594,SMALL(IF('All Player Data Store'!$Y$7:$Y$594=AC159,ROW('All Player Data Store'!$Y$7:$Y$594)-ROW('All Player Data Store'!$Y$7)+1),COUNTIF($AC$8:AC159,AC159))),"")</f>
        <v>16.64</v>
      </c>
      <c r="O159" s="108" t="str">
        <f t="array" ref="O159">IF(ISNUMBER(AC159),INDEX('All Player Data Store'!$K$7:$K$594,SMALL(IF('All Player Data Store'!$Y$7:$Y$594=AC159,ROW('All Player Data Store'!$Y$7:$Y$594)-ROW('All Player Data Store'!$Y$7)+1),COUNTIF($AC$8:AC159,AC159))),"")</f>
        <v/>
      </c>
      <c r="P159" s="108">
        <f t="array" ref="P159">IF(ISNUMBER(AC159),INDEX('All Player Data Store'!$L$7:$L$594,SMALL(IF('All Player Data Store'!$Y$7:$Y$594=AC159,ROW('All Player Data Store'!$Y$7:$Y$594)-ROW('All Player Data Store'!$Y$7)+1),COUNTIF($AC$8:AC159,AC159))),"")</f>
        <v>19.55</v>
      </c>
      <c r="Q159" s="108" t="str">
        <f t="array" ref="Q159">IF(ISNUMBER(AC159),INDEX('All Player Data Store'!$M$7:$M$594,SMALL(IF('All Player Data Store'!$Y$7:$Y$594=AC159,ROW('All Player Data Store'!$Y$7:$Y$594)-ROW('All Player Data Store'!$Y$7)+1),COUNTIF($AC$8:AC159,AC159))),"")</f>
        <v/>
      </c>
      <c r="R159" s="108">
        <f t="array" ref="R159">IF(ISNUMBER(AC159),INDEX('All Player Data Store'!$N$7:$N$594,SMALL(IF('All Player Data Store'!$Y$7:$Y$594=AC159,ROW('All Player Data Store'!$Y$7:$Y$594)-ROW('All Player Data Store'!$Y$7)+1),COUNTIF($AC$8:AC159,AC159))),"")</f>
        <v>17.41</v>
      </c>
      <c r="S159" s="108">
        <f t="array" ref="S159">IF(ISNUMBER(AC159),INDEX('All Player Data Store'!$O$7:$O$594,SMALL(IF('All Player Data Store'!$Y$7:$Y$594=AC159,ROW('All Player Data Store'!$Y$7:$Y$594)-ROW('All Player Data Store'!$Y$7)+1),COUNTIF($AC$8:AC159,AC159))),"")</f>
        <v>15.39</v>
      </c>
      <c r="T159" s="108">
        <f t="array" ref="T159">IF(ISNUMBER(AC159),INDEX('All Player Data Store'!$P$7:$P$594,SMALL(IF('All Player Data Store'!$Y$7:$Y$594=AC159,ROW('All Player Data Store'!$Y$7:$Y$594)-ROW('All Player Data Store'!$Y$7)+1),COUNTIF($AC$8:AC159,AC159))),"")</f>
        <v>19.239999999999998</v>
      </c>
      <c r="U159" s="108">
        <f t="array" ref="U159">IF(ISNUMBER(AC159),INDEX('All Player Data Store'!$Q$7:$Q$594,SMALL(IF('All Player Data Store'!$Y$7:$Y$594=AC159,ROW('All Player Data Store'!$Y$7:$Y$594)-ROW('All Player Data Store'!$Y$7)+1),COUNTIF($AC$8:AC159,AC159))),"")</f>
        <v>18.440000000000001</v>
      </c>
      <c r="V159" s="108">
        <f t="array" ref="V159">IF(ISNUMBER(AC159),INDEX('All Player Data Store'!$R$7:$R$594,SMALL(IF('All Player Data Store'!$Y$7:$Y$594=AC159,ROW('All Player Data Store'!$Y$7:$Y$594)-ROW('All Player Data Store'!$Y$7)+1),COUNTIF($AC$8:AC159,AC159))),"")</f>
        <v>16.72</v>
      </c>
      <c r="W159" s="108">
        <f t="array" ref="W159">IF(ISNUMBER(AC159),INDEX('All Player Data Store'!$S$7:$S$594,SMALL(IF('All Player Data Store'!$Y$7:$Y$594=AC159,ROW('All Player Data Store'!$Y$7:$Y$594)-ROW('All Player Data Store'!$Y$7)+1),COUNTIF($AC$8:AC159,AC159))),"")</f>
        <v>14.13</v>
      </c>
      <c r="X159" s="108">
        <f t="array" ref="X159">IF(ISNUMBER(AC159),INDEX('All Player Data Store'!$T$7:$T$594,SMALL(IF('All Player Data Store'!$Y$7:$Y$594=AC159,ROW('All Player Data Store'!$Y$7:$Y$594)-ROW('All Player Data Store'!$Y$7)+1),COUNTIF($AC$8:AC159,AC159))),"")</f>
        <v>20.7</v>
      </c>
      <c r="Y159" s="108" t="str">
        <f t="array" ref="Y159">IF(ISNUMBER(AC159),INDEX('All Player Data Store'!$U$7:$U$594,SMALL(IF('All Player Data Store'!$Y$7:$Y$594=AC159,ROW('All Player Data Store'!$Y$7:$Y$594)-ROW('All Player Data Store'!$Y$7)+1),COUNTIF($AC$8:AC159,AC159))),"")</f>
        <v/>
      </c>
      <c r="Z159" s="108" t="str">
        <f t="array" ref="Z159">IF(ISNUMBER(AC159),INDEX('All Player Data Store'!$V$7:$V$594,SMALL(IF('All Player Data Store'!$Y$7:$Y$594=AC159,ROW('All Player Data Store'!$Y$7:$Y$594)-ROW('All Player Data Store'!$Y$7)+1),COUNTIF($AC$8:AC159,AC159))),"")</f>
        <v/>
      </c>
      <c r="AA159" s="112">
        <f t="array" ref="AA159">IF(ISNUMBER(AC159),INDEX('All Player Data Store'!$W$7:$W$594,SMALL(IF('All Player Data Store'!$Y$7:$Y$594=AC159,ROW('All Player Data Store'!$Y$7:$Y$594)-ROW('All Player Data Store'!$Y$7)+1),COUNTIF($AC$8:AC159,AC159))),"")</f>
        <v>1</v>
      </c>
      <c r="AB159" s="108">
        <f t="array" ref="AB159">IF(ISNUMBER(AC159),INDEX('All Player Data Store'!$X$7:$X$594,SMALL(IF('All Player Data Store'!$Y$7:$Y$594=AC159,ROW('All Player Data Store'!$Y$7:$Y$594)-ROW('All Player Data Store'!$Y$7)+1),COUNTIF($AC$8:AC159,AC159))),"")</f>
        <v>17.579999999999998</v>
      </c>
      <c r="AC159" s="115">
        <f>IF(ISERROR(IF(ISERROR(LARGE('All Player Data Store'!$Y$7:$Y$594,152)),"",(LARGE('All Player Data Store'!$Y$7:$Y$594,152)))),"",(IF(ISERROR(LARGE('All Player Data Store'!$Y$7:$Y$594,152)),"",(LARGE('All Player Data Store'!$Y$7:$Y$594,152)))))</f>
        <v>19.579999999999998</v>
      </c>
      <c r="AD159" s="106">
        <f t="shared" si="16"/>
        <v>3</v>
      </c>
      <c r="AE159" s="107" t="str">
        <f t="array" ref="AE159">IF(ISNUMBER(AC159),INDEX('All Player Data Store'!$J$8:$J$594,SMALL(IF('All Player Data Store'!$Y$7:$Y$594=AC159,ROW('All Player Data Store'!$Y$7:$Y$594)-ROW('All Player Data Store'!$Y$7)+1),COUNTIF($AC$8:AC159,AC159))),"")</f>
        <v>1*4</v>
      </c>
      <c r="AF159" s="108">
        <f t="shared" si="3"/>
        <v>16.64</v>
      </c>
      <c r="AG159" s="108" t="str">
        <f t="array" ref="AG159">IF(ISNUMBER(AC159),INDEX('All Player Data Store'!$K$8:$K$594,SMALL(IF('All Player Data Store'!$Y$7:$Y$594=AC159,ROW('All Player Data Store'!$Y$7:$Y$594)-ROW('All Player Data Store'!$Y$7)+1),COUNTIF($AC$8:AC159,AC159))),"")</f>
        <v/>
      </c>
      <c r="AH159" s="108" t="str">
        <f t="shared" si="4"/>
        <v/>
      </c>
      <c r="AI159" s="108" t="str">
        <f t="array" ref="AI159">IF(ISNUMBER(AC159),INDEX('All Player Data Store'!$L$8:$L$594,SMALL(IF('All Player Data Store'!$Y$7:$Y$594=AC159,ROW('All Player Data Store'!$Y$7:$Y$594)-ROW('All Player Data Store'!$Y$7)+1),COUNTIF($AC$8:AC159,AC159))),"")</f>
        <v>1*4</v>
      </c>
      <c r="AJ159" s="108">
        <f t="shared" si="5"/>
        <v>19.55</v>
      </c>
      <c r="AK159" s="108" t="str">
        <f t="array" ref="AK159">IF(ISNUMBER(AC159),INDEX('All Player Data Store'!$M$8:$M$594,SMALL(IF('All Player Data Store'!$Y$7:$Y$594=AC159,ROW('All Player Data Store'!$Y$7:$Y$594)-ROW('All Player Data Store'!$Y$7)+1),COUNTIF($AC$8:AC159,AC159))),"")</f>
        <v/>
      </c>
      <c r="AL159" s="108" t="str">
        <f t="shared" si="6"/>
        <v/>
      </c>
      <c r="AM159" s="108" t="str">
        <f t="array" ref="AM159">IF(ISNUMBER(AC159),INDEX('All Player Data Store'!$N$8:$N$594,SMALL(IF('All Player Data Store'!$Y$7:$Y$594=AC159,ROW('All Player Data Store'!$Y$7:$Y$594)-ROW('All Player Data Store'!$Y$7)+1),COUNTIF($AC$8:AC159,AC159))),"")</f>
        <v>3*4</v>
      </c>
      <c r="AN159" s="108">
        <f t="shared" si="7"/>
        <v>17.41</v>
      </c>
      <c r="AO159" s="108" t="str">
        <f t="array" ref="AO159">IF(ISNUMBER(AC159),INDEX('All Player Data Store'!$O$8:$O$594,SMALL(IF('All Player Data Store'!$Y$7:$Y$594=AC159,ROW('All Player Data Store'!$Y$7:$Y$594)-ROW('All Player Data Store'!$Y$7)+1),COUNTIF($AC$8:AC159,AC159))),"")</f>
        <v>3*4</v>
      </c>
      <c r="AP159" s="108">
        <f t="shared" si="8"/>
        <v>15.39</v>
      </c>
      <c r="AQ159" s="108" t="str">
        <f t="array" ref="AQ159">IF(ISNUMBER(AC159),INDEX('All Player Data Store'!$P$8:$P$594,SMALL(IF('All Player Data Store'!$Y$7:$Y$594=AC159,ROW('All Player Data Store'!$Y$7:$Y$594)-ROW('All Player Data Store'!$Y$7)+1),COUNTIF($AC$8:AC159,AC159))),"")</f>
        <v>4*3</v>
      </c>
      <c r="AR159" s="108">
        <f t="shared" si="9"/>
        <v>20.239999999999998</v>
      </c>
      <c r="AS159" s="108" t="str">
        <f t="array" ref="AS159">IF(ISNUMBER(AC159),INDEX('All Player Data Store'!$Q$8:$Q$594,SMALL(IF('All Player Data Store'!$Y$7:$Y$594=AC159,ROW('All Player Data Store'!$Y$7:$Y$594)-ROW('All Player Data Store'!$Y$7)+1),COUNTIF($AC$8:AC159,AC159))),"")</f>
        <v>3*4(1)</v>
      </c>
      <c r="AT159" s="108">
        <f t="shared" si="10"/>
        <v>18.440000000000001</v>
      </c>
      <c r="AU159" s="108" t="str">
        <f t="array" ref="AU159">IF(ISNUMBER(AC159),INDEX('All Player Data Store'!$R$8:$R$594,SMALL(IF('All Player Data Store'!$Y$7:$Y$594=AC159,ROW('All Player Data Store'!$Y$7:$Y$594)-ROW('All Player Data Store'!$Y$7)+1),COUNTIF($AC$8:AC159,AC159))),"")</f>
        <v>3*4</v>
      </c>
      <c r="AV159" s="108">
        <f t="shared" si="11"/>
        <v>16.72</v>
      </c>
      <c r="AW159" s="108" t="str">
        <f t="array" ref="AW159">IF(ISNUMBER(AC159),INDEX('All Player Data Store'!$S$8:$S$594,SMALL(IF('All Player Data Store'!$Y$7:$Y$594=AC159,ROW('All Player Data Store'!$Y$7:$Y$594)-ROW('All Player Data Store'!$Y$7)+1),COUNTIF($AC$8:AC159,AC159))),"")</f>
        <v>3*4</v>
      </c>
      <c r="AX159" s="108">
        <f t="shared" si="12"/>
        <v>14.13</v>
      </c>
      <c r="AY159" s="108" t="str">
        <f t="array" ref="AY159">IF(ISNUMBER(AC159),INDEX('All Player Data Store'!$T$8:$T$594,SMALL(IF('All Player Data Store'!$Y$7:$Y$594=AC159,ROW('All Player Data Store'!$Y$7:$Y$594)-ROW('All Player Data Store'!$Y$7)+1),COUNTIF($AC$8:AC159,AC159))),"")</f>
        <v>4*3</v>
      </c>
      <c r="AZ159" s="108">
        <f t="shared" si="13"/>
        <v>21.7</v>
      </c>
      <c r="BA159" s="108" t="str">
        <f t="array" ref="BA159">IF(ISNUMBER(AC159),INDEX('All Player Data Store'!$U$8:$U$594,SMALL(IF('All Player Data Store'!$Y$7:$Y$594=AC159,ROW('All Player Data Store'!$Y$7:$Y$594)-ROW('All Player Data Store'!$Y$7)+1),COUNTIF($AC$8:AC159,AC159))),"")</f>
        <v/>
      </c>
      <c r="BB159" s="108" t="str">
        <f t="shared" si="14"/>
        <v/>
      </c>
      <c r="BC159" s="108" t="str">
        <f t="array" ref="BC159">IF(ISNUMBER(AC159),INDEX('All Player Data Store'!$V$8:$V$594,SMALL(IF('All Player Data Store'!$Y$7:$Y$594=AC159,ROW('All Player Data Store'!$Y$7:$Y$594)-ROW('All Player Data Store'!$Y$7)+1),COUNTIF($AC$8:AC159,AC159))),"")</f>
        <v/>
      </c>
      <c r="BD159" s="108" t="str">
        <f t="shared" si="15"/>
        <v/>
      </c>
      <c r="BE159" s="1"/>
    </row>
    <row r="160" spans="2:57" ht="12" customHeight="1" x14ac:dyDescent="0.2">
      <c r="B160" s="98" t="str">
        <f t="shared" si="0"/>
        <v>N</v>
      </c>
      <c r="C160" s="1"/>
      <c r="D160" s="68">
        <f t="shared" si="1"/>
        <v>153</v>
      </c>
      <c r="E160" s="2"/>
      <c r="F160" s="78">
        <v>153</v>
      </c>
      <c r="G160" s="110" t="str">
        <f t="array" ref="G160">IF(ISNUMBER(AC160),INDEX('All Player Data Store'!$C$7:$C$594,SMALL(IF('All Player Data Store'!$Y$7:$Y$594=AC160,ROW('All Player Data Store'!$Y$7:$Y$594)-ROW('All Player Data Store'!$Y$7)+1),COUNTIF($AC$8:AC160,AC160))),"")</f>
        <v>Peter Rigler</v>
      </c>
      <c r="H160" s="111" t="str">
        <f t="array" ref="H160">IF(ISNUMBER(AC160),INDEX('All Player Data Store'!$D$7:$D$594,SMALL(IF('All Player Data Store'!$Y$7:$Y$594=AC160,ROW('All Player Data Store'!$Y$7:$Y$594)-ROW('All Player Data Store'!$Y$7)+1),COUNTIF($AC$8:AC160,AC160))),"")</f>
        <v>Sha</v>
      </c>
      <c r="I160" s="69">
        <f t="array" ref="I160">IF(ISNUMBER(AC160),INDEX('All Player Data Store'!$E$7:$E$594,SMALL(IF('All Player Data Store'!$Y$7:$Y$594=AC160,ROW('All Player Data Store'!$Y$7:$Y$594)-ROW('All Player Data Store'!$Y$7)+1),COUNTIF($AC$8:AC160,AC160))),"")</f>
        <v>1</v>
      </c>
      <c r="J160" s="70" t="str">
        <f t="array" ref="J160">IF(ISNUMBER(AC160),INDEX('All Player Data Store'!$F$7:$F$594,SMALL(IF('All Player Data Store'!$Y$7:$Y$594=AC160,ROW('All Player Data Store'!$Y$7:$Y$594)-ROW('All Player Data Store'!$Y$7)+1),COUNTIF($AC$8:AC160,AC160))),"")</f>
        <v/>
      </c>
      <c r="K160" s="112">
        <f t="array" ref="K160">IF(ISNUMBER(AC160),INDEX('All Player Data Store'!$G$7:$G$594,SMALL(IF('All Player Data Store'!$Y$7:$Y$594=AC160,ROW('All Player Data Store'!$Y$7:$Y$594)-ROW('All Player Data Store'!$Y$7)+1),COUNTIF($AC$8:AC160,AC160))),"")</f>
        <v>1</v>
      </c>
      <c r="L160" s="112" t="str">
        <f t="array" ref="L160">IF(ISNUMBER(AC160),INDEX('All Player Data Store'!$H$7:$H$594,SMALL(IF('All Player Data Store'!$Y$7:$Y$594=AC160,ROW('All Player Data Store'!$Y$7:$Y$594)-ROW('All Player Data Store'!$Y$7)+1),COUNTIF($AC$8:AC160,AC160))),"")</f>
        <v/>
      </c>
      <c r="M160" s="113">
        <f t="array" ref="M160">IF(ISNUMBER(AC160),INDEX('All Player Data Store'!$I$7:$I$594,SMALL(IF('All Player Data Store'!$Y$7:$Y$594=AC160,ROW('All Player Data Store'!$Y$7:$Y$594)-ROW('All Player Data Store'!$Y$7)+1),COUNTIF($AC$8:AC160,AC160))),"")</f>
        <v>4</v>
      </c>
      <c r="N160" s="114" t="str">
        <f t="array" ref="N160">IF(ISNUMBER(AC160),INDEX('All Player Data Store'!$J$7:$J$594,SMALL(IF('All Player Data Store'!$Y$7:$Y$594=AC160,ROW('All Player Data Store'!$Y$7:$Y$594)-ROW('All Player Data Store'!$Y$7)+1),COUNTIF($AC$8:AC160,AC160))),"")</f>
        <v/>
      </c>
      <c r="O160" s="108">
        <f t="array" ref="O160">IF(ISNUMBER(AC160),INDEX('All Player Data Store'!$K$7:$K$594,SMALL(IF('All Player Data Store'!$Y$7:$Y$594=AC160,ROW('All Player Data Store'!$Y$7:$Y$594)-ROW('All Player Data Store'!$Y$7)+1),COUNTIF($AC$8:AC160,AC160))),"")</f>
        <v>19.54</v>
      </c>
      <c r="P160" s="108" t="str">
        <f t="array" ref="P160">IF(ISNUMBER(AC160),INDEX('All Player Data Store'!$L$7:$L$594,SMALL(IF('All Player Data Store'!$Y$7:$Y$594=AC160,ROW('All Player Data Store'!$Y$7:$Y$594)-ROW('All Player Data Store'!$Y$7)+1),COUNTIF($AC$8:AC160,AC160))),"")</f>
        <v/>
      </c>
      <c r="Q160" s="108" t="str">
        <f t="array" ref="Q160">IF(ISNUMBER(AC160),INDEX('All Player Data Store'!$M$7:$M$594,SMALL(IF('All Player Data Store'!$Y$7:$Y$594=AC160,ROW('All Player Data Store'!$Y$7:$Y$594)-ROW('All Player Data Store'!$Y$7)+1),COUNTIF($AC$8:AC160,AC160))),"")</f>
        <v/>
      </c>
      <c r="R160" s="108" t="str">
        <f t="array" ref="R160">IF(ISNUMBER(AC160),INDEX('All Player Data Store'!$N$7:$N$594,SMALL(IF('All Player Data Store'!$Y$7:$Y$594=AC160,ROW('All Player Data Store'!$Y$7:$Y$594)-ROW('All Player Data Store'!$Y$7)+1),COUNTIF($AC$8:AC160,AC160))),"")</f>
        <v/>
      </c>
      <c r="S160" s="108" t="str">
        <f t="array" ref="S160">IF(ISNUMBER(AC160),INDEX('All Player Data Store'!$O$7:$O$594,SMALL(IF('All Player Data Store'!$Y$7:$Y$594=AC160,ROW('All Player Data Store'!$Y$7:$Y$594)-ROW('All Player Data Store'!$Y$7)+1),COUNTIF($AC$8:AC160,AC160))),"")</f>
        <v/>
      </c>
      <c r="T160" s="108" t="str">
        <f t="array" ref="T160">IF(ISNUMBER(AC160),INDEX('All Player Data Store'!$P$7:$P$594,SMALL(IF('All Player Data Store'!$Y$7:$Y$594=AC160,ROW('All Player Data Store'!$Y$7:$Y$594)-ROW('All Player Data Store'!$Y$7)+1),COUNTIF($AC$8:AC160,AC160))),"")</f>
        <v/>
      </c>
      <c r="U160" s="108" t="str">
        <f t="array" ref="U160">IF(ISNUMBER(AC160),INDEX('All Player Data Store'!$Q$7:$Q$594,SMALL(IF('All Player Data Store'!$Y$7:$Y$594=AC160,ROW('All Player Data Store'!$Y$7:$Y$594)-ROW('All Player Data Store'!$Y$7)+1),COUNTIF($AC$8:AC160,AC160))),"")</f>
        <v/>
      </c>
      <c r="V160" s="108" t="str">
        <f t="array" ref="V160">IF(ISNUMBER(AC160),INDEX('All Player Data Store'!$R$7:$R$594,SMALL(IF('All Player Data Store'!$Y$7:$Y$594=AC160,ROW('All Player Data Store'!$Y$7:$Y$594)-ROW('All Player Data Store'!$Y$7)+1),COUNTIF($AC$8:AC160,AC160))),"")</f>
        <v/>
      </c>
      <c r="W160" s="108" t="str">
        <f t="array" ref="W160">IF(ISNUMBER(AC160),INDEX('All Player Data Store'!$S$7:$S$594,SMALL(IF('All Player Data Store'!$Y$7:$Y$594=AC160,ROW('All Player Data Store'!$Y$7:$Y$594)-ROW('All Player Data Store'!$Y$7)+1),COUNTIF($AC$8:AC160,AC160))),"")</f>
        <v/>
      </c>
      <c r="X160" s="108" t="str">
        <f t="array" ref="X160">IF(ISNUMBER(AC160),INDEX('All Player Data Store'!$T$7:$T$594,SMALL(IF('All Player Data Store'!$Y$7:$Y$594=AC160,ROW('All Player Data Store'!$Y$7:$Y$594)-ROW('All Player Data Store'!$Y$7)+1),COUNTIF($AC$8:AC160,AC160))),"")</f>
        <v/>
      </c>
      <c r="Y160" s="108" t="str">
        <f t="array" ref="Y160">IF(ISNUMBER(AC160),INDEX('All Player Data Store'!$U$7:$U$594,SMALL(IF('All Player Data Store'!$Y$7:$Y$594=AC160,ROW('All Player Data Store'!$Y$7:$Y$594)-ROW('All Player Data Store'!$Y$7)+1),COUNTIF($AC$8:AC160,AC160))),"")</f>
        <v/>
      </c>
      <c r="Z160" s="108" t="str">
        <f t="array" ref="Z160">IF(ISNUMBER(AC160),INDEX('All Player Data Store'!$V$7:$V$594,SMALL(IF('All Player Data Store'!$Y$7:$Y$594=AC160,ROW('All Player Data Store'!$Y$7:$Y$594)-ROW('All Player Data Store'!$Y$7)+1),COUNTIF($AC$8:AC160,AC160))),"")</f>
        <v/>
      </c>
      <c r="AA160" s="112" t="str">
        <f t="array" ref="AA160">IF(ISNUMBER(AC160),INDEX('All Player Data Store'!$W$7:$W$594,SMALL(IF('All Player Data Store'!$Y$7:$Y$594=AC160,ROW('All Player Data Store'!$Y$7:$Y$594)-ROW('All Player Data Store'!$Y$7)+1),COUNTIF($AC$8:AC160,AC160))),"")</f>
        <v/>
      </c>
      <c r="AB160" s="108">
        <f t="array" ref="AB160">IF(ISNUMBER(AC160),INDEX('All Player Data Store'!$X$7:$X$594,SMALL(IF('All Player Data Store'!$Y$7:$Y$594=AC160,ROW('All Player Data Store'!$Y$7:$Y$594)-ROW('All Player Data Store'!$Y$7)+1),COUNTIF($AC$8:AC160,AC160))),"")</f>
        <v>19.54</v>
      </c>
      <c r="AC160" s="115">
        <f>IF(ISERROR(IF(ISERROR(LARGE('All Player Data Store'!$Y$7:$Y$594,153)),"",(LARGE('All Player Data Store'!$Y$7:$Y$594,153)))),"",(IF(ISERROR(LARGE('All Player Data Store'!$Y$7:$Y$594,153)),"",(LARGE('All Player Data Store'!$Y$7:$Y$594,153)))))</f>
        <v>19.54</v>
      </c>
      <c r="AD160" s="106">
        <f t="shared" si="16"/>
        <v>3</v>
      </c>
      <c r="AE160" s="107" t="str">
        <f t="array" ref="AE160">IF(ISNUMBER(AC160),INDEX('All Player Data Store'!$J$8:$J$594,SMALL(IF('All Player Data Store'!$Y$7:$Y$594=AC160,ROW('All Player Data Store'!$Y$7:$Y$594)-ROW('All Player Data Store'!$Y$7)+1),COUNTIF($AC$8:AC160,AC160))),"")</f>
        <v/>
      </c>
      <c r="AF160" s="108" t="str">
        <f t="shared" si="3"/>
        <v/>
      </c>
      <c r="AG160" s="108" t="str">
        <f t="array" ref="AG160">IF(ISNUMBER(AC160),INDEX('All Player Data Store'!$K$8:$K$594,SMALL(IF('All Player Data Store'!$Y$7:$Y$594=AC160,ROW('All Player Data Store'!$Y$7:$Y$594)-ROW('All Player Data Store'!$Y$7)+1),COUNTIF($AC$8:AC160,AC160))),"")</f>
        <v>0*4</v>
      </c>
      <c r="AH160" s="108">
        <f t="shared" si="4"/>
        <v>19.54</v>
      </c>
      <c r="AI160" s="108" t="str">
        <f t="array" ref="AI160">IF(ISNUMBER(AC160),INDEX('All Player Data Store'!$L$8:$L$594,SMALL(IF('All Player Data Store'!$Y$7:$Y$594=AC160,ROW('All Player Data Store'!$Y$7:$Y$594)-ROW('All Player Data Store'!$Y$7)+1),COUNTIF($AC$8:AC160,AC160))),"")</f>
        <v/>
      </c>
      <c r="AJ160" s="108" t="str">
        <f t="shared" si="5"/>
        <v/>
      </c>
      <c r="AK160" s="108" t="str">
        <f t="array" ref="AK160">IF(ISNUMBER(AC160),INDEX('All Player Data Store'!$M$8:$M$594,SMALL(IF('All Player Data Store'!$Y$7:$Y$594=AC160,ROW('All Player Data Store'!$Y$7:$Y$594)-ROW('All Player Data Store'!$Y$7)+1),COUNTIF($AC$8:AC160,AC160))),"")</f>
        <v/>
      </c>
      <c r="AL160" s="108" t="str">
        <f t="shared" si="6"/>
        <v/>
      </c>
      <c r="AM160" s="108" t="str">
        <f t="array" ref="AM160">IF(ISNUMBER(AC160),INDEX('All Player Data Store'!$N$8:$N$594,SMALL(IF('All Player Data Store'!$Y$7:$Y$594=AC160,ROW('All Player Data Store'!$Y$7:$Y$594)-ROW('All Player Data Store'!$Y$7)+1),COUNTIF($AC$8:AC160,AC160))),"")</f>
        <v/>
      </c>
      <c r="AN160" s="108" t="str">
        <f t="shared" si="7"/>
        <v/>
      </c>
      <c r="AO160" s="108" t="str">
        <f t="array" ref="AO160">IF(ISNUMBER(AC160),INDEX('All Player Data Store'!$O$8:$O$594,SMALL(IF('All Player Data Store'!$Y$7:$Y$594=AC160,ROW('All Player Data Store'!$Y$7:$Y$594)-ROW('All Player Data Store'!$Y$7)+1),COUNTIF($AC$8:AC160,AC160))),"")</f>
        <v/>
      </c>
      <c r="AP160" s="108" t="str">
        <f t="shared" si="8"/>
        <v/>
      </c>
      <c r="AQ160" s="108" t="str">
        <f t="array" ref="AQ160">IF(ISNUMBER(AC160),INDEX('All Player Data Store'!$P$8:$P$594,SMALL(IF('All Player Data Store'!$Y$7:$Y$594=AC160,ROW('All Player Data Store'!$Y$7:$Y$594)-ROW('All Player Data Store'!$Y$7)+1),COUNTIF($AC$8:AC160,AC160))),"")</f>
        <v/>
      </c>
      <c r="AR160" s="108" t="str">
        <f t="shared" si="9"/>
        <v/>
      </c>
      <c r="AS160" s="108" t="str">
        <f t="array" ref="AS160">IF(ISNUMBER(AC160),INDEX('All Player Data Store'!$Q$8:$Q$594,SMALL(IF('All Player Data Store'!$Y$7:$Y$594=AC160,ROW('All Player Data Store'!$Y$7:$Y$594)-ROW('All Player Data Store'!$Y$7)+1),COUNTIF($AC$8:AC160,AC160))),"")</f>
        <v/>
      </c>
      <c r="AT160" s="108" t="str">
        <f t="shared" si="10"/>
        <v/>
      </c>
      <c r="AU160" s="108" t="str">
        <f t="array" ref="AU160">IF(ISNUMBER(AC160),INDEX('All Player Data Store'!$R$8:$R$594,SMALL(IF('All Player Data Store'!$Y$7:$Y$594=AC160,ROW('All Player Data Store'!$Y$7:$Y$594)-ROW('All Player Data Store'!$Y$7)+1),COUNTIF($AC$8:AC160,AC160))),"")</f>
        <v/>
      </c>
      <c r="AV160" s="108" t="str">
        <f t="shared" si="11"/>
        <v/>
      </c>
      <c r="AW160" s="108" t="str">
        <f t="array" ref="AW160">IF(ISNUMBER(AC160),INDEX('All Player Data Store'!$S$8:$S$594,SMALL(IF('All Player Data Store'!$Y$7:$Y$594=AC160,ROW('All Player Data Store'!$Y$7:$Y$594)-ROW('All Player Data Store'!$Y$7)+1),COUNTIF($AC$8:AC160,AC160))),"")</f>
        <v/>
      </c>
      <c r="AX160" s="108" t="str">
        <f t="shared" si="12"/>
        <v/>
      </c>
      <c r="AY160" s="108" t="str">
        <f t="array" ref="AY160">IF(ISNUMBER(AC160),INDEX('All Player Data Store'!$T$8:$T$594,SMALL(IF('All Player Data Store'!$Y$7:$Y$594=AC160,ROW('All Player Data Store'!$Y$7:$Y$594)-ROW('All Player Data Store'!$Y$7)+1),COUNTIF($AC$8:AC160,AC160))),"")</f>
        <v/>
      </c>
      <c r="AZ160" s="108" t="str">
        <f t="shared" si="13"/>
        <v/>
      </c>
      <c r="BA160" s="108" t="str">
        <f t="array" ref="BA160">IF(ISNUMBER(AC160),INDEX('All Player Data Store'!$U$8:$U$594,SMALL(IF('All Player Data Store'!$Y$7:$Y$594=AC160,ROW('All Player Data Store'!$Y$7:$Y$594)-ROW('All Player Data Store'!$Y$7)+1),COUNTIF($AC$8:AC160,AC160))),"")</f>
        <v/>
      </c>
      <c r="BB160" s="108" t="str">
        <f t="shared" si="14"/>
        <v/>
      </c>
      <c r="BC160" s="108" t="str">
        <f t="array" ref="BC160">IF(ISNUMBER(AC160),INDEX('All Player Data Store'!$V$8:$V$594,SMALL(IF('All Player Data Store'!$Y$7:$Y$594=AC160,ROW('All Player Data Store'!$Y$7:$Y$594)-ROW('All Player Data Store'!$Y$7)+1),COUNTIF($AC$8:AC160,AC160))),"")</f>
        <v/>
      </c>
      <c r="BD160" s="108" t="str">
        <f t="shared" si="15"/>
        <v/>
      </c>
      <c r="BE160" s="1"/>
    </row>
    <row r="161" spans="2:57" ht="12" customHeight="1" x14ac:dyDescent="0.2">
      <c r="B161" s="98" t="str">
        <f t="shared" si="0"/>
        <v>N</v>
      </c>
      <c r="C161" s="1"/>
      <c r="D161" s="68">
        <f t="shared" si="1"/>
        <v>154</v>
      </c>
      <c r="E161" s="2"/>
      <c r="F161" s="78">
        <v>154</v>
      </c>
      <c r="G161" s="110" t="str">
        <f t="array" ref="G161">IF(ISNUMBER(AC161),INDEX('All Player Data Store'!$C$7:$C$594,SMALL(IF('All Player Data Store'!$Y$7:$Y$594=AC161,ROW('All Player Data Store'!$Y$7:$Y$594)-ROW('All Player Data Store'!$Y$7)+1),COUNTIF($AC$8:AC161,AC161))),"")</f>
        <v>Frank Courage</v>
      </c>
      <c r="H161" s="111" t="str">
        <f t="array" ref="H161">IF(ISNUMBER(AC161),INDEX('All Player Data Store'!$D$7:$D$594,SMALL(IF('All Player Data Store'!$Y$7:$Y$594=AC161,ROW('All Player Data Store'!$Y$7:$Y$594)-ROW('All Player Data Store'!$Y$7)+1),COUNTIF($AC$8:AC161,AC161))),"")</f>
        <v>Wey</v>
      </c>
      <c r="I161" s="69">
        <f t="array" ref="I161">IF(ISNUMBER(AC161),INDEX('All Player Data Store'!$E$7:$E$594,SMALL(IF('All Player Data Store'!$Y$7:$Y$594=AC161,ROW('All Player Data Store'!$Y$7:$Y$594)-ROW('All Player Data Store'!$Y$7)+1),COUNTIF($AC$8:AC161,AC161))),"")</f>
        <v>5</v>
      </c>
      <c r="J161" s="70">
        <f t="array" ref="J161">IF(ISNUMBER(AC161),INDEX('All Player Data Store'!$F$7:$F$594,SMALL(IF('All Player Data Store'!$Y$7:$Y$594=AC161,ROW('All Player Data Store'!$Y$7:$Y$594)-ROW('All Player Data Store'!$Y$7)+1),COUNTIF($AC$8:AC161,AC161))),"")</f>
        <v>1</v>
      </c>
      <c r="K161" s="112">
        <f t="array" ref="K161">IF(ISNUMBER(AC161),INDEX('All Player Data Store'!$G$7:$G$594,SMALL(IF('All Player Data Store'!$Y$7:$Y$594=AC161,ROW('All Player Data Store'!$Y$7:$Y$594)-ROW('All Player Data Store'!$Y$7)+1),COUNTIF($AC$8:AC161,AC161))),"")</f>
        <v>4</v>
      </c>
      <c r="L161" s="112">
        <f t="array" ref="L161">IF(ISNUMBER(AC161),INDEX('All Player Data Store'!$H$7:$H$594,SMALL(IF('All Player Data Store'!$Y$7:$Y$594=AC161,ROW('All Player Data Store'!$Y$7:$Y$594)-ROW('All Player Data Store'!$Y$7)+1),COUNTIF($AC$8:AC161,AC161))),"")</f>
        <v>11</v>
      </c>
      <c r="M161" s="113">
        <f t="array" ref="M161">IF(ISNUMBER(AC161),INDEX('All Player Data Store'!$I$7:$I$594,SMALL(IF('All Player Data Store'!$Y$7:$Y$594=AC161,ROW('All Player Data Store'!$Y$7:$Y$594)-ROW('All Player Data Store'!$Y$7)+1),COUNTIF($AC$8:AC161,AC161))),"")</f>
        <v>19</v>
      </c>
      <c r="N161" s="114" t="str">
        <f t="array" ref="N161">IF(ISNUMBER(AC161),INDEX('All Player Data Store'!$J$7:$J$594,SMALL(IF('All Player Data Store'!$Y$7:$Y$594=AC161,ROW('All Player Data Store'!$Y$7:$Y$594)-ROW('All Player Data Store'!$Y$7)+1),COUNTIF($AC$8:AC161,AC161))),"")</f>
        <v/>
      </c>
      <c r="O161" s="108">
        <f t="array" ref="O161">IF(ISNUMBER(AC161),INDEX('All Player Data Store'!$K$7:$K$594,SMALL(IF('All Player Data Store'!$Y$7:$Y$594=AC161,ROW('All Player Data Store'!$Y$7:$Y$594)-ROW('All Player Data Store'!$Y$7)+1),COUNTIF($AC$8:AC161,AC161))),"")</f>
        <v>17.82</v>
      </c>
      <c r="P161" s="108" t="str">
        <f t="array" ref="P161">IF(ISNUMBER(AC161),INDEX('All Player Data Store'!$L$7:$L$594,SMALL(IF('All Player Data Store'!$Y$7:$Y$594=AC161,ROW('All Player Data Store'!$Y$7:$Y$594)-ROW('All Player Data Store'!$Y$7)+1),COUNTIF($AC$8:AC161,AC161))),"")</f>
        <v/>
      </c>
      <c r="Q161" s="108" t="str">
        <f t="array" ref="Q161">IF(ISNUMBER(AC161),INDEX('All Player Data Store'!$M$7:$M$594,SMALL(IF('All Player Data Store'!$Y$7:$Y$594=AC161,ROW('All Player Data Store'!$Y$7:$Y$594)-ROW('All Player Data Store'!$Y$7)+1),COUNTIF($AC$8:AC161,AC161))),"")</f>
        <v/>
      </c>
      <c r="R161" s="108" t="str">
        <f t="array" ref="R161">IF(ISNUMBER(AC161),INDEX('All Player Data Store'!$N$7:$N$594,SMALL(IF('All Player Data Store'!$Y$7:$Y$594=AC161,ROW('All Player Data Store'!$Y$7:$Y$594)-ROW('All Player Data Store'!$Y$7)+1),COUNTIF($AC$8:AC161,AC161))),"")</f>
        <v/>
      </c>
      <c r="S161" s="108" t="str">
        <f t="array" ref="S161">IF(ISNUMBER(AC161),INDEX('All Player Data Store'!$O$7:$O$594,SMALL(IF('All Player Data Store'!$Y$7:$Y$594=AC161,ROW('All Player Data Store'!$Y$7:$Y$594)-ROW('All Player Data Store'!$Y$7)+1),COUNTIF($AC$8:AC161,AC161))),"")</f>
        <v/>
      </c>
      <c r="T161" s="108" t="str">
        <f t="array" ref="T161">IF(ISNUMBER(AC161),INDEX('All Player Data Store'!$P$7:$P$594,SMALL(IF('All Player Data Store'!$Y$7:$Y$594=AC161,ROW('All Player Data Store'!$Y$7:$Y$594)-ROW('All Player Data Store'!$Y$7)+1),COUNTIF($AC$8:AC161,AC161))),"")</f>
        <v/>
      </c>
      <c r="U161" s="108" t="str">
        <f t="array" ref="U161">IF(ISNUMBER(AC161),INDEX('All Player Data Store'!$Q$7:$Q$594,SMALL(IF('All Player Data Store'!$Y$7:$Y$594=AC161,ROW('All Player Data Store'!$Y$7:$Y$594)-ROW('All Player Data Store'!$Y$7)+1),COUNTIF($AC$8:AC161,AC161))),"")</f>
        <v/>
      </c>
      <c r="V161" s="108" t="str">
        <f t="array" ref="V161">IF(ISNUMBER(AC161),INDEX('All Player Data Store'!$R$7:$R$594,SMALL(IF('All Player Data Store'!$Y$7:$Y$594=AC161,ROW('All Player Data Store'!$Y$7:$Y$594)-ROW('All Player Data Store'!$Y$7)+1),COUNTIF($AC$8:AC161,AC161))),"")</f>
        <v/>
      </c>
      <c r="W161" s="108">
        <f t="array" ref="W161">IF(ISNUMBER(AC161),INDEX('All Player Data Store'!$S$7:$S$594,SMALL(IF('All Player Data Store'!$Y$7:$Y$594=AC161,ROW('All Player Data Store'!$Y$7:$Y$594)-ROW('All Player Data Store'!$Y$7)+1),COUNTIF($AC$8:AC161,AC161))),"")</f>
        <v>19.32</v>
      </c>
      <c r="X161" s="108">
        <f t="array" ref="X161">IF(ISNUMBER(AC161),INDEX('All Player Data Store'!$T$7:$T$594,SMALL(IF('All Player Data Store'!$Y$7:$Y$594=AC161,ROW('All Player Data Store'!$Y$7:$Y$594)-ROW('All Player Data Store'!$Y$7)+1),COUNTIF($AC$8:AC161,AC161))),"")</f>
        <v>18.43</v>
      </c>
      <c r="Y161" s="108">
        <f t="array" ref="Y161">IF(ISNUMBER(AC161),INDEX('All Player Data Store'!$U$7:$U$594,SMALL(IF('All Player Data Store'!$Y$7:$Y$594=AC161,ROW('All Player Data Store'!$Y$7:$Y$594)-ROW('All Player Data Store'!$Y$7)+1),COUNTIF($AC$8:AC161,AC161))),"")</f>
        <v>17.670000000000002</v>
      </c>
      <c r="Z161" s="108">
        <f t="array" ref="Z161">IF(ISNUMBER(AC161),INDEX('All Player Data Store'!$V$7:$V$594,SMALL(IF('All Player Data Store'!$Y$7:$Y$594=AC161,ROW('All Player Data Store'!$Y$7:$Y$594)-ROW('All Player Data Store'!$Y$7)+1),COUNTIF($AC$8:AC161,AC161))),"")</f>
        <v>19.38</v>
      </c>
      <c r="AA161" s="112" t="str">
        <f t="array" ref="AA161">IF(ISNUMBER(AC161),INDEX('All Player Data Store'!$W$7:$W$594,SMALL(IF('All Player Data Store'!$Y$7:$Y$594=AC161,ROW('All Player Data Store'!$Y$7:$Y$594)-ROW('All Player Data Store'!$Y$7)+1),COUNTIF($AC$8:AC161,AC161))),"")</f>
        <v/>
      </c>
      <c r="AB161" s="108">
        <f t="array" ref="AB161">IF(ISNUMBER(AC161),INDEX('All Player Data Store'!$X$7:$X$594,SMALL(IF('All Player Data Store'!$Y$7:$Y$594=AC161,ROW('All Player Data Store'!$Y$7:$Y$594)-ROW('All Player Data Store'!$Y$7)+1),COUNTIF($AC$8:AC161,AC161))),"")</f>
        <v>18.524000000000001</v>
      </c>
      <c r="AC161" s="115">
        <f>IF(ISERROR(IF(ISERROR(LARGE('All Player Data Store'!$Y$7:$Y$594,154)),"",(LARGE('All Player Data Store'!$Y$7:$Y$594,154)))),"",(IF(ISERROR(LARGE('All Player Data Store'!$Y$7:$Y$594,154)),"",(LARGE('All Player Data Store'!$Y$7:$Y$594,154)))))</f>
        <v>19.524000000000001</v>
      </c>
      <c r="AD161" s="106">
        <f t="shared" si="16"/>
        <v>3</v>
      </c>
      <c r="AE161" s="107" t="str">
        <f t="array" ref="AE161">IF(ISNUMBER(AC161),INDEX('All Player Data Store'!$J$8:$J$594,SMALL(IF('All Player Data Store'!$Y$7:$Y$594=AC161,ROW('All Player Data Store'!$Y$7:$Y$594)-ROW('All Player Data Store'!$Y$7)+1),COUNTIF($AC$8:AC161,AC161))),"")</f>
        <v/>
      </c>
      <c r="AF161" s="108" t="str">
        <f t="shared" si="3"/>
        <v/>
      </c>
      <c r="AG161" s="108" t="str">
        <f t="array" ref="AG161">IF(ISNUMBER(AC161),INDEX('All Player Data Store'!$K$8:$K$594,SMALL(IF('All Player Data Store'!$Y$7:$Y$594=AC161,ROW('All Player Data Store'!$Y$7:$Y$594)-ROW('All Player Data Store'!$Y$7)+1),COUNTIF($AC$8:AC161,AC161))),"")</f>
        <v>3*4</v>
      </c>
      <c r="AH161" s="108">
        <f t="shared" si="4"/>
        <v>17.82</v>
      </c>
      <c r="AI161" s="108" t="str">
        <f t="array" ref="AI161">IF(ISNUMBER(AC161),INDEX('All Player Data Store'!$L$8:$L$594,SMALL(IF('All Player Data Store'!$Y$7:$Y$594=AC161,ROW('All Player Data Store'!$Y$7:$Y$594)-ROW('All Player Data Store'!$Y$7)+1),COUNTIF($AC$8:AC161,AC161))),"")</f>
        <v/>
      </c>
      <c r="AJ161" s="108" t="str">
        <f t="shared" si="5"/>
        <v/>
      </c>
      <c r="AK161" s="108" t="str">
        <f t="array" ref="AK161">IF(ISNUMBER(AC161),INDEX('All Player Data Store'!$M$8:$M$594,SMALL(IF('All Player Data Store'!$Y$7:$Y$594=AC161,ROW('All Player Data Store'!$Y$7:$Y$594)-ROW('All Player Data Store'!$Y$7)+1),COUNTIF($AC$8:AC161,AC161))),"")</f>
        <v/>
      </c>
      <c r="AL161" s="108" t="str">
        <f t="shared" si="6"/>
        <v/>
      </c>
      <c r="AM161" s="108" t="str">
        <f t="array" ref="AM161">IF(ISNUMBER(AC161),INDEX('All Player Data Store'!$N$8:$N$594,SMALL(IF('All Player Data Store'!$Y$7:$Y$594=AC161,ROW('All Player Data Store'!$Y$7:$Y$594)-ROW('All Player Data Store'!$Y$7)+1),COUNTIF($AC$8:AC161,AC161))),"")</f>
        <v/>
      </c>
      <c r="AN161" s="108" t="str">
        <f t="shared" si="7"/>
        <v/>
      </c>
      <c r="AO161" s="108" t="str">
        <f t="array" ref="AO161">IF(ISNUMBER(AC161),INDEX('All Player Data Store'!$O$8:$O$594,SMALL(IF('All Player Data Store'!$Y$7:$Y$594=AC161,ROW('All Player Data Store'!$Y$7:$Y$594)-ROW('All Player Data Store'!$Y$7)+1),COUNTIF($AC$8:AC161,AC161))),"")</f>
        <v/>
      </c>
      <c r="AP161" s="108" t="str">
        <f t="shared" si="8"/>
        <v/>
      </c>
      <c r="AQ161" s="108" t="str">
        <f t="array" ref="AQ161">IF(ISNUMBER(AC161),INDEX('All Player Data Store'!$P$8:$P$594,SMALL(IF('All Player Data Store'!$Y$7:$Y$594=AC161,ROW('All Player Data Store'!$Y$7:$Y$594)-ROW('All Player Data Store'!$Y$7)+1),COUNTIF($AC$8:AC161,AC161))),"")</f>
        <v/>
      </c>
      <c r="AR161" s="108" t="str">
        <f t="shared" si="9"/>
        <v/>
      </c>
      <c r="AS161" s="108" t="str">
        <f t="array" ref="AS161">IF(ISNUMBER(AC161),INDEX('All Player Data Store'!$Q$8:$Q$594,SMALL(IF('All Player Data Store'!$Y$7:$Y$594=AC161,ROW('All Player Data Store'!$Y$7:$Y$594)-ROW('All Player Data Store'!$Y$7)+1),COUNTIF($AC$8:AC161,AC161))),"")</f>
        <v/>
      </c>
      <c r="AT161" s="108" t="str">
        <f t="shared" si="10"/>
        <v/>
      </c>
      <c r="AU161" s="108" t="str">
        <f t="array" ref="AU161">IF(ISNUMBER(AC161),INDEX('All Player Data Store'!$R$8:$R$594,SMALL(IF('All Player Data Store'!$Y$7:$Y$594=AC161,ROW('All Player Data Store'!$Y$7:$Y$594)-ROW('All Player Data Store'!$Y$7)+1),COUNTIF($AC$8:AC161,AC161))),"")</f>
        <v/>
      </c>
      <c r="AV161" s="108" t="str">
        <f t="shared" si="11"/>
        <v/>
      </c>
      <c r="AW161" s="108" t="str">
        <f t="array" ref="AW161">IF(ISNUMBER(AC161),INDEX('All Player Data Store'!$S$8:$S$594,SMALL(IF('All Player Data Store'!$Y$7:$Y$594=AC161,ROW('All Player Data Store'!$Y$7:$Y$594)-ROW('All Player Data Store'!$Y$7)+1),COUNTIF($AC$8:AC161,AC161))),"")</f>
        <v>1*4</v>
      </c>
      <c r="AX161" s="108">
        <f t="shared" si="12"/>
        <v>19.32</v>
      </c>
      <c r="AY161" s="108" t="str">
        <f t="array" ref="AY161">IF(ISNUMBER(AC161),INDEX('All Player Data Store'!$T$8:$T$594,SMALL(IF('All Player Data Store'!$Y$7:$Y$594=AC161,ROW('All Player Data Store'!$Y$7:$Y$594)-ROW('All Player Data Store'!$Y$7)+1),COUNTIF($AC$8:AC161,AC161))),"")</f>
        <v>4*3</v>
      </c>
      <c r="AZ161" s="108">
        <f t="shared" si="13"/>
        <v>19.43</v>
      </c>
      <c r="BA161" s="108" t="str">
        <f t="array" ref="BA161">IF(ISNUMBER(AC161),INDEX('All Player Data Store'!$U$8:$U$594,SMALL(IF('All Player Data Store'!$Y$7:$Y$594=AC161,ROW('All Player Data Store'!$Y$7:$Y$594)-ROW('All Player Data Store'!$Y$7)+1),COUNTIF($AC$8:AC161,AC161))),"")</f>
        <v>0*4</v>
      </c>
      <c r="BB161" s="108">
        <f t="shared" si="14"/>
        <v>17.670000000000002</v>
      </c>
      <c r="BC161" s="108" t="str">
        <f t="array" ref="BC161">IF(ISNUMBER(AC161),INDEX('All Player Data Store'!$V$8:$V$594,SMALL(IF('All Player Data Store'!$Y$7:$Y$594=AC161,ROW('All Player Data Store'!$Y$7:$Y$594)-ROW('All Player Data Store'!$Y$7)+1),COUNTIF($AC$8:AC161,AC161))),"")</f>
        <v>3*4</v>
      </c>
      <c r="BD161" s="108">
        <f t="shared" si="15"/>
        <v>19.38</v>
      </c>
      <c r="BE161" s="1"/>
    </row>
    <row r="162" spans="2:57" ht="12" customHeight="1" x14ac:dyDescent="0.2">
      <c r="B162" s="98" t="str">
        <f t="shared" si="0"/>
        <v>N</v>
      </c>
      <c r="C162" s="1"/>
      <c r="D162" s="68">
        <f t="shared" si="1"/>
        <v>155</v>
      </c>
      <c r="E162" s="2"/>
      <c r="F162" s="78">
        <v>155</v>
      </c>
      <c r="G162" s="110" t="str">
        <f t="array" ref="G162">IF(ISNUMBER(AC162),INDEX('All Player Data Store'!$C$7:$C$594,SMALL(IF('All Player Data Store'!$Y$7:$Y$594=AC162,ROW('All Player Data Store'!$Y$7:$Y$594)-ROW('All Player Data Store'!$Y$7)+1),COUNTIF($AC$8:AC162,AC162))),"")</f>
        <v>Trevor Stimpson</v>
      </c>
      <c r="H162" s="111" t="str">
        <f t="array" ref="H162">IF(ISNUMBER(AC162),INDEX('All Player Data Store'!$D$7:$D$594,SMALL(IF('All Player Data Store'!$Y$7:$Y$594=AC162,ROW('All Player Data Store'!$Y$7:$Y$594)-ROW('All Player Data Store'!$Y$7)+1),COUNTIF($AC$8:AC162,AC162))),"")</f>
        <v>Wey</v>
      </c>
      <c r="I162" s="69">
        <f t="array" ref="I162">IF(ISNUMBER(AC162),INDEX('All Player Data Store'!$E$7:$E$594,SMALL(IF('All Player Data Store'!$Y$7:$Y$594=AC162,ROW('All Player Data Store'!$Y$7:$Y$594)-ROW('All Player Data Store'!$Y$7)+1),COUNTIF($AC$8:AC162,AC162))),"")</f>
        <v>1</v>
      </c>
      <c r="J162" s="70" t="str">
        <f t="array" ref="J162">IF(ISNUMBER(AC162),INDEX('All Player Data Store'!$F$7:$F$594,SMALL(IF('All Player Data Store'!$Y$7:$Y$594=AC162,ROW('All Player Data Store'!$Y$7:$Y$594)-ROW('All Player Data Store'!$Y$7)+1),COUNTIF($AC$8:AC162,AC162))),"")</f>
        <v/>
      </c>
      <c r="K162" s="112">
        <f t="array" ref="K162">IF(ISNUMBER(AC162),INDEX('All Player Data Store'!$G$7:$G$594,SMALL(IF('All Player Data Store'!$Y$7:$Y$594=AC162,ROW('All Player Data Store'!$Y$7:$Y$594)-ROW('All Player Data Store'!$Y$7)+1),COUNTIF($AC$8:AC162,AC162))),"")</f>
        <v>1</v>
      </c>
      <c r="L162" s="112">
        <f t="array" ref="L162">IF(ISNUMBER(AC162),INDEX('All Player Data Store'!$H$7:$H$594,SMALL(IF('All Player Data Store'!$Y$7:$Y$594=AC162,ROW('All Player Data Store'!$Y$7:$Y$594)-ROW('All Player Data Store'!$Y$7)+1),COUNTIF($AC$8:AC162,AC162))),"")</f>
        <v>1</v>
      </c>
      <c r="M162" s="113">
        <f t="array" ref="M162">IF(ISNUMBER(AC162),INDEX('All Player Data Store'!$I$7:$I$594,SMALL(IF('All Player Data Store'!$Y$7:$Y$594=AC162,ROW('All Player Data Store'!$Y$7:$Y$594)-ROW('All Player Data Store'!$Y$7)+1),COUNTIF($AC$8:AC162,AC162))),"")</f>
        <v>4</v>
      </c>
      <c r="N162" s="114" t="str">
        <f t="array" ref="N162">IF(ISNUMBER(AC162),INDEX('All Player Data Store'!$J$7:$J$594,SMALL(IF('All Player Data Store'!$Y$7:$Y$594=AC162,ROW('All Player Data Store'!$Y$7:$Y$594)-ROW('All Player Data Store'!$Y$7)+1),COUNTIF($AC$8:AC162,AC162))),"")</f>
        <v/>
      </c>
      <c r="O162" s="108" t="str">
        <f t="array" ref="O162">IF(ISNUMBER(AC162),INDEX('All Player Data Store'!$K$7:$K$594,SMALL(IF('All Player Data Store'!$Y$7:$Y$594=AC162,ROW('All Player Data Store'!$Y$7:$Y$594)-ROW('All Player Data Store'!$Y$7)+1),COUNTIF($AC$8:AC162,AC162))),"")</f>
        <v/>
      </c>
      <c r="P162" s="108" t="str">
        <f t="array" ref="P162">IF(ISNUMBER(AC162),INDEX('All Player Data Store'!$L$7:$L$594,SMALL(IF('All Player Data Store'!$Y$7:$Y$594=AC162,ROW('All Player Data Store'!$Y$7:$Y$594)-ROW('All Player Data Store'!$Y$7)+1),COUNTIF($AC$8:AC162,AC162))),"")</f>
        <v/>
      </c>
      <c r="Q162" s="108" t="str">
        <f t="array" ref="Q162">IF(ISNUMBER(AC162),INDEX('All Player Data Store'!$M$7:$M$594,SMALL(IF('All Player Data Store'!$Y$7:$Y$594=AC162,ROW('All Player Data Store'!$Y$7:$Y$594)-ROW('All Player Data Store'!$Y$7)+1),COUNTIF($AC$8:AC162,AC162))),"")</f>
        <v/>
      </c>
      <c r="R162" s="108">
        <f t="array" ref="R162">IF(ISNUMBER(AC162),INDEX('All Player Data Store'!$N$7:$N$594,SMALL(IF('All Player Data Store'!$Y$7:$Y$594=AC162,ROW('All Player Data Store'!$Y$7:$Y$594)-ROW('All Player Data Store'!$Y$7)+1),COUNTIF($AC$8:AC162,AC162))),"")</f>
        <v>19.41</v>
      </c>
      <c r="S162" s="108" t="str">
        <f t="array" ref="S162">IF(ISNUMBER(AC162),INDEX('All Player Data Store'!$O$7:$O$594,SMALL(IF('All Player Data Store'!$Y$7:$Y$594=AC162,ROW('All Player Data Store'!$Y$7:$Y$594)-ROW('All Player Data Store'!$Y$7)+1),COUNTIF($AC$8:AC162,AC162))),"")</f>
        <v/>
      </c>
      <c r="T162" s="108" t="str">
        <f t="array" ref="T162">IF(ISNUMBER(AC162),INDEX('All Player Data Store'!$P$7:$P$594,SMALL(IF('All Player Data Store'!$Y$7:$Y$594=AC162,ROW('All Player Data Store'!$Y$7:$Y$594)-ROW('All Player Data Store'!$Y$7)+1),COUNTIF($AC$8:AC162,AC162))),"")</f>
        <v/>
      </c>
      <c r="U162" s="108" t="str">
        <f t="array" ref="U162">IF(ISNUMBER(AC162),INDEX('All Player Data Store'!$Q$7:$Q$594,SMALL(IF('All Player Data Store'!$Y$7:$Y$594=AC162,ROW('All Player Data Store'!$Y$7:$Y$594)-ROW('All Player Data Store'!$Y$7)+1),COUNTIF($AC$8:AC162,AC162))),"")</f>
        <v/>
      </c>
      <c r="V162" s="108" t="str">
        <f t="array" ref="V162">IF(ISNUMBER(AC162),INDEX('All Player Data Store'!$R$7:$R$594,SMALL(IF('All Player Data Store'!$Y$7:$Y$594=AC162,ROW('All Player Data Store'!$Y$7:$Y$594)-ROW('All Player Data Store'!$Y$7)+1),COUNTIF($AC$8:AC162,AC162))),"")</f>
        <v/>
      </c>
      <c r="W162" s="108" t="str">
        <f t="array" ref="W162">IF(ISNUMBER(AC162),INDEX('All Player Data Store'!$S$7:$S$594,SMALL(IF('All Player Data Store'!$Y$7:$Y$594=AC162,ROW('All Player Data Store'!$Y$7:$Y$594)-ROW('All Player Data Store'!$Y$7)+1),COUNTIF($AC$8:AC162,AC162))),"")</f>
        <v/>
      </c>
      <c r="X162" s="108" t="str">
        <f t="array" ref="X162">IF(ISNUMBER(AC162),INDEX('All Player Data Store'!$T$7:$T$594,SMALL(IF('All Player Data Store'!$Y$7:$Y$594=AC162,ROW('All Player Data Store'!$Y$7:$Y$594)-ROW('All Player Data Store'!$Y$7)+1),COUNTIF($AC$8:AC162,AC162))),"")</f>
        <v/>
      </c>
      <c r="Y162" s="108" t="str">
        <f t="array" ref="Y162">IF(ISNUMBER(AC162),INDEX('All Player Data Store'!$U$7:$U$594,SMALL(IF('All Player Data Store'!$Y$7:$Y$594=AC162,ROW('All Player Data Store'!$Y$7:$Y$594)-ROW('All Player Data Store'!$Y$7)+1),COUNTIF($AC$8:AC162,AC162))),"")</f>
        <v/>
      </c>
      <c r="Z162" s="108" t="str">
        <f t="array" ref="Z162">IF(ISNUMBER(AC162),INDEX('All Player Data Store'!$V$7:$V$594,SMALL(IF('All Player Data Store'!$Y$7:$Y$594=AC162,ROW('All Player Data Store'!$Y$7:$Y$594)-ROW('All Player Data Store'!$Y$7)+1),COUNTIF($AC$8:AC162,AC162))),"")</f>
        <v/>
      </c>
      <c r="AA162" s="112" t="str">
        <f t="array" ref="AA162">IF(ISNUMBER(AC162),INDEX('All Player Data Store'!$W$7:$W$594,SMALL(IF('All Player Data Store'!$Y$7:$Y$594=AC162,ROW('All Player Data Store'!$Y$7:$Y$594)-ROW('All Player Data Store'!$Y$7)+1),COUNTIF($AC$8:AC162,AC162))),"")</f>
        <v/>
      </c>
      <c r="AB162" s="108">
        <f t="array" ref="AB162">IF(ISNUMBER(AC162),INDEX('All Player Data Store'!$X$7:$X$594,SMALL(IF('All Player Data Store'!$Y$7:$Y$594=AC162,ROW('All Player Data Store'!$Y$7:$Y$594)-ROW('All Player Data Store'!$Y$7)+1),COUNTIF($AC$8:AC162,AC162))),"")</f>
        <v>19.41</v>
      </c>
      <c r="AC162" s="115">
        <f>IF(ISERROR(IF(ISERROR(LARGE('All Player Data Store'!$Y$7:$Y$594,155)),"",(LARGE('All Player Data Store'!$Y$7:$Y$594,155)))),"",(IF(ISERROR(LARGE('All Player Data Store'!$Y$7:$Y$594,155)),"",(LARGE('All Player Data Store'!$Y$7:$Y$594,155)))))</f>
        <v>19.41</v>
      </c>
      <c r="AD162" s="106">
        <f t="shared" si="16"/>
        <v>3</v>
      </c>
      <c r="AE162" s="107" t="str">
        <f t="array" ref="AE162">IF(ISNUMBER(AC162),INDEX('All Player Data Store'!$J$8:$J$594,SMALL(IF('All Player Data Store'!$Y$7:$Y$594=AC162,ROW('All Player Data Store'!$Y$7:$Y$594)-ROW('All Player Data Store'!$Y$7)+1),COUNTIF($AC$8:AC162,AC162))),"")</f>
        <v/>
      </c>
      <c r="AF162" s="108" t="str">
        <f t="shared" si="3"/>
        <v/>
      </c>
      <c r="AG162" s="108" t="str">
        <f t="array" ref="AG162">IF(ISNUMBER(AC162),INDEX('All Player Data Store'!$K$8:$K$594,SMALL(IF('All Player Data Store'!$Y$7:$Y$594=AC162,ROW('All Player Data Store'!$Y$7:$Y$594)-ROW('All Player Data Store'!$Y$7)+1),COUNTIF($AC$8:AC162,AC162))),"")</f>
        <v/>
      </c>
      <c r="AH162" s="108" t="str">
        <f t="shared" si="4"/>
        <v/>
      </c>
      <c r="AI162" s="108" t="str">
        <f t="array" ref="AI162">IF(ISNUMBER(AC162),INDEX('All Player Data Store'!$L$8:$L$594,SMALL(IF('All Player Data Store'!$Y$7:$Y$594=AC162,ROW('All Player Data Store'!$Y$7:$Y$594)-ROW('All Player Data Store'!$Y$7)+1),COUNTIF($AC$8:AC162,AC162))),"")</f>
        <v/>
      </c>
      <c r="AJ162" s="108" t="str">
        <f t="shared" si="5"/>
        <v/>
      </c>
      <c r="AK162" s="108" t="str">
        <f t="array" ref="AK162">IF(ISNUMBER(AC162),INDEX('All Player Data Store'!$M$8:$M$594,SMALL(IF('All Player Data Store'!$Y$7:$Y$594=AC162,ROW('All Player Data Store'!$Y$7:$Y$594)-ROW('All Player Data Store'!$Y$7)+1),COUNTIF($AC$8:AC162,AC162))),"")</f>
        <v/>
      </c>
      <c r="AL162" s="108" t="str">
        <f t="shared" si="6"/>
        <v/>
      </c>
      <c r="AM162" s="108" t="str">
        <f t="array" ref="AM162">IF(ISNUMBER(AC162),INDEX('All Player Data Store'!$N$8:$N$594,SMALL(IF('All Player Data Store'!$Y$7:$Y$594=AC162,ROW('All Player Data Store'!$Y$7:$Y$594)-ROW('All Player Data Store'!$Y$7)+1),COUNTIF($AC$8:AC162,AC162))),"")</f>
        <v>1*4</v>
      </c>
      <c r="AN162" s="108">
        <f t="shared" si="7"/>
        <v>19.41</v>
      </c>
      <c r="AO162" s="108" t="str">
        <f t="array" ref="AO162">IF(ISNUMBER(AC162),INDEX('All Player Data Store'!$O$8:$O$594,SMALL(IF('All Player Data Store'!$Y$7:$Y$594=AC162,ROW('All Player Data Store'!$Y$7:$Y$594)-ROW('All Player Data Store'!$Y$7)+1),COUNTIF($AC$8:AC162,AC162))),"")</f>
        <v/>
      </c>
      <c r="AP162" s="108" t="str">
        <f t="shared" si="8"/>
        <v/>
      </c>
      <c r="AQ162" s="108" t="str">
        <f t="array" ref="AQ162">IF(ISNUMBER(AC162),INDEX('All Player Data Store'!$P$8:$P$594,SMALL(IF('All Player Data Store'!$Y$7:$Y$594=AC162,ROW('All Player Data Store'!$Y$7:$Y$594)-ROW('All Player Data Store'!$Y$7)+1),COUNTIF($AC$8:AC162,AC162))),"")</f>
        <v/>
      </c>
      <c r="AR162" s="108" t="str">
        <f t="shared" si="9"/>
        <v/>
      </c>
      <c r="AS162" s="108" t="str">
        <f t="array" ref="AS162">IF(ISNUMBER(AC162),INDEX('All Player Data Store'!$Q$8:$Q$594,SMALL(IF('All Player Data Store'!$Y$7:$Y$594=AC162,ROW('All Player Data Store'!$Y$7:$Y$594)-ROW('All Player Data Store'!$Y$7)+1),COUNTIF($AC$8:AC162,AC162))),"")</f>
        <v/>
      </c>
      <c r="AT162" s="108" t="str">
        <f t="shared" si="10"/>
        <v/>
      </c>
      <c r="AU162" s="108" t="str">
        <f t="array" ref="AU162">IF(ISNUMBER(AC162),INDEX('All Player Data Store'!$R$8:$R$594,SMALL(IF('All Player Data Store'!$Y$7:$Y$594=AC162,ROW('All Player Data Store'!$Y$7:$Y$594)-ROW('All Player Data Store'!$Y$7)+1),COUNTIF($AC$8:AC162,AC162))),"")</f>
        <v/>
      </c>
      <c r="AV162" s="108" t="str">
        <f t="shared" si="11"/>
        <v/>
      </c>
      <c r="AW162" s="108" t="str">
        <f t="array" ref="AW162">IF(ISNUMBER(AC162),INDEX('All Player Data Store'!$S$8:$S$594,SMALL(IF('All Player Data Store'!$Y$7:$Y$594=AC162,ROW('All Player Data Store'!$Y$7:$Y$594)-ROW('All Player Data Store'!$Y$7)+1),COUNTIF($AC$8:AC162,AC162))),"")</f>
        <v/>
      </c>
      <c r="AX162" s="108" t="str">
        <f t="shared" si="12"/>
        <v/>
      </c>
      <c r="AY162" s="108" t="str">
        <f t="array" ref="AY162">IF(ISNUMBER(AC162),INDEX('All Player Data Store'!$T$8:$T$594,SMALL(IF('All Player Data Store'!$Y$7:$Y$594=AC162,ROW('All Player Data Store'!$Y$7:$Y$594)-ROW('All Player Data Store'!$Y$7)+1),COUNTIF($AC$8:AC162,AC162))),"")</f>
        <v/>
      </c>
      <c r="AZ162" s="108" t="str">
        <f t="shared" si="13"/>
        <v/>
      </c>
      <c r="BA162" s="108" t="str">
        <f t="array" ref="BA162">IF(ISNUMBER(AC162),INDEX('All Player Data Store'!$U$8:$U$594,SMALL(IF('All Player Data Store'!$Y$7:$Y$594=AC162,ROW('All Player Data Store'!$Y$7:$Y$594)-ROW('All Player Data Store'!$Y$7)+1),COUNTIF($AC$8:AC162,AC162))),"")</f>
        <v/>
      </c>
      <c r="BB162" s="108" t="str">
        <f t="shared" si="14"/>
        <v/>
      </c>
      <c r="BC162" s="108" t="str">
        <f t="array" ref="BC162">IF(ISNUMBER(AC162),INDEX('All Player Data Store'!$V$8:$V$594,SMALL(IF('All Player Data Store'!$Y$7:$Y$594=AC162,ROW('All Player Data Store'!$Y$7:$Y$594)-ROW('All Player Data Store'!$Y$7)+1),COUNTIF($AC$8:AC162,AC162))),"")</f>
        <v/>
      </c>
      <c r="BD162" s="108" t="str">
        <f t="shared" si="15"/>
        <v/>
      </c>
      <c r="BE162" s="1"/>
    </row>
    <row r="163" spans="2:57" ht="12" customHeight="1" x14ac:dyDescent="0.2">
      <c r="B163" s="98" t="str">
        <f t="shared" si="0"/>
        <v>N</v>
      </c>
      <c r="C163" s="1"/>
      <c r="D163" s="68">
        <f t="shared" si="1"/>
        <v>156</v>
      </c>
      <c r="E163" s="2"/>
      <c r="F163" s="78">
        <v>156</v>
      </c>
      <c r="G163" s="110" t="str">
        <f t="array" ref="G163">IF(ISNUMBER(AC163),INDEX('All Player Data Store'!$C$7:$C$594,SMALL(IF('All Player Data Store'!$Y$7:$Y$594=AC163,ROW('All Player Data Store'!$Y$7:$Y$594)-ROW('All Player Data Store'!$Y$7)+1),COUNTIF($AC$8:AC163,AC163))),"")</f>
        <v xml:space="preserve">Nigel Davey </v>
      </c>
      <c r="H163" s="111" t="str">
        <f t="array" ref="H163">IF(ISNUMBER(AC163),INDEX('All Player Data Store'!$D$7:$D$594,SMALL(IF('All Player Data Store'!$Y$7:$Y$594=AC163,ROW('All Player Data Store'!$Y$7:$Y$594)-ROW('All Player Data Store'!$Y$7)+1),COUNTIF($AC$8:AC163,AC163))),"")</f>
        <v>Bri</v>
      </c>
      <c r="I163" s="69">
        <f t="array" ref="I163">IF(ISNUMBER(AC163),INDEX('All Player Data Store'!$E$7:$E$594,SMALL(IF('All Player Data Store'!$Y$7:$Y$594=AC163,ROW('All Player Data Store'!$Y$7:$Y$594)-ROW('All Player Data Store'!$Y$7)+1),COUNTIF($AC$8:AC163,AC163))),"")</f>
        <v>3</v>
      </c>
      <c r="J163" s="70" t="str">
        <f t="array" ref="J163">IF(ISNUMBER(AC163),INDEX('All Player Data Store'!$F$7:$F$594,SMALL(IF('All Player Data Store'!$Y$7:$Y$594=AC163,ROW('All Player Data Store'!$Y$7:$Y$594)-ROW('All Player Data Store'!$Y$7)+1),COUNTIF($AC$8:AC163,AC163))),"")</f>
        <v/>
      </c>
      <c r="K163" s="112">
        <f t="array" ref="K163">IF(ISNUMBER(AC163),INDEX('All Player Data Store'!$G$7:$G$594,SMALL(IF('All Player Data Store'!$Y$7:$Y$594=AC163,ROW('All Player Data Store'!$Y$7:$Y$594)-ROW('All Player Data Store'!$Y$7)+1),COUNTIF($AC$8:AC163,AC163))),"")</f>
        <v>3</v>
      </c>
      <c r="L163" s="112">
        <f t="array" ref="L163">IF(ISNUMBER(AC163),INDEX('All Player Data Store'!$H$7:$H$594,SMALL(IF('All Player Data Store'!$Y$7:$Y$594=AC163,ROW('All Player Data Store'!$Y$7:$Y$594)-ROW('All Player Data Store'!$Y$7)+1),COUNTIF($AC$8:AC163,AC163))),"")</f>
        <v>5</v>
      </c>
      <c r="M163" s="113">
        <f t="array" ref="M163">IF(ISNUMBER(AC163),INDEX('All Player Data Store'!$I$7:$I$594,SMALL(IF('All Player Data Store'!$Y$7:$Y$594=AC163,ROW('All Player Data Store'!$Y$7:$Y$594)-ROW('All Player Data Store'!$Y$7)+1),COUNTIF($AC$8:AC163,AC163))),"")</f>
        <v>12</v>
      </c>
      <c r="N163" s="114" t="str">
        <f t="array" ref="N163">IF(ISNUMBER(AC163),INDEX('All Player Data Store'!$J$7:$J$594,SMALL(IF('All Player Data Store'!$Y$7:$Y$594=AC163,ROW('All Player Data Store'!$Y$7:$Y$594)-ROW('All Player Data Store'!$Y$7)+1),COUNTIF($AC$8:AC163,AC163))),"")</f>
        <v/>
      </c>
      <c r="O163" s="108">
        <f t="array" ref="O163">IF(ISNUMBER(AC163),INDEX('All Player Data Store'!$K$7:$K$594,SMALL(IF('All Player Data Store'!$Y$7:$Y$594=AC163,ROW('All Player Data Store'!$Y$7:$Y$594)-ROW('All Player Data Store'!$Y$7)+1),COUNTIF($AC$8:AC163,AC163))),"")</f>
        <v>19.829999999999998</v>
      </c>
      <c r="P163" s="108" t="str">
        <f t="array" ref="P163">IF(ISNUMBER(AC163),INDEX('All Player Data Store'!$L$7:$L$594,SMALL(IF('All Player Data Store'!$Y$7:$Y$594=AC163,ROW('All Player Data Store'!$Y$7:$Y$594)-ROW('All Player Data Store'!$Y$7)+1),COUNTIF($AC$8:AC163,AC163))),"")</f>
        <v/>
      </c>
      <c r="Q163" s="108">
        <f t="array" ref="Q163">IF(ISNUMBER(AC163),INDEX('All Player Data Store'!$M$7:$M$594,SMALL(IF('All Player Data Store'!$Y$7:$Y$594=AC163,ROW('All Player Data Store'!$Y$7:$Y$594)-ROW('All Player Data Store'!$Y$7)+1),COUNTIF($AC$8:AC163,AC163))),"")</f>
        <v>18.09</v>
      </c>
      <c r="R163" s="108" t="str">
        <f t="array" ref="R163">IF(ISNUMBER(AC163),INDEX('All Player Data Store'!$N$7:$N$594,SMALL(IF('All Player Data Store'!$Y$7:$Y$594=AC163,ROW('All Player Data Store'!$Y$7:$Y$594)-ROW('All Player Data Store'!$Y$7)+1),COUNTIF($AC$8:AC163,AC163))),"")</f>
        <v/>
      </c>
      <c r="S163" s="108" t="str">
        <f t="array" ref="S163">IF(ISNUMBER(AC163),INDEX('All Player Data Store'!$O$7:$O$594,SMALL(IF('All Player Data Store'!$Y$7:$Y$594=AC163,ROW('All Player Data Store'!$Y$7:$Y$594)-ROW('All Player Data Store'!$Y$7)+1),COUNTIF($AC$8:AC163,AC163))),"")</f>
        <v/>
      </c>
      <c r="T163" s="108" t="str">
        <f t="array" ref="T163">IF(ISNUMBER(AC163),INDEX('All Player Data Store'!$P$7:$P$594,SMALL(IF('All Player Data Store'!$Y$7:$Y$594=AC163,ROW('All Player Data Store'!$Y$7:$Y$594)-ROW('All Player Data Store'!$Y$7)+1),COUNTIF($AC$8:AC163,AC163))),"")</f>
        <v/>
      </c>
      <c r="U163" s="108" t="str">
        <f t="array" ref="U163">IF(ISNUMBER(AC163),INDEX('All Player Data Store'!$Q$7:$Q$594,SMALL(IF('All Player Data Store'!$Y$7:$Y$594=AC163,ROW('All Player Data Store'!$Y$7:$Y$594)-ROW('All Player Data Store'!$Y$7)+1),COUNTIF($AC$8:AC163,AC163))),"")</f>
        <v/>
      </c>
      <c r="V163" s="108" t="str">
        <f t="array" ref="V163">IF(ISNUMBER(AC163),INDEX('All Player Data Store'!$R$7:$R$594,SMALL(IF('All Player Data Store'!$Y$7:$Y$594=AC163,ROW('All Player Data Store'!$Y$7:$Y$594)-ROW('All Player Data Store'!$Y$7)+1),COUNTIF($AC$8:AC163,AC163))),"")</f>
        <v/>
      </c>
      <c r="W163" s="108">
        <f t="array" ref="W163">IF(ISNUMBER(AC163),INDEX('All Player Data Store'!$S$7:$S$594,SMALL(IF('All Player Data Store'!$Y$7:$Y$594=AC163,ROW('All Player Data Store'!$Y$7:$Y$594)-ROW('All Player Data Store'!$Y$7)+1),COUNTIF($AC$8:AC163,AC163))),"")</f>
        <v>20.09</v>
      </c>
      <c r="X163" s="108" t="str">
        <f t="array" ref="X163">IF(ISNUMBER(AC163),INDEX('All Player Data Store'!$T$7:$T$594,SMALL(IF('All Player Data Store'!$Y$7:$Y$594=AC163,ROW('All Player Data Store'!$Y$7:$Y$594)-ROW('All Player Data Store'!$Y$7)+1),COUNTIF($AC$8:AC163,AC163))),"")</f>
        <v/>
      </c>
      <c r="Y163" s="108" t="str">
        <f t="array" ref="Y163">IF(ISNUMBER(AC163),INDEX('All Player Data Store'!$U$7:$U$594,SMALL(IF('All Player Data Store'!$Y$7:$Y$594=AC163,ROW('All Player Data Store'!$Y$7:$Y$594)-ROW('All Player Data Store'!$Y$7)+1),COUNTIF($AC$8:AC163,AC163))),"")</f>
        <v/>
      </c>
      <c r="Z163" s="108" t="str">
        <f t="array" ref="Z163">IF(ISNUMBER(AC163),INDEX('All Player Data Store'!$V$7:$V$594,SMALL(IF('All Player Data Store'!$Y$7:$Y$594=AC163,ROW('All Player Data Store'!$Y$7:$Y$594)-ROW('All Player Data Store'!$Y$7)+1),COUNTIF($AC$8:AC163,AC163))),"")</f>
        <v/>
      </c>
      <c r="AA163" s="112" t="str">
        <f t="array" ref="AA163">IF(ISNUMBER(AC163),INDEX('All Player Data Store'!$W$7:$W$594,SMALL(IF('All Player Data Store'!$Y$7:$Y$594=AC163,ROW('All Player Data Store'!$Y$7:$Y$594)-ROW('All Player Data Store'!$Y$7)+1),COUNTIF($AC$8:AC163,AC163))),"")</f>
        <v/>
      </c>
      <c r="AB163" s="108">
        <f t="array" ref="AB163">IF(ISNUMBER(AC163),INDEX('All Player Data Store'!$X$7:$X$594,SMALL(IF('All Player Data Store'!$Y$7:$Y$594=AC163,ROW('All Player Data Store'!$Y$7:$Y$594)-ROW('All Player Data Store'!$Y$7)+1),COUNTIF($AC$8:AC163,AC163))),"")</f>
        <v>19.33666666666667</v>
      </c>
      <c r="AC163" s="115">
        <f>IF(ISERROR(IF(ISERROR(LARGE('All Player Data Store'!$Y$7:$Y$594,156)),"",(LARGE('All Player Data Store'!$Y$7:$Y$594,156)))),"",(IF(ISERROR(LARGE('All Player Data Store'!$Y$7:$Y$594,156)),"",(LARGE('All Player Data Store'!$Y$7:$Y$594,156)))))</f>
        <v>19.33666666666667</v>
      </c>
      <c r="AD163" s="106">
        <f t="shared" si="16"/>
        <v>3</v>
      </c>
      <c r="AE163" s="107" t="str">
        <f t="array" ref="AE163">IF(ISNUMBER(AC163),INDEX('All Player Data Store'!$J$8:$J$594,SMALL(IF('All Player Data Store'!$Y$7:$Y$594=AC163,ROW('All Player Data Store'!$Y$7:$Y$594)-ROW('All Player Data Store'!$Y$7)+1),COUNTIF($AC$8:AC163,AC163))),"")</f>
        <v/>
      </c>
      <c r="AF163" s="108" t="str">
        <f t="shared" si="3"/>
        <v/>
      </c>
      <c r="AG163" s="108" t="str">
        <f t="array" ref="AG163">IF(ISNUMBER(AC163),INDEX('All Player Data Store'!$K$8:$K$594,SMALL(IF('All Player Data Store'!$Y$7:$Y$594=AC163,ROW('All Player Data Store'!$Y$7:$Y$594)-ROW('All Player Data Store'!$Y$7)+1),COUNTIF($AC$8:AC163,AC163))),"")</f>
        <v>2*4</v>
      </c>
      <c r="AH163" s="108">
        <f t="shared" si="4"/>
        <v>19.829999999999998</v>
      </c>
      <c r="AI163" s="108" t="str">
        <f t="array" ref="AI163">IF(ISNUMBER(AC163),INDEX('All Player Data Store'!$L$8:$L$594,SMALL(IF('All Player Data Store'!$Y$7:$Y$594=AC163,ROW('All Player Data Store'!$Y$7:$Y$594)-ROW('All Player Data Store'!$Y$7)+1),COUNTIF($AC$8:AC163,AC163))),"")</f>
        <v/>
      </c>
      <c r="AJ163" s="108" t="str">
        <f t="shared" si="5"/>
        <v/>
      </c>
      <c r="AK163" s="108" t="str">
        <f t="array" ref="AK163">IF(ISNUMBER(AC163),INDEX('All Player Data Store'!$M$8:$M$594,SMALL(IF('All Player Data Store'!$Y$7:$Y$594=AC163,ROW('All Player Data Store'!$Y$7:$Y$594)-ROW('All Player Data Store'!$Y$7)+1),COUNTIF($AC$8:AC163,AC163))),"")</f>
        <v>1*4</v>
      </c>
      <c r="AL163" s="108">
        <f t="shared" si="6"/>
        <v>18.09</v>
      </c>
      <c r="AM163" s="108" t="str">
        <f t="array" ref="AM163">IF(ISNUMBER(AC163),INDEX('All Player Data Store'!$N$8:$N$594,SMALL(IF('All Player Data Store'!$Y$7:$Y$594=AC163,ROW('All Player Data Store'!$Y$7:$Y$594)-ROW('All Player Data Store'!$Y$7)+1),COUNTIF($AC$8:AC163,AC163))),"")</f>
        <v/>
      </c>
      <c r="AN163" s="108" t="str">
        <f t="shared" si="7"/>
        <v/>
      </c>
      <c r="AO163" s="108" t="str">
        <f t="array" ref="AO163">IF(ISNUMBER(AC163),INDEX('All Player Data Store'!$O$8:$O$594,SMALL(IF('All Player Data Store'!$Y$7:$Y$594=AC163,ROW('All Player Data Store'!$Y$7:$Y$594)-ROW('All Player Data Store'!$Y$7)+1),COUNTIF($AC$8:AC163,AC163))),"")</f>
        <v/>
      </c>
      <c r="AP163" s="108" t="str">
        <f t="shared" si="8"/>
        <v/>
      </c>
      <c r="AQ163" s="108" t="str">
        <f t="array" ref="AQ163">IF(ISNUMBER(AC163),INDEX('All Player Data Store'!$P$8:$P$594,SMALL(IF('All Player Data Store'!$Y$7:$Y$594=AC163,ROW('All Player Data Store'!$Y$7:$Y$594)-ROW('All Player Data Store'!$Y$7)+1),COUNTIF($AC$8:AC163,AC163))),"")</f>
        <v/>
      </c>
      <c r="AR163" s="108" t="str">
        <f t="shared" si="9"/>
        <v/>
      </c>
      <c r="AS163" s="108" t="str">
        <f t="array" ref="AS163">IF(ISNUMBER(AC163),INDEX('All Player Data Store'!$Q$8:$Q$594,SMALL(IF('All Player Data Store'!$Y$7:$Y$594=AC163,ROW('All Player Data Store'!$Y$7:$Y$594)-ROW('All Player Data Store'!$Y$7)+1),COUNTIF($AC$8:AC163,AC163))),"")</f>
        <v/>
      </c>
      <c r="AT163" s="108" t="str">
        <f t="shared" si="10"/>
        <v/>
      </c>
      <c r="AU163" s="108" t="str">
        <f t="array" ref="AU163">IF(ISNUMBER(AC163),INDEX('All Player Data Store'!$R$8:$R$594,SMALL(IF('All Player Data Store'!$Y$7:$Y$594=AC163,ROW('All Player Data Store'!$Y$7:$Y$594)-ROW('All Player Data Store'!$Y$7)+1),COUNTIF($AC$8:AC163,AC163))),"")</f>
        <v/>
      </c>
      <c r="AV163" s="108" t="str">
        <f t="shared" si="11"/>
        <v/>
      </c>
      <c r="AW163" s="108" t="str">
        <f t="array" ref="AW163">IF(ISNUMBER(AC163),INDEX('All Player Data Store'!$S$8:$S$594,SMALL(IF('All Player Data Store'!$Y$7:$Y$594=AC163,ROW('All Player Data Store'!$Y$7:$Y$594)-ROW('All Player Data Store'!$Y$7)+1),COUNTIF($AC$8:AC163,AC163))),"")</f>
        <v>2*4</v>
      </c>
      <c r="AX163" s="108">
        <f t="shared" si="12"/>
        <v>20.09</v>
      </c>
      <c r="AY163" s="108" t="str">
        <f t="array" ref="AY163">IF(ISNUMBER(AC163),INDEX('All Player Data Store'!$T$8:$T$594,SMALL(IF('All Player Data Store'!$Y$7:$Y$594=AC163,ROW('All Player Data Store'!$Y$7:$Y$594)-ROW('All Player Data Store'!$Y$7)+1),COUNTIF($AC$8:AC163,AC163))),"")</f>
        <v/>
      </c>
      <c r="AZ163" s="108" t="str">
        <f t="shared" si="13"/>
        <v/>
      </c>
      <c r="BA163" s="108" t="str">
        <f t="array" ref="BA163">IF(ISNUMBER(AC163),INDEX('All Player Data Store'!$U$8:$U$594,SMALL(IF('All Player Data Store'!$Y$7:$Y$594=AC163,ROW('All Player Data Store'!$Y$7:$Y$594)-ROW('All Player Data Store'!$Y$7)+1),COUNTIF($AC$8:AC163,AC163))),"")</f>
        <v/>
      </c>
      <c r="BB163" s="108" t="str">
        <f t="shared" si="14"/>
        <v/>
      </c>
      <c r="BC163" s="108" t="str">
        <f t="array" ref="BC163">IF(ISNUMBER(AC163),INDEX('All Player Data Store'!$V$8:$V$594,SMALL(IF('All Player Data Store'!$Y$7:$Y$594=AC163,ROW('All Player Data Store'!$Y$7:$Y$594)-ROW('All Player Data Store'!$Y$7)+1),COUNTIF($AC$8:AC163,AC163))),"")</f>
        <v/>
      </c>
      <c r="BD163" s="108" t="str">
        <f t="shared" si="15"/>
        <v/>
      </c>
      <c r="BE163" s="1"/>
    </row>
    <row r="164" spans="2:57" ht="12" customHeight="1" x14ac:dyDescent="0.2">
      <c r="B164" s="98" t="str">
        <f t="shared" si="0"/>
        <v>N</v>
      </c>
      <c r="C164" s="1"/>
      <c r="D164" s="68">
        <f t="shared" si="1"/>
        <v>157</v>
      </c>
      <c r="E164" s="2"/>
      <c r="F164" s="78">
        <v>157</v>
      </c>
      <c r="G164" s="110" t="str">
        <f t="array" ref="G164">IF(ISNUMBER(AC164),INDEX('All Player Data Store'!$C$7:$C$594,SMALL(IF('All Player Data Store'!$Y$7:$Y$594=AC164,ROW('All Player Data Store'!$Y$7:$Y$594)-ROW('All Player Data Store'!$Y$7)+1),COUNTIF($AC$8:AC164,AC164))),"")</f>
        <v>Ricky Powell</v>
      </c>
      <c r="H164" s="111" t="str">
        <f t="array" ref="H164">IF(ISNUMBER(AC164),INDEX('All Player Data Store'!$D$7:$D$594,SMALL(IF('All Player Data Store'!$Y$7:$Y$594=AC164,ROW('All Player Data Store'!$Y$7:$Y$594)-ROW('All Player Data Store'!$Y$7)+1),COUNTIF($AC$8:AC164,AC164))),"")</f>
        <v>Aly</v>
      </c>
      <c r="I164" s="69">
        <f t="array" ref="I164">IF(ISNUMBER(AC164),INDEX('All Player Data Store'!$E$7:$E$594,SMALL(IF('All Player Data Store'!$Y$7:$Y$594=AC164,ROW('All Player Data Store'!$Y$7:$Y$594)-ROW('All Player Data Store'!$Y$7)+1),COUNTIF($AC$8:AC164,AC164))),"")</f>
        <v>4</v>
      </c>
      <c r="J164" s="70" t="str">
        <f t="array" ref="J164">IF(ISNUMBER(AC164),INDEX('All Player Data Store'!$F$7:$F$594,SMALL(IF('All Player Data Store'!$Y$7:$Y$594=AC164,ROW('All Player Data Store'!$Y$7:$Y$594)-ROW('All Player Data Store'!$Y$7)+1),COUNTIF($AC$8:AC164,AC164))),"")</f>
        <v/>
      </c>
      <c r="K164" s="112">
        <f t="array" ref="K164">IF(ISNUMBER(AC164),INDEX('All Player Data Store'!$G$7:$G$594,SMALL(IF('All Player Data Store'!$Y$7:$Y$594=AC164,ROW('All Player Data Store'!$Y$7:$Y$594)-ROW('All Player Data Store'!$Y$7)+1),COUNTIF($AC$8:AC164,AC164))),"")</f>
        <v>4</v>
      </c>
      <c r="L164" s="112">
        <f t="array" ref="L164">IF(ISNUMBER(AC164),INDEX('All Player Data Store'!$H$7:$H$594,SMALL(IF('All Player Data Store'!$Y$7:$Y$594=AC164,ROW('All Player Data Store'!$Y$7:$Y$594)-ROW('All Player Data Store'!$Y$7)+1),COUNTIF($AC$8:AC164,AC164))),"")</f>
        <v>1</v>
      </c>
      <c r="M164" s="113">
        <f t="array" ref="M164">IF(ISNUMBER(AC164),INDEX('All Player Data Store'!$I$7:$I$594,SMALL(IF('All Player Data Store'!$Y$7:$Y$594=AC164,ROW('All Player Data Store'!$Y$7:$Y$594)-ROW('All Player Data Store'!$Y$7)+1),COUNTIF($AC$8:AC164,AC164))),"")</f>
        <v>16</v>
      </c>
      <c r="N164" s="114" t="str">
        <f t="array" ref="N164">IF(ISNUMBER(AC164),INDEX('All Player Data Store'!$J$7:$J$594,SMALL(IF('All Player Data Store'!$Y$7:$Y$594=AC164,ROW('All Player Data Store'!$Y$7:$Y$594)-ROW('All Player Data Store'!$Y$7)+1),COUNTIF($AC$8:AC164,AC164))),"")</f>
        <v/>
      </c>
      <c r="O164" s="108">
        <f t="array" ref="O164">IF(ISNUMBER(AC164),INDEX('All Player Data Store'!$K$7:$K$594,SMALL(IF('All Player Data Store'!$Y$7:$Y$594=AC164,ROW('All Player Data Store'!$Y$7:$Y$594)-ROW('All Player Data Store'!$Y$7)+1),COUNTIF($AC$8:AC164,AC164))),"")</f>
        <v>18.25</v>
      </c>
      <c r="P164" s="108">
        <f t="array" ref="P164">IF(ISNUMBER(AC164),INDEX('All Player Data Store'!$L$7:$L$594,SMALL(IF('All Player Data Store'!$Y$7:$Y$594=AC164,ROW('All Player Data Store'!$Y$7:$Y$594)-ROW('All Player Data Store'!$Y$7)+1),COUNTIF($AC$8:AC164,AC164))),"")</f>
        <v>22.24</v>
      </c>
      <c r="Q164" s="108">
        <f t="array" ref="Q164">IF(ISNUMBER(AC164),INDEX('All Player Data Store'!$M$7:$M$594,SMALL(IF('All Player Data Store'!$Y$7:$Y$594=AC164,ROW('All Player Data Store'!$Y$7:$Y$594)-ROW('All Player Data Store'!$Y$7)+1),COUNTIF($AC$8:AC164,AC164))),"")</f>
        <v>16.25</v>
      </c>
      <c r="R164" s="108">
        <f t="array" ref="R164">IF(ISNUMBER(AC164),INDEX('All Player Data Store'!$N$7:$N$594,SMALL(IF('All Player Data Store'!$Y$7:$Y$594=AC164,ROW('All Player Data Store'!$Y$7:$Y$594)-ROW('All Player Data Store'!$Y$7)+1),COUNTIF($AC$8:AC164,AC164))),"")</f>
        <v>19.010000000000002</v>
      </c>
      <c r="S164" s="108" t="str">
        <f t="array" ref="S164">IF(ISNUMBER(AC164),INDEX('All Player Data Store'!$O$7:$O$594,SMALL(IF('All Player Data Store'!$Y$7:$Y$594=AC164,ROW('All Player Data Store'!$Y$7:$Y$594)-ROW('All Player Data Store'!$Y$7)+1),COUNTIF($AC$8:AC164,AC164))),"")</f>
        <v/>
      </c>
      <c r="T164" s="108" t="str">
        <f t="array" ref="T164">IF(ISNUMBER(AC164),INDEX('All Player Data Store'!$P$7:$P$594,SMALL(IF('All Player Data Store'!$Y$7:$Y$594=AC164,ROW('All Player Data Store'!$Y$7:$Y$594)-ROW('All Player Data Store'!$Y$7)+1),COUNTIF($AC$8:AC164,AC164))),"")</f>
        <v/>
      </c>
      <c r="U164" s="108" t="str">
        <f t="array" ref="U164">IF(ISNUMBER(AC164),INDEX('All Player Data Store'!$Q$7:$Q$594,SMALL(IF('All Player Data Store'!$Y$7:$Y$594=AC164,ROW('All Player Data Store'!$Y$7:$Y$594)-ROW('All Player Data Store'!$Y$7)+1),COUNTIF($AC$8:AC164,AC164))),"")</f>
        <v/>
      </c>
      <c r="V164" s="108" t="str">
        <f t="array" ref="V164">IF(ISNUMBER(AC164),INDEX('All Player Data Store'!$R$7:$R$594,SMALL(IF('All Player Data Store'!$Y$7:$Y$594=AC164,ROW('All Player Data Store'!$Y$7:$Y$594)-ROW('All Player Data Store'!$Y$7)+1),COUNTIF($AC$8:AC164,AC164))),"")</f>
        <v/>
      </c>
      <c r="W164" s="108" t="str">
        <f t="array" ref="W164">IF(ISNUMBER(AC164),INDEX('All Player Data Store'!$S$7:$S$594,SMALL(IF('All Player Data Store'!$Y$7:$Y$594=AC164,ROW('All Player Data Store'!$Y$7:$Y$594)-ROW('All Player Data Store'!$Y$7)+1),COUNTIF($AC$8:AC164,AC164))),"")</f>
        <v/>
      </c>
      <c r="X164" s="108" t="str">
        <f t="array" ref="X164">IF(ISNUMBER(AC164),INDEX('All Player Data Store'!$T$7:$T$594,SMALL(IF('All Player Data Store'!$Y$7:$Y$594=AC164,ROW('All Player Data Store'!$Y$7:$Y$594)-ROW('All Player Data Store'!$Y$7)+1),COUNTIF($AC$8:AC164,AC164))),"")</f>
        <v/>
      </c>
      <c r="Y164" s="108" t="str">
        <f t="array" ref="Y164">IF(ISNUMBER(AC164),INDEX('All Player Data Store'!$U$7:$U$594,SMALL(IF('All Player Data Store'!$Y$7:$Y$594=AC164,ROW('All Player Data Store'!$Y$7:$Y$594)-ROW('All Player Data Store'!$Y$7)+1),COUNTIF($AC$8:AC164,AC164))),"")</f>
        <v/>
      </c>
      <c r="Z164" s="108" t="str">
        <f t="array" ref="Z164">IF(ISNUMBER(AC164),INDEX('All Player Data Store'!$V$7:$V$594,SMALL(IF('All Player Data Store'!$Y$7:$Y$594=AC164,ROW('All Player Data Store'!$Y$7:$Y$594)-ROW('All Player Data Store'!$Y$7)+1),COUNTIF($AC$8:AC164,AC164))),"")</f>
        <v/>
      </c>
      <c r="AA164" s="112" t="str">
        <f t="array" ref="AA164">IF(ISNUMBER(AC164),INDEX('All Player Data Store'!$W$7:$W$594,SMALL(IF('All Player Data Store'!$Y$7:$Y$594=AC164,ROW('All Player Data Store'!$Y$7:$Y$594)-ROW('All Player Data Store'!$Y$7)+1),COUNTIF($AC$8:AC164,AC164))),"")</f>
        <v/>
      </c>
      <c r="AB164" s="108">
        <f t="array" ref="AB164">IF(ISNUMBER(AC164),INDEX('All Player Data Store'!$X$7:$X$594,SMALL(IF('All Player Data Store'!$Y$7:$Y$594=AC164,ROW('All Player Data Store'!$Y$7:$Y$594)-ROW('All Player Data Store'!$Y$7)+1),COUNTIF($AC$8:AC164,AC164))),"")</f>
        <v>18.9375</v>
      </c>
      <c r="AC164" s="115">
        <f>IF(ISERROR(IF(ISERROR(LARGE('All Player Data Store'!$Y$7:$Y$594,157)),"",(LARGE('All Player Data Store'!$Y$7:$Y$594,157)))),"",(IF(ISERROR(LARGE('All Player Data Store'!$Y$7:$Y$594,157)),"",(LARGE('All Player Data Store'!$Y$7:$Y$594,157)))))</f>
        <v>18.9375</v>
      </c>
      <c r="AD164" s="106">
        <f t="shared" si="16"/>
        <v>3</v>
      </c>
      <c r="AE164" s="107" t="str">
        <f t="array" ref="AE164">IF(ISNUMBER(AC164),INDEX('All Player Data Store'!$J$8:$J$594,SMALL(IF('All Player Data Store'!$Y$7:$Y$594=AC164,ROW('All Player Data Store'!$Y$7:$Y$594)-ROW('All Player Data Store'!$Y$7)+1),COUNTIF($AC$8:AC164,AC164))),"")</f>
        <v/>
      </c>
      <c r="AF164" s="108" t="str">
        <f t="shared" si="3"/>
        <v/>
      </c>
      <c r="AG164" s="108" t="str">
        <f t="array" ref="AG164">IF(ISNUMBER(AC164),INDEX('All Player Data Store'!$K$8:$K$594,SMALL(IF('All Player Data Store'!$Y$7:$Y$594=AC164,ROW('All Player Data Store'!$Y$7:$Y$594)-ROW('All Player Data Store'!$Y$7)+1),COUNTIF($AC$8:AC164,AC164))),"")</f>
        <v>0*4</v>
      </c>
      <c r="AH164" s="108">
        <f t="shared" si="4"/>
        <v>18.25</v>
      </c>
      <c r="AI164" s="108" t="str">
        <f t="array" ref="AI164">IF(ISNUMBER(AC164),INDEX('All Player Data Store'!$L$8:$L$594,SMALL(IF('All Player Data Store'!$Y$7:$Y$594=AC164,ROW('All Player Data Store'!$Y$7:$Y$594)-ROW('All Player Data Store'!$Y$7)+1),COUNTIF($AC$8:AC164,AC164))),"")</f>
        <v>0*4</v>
      </c>
      <c r="AJ164" s="108">
        <f t="shared" si="5"/>
        <v>22.24</v>
      </c>
      <c r="AK164" s="108" t="str">
        <f t="array" ref="AK164">IF(ISNUMBER(AC164),INDEX('All Player Data Store'!$M$8:$M$594,SMALL(IF('All Player Data Store'!$Y$7:$Y$594=AC164,ROW('All Player Data Store'!$Y$7:$Y$594)-ROW('All Player Data Store'!$Y$7)+1),COUNTIF($AC$8:AC164,AC164))),"")</f>
        <v>1*4</v>
      </c>
      <c r="AL164" s="108">
        <f t="shared" si="6"/>
        <v>16.25</v>
      </c>
      <c r="AM164" s="108" t="str">
        <f t="array" ref="AM164">IF(ISNUMBER(AC164),INDEX('All Player Data Store'!$N$8:$N$594,SMALL(IF('All Player Data Store'!$Y$7:$Y$594=AC164,ROW('All Player Data Store'!$Y$7:$Y$594)-ROW('All Player Data Store'!$Y$7)+1),COUNTIF($AC$8:AC164,AC164))),"")</f>
        <v>0*4</v>
      </c>
      <c r="AN164" s="108">
        <f t="shared" si="7"/>
        <v>19.010000000000002</v>
      </c>
      <c r="AO164" s="108" t="str">
        <f t="array" ref="AO164">IF(ISNUMBER(AC164),INDEX('All Player Data Store'!$O$8:$O$594,SMALL(IF('All Player Data Store'!$Y$7:$Y$594=AC164,ROW('All Player Data Store'!$Y$7:$Y$594)-ROW('All Player Data Store'!$Y$7)+1),COUNTIF($AC$8:AC164,AC164))),"")</f>
        <v/>
      </c>
      <c r="AP164" s="108" t="str">
        <f t="shared" si="8"/>
        <v/>
      </c>
      <c r="AQ164" s="108" t="str">
        <f t="array" ref="AQ164">IF(ISNUMBER(AC164),INDEX('All Player Data Store'!$P$8:$P$594,SMALL(IF('All Player Data Store'!$Y$7:$Y$594=AC164,ROW('All Player Data Store'!$Y$7:$Y$594)-ROW('All Player Data Store'!$Y$7)+1),COUNTIF($AC$8:AC164,AC164))),"")</f>
        <v/>
      </c>
      <c r="AR164" s="108" t="str">
        <f t="shared" si="9"/>
        <v/>
      </c>
      <c r="AS164" s="108" t="str">
        <f t="array" ref="AS164">IF(ISNUMBER(AC164),INDEX('All Player Data Store'!$Q$8:$Q$594,SMALL(IF('All Player Data Store'!$Y$7:$Y$594=AC164,ROW('All Player Data Store'!$Y$7:$Y$594)-ROW('All Player Data Store'!$Y$7)+1),COUNTIF($AC$8:AC164,AC164))),"")</f>
        <v/>
      </c>
      <c r="AT164" s="108" t="str">
        <f t="shared" si="10"/>
        <v/>
      </c>
      <c r="AU164" s="108" t="str">
        <f t="array" ref="AU164">IF(ISNUMBER(AC164),INDEX('All Player Data Store'!$R$8:$R$594,SMALL(IF('All Player Data Store'!$Y$7:$Y$594=AC164,ROW('All Player Data Store'!$Y$7:$Y$594)-ROW('All Player Data Store'!$Y$7)+1),COUNTIF($AC$8:AC164,AC164))),"")</f>
        <v/>
      </c>
      <c r="AV164" s="108" t="str">
        <f t="shared" si="11"/>
        <v/>
      </c>
      <c r="AW164" s="108" t="str">
        <f t="array" ref="AW164">IF(ISNUMBER(AC164),INDEX('All Player Data Store'!$S$8:$S$594,SMALL(IF('All Player Data Store'!$Y$7:$Y$594=AC164,ROW('All Player Data Store'!$Y$7:$Y$594)-ROW('All Player Data Store'!$Y$7)+1),COUNTIF($AC$8:AC164,AC164))),"")</f>
        <v/>
      </c>
      <c r="AX164" s="108" t="str">
        <f t="shared" si="12"/>
        <v/>
      </c>
      <c r="AY164" s="108" t="str">
        <f t="array" ref="AY164">IF(ISNUMBER(AC164),INDEX('All Player Data Store'!$T$8:$T$594,SMALL(IF('All Player Data Store'!$Y$7:$Y$594=AC164,ROW('All Player Data Store'!$Y$7:$Y$594)-ROW('All Player Data Store'!$Y$7)+1),COUNTIF($AC$8:AC164,AC164))),"")</f>
        <v/>
      </c>
      <c r="AZ164" s="108" t="str">
        <f t="shared" si="13"/>
        <v/>
      </c>
      <c r="BA164" s="108" t="str">
        <f t="array" ref="BA164">IF(ISNUMBER(AC164),INDEX('All Player Data Store'!$U$8:$U$594,SMALL(IF('All Player Data Store'!$Y$7:$Y$594=AC164,ROW('All Player Data Store'!$Y$7:$Y$594)-ROW('All Player Data Store'!$Y$7)+1),COUNTIF($AC$8:AC164,AC164))),"")</f>
        <v/>
      </c>
      <c r="BB164" s="108" t="str">
        <f t="shared" si="14"/>
        <v/>
      </c>
      <c r="BC164" s="108" t="str">
        <f t="array" ref="BC164">IF(ISNUMBER(AC164),INDEX('All Player Data Store'!$V$8:$V$594,SMALL(IF('All Player Data Store'!$Y$7:$Y$594=AC164,ROW('All Player Data Store'!$Y$7:$Y$594)-ROW('All Player Data Store'!$Y$7)+1),COUNTIF($AC$8:AC164,AC164))),"")</f>
        <v/>
      </c>
      <c r="BD164" s="108" t="str">
        <f t="shared" si="15"/>
        <v/>
      </c>
      <c r="BE164" s="1"/>
    </row>
    <row r="165" spans="2:57" ht="12" customHeight="1" x14ac:dyDescent="0.2">
      <c r="B165" s="98" t="str">
        <f t="shared" si="0"/>
        <v>N</v>
      </c>
      <c r="C165" s="1"/>
      <c r="D165" s="68">
        <f t="shared" si="1"/>
        <v>158</v>
      </c>
      <c r="E165" s="2"/>
      <c r="F165" s="78">
        <v>158</v>
      </c>
      <c r="G165" s="110" t="str">
        <f t="array" ref="G165">IF(ISNUMBER(AC165),INDEX('All Player Data Store'!$C$7:$C$594,SMALL(IF('All Player Data Store'!$Y$7:$Y$594=AC165,ROW('All Player Data Store'!$Y$7:$Y$594)-ROW('All Player Data Store'!$Y$7)+1),COUNTIF($AC$8:AC165,AC165))),"")</f>
        <v>Dan Baggs</v>
      </c>
      <c r="H165" s="111" t="str">
        <f t="array" ref="H165">IF(ISNUMBER(AC165),INDEX('All Player Data Store'!$D$7:$D$594,SMALL(IF('All Player Data Store'!$Y$7:$Y$594=AC165,ROW('All Player Data Store'!$Y$7:$Y$594)-ROW('All Player Data Store'!$Y$7)+1),COUNTIF($AC$8:AC165,AC165))),"")</f>
        <v>Bri</v>
      </c>
      <c r="I165" s="69">
        <f t="array" ref="I165">IF(ISNUMBER(AC165),INDEX('All Player Data Store'!$E$7:$E$594,SMALL(IF('All Player Data Store'!$Y$7:$Y$594=AC165,ROW('All Player Data Store'!$Y$7:$Y$594)-ROW('All Player Data Store'!$Y$7)+1),COUNTIF($AC$8:AC165,AC165))),"")</f>
        <v>5</v>
      </c>
      <c r="J165" s="70">
        <f t="array" ref="J165">IF(ISNUMBER(AC165),INDEX('All Player Data Store'!$F$7:$F$594,SMALL(IF('All Player Data Store'!$Y$7:$Y$594=AC165,ROW('All Player Data Store'!$Y$7:$Y$594)-ROW('All Player Data Store'!$Y$7)+1),COUNTIF($AC$8:AC165,AC165))),"")</f>
        <v>1</v>
      </c>
      <c r="K165" s="112">
        <f t="array" ref="K165">IF(ISNUMBER(AC165),INDEX('All Player Data Store'!$G$7:$G$594,SMALL(IF('All Player Data Store'!$Y$7:$Y$594=AC165,ROW('All Player Data Store'!$Y$7:$Y$594)-ROW('All Player Data Store'!$Y$7)+1),COUNTIF($AC$8:AC165,AC165))),"")</f>
        <v>4</v>
      </c>
      <c r="L165" s="112">
        <f t="array" ref="L165">IF(ISNUMBER(AC165),INDEX('All Player Data Store'!$H$7:$H$594,SMALL(IF('All Player Data Store'!$Y$7:$Y$594=AC165,ROW('All Player Data Store'!$Y$7:$Y$594)-ROW('All Player Data Store'!$Y$7)+1),COUNTIF($AC$8:AC165,AC165))),"")</f>
        <v>10</v>
      </c>
      <c r="M165" s="113">
        <f t="array" ref="M165">IF(ISNUMBER(AC165),INDEX('All Player Data Store'!$I$7:$I$594,SMALL(IF('All Player Data Store'!$Y$7:$Y$594=AC165,ROW('All Player Data Store'!$Y$7:$Y$594)-ROW('All Player Data Store'!$Y$7)+1),COUNTIF($AC$8:AC165,AC165))),"")</f>
        <v>16</v>
      </c>
      <c r="N165" s="114" t="str">
        <f t="array" ref="N165">IF(ISNUMBER(AC165),INDEX('All Player Data Store'!$J$7:$J$594,SMALL(IF('All Player Data Store'!$Y$7:$Y$594=AC165,ROW('All Player Data Store'!$Y$7:$Y$594)-ROW('All Player Data Store'!$Y$7)+1),COUNTIF($AC$8:AC165,AC165))),"")</f>
        <v/>
      </c>
      <c r="O165" s="108" t="str">
        <f t="array" ref="O165">IF(ISNUMBER(AC165),INDEX('All Player Data Store'!$K$7:$K$594,SMALL(IF('All Player Data Store'!$Y$7:$Y$594=AC165,ROW('All Player Data Store'!$Y$7:$Y$594)-ROW('All Player Data Store'!$Y$7)+1),COUNTIF($AC$8:AC165,AC165))),"")</f>
        <v/>
      </c>
      <c r="P165" s="108" t="str">
        <f t="array" ref="P165">IF(ISNUMBER(AC165),INDEX('All Player Data Store'!$L$7:$L$594,SMALL(IF('All Player Data Store'!$Y$7:$Y$594=AC165,ROW('All Player Data Store'!$Y$7:$Y$594)-ROW('All Player Data Store'!$Y$7)+1),COUNTIF($AC$8:AC165,AC165))),"")</f>
        <v/>
      </c>
      <c r="Q165" s="108" t="str">
        <f t="array" ref="Q165">IF(ISNUMBER(AC165),INDEX('All Player Data Store'!$M$7:$M$594,SMALL(IF('All Player Data Store'!$Y$7:$Y$594=AC165,ROW('All Player Data Store'!$Y$7:$Y$594)-ROW('All Player Data Store'!$Y$7)+1),COUNTIF($AC$8:AC165,AC165))),"")</f>
        <v/>
      </c>
      <c r="R165" s="108" t="str">
        <f t="array" ref="R165">IF(ISNUMBER(AC165),INDEX('All Player Data Store'!$N$7:$N$594,SMALL(IF('All Player Data Store'!$Y$7:$Y$594=AC165,ROW('All Player Data Store'!$Y$7:$Y$594)-ROW('All Player Data Store'!$Y$7)+1),COUNTIF($AC$8:AC165,AC165))),"")</f>
        <v/>
      </c>
      <c r="S165" s="108" t="str">
        <f t="array" ref="S165">IF(ISNUMBER(AC165),INDEX('All Player Data Store'!$O$7:$O$594,SMALL(IF('All Player Data Store'!$Y$7:$Y$594=AC165,ROW('All Player Data Store'!$Y$7:$Y$594)-ROW('All Player Data Store'!$Y$7)+1),COUNTIF($AC$8:AC165,AC165))),"")</f>
        <v/>
      </c>
      <c r="T165" s="108">
        <f t="array" ref="T165">IF(ISNUMBER(AC165),INDEX('All Player Data Store'!$P$7:$P$594,SMALL(IF('All Player Data Store'!$Y$7:$Y$594=AC165,ROW('All Player Data Store'!$Y$7:$Y$594)-ROW('All Player Data Store'!$Y$7)+1),COUNTIF($AC$8:AC165,AC165))),"")</f>
        <v>17.89</v>
      </c>
      <c r="U165" s="108">
        <f t="array" ref="U165">IF(ISNUMBER(AC165),INDEX('All Player Data Store'!$Q$7:$Q$594,SMALL(IF('All Player Data Store'!$Y$7:$Y$594=AC165,ROW('All Player Data Store'!$Y$7:$Y$594)-ROW('All Player Data Store'!$Y$7)+1),COUNTIF($AC$8:AC165,AC165))),"")</f>
        <v>18.09</v>
      </c>
      <c r="V165" s="108">
        <f t="array" ref="V165">IF(ISNUMBER(AC165),INDEX('All Player Data Store'!$R$7:$R$594,SMALL(IF('All Player Data Store'!$Y$7:$Y$594=AC165,ROW('All Player Data Store'!$Y$7:$Y$594)-ROW('All Player Data Store'!$Y$7)+1),COUNTIF($AC$8:AC165,AC165))),"")</f>
        <v>19.850000000000001</v>
      </c>
      <c r="W165" s="108">
        <f t="array" ref="W165">IF(ISNUMBER(AC165),INDEX('All Player Data Store'!$S$7:$S$594,SMALL(IF('All Player Data Store'!$Y$7:$Y$594=AC165,ROW('All Player Data Store'!$Y$7:$Y$594)-ROW('All Player Data Store'!$Y$7)+1),COUNTIF($AC$8:AC165,AC165))),"")</f>
        <v>16.57</v>
      </c>
      <c r="X165" s="108" t="str">
        <f t="array" ref="X165">IF(ISNUMBER(AC165),INDEX('All Player Data Store'!$T$7:$T$594,SMALL(IF('All Player Data Store'!$Y$7:$Y$594=AC165,ROW('All Player Data Store'!$Y$7:$Y$594)-ROW('All Player Data Store'!$Y$7)+1),COUNTIF($AC$8:AC165,AC165))),"")</f>
        <v/>
      </c>
      <c r="Y165" s="108">
        <f t="array" ref="Y165">IF(ISNUMBER(AC165),INDEX('All Player Data Store'!$U$7:$U$594,SMALL(IF('All Player Data Store'!$Y$7:$Y$594=AC165,ROW('All Player Data Store'!$Y$7:$Y$594)-ROW('All Player Data Store'!$Y$7)+1),COUNTIF($AC$8:AC165,AC165))),"")</f>
        <v>17.010000000000002</v>
      </c>
      <c r="Z165" s="108" t="str">
        <f t="array" ref="Z165">IF(ISNUMBER(AC165),INDEX('All Player Data Store'!$V$7:$V$594,SMALL(IF('All Player Data Store'!$Y$7:$Y$594=AC165,ROW('All Player Data Store'!$Y$7:$Y$594)-ROW('All Player Data Store'!$Y$7)+1),COUNTIF($AC$8:AC165,AC165))),"")</f>
        <v/>
      </c>
      <c r="AA165" s="112" t="str">
        <f t="array" ref="AA165">IF(ISNUMBER(AC165),INDEX('All Player Data Store'!$W$7:$W$594,SMALL(IF('All Player Data Store'!$Y$7:$Y$594=AC165,ROW('All Player Data Store'!$Y$7:$Y$594)-ROW('All Player Data Store'!$Y$7)+1),COUNTIF($AC$8:AC165,AC165))),"")</f>
        <v/>
      </c>
      <c r="AB165" s="108">
        <f t="array" ref="AB165">IF(ISNUMBER(AC165),INDEX('All Player Data Store'!$X$7:$X$594,SMALL(IF('All Player Data Store'!$Y$7:$Y$594=AC165,ROW('All Player Data Store'!$Y$7:$Y$594)-ROW('All Player Data Store'!$Y$7)+1),COUNTIF($AC$8:AC165,AC165))),"")</f>
        <v>17.882000000000001</v>
      </c>
      <c r="AC165" s="115">
        <f>IF(ISERROR(IF(ISERROR(LARGE('All Player Data Store'!$Y$7:$Y$594,158)),"",(LARGE('All Player Data Store'!$Y$7:$Y$594,158)))),"",(IF(ISERROR(LARGE('All Player Data Store'!$Y$7:$Y$594,158)),"",(LARGE('All Player Data Store'!$Y$7:$Y$594,158)))))</f>
        <v>18.882000000000001</v>
      </c>
      <c r="AD165" s="106">
        <f t="shared" si="16"/>
        <v>3</v>
      </c>
      <c r="AE165" s="107" t="str">
        <f t="array" ref="AE165">IF(ISNUMBER(AC165),INDEX('All Player Data Store'!$J$8:$J$594,SMALL(IF('All Player Data Store'!$Y$7:$Y$594=AC165,ROW('All Player Data Store'!$Y$7:$Y$594)-ROW('All Player Data Store'!$Y$7)+1),COUNTIF($AC$8:AC165,AC165))),"")</f>
        <v/>
      </c>
      <c r="AF165" s="108" t="str">
        <f t="shared" si="3"/>
        <v/>
      </c>
      <c r="AG165" s="108" t="str">
        <f t="array" ref="AG165">IF(ISNUMBER(AC165),INDEX('All Player Data Store'!$K$8:$K$594,SMALL(IF('All Player Data Store'!$Y$7:$Y$594=AC165,ROW('All Player Data Store'!$Y$7:$Y$594)-ROW('All Player Data Store'!$Y$7)+1),COUNTIF($AC$8:AC165,AC165))),"")</f>
        <v/>
      </c>
      <c r="AH165" s="108" t="str">
        <f t="shared" si="4"/>
        <v/>
      </c>
      <c r="AI165" s="108" t="str">
        <f t="array" ref="AI165">IF(ISNUMBER(AC165),INDEX('All Player Data Store'!$L$8:$L$594,SMALL(IF('All Player Data Store'!$Y$7:$Y$594=AC165,ROW('All Player Data Store'!$Y$7:$Y$594)-ROW('All Player Data Store'!$Y$7)+1),COUNTIF($AC$8:AC165,AC165))),"")</f>
        <v/>
      </c>
      <c r="AJ165" s="108" t="str">
        <f t="shared" si="5"/>
        <v/>
      </c>
      <c r="AK165" s="108" t="str">
        <f t="array" ref="AK165">IF(ISNUMBER(AC165),INDEX('All Player Data Store'!$M$8:$M$594,SMALL(IF('All Player Data Store'!$Y$7:$Y$594=AC165,ROW('All Player Data Store'!$Y$7:$Y$594)-ROW('All Player Data Store'!$Y$7)+1),COUNTIF($AC$8:AC165,AC165))),"")</f>
        <v/>
      </c>
      <c r="AL165" s="108" t="str">
        <f t="shared" si="6"/>
        <v/>
      </c>
      <c r="AM165" s="108" t="str">
        <f t="array" ref="AM165">IF(ISNUMBER(AC165),INDEX('All Player Data Store'!$N$8:$N$594,SMALL(IF('All Player Data Store'!$Y$7:$Y$594=AC165,ROW('All Player Data Store'!$Y$7:$Y$594)-ROW('All Player Data Store'!$Y$7)+1),COUNTIF($AC$8:AC165,AC165))),"")</f>
        <v/>
      </c>
      <c r="AN165" s="108" t="str">
        <f t="shared" si="7"/>
        <v/>
      </c>
      <c r="AO165" s="108" t="str">
        <f t="array" ref="AO165">IF(ISNUMBER(AC165),INDEX('All Player Data Store'!$O$8:$O$594,SMALL(IF('All Player Data Store'!$Y$7:$Y$594=AC165,ROW('All Player Data Store'!$Y$7:$Y$594)-ROW('All Player Data Store'!$Y$7)+1),COUNTIF($AC$8:AC165,AC165))),"")</f>
        <v/>
      </c>
      <c r="AP165" s="108" t="str">
        <f t="shared" si="8"/>
        <v/>
      </c>
      <c r="AQ165" s="108" t="str">
        <f t="array" ref="AQ165">IF(ISNUMBER(AC165),INDEX('All Player Data Store'!$P$8:$P$594,SMALL(IF('All Player Data Store'!$Y$7:$Y$594=AC165,ROW('All Player Data Store'!$Y$7:$Y$594)-ROW('All Player Data Store'!$Y$7)+1),COUNTIF($AC$8:AC165,AC165))),"")</f>
        <v>4*0</v>
      </c>
      <c r="AR165" s="108">
        <f t="shared" si="9"/>
        <v>18.89</v>
      </c>
      <c r="AS165" s="108" t="str">
        <f t="array" ref="AS165">IF(ISNUMBER(AC165),INDEX('All Player Data Store'!$Q$8:$Q$594,SMALL(IF('All Player Data Store'!$Y$7:$Y$594=AC165,ROW('All Player Data Store'!$Y$7:$Y$594)-ROW('All Player Data Store'!$Y$7)+1),COUNTIF($AC$8:AC165,AC165))),"")</f>
        <v>1*4</v>
      </c>
      <c r="AT165" s="108">
        <f t="shared" si="10"/>
        <v>18.09</v>
      </c>
      <c r="AU165" s="108" t="str">
        <f t="array" ref="AU165">IF(ISNUMBER(AC165),INDEX('All Player Data Store'!$R$8:$R$594,SMALL(IF('All Player Data Store'!$Y$7:$Y$594=AC165,ROW('All Player Data Store'!$Y$7:$Y$594)-ROW('All Player Data Store'!$Y$7)+1),COUNTIF($AC$8:AC165,AC165))),"")</f>
        <v>2*4</v>
      </c>
      <c r="AV165" s="108">
        <f t="shared" si="11"/>
        <v>19.850000000000001</v>
      </c>
      <c r="AW165" s="108" t="str">
        <f t="array" ref="AW165">IF(ISNUMBER(AC165),INDEX('All Player Data Store'!$S$8:$S$594,SMALL(IF('All Player Data Store'!$Y$7:$Y$594=AC165,ROW('All Player Data Store'!$Y$7:$Y$594)-ROW('All Player Data Store'!$Y$7)+1),COUNTIF($AC$8:AC165,AC165))),"")</f>
        <v>0*4</v>
      </c>
      <c r="AX165" s="108">
        <f t="shared" si="12"/>
        <v>16.57</v>
      </c>
      <c r="AY165" s="108" t="str">
        <f t="array" ref="AY165">IF(ISNUMBER(AC165),INDEX('All Player Data Store'!$T$8:$T$594,SMALL(IF('All Player Data Store'!$Y$7:$Y$594=AC165,ROW('All Player Data Store'!$Y$7:$Y$594)-ROW('All Player Data Store'!$Y$7)+1),COUNTIF($AC$8:AC165,AC165))),"")</f>
        <v/>
      </c>
      <c r="AZ165" s="108" t="str">
        <f t="shared" si="13"/>
        <v/>
      </c>
      <c r="BA165" s="108" t="str">
        <f t="array" ref="BA165">IF(ISNUMBER(AC165),INDEX('All Player Data Store'!$U$8:$U$594,SMALL(IF('All Player Data Store'!$Y$7:$Y$594=AC165,ROW('All Player Data Store'!$Y$7:$Y$594)-ROW('All Player Data Store'!$Y$7)+1),COUNTIF($AC$8:AC165,AC165))),"")</f>
        <v>3*4</v>
      </c>
      <c r="BB165" s="108">
        <f t="shared" si="14"/>
        <v>17.010000000000002</v>
      </c>
      <c r="BC165" s="108" t="str">
        <f t="array" ref="BC165">IF(ISNUMBER(AC165),INDEX('All Player Data Store'!$V$8:$V$594,SMALL(IF('All Player Data Store'!$Y$7:$Y$594=AC165,ROW('All Player Data Store'!$Y$7:$Y$594)-ROW('All Player Data Store'!$Y$7)+1),COUNTIF($AC$8:AC165,AC165))),"")</f>
        <v/>
      </c>
      <c r="BD165" s="108" t="str">
        <f t="shared" si="15"/>
        <v/>
      </c>
      <c r="BE165" s="1"/>
    </row>
    <row r="166" spans="2:57" ht="12" customHeight="1" x14ac:dyDescent="0.2">
      <c r="B166" s="98" t="str">
        <f t="shared" si="0"/>
        <v>N</v>
      </c>
      <c r="C166" s="1"/>
      <c r="D166" s="68">
        <f t="shared" si="1"/>
        <v>159</v>
      </c>
      <c r="E166" s="2"/>
      <c r="F166" s="78">
        <v>159</v>
      </c>
      <c r="G166" s="110" t="str">
        <f t="array" ref="G166">IF(ISNUMBER(AC166),INDEX('All Player Data Store'!$C$7:$C$594,SMALL(IF('All Player Data Store'!$Y$7:$Y$594=AC166,ROW('All Player Data Store'!$Y$7:$Y$594)-ROW('All Player Data Store'!$Y$7)+1),COUNTIF($AC$8:AC166,AC166))),"")</f>
        <v>Dave Millis</v>
      </c>
      <c r="H166" s="111" t="str">
        <f t="array" ref="H166">IF(ISNUMBER(AC166),INDEX('All Player Data Store'!$D$7:$D$594,SMALL(IF('All Player Data Store'!$Y$7:$Y$594=AC166,ROW('All Player Data Store'!$Y$7:$Y$594)-ROW('All Player Data Store'!$Y$7)+1),COUNTIF($AC$8:AC166,AC166))),"")</f>
        <v>Bos</v>
      </c>
      <c r="I166" s="69">
        <f t="array" ref="I166">IF(ISNUMBER(AC166),INDEX('All Player Data Store'!$E$7:$E$594,SMALL(IF('All Player Data Store'!$Y$7:$Y$594=AC166,ROW('All Player Data Store'!$Y$7:$Y$594)-ROW('All Player Data Store'!$Y$7)+1),COUNTIF($AC$8:AC166,AC166))),"")</f>
        <v>3</v>
      </c>
      <c r="J166" s="70">
        <f t="array" ref="J166">IF(ISNUMBER(AC166),INDEX('All Player Data Store'!$F$7:$F$594,SMALL(IF('All Player Data Store'!$Y$7:$Y$594=AC166,ROW('All Player Data Store'!$Y$7:$Y$594)-ROW('All Player Data Store'!$Y$7)+1),COUNTIF($AC$8:AC166,AC166))),"")</f>
        <v>1</v>
      </c>
      <c r="K166" s="112">
        <f t="array" ref="K166">IF(ISNUMBER(AC166),INDEX('All Player Data Store'!$G$7:$G$594,SMALL(IF('All Player Data Store'!$Y$7:$Y$594=AC166,ROW('All Player Data Store'!$Y$7:$Y$594)-ROW('All Player Data Store'!$Y$7)+1),COUNTIF($AC$8:AC166,AC166))),"")</f>
        <v>2</v>
      </c>
      <c r="L166" s="112">
        <f t="array" ref="L166">IF(ISNUMBER(AC166),INDEX('All Player Data Store'!$H$7:$H$594,SMALL(IF('All Player Data Store'!$Y$7:$Y$594=AC166,ROW('All Player Data Store'!$Y$7:$Y$594)-ROW('All Player Data Store'!$Y$7)+1),COUNTIF($AC$8:AC166,AC166))),"")</f>
        <v>4</v>
      </c>
      <c r="M166" s="113">
        <f t="array" ref="M166">IF(ISNUMBER(AC166),INDEX('All Player Data Store'!$I$7:$I$594,SMALL(IF('All Player Data Store'!$Y$7:$Y$594=AC166,ROW('All Player Data Store'!$Y$7:$Y$594)-ROW('All Player Data Store'!$Y$7)+1),COUNTIF($AC$8:AC166,AC166))),"")</f>
        <v>8</v>
      </c>
      <c r="N166" s="114">
        <f t="array" ref="N166">IF(ISNUMBER(AC166),INDEX('All Player Data Store'!$J$7:$J$594,SMALL(IF('All Player Data Store'!$Y$7:$Y$594=AC166,ROW('All Player Data Store'!$Y$7:$Y$594)-ROW('All Player Data Store'!$Y$7)+1),COUNTIF($AC$8:AC166,AC166))),"")</f>
        <v>20</v>
      </c>
      <c r="O166" s="108">
        <f t="array" ref="O166">IF(ISNUMBER(AC166),INDEX('All Player Data Store'!$K$7:$K$594,SMALL(IF('All Player Data Store'!$Y$7:$Y$594=AC166,ROW('All Player Data Store'!$Y$7:$Y$594)-ROW('All Player Data Store'!$Y$7)+1),COUNTIF($AC$8:AC166,AC166))),"")</f>
        <v>18.39</v>
      </c>
      <c r="P166" s="108">
        <f t="array" ref="P166">IF(ISNUMBER(AC166),INDEX('All Player Data Store'!$L$7:$L$594,SMALL(IF('All Player Data Store'!$Y$7:$Y$594=AC166,ROW('All Player Data Store'!$Y$7:$Y$594)-ROW('All Player Data Store'!$Y$7)+1),COUNTIF($AC$8:AC166,AC166))),"")</f>
        <v>15.17</v>
      </c>
      <c r="Q166" s="108" t="str">
        <f t="array" ref="Q166">IF(ISNUMBER(AC166),INDEX('All Player Data Store'!$M$7:$M$594,SMALL(IF('All Player Data Store'!$Y$7:$Y$594=AC166,ROW('All Player Data Store'!$Y$7:$Y$594)-ROW('All Player Data Store'!$Y$7)+1),COUNTIF($AC$8:AC166,AC166))),"")</f>
        <v/>
      </c>
      <c r="R166" s="108" t="str">
        <f t="array" ref="R166">IF(ISNUMBER(AC166),INDEX('All Player Data Store'!$N$7:$N$594,SMALL(IF('All Player Data Store'!$Y$7:$Y$594=AC166,ROW('All Player Data Store'!$Y$7:$Y$594)-ROW('All Player Data Store'!$Y$7)+1),COUNTIF($AC$8:AC166,AC166))),"")</f>
        <v/>
      </c>
      <c r="S166" s="108" t="str">
        <f t="array" ref="S166">IF(ISNUMBER(AC166),INDEX('All Player Data Store'!$O$7:$O$594,SMALL(IF('All Player Data Store'!$Y$7:$Y$594=AC166,ROW('All Player Data Store'!$Y$7:$Y$594)-ROW('All Player Data Store'!$Y$7)+1),COUNTIF($AC$8:AC166,AC166))),"")</f>
        <v/>
      </c>
      <c r="T166" s="108" t="str">
        <f t="array" ref="T166">IF(ISNUMBER(AC166),INDEX('All Player Data Store'!$P$7:$P$594,SMALL(IF('All Player Data Store'!$Y$7:$Y$594=AC166,ROW('All Player Data Store'!$Y$7:$Y$594)-ROW('All Player Data Store'!$Y$7)+1),COUNTIF($AC$8:AC166,AC166))),"")</f>
        <v/>
      </c>
      <c r="U166" s="108" t="str">
        <f t="array" ref="U166">IF(ISNUMBER(AC166),INDEX('All Player Data Store'!$Q$7:$Q$594,SMALL(IF('All Player Data Store'!$Y$7:$Y$594=AC166,ROW('All Player Data Store'!$Y$7:$Y$594)-ROW('All Player Data Store'!$Y$7)+1),COUNTIF($AC$8:AC166,AC166))),"")</f>
        <v/>
      </c>
      <c r="V166" s="108" t="str">
        <f t="array" ref="V166">IF(ISNUMBER(AC166),INDEX('All Player Data Store'!$R$7:$R$594,SMALL(IF('All Player Data Store'!$Y$7:$Y$594=AC166,ROW('All Player Data Store'!$Y$7:$Y$594)-ROW('All Player Data Store'!$Y$7)+1),COUNTIF($AC$8:AC166,AC166))),"")</f>
        <v/>
      </c>
      <c r="W166" s="108" t="str">
        <f t="array" ref="W166">IF(ISNUMBER(AC166),INDEX('All Player Data Store'!$S$7:$S$594,SMALL(IF('All Player Data Store'!$Y$7:$Y$594=AC166,ROW('All Player Data Store'!$Y$7:$Y$594)-ROW('All Player Data Store'!$Y$7)+1),COUNTIF($AC$8:AC166,AC166))),"")</f>
        <v/>
      </c>
      <c r="X166" s="108" t="str">
        <f t="array" ref="X166">IF(ISNUMBER(AC166),INDEX('All Player Data Store'!$T$7:$T$594,SMALL(IF('All Player Data Store'!$Y$7:$Y$594=AC166,ROW('All Player Data Store'!$Y$7:$Y$594)-ROW('All Player Data Store'!$Y$7)+1),COUNTIF($AC$8:AC166,AC166))),"")</f>
        <v/>
      </c>
      <c r="Y166" s="108" t="str">
        <f t="array" ref="Y166">IF(ISNUMBER(AC166),INDEX('All Player Data Store'!$U$7:$U$594,SMALL(IF('All Player Data Store'!$Y$7:$Y$594=AC166,ROW('All Player Data Store'!$Y$7:$Y$594)-ROW('All Player Data Store'!$Y$7)+1),COUNTIF($AC$8:AC166,AC166))),"")</f>
        <v/>
      </c>
      <c r="Z166" s="108" t="str">
        <f t="array" ref="Z166">IF(ISNUMBER(AC166),INDEX('All Player Data Store'!$V$7:$V$594,SMALL(IF('All Player Data Store'!$Y$7:$Y$594=AC166,ROW('All Player Data Store'!$Y$7:$Y$594)-ROW('All Player Data Store'!$Y$7)+1),COUNTIF($AC$8:AC166,AC166))),"")</f>
        <v/>
      </c>
      <c r="AA166" s="112" t="str">
        <f t="array" ref="AA166">IF(ISNUMBER(AC166),INDEX('All Player Data Store'!$W$7:$W$594,SMALL(IF('All Player Data Store'!$Y$7:$Y$594=AC166,ROW('All Player Data Store'!$Y$7:$Y$594)-ROW('All Player Data Store'!$Y$7)+1),COUNTIF($AC$8:AC166,AC166))),"")</f>
        <v/>
      </c>
      <c r="AB166" s="108">
        <f t="array" ref="AB166">IF(ISNUMBER(AC166),INDEX('All Player Data Store'!$X$7:$X$594,SMALL(IF('All Player Data Store'!$Y$7:$Y$594=AC166,ROW('All Player Data Store'!$Y$7:$Y$594)-ROW('All Player Data Store'!$Y$7)+1),COUNTIF($AC$8:AC166,AC166))),"")</f>
        <v>17.853333333333335</v>
      </c>
      <c r="AC166" s="115">
        <f>IF(ISERROR(IF(ISERROR(LARGE('All Player Data Store'!$Y$7:$Y$594,159)),"",(LARGE('All Player Data Store'!$Y$7:$Y$594,159)))),"",(IF(ISERROR(LARGE('All Player Data Store'!$Y$7:$Y$594,159)),"",(LARGE('All Player Data Store'!$Y$7:$Y$594,159)))))</f>
        <v>18.853333333333335</v>
      </c>
      <c r="AD166" s="106">
        <f t="shared" si="16"/>
        <v>3</v>
      </c>
      <c r="AE166" s="107" t="str">
        <f t="array" ref="AE166">IF(ISNUMBER(AC166),INDEX('All Player Data Store'!$J$8:$J$594,SMALL(IF('All Player Data Store'!$Y$7:$Y$594=AC166,ROW('All Player Data Store'!$Y$7:$Y$594)-ROW('All Player Data Store'!$Y$7)+1),COUNTIF($AC$8:AC166,AC166))),"")</f>
        <v>0*4</v>
      </c>
      <c r="AF166" s="108">
        <f t="shared" si="3"/>
        <v>20</v>
      </c>
      <c r="AG166" s="108" t="str">
        <f t="array" ref="AG166">IF(ISNUMBER(AC166),INDEX('All Player Data Store'!$K$8:$K$594,SMALL(IF('All Player Data Store'!$Y$7:$Y$594=AC166,ROW('All Player Data Store'!$Y$7:$Y$594)-ROW('All Player Data Store'!$Y$7)+1),COUNTIF($AC$8:AC166,AC166))),"")</f>
        <v>4*0</v>
      </c>
      <c r="AH166" s="108">
        <f t="shared" si="4"/>
        <v>19.39</v>
      </c>
      <c r="AI166" s="108" t="str">
        <f t="array" ref="AI166">IF(ISNUMBER(AC166),INDEX('All Player Data Store'!$L$8:$L$594,SMALL(IF('All Player Data Store'!$Y$7:$Y$594=AC166,ROW('All Player Data Store'!$Y$7:$Y$594)-ROW('All Player Data Store'!$Y$7)+1),COUNTIF($AC$8:AC166,AC166))),"")</f>
        <v>0*4</v>
      </c>
      <c r="AJ166" s="108">
        <f t="shared" si="5"/>
        <v>15.17</v>
      </c>
      <c r="AK166" s="108" t="str">
        <f t="array" ref="AK166">IF(ISNUMBER(AC166),INDEX('All Player Data Store'!$M$8:$M$594,SMALL(IF('All Player Data Store'!$Y$7:$Y$594=AC166,ROW('All Player Data Store'!$Y$7:$Y$594)-ROW('All Player Data Store'!$Y$7)+1),COUNTIF($AC$8:AC166,AC166))),"")</f>
        <v/>
      </c>
      <c r="AL166" s="108" t="str">
        <f t="shared" si="6"/>
        <v/>
      </c>
      <c r="AM166" s="108" t="str">
        <f t="array" ref="AM166">IF(ISNUMBER(AC166),INDEX('All Player Data Store'!$N$8:$N$594,SMALL(IF('All Player Data Store'!$Y$7:$Y$594=AC166,ROW('All Player Data Store'!$Y$7:$Y$594)-ROW('All Player Data Store'!$Y$7)+1),COUNTIF($AC$8:AC166,AC166))),"")</f>
        <v/>
      </c>
      <c r="AN166" s="108" t="str">
        <f t="shared" si="7"/>
        <v/>
      </c>
      <c r="AO166" s="108" t="str">
        <f t="array" ref="AO166">IF(ISNUMBER(AC166),INDEX('All Player Data Store'!$O$8:$O$594,SMALL(IF('All Player Data Store'!$Y$7:$Y$594=AC166,ROW('All Player Data Store'!$Y$7:$Y$594)-ROW('All Player Data Store'!$Y$7)+1),COUNTIF($AC$8:AC166,AC166))),"")</f>
        <v/>
      </c>
      <c r="AP166" s="108" t="str">
        <f t="shared" si="8"/>
        <v/>
      </c>
      <c r="AQ166" s="108" t="str">
        <f t="array" ref="AQ166">IF(ISNUMBER(AC166),INDEX('All Player Data Store'!$P$8:$P$594,SMALL(IF('All Player Data Store'!$Y$7:$Y$594=AC166,ROW('All Player Data Store'!$Y$7:$Y$594)-ROW('All Player Data Store'!$Y$7)+1),COUNTIF($AC$8:AC166,AC166))),"")</f>
        <v/>
      </c>
      <c r="AR166" s="108" t="str">
        <f t="shared" si="9"/>
        <v/>
      </c>
      <c r="AS166" s="108" t="str">
        <f t="array" ref="AS166">IF(ISNUMBER(AC166),INDEX('All Player Data Store'!$Q$8:$Q$594,SMALL(IF('All Player Data Store'!$Y$7:$Y$594=AC166,ROW('All Player Data Store'!$Y$7:$Y$594)-ROW('All Player Data Store'!$Y$7)+1),COUNTIF($AC$8:AC166,AC166))),"")</f>
        <v/>
      </c>
      <c r="AT166" s="108" t="str">
        <f t="shared" si="10"/>
        <v/>
      </c>
      <c r="AU166" s="108" t="str">
        <f t="array" ref="AU166">IF(ISNUMBER(AC166),INDEX('All Player Data Store'!$R$8:$R$594,SMALL(IF('All Player Data Store'!$Y$7:$Y$594=AC166,ROW('All Player Data Store'!$Y$7:$Y$594)-ROW('All Player Data Store'!$Y$7)+1),COUNTIF($AC$8:AC166,AC166))),"")</f>
        <v/>
      </c>
      <c r="AV166" s="108" t="str">
        <f t="shared" si="11"/>
        <v/>
      </c>
      <c r="AW166" s="108" t="str">
        <f t="array" ref="AW166">IF(ISNUMBER(AC166),INDEX('All Player Data Store'!$S$8:$S$594,SMALL(IF('All Player Data Store'!$Y$7:$Y$594=AC166,ROW('All Player Data Store'!$Y$7:$Y$594)-ROW('All Player Data Store'!$Y$7)+1),COUNTIF($AC$8:AC166,AC166))),"")</f>
        <v/>
      </c>
      <c r="AX166" s="108" t="str">
        <f t="shared" si="12"/>
        <v/>
      </c>
      <c r="AY166" s="108" t="str">
        <f t="array" ref="AY166">IF(ISNUMBER(AC166),INDEX('All Player Data Store'!$T$8:$T$594,SMALL(IF('All Player Data Store'!$Y$7:$Y$594=AC166,ROW('All Player Data Store'!$Y$7:$Y$594)-ROW('All Player Data Store'!$Y$7)+1),COUNTIF($AC$8:AC166,AC166))),"")</f>
        <v/>
      </c>
      <c r="AZ166" s="108" t="str">
        <f t="shared" si="13"/>
        <v/>
      </c>
      <c r="BA166" s="108" t="str">
        <f t="array" ref="BA166">IF(ISNUMBER(AC166),INDEX('All Player Data Store'!$U$8:$U$594,SMALL(IF('All Player Data Store'!$Y$7:$Y$594=AC166,ROW('All Player Data Store'!$Y$7:$Y$594)-ROW('All Player Data Store'!$Y$7)+1),COUNTIF($AC$8:AC166,AC166))),"")</f>
        <v/>
      </c>
      <c r="BB166" s="108" t="str">
        <f t="shared" si="14"/>
        <v/>
      </c>
      <c r="BC166" s="108" t="str">
        <f t="array" ref="BC166">IF(ISNUMBER(AC166),INDEX('All Player Data Store'!$V$8:$V$594,SMALL(IF('All Player Data Store'!$Y$7:$Y$594=AC166,ROW('All Player Data Store'!$Y$7:$Y$594)-ROW('All Player Data Store'!$Y$7)+1),COUNTIF($AC$8:AC166,AC166))),"")</f>
        <v/>
      </c>
      <c r="BD166" s="108" t="str">
        <f t="shared" si="15"/>
        <v/>
      </c>
      <c r="BE166" s="1"/>
    </row>
    <row r="167" spans="2:57" ht="12" customHeight="1" x14ac:dyDescent="0.2">
      <c r="B167" s="98" t="str">
        <f t="shared" si="0"/>
        <v>N</v>
      </c>
      <c r="C167" s="1"/>
      <c r="D167" s="68">
        <f t="shared" si="1"/>
        <v>160</v>
      </c>
      <c r="E167" s="2"/>
      <c r="F167" s="78">
        <v>160</v>
      </c>
      <c r="G167" s="110" t="str">
        <f t="array" ref="G167">IF(ISNUMBER(AC167),INDEX('All Player Data Store'!$C$7:$C$594,SMALL(IF('All Player Data Store'!$Y$7:$Y$594=AC167,ROW('All Player Data Store'!$Y$7:$Y$594)-ROW('All Player Data Store'!$Y$7)+1),COUNTIF($AC$8:AC167,AC167))),"")</f>
        <v>Richard Onions</v>
      </c>
      <c r="H167" s="111" t="str">
        <f t="array" ref="H167">IF(ISNUMBER(AC167),INDEX('All Player Data Store'!$D$7:$D$594,SMALL(IF('All Player Data Store'!$Y$7:$Y$594=AC167,ROW('All Player Data Store'!$Y$7:$Y$594)-ROW('All Player Data Store'!$Y$7)+1),COUNTIF($AC$8:AC167,AC167))),"")</f>
        <v>Swa</v>
      </c>
      <c r="I167" s="69">
        <f t="array" ref="I167">IF(ISNUMBER(AC167),INDEX('All Player Data Store'!$E$7:$E$594,SMALL(IF('All Player Data Store'!$Y$7:$Y$594=AC167,ROW('All Player Data Store'!$Y$7:$Y$594)-ROW('All Player Data Store'!$Y$7)+1),COUNTIF($AC$8:AC167,AC167))),"")</f>
        <v>7</v>
      </c>
      <c r="J167" s="70">
        <f t="array" ref="J167">IF(ISNUMBER(AC167),INDEX('All Player Data Store'!$F$7:$F$594,SMALL(IF('All Player Data Store'!$Y$7:$Y$594=AC167,ROW('All Player Data Store'!$Y$7:$Y$594)-ROW('All Player Data Store'!$Y$7)+1),COUNTIF($AC$8:AC167,AC167))),"")</f>
        <v>1</v>
      </c>
      <c r="K167" s="112">
        <f t="array" ref="K167">IF(ISNUMBER(AC167),INDEX('All Player Data Store'!$G$7:$G$594,SMALL(IF('All Player Data Store'!$Y$7:$Y$594=AC167,ROW('All Player Data Store'!$Y$7:$Y$594)-ROW('All Player Data Store'!$Y$7)+1),COUNTIF($AC$8:AC167,AC167))),"")</f>
        <v>6</v>
      </c>
      <c r="L167" s="112">
        <f t="array" ref="L167">IF(ISNUMBER(AC167),INDEX('All Player Data Store'!$H$7:$H$594,SMALL(IF('All Player Data Store'!$Y$7:$Y$594=AC167,ROW('All Player Data Store'!$Y$7:$Y$594)-ROW('All Player Data Store'!$Y$7)+1),COUNTIF($AC$8:AC167,AC167))),"")</f>
        <v>9</v>
      </c>
      <c r="M167" s="113">
        <f t="array" ref="M167">IF(ISNUMBER(AC167),INDEX('All Player Data Store'!$I$7:$I$594,SMALL(IF('All Player Data Store'!$Y$7:$Y$594=AC167,ROW('All Player Data Store'!$Y$7:$Y$594)-ROW('All Player Data Store'!$Y$7)+1),COUNTIF($AC$8:AC167,AC167))),"")</f>
        <v>27</v>
      </c>
      <c r="N167" s="114">
        <f t="array" ref="N167">IF(ISNUMBER(AC167),INDEX('All Player Data Store'!$J$7:$J$594,SMALL(IF('All Player Data Store'!$Y$7:$Y$594=AC167,ROW('All Player Data Store'!$Y$7:$Y$594)-ROW('All Player Data Store'!$Y$7)+1),COUNTIF($AC$8:AC167,AC167))),"")</f>
        <v>17.36</v>
      </c>
      <c r="O167" s="108">
        <f t="array" ref="O167">IF(ISNUMBER(AC167),INDEX('All Player Data Store'!$K$7:$K$594,SMALL(IF('All Player Data Store'!$Y$7:$Y$594=AC167,ROW('All Player Data Store'!$Y$7:$Y$594)-ROW('All Player Data Store'!$Y$7)+1),COUNTIF($AC$8:AC167,AC167))),"")</f>
        <v>17.39</v>
      </c>
      <c r="P167" s="108">
        <f t="array" ref="P167">IF(ISNUMBER(AC167),INDEX('All Player Data Store'!$L$7:$L$594,SMALL(IF('All Player Data Store'!$Y$7:$Y$594=AC167,ROW('All Player Data Store'!$Y$7:$Y$594)-ROW('All Player Data Store'!$Y$7)+1),COUNTIF($AC$8:AC167,AC167))),"")</f>
        <v>18.47</v>
      </c>
      <c r="Q167" s="108" t="str">
        <f t="array" ref="Q167">IF(ISNUMBER(AC167),INDEX('All Player Data Store'!$M$7:$M$594,SMALL(IF('All Player Data Store'!$Y$7:$Y$594=AC167,ROW('All Player Data Store'!$Y$7:$Y$594)-ROW('All Player Data Store'!$Y$7)+1),COUNTIF($AC$8:AC167,AC167))),"")</f>
        <v/>
      </c>
      <c r="R167" s="108" t="str">
        <f t="array" ref="R167">IF(ISNUMBER(AC167),INDEX('All Player Data Store'!$N$7:$N$594,SMALL(IF('All Player Data Store'!$Y$7:$Y$594=AC167,ROW('All Player Data Store'!$Y$7:$Y$594)-ROW('All Player Data Store'!$Y$7)+1),COUNTIF($AC$8:AC167,AC167))),"")</f>
        <v/>
      </c>
      <c r="S167" s="108">
        <f t="array" ref="S167">IF(ISNUMBER(AC167),INDEX('All Player Data Store'!$O$7:$O$594,SMALL(IF('All Player Data Store'!$Y$7:$Y$594=AC167,ROW('All Player Data Store'!$Y$7:$Y$594)-ROW('All Player Data Store'!$Y$7)+1),COUNTIF($AC$8:AC167,AC167))),"")</f>
        <v>16.21</v>
      </c>
      <c r="T167" s="108" t="str">
        <f t="array" ref="T167">IF(ISNUMBER(AC167),INDEX('All Player Data Store'!$P$7:$P$594,SMALL(IF('All Player Data Store'!$Y$7:$Y$594=AC167,ROW('All Player Data Store'!$Y$7:$Y$594)-ROW('All Player Data Store'!$Y$7)+1),COUNTIF($AC$8:AC167,AC167))),"")</f>
        <v/>
      </c>
      <c r="U167" s="108" t="str">
        <f t="array" ref="U167">IF(ISNUMBER(AC167),INDEX('All Player Data Store'!$Q$7:$Q$594,SMALL(IF('All Player Data Store'!$Y$7:$Y$594=AC167,ROW('All Player Data Store'!$Y$7:$Y$594)-ROW('All Player Data Store'!$Y$7)+1),COUNTIF($AC$8:AC167,AC167))),"")</f>
        <v/>
      </c>
      <c r="V167" s="108">
        <f t="array" ref="V167">IF(ISNUMBER(AC167),INDEX('All Player Data Store'!$R$7:$R$594,SMALL(IF('All Player Data Store'!$Y$7:$Y$594=AC167,ROW('All Player Data Store'!$Y$7:$Y$594)-ROW('All Player Data Store'!$Y$7)+1),COUNTIF($AC$8:AC167,AC167))),"")</f>
        <v>18.89</v>
      </c>
      <c r="W167" s="108">
        <f t="array" ref="W167">IF(ISNUMBER(AC167),INDEX('All Player Data Store'!$S$7:$S$594,SMALL(IF('All Player Data Store'!$Y$7:$Y$594=AC167,ROW('All Player Data Store'!$Y$7:$Y$594)-ROW('All Player Data Store'!$Y$7)+1),COUNTIF($AC$8:AC167,AC167))),"")</f>
        <v>19</v>
      </c>
      <c r="X167" s="108" t="str">
        <f t="array" ref="X167">IF(ISNUMBER(AC167),INDEX('All Player Data Store'!$T$7:$T$594,SMALL(IF('All Player Data Store'!$Y$7:$Y$594=AC167,ROW('All Player Data Store'!$Y$7:$Y$594)-ROW('All Player Data Store'!$Y$7)+1),COUNTIF($AC$8:AC167,AC167))),"")</f>
        <v/>
      </c>
      <c r="Y167" s="108" t="str">
        <f t="array" ref="Y167">IF(ISNUMBER(AC167),INDEX('All Player Data Store'!$U$7:$U$594,SMALL(IF('All Player Data Store'!$Y$7:$Y$594=AC167,ROW('All Player Data Store'!$Y$7:$Y$594)-ROW('All Player Data Store'!$Y$7)+1),COUNTIF($AC$8:AC167,AC167))),"")</f>
        <v/>
      </c>
      <c r="Z167" s="108">
        <f t="array" ref="Z167">IF(ISNUMBER(AC167),INDEX('All Player Data Store'!$V$7:$V$594,SMALL(IF('All Player Data Store'!$Y$7:$Y$594=AC167,ROW('All Player Data Store'!$Y$7:$Y$594)-ROW('All Player Data Store'!$Y$7)+1),COUNTIF($AC$8:AC167,AC167))),"")</f>
        <v>16.05</v>
      </c>
      <c r="AA167" s="112" t="str">
        <f t="array" ref="AA167">IF(ISNUMBER(AC167),INDEX('All Player Data Store'!$W$7:$W$594,SMALL(IF('All Player Data Store'!$Y$7:$Y$594=AC167,ROW('All Player Data Store'!$Y$7:$Y$594)-ROW('All Player Data Store'!$Y$7)+1),COUNTIF($AC$8:AC167,AC167))),"")</f>
        <v/>
      </c>
      <c r="AB167" s="108">
        <f t="array" ref="AB167">IF(ISNUMBER(AC167),INDEX('All Player Data Store'!$X$7:$X$594,SMALL(IF('All Player Data Store'!$Y$7:$Y$594=AC167,ROW('All Player Data Store'!$Y$7:$Y$594)-ROW('All Player Data Store'!$Y$7)+1),COUNTIF($AC$8:AC167,AC167))),"")</f>
        <v>17.624285714285715</v>
      </c>
      <c r="AC167" s="115">
        <f>IF(ISERROR(IF(ISERROR(LARGE('All Player Data Store'!$Y$7:$Y$594,160)),"",(LARGE('All Player Data Store'!$Y$7:$Y$594,160)))),"",(IF(ISERROR(LARGE('All Player Data Store'!$Y$7:$Y$594,160)),"",(LARGE('All Player Data Store'!$Y$7:$Y$594,160)))))</f>
        <v>18.624285714285715</v>
      </c>
      <c r="AD167" s="106">
        <f t="shared" si="16"/>
        <v>3</v>
      </c>
      <c r="AE167" s="107" t="str">
        <f t="array" ref="AE167">IF(ISNUMBER(AC167),INDEX('All Player Data Store'!$J$8:$J$594,SMALL(IF('All Player Data Store'!$Y$7:$Y$594=AC167,ROW('All Player Data Store'!$Y$7:$Y$594)-ROW('All Player Data Store'!$Y$7)+1),COUNTIF($AC$8:AC167,AC167))),"")</f>
        <v>4*3</v>
      </c>
      <c r="AF167" s="108">
        <f t="shared" si="3"/>
        <v>18.36</v>
      </c>
      <c r="AG167" s="108" t="str">
        <f t="array" ref="AG167">IF(ISNUMBER(AC167),INDEX('All Player Data Store'!$K$8:$K$594,SMALL(IF('All Player Data Store'!$Y$7:$Y$594=AC167,ROW('All Player Data Store'!$Y$7:$Y$594)-ROW('All Player Data Store'!$Y$7)+1),COUNTIF($AC$8:AC167,AC167))),"")</f>
        <v>0*4</v>
      </c>
      <c r="AH167" s="108">
        <f t="shared" si="4"/>
        <v>17.39</v>
      </c>
      <c r="AI167" s="108" t="str">
        <f t="array" ref="AI167">IF(ISNUMBER(AC167),INDEX('All Player Data Store'!$L$8:$L$594,SMALL(IF('All Player Data Store'!$Y$7:$Y$594=AC167,ROW('All Player Data Store'!$Y$7:$Y$594)-ROW('All Player Data Store'!$Y$7)+1),COUNTIF($AC$8:AC167,AC167))),"")</f>
        <v>1*4</v>
      </c>
      <c r="AJ167" s="108">
        <f t="shared" si="5"/>
        <v>18.47</v>
      </c>
      <c r="AK167" s="108" t="str">
        <f t="array" ref="AK167">IF(ISNUMBER(AC167),INDEX('All Player Data Store'!$M$8:$M$594,SMALL(IF('All Player Data Store'!$Y$7:$Y$594=AC167,ROW('All Player Data Store'!$Y$7:$Y$594)-ROW('All Player Data Store'!$Y$7)+1),COUNTIF($AC$8:AC167,AC167))),"")</f>
        <v/>
      </c>
      <c r="AL167" s="108" t="str">
        <f t="shared" si="6"/>
        <v/>
      </c>
      <c r="AM167" s="108" t="str">
        <f t="array" ref="AM167">IF(ISNUMBER(AC167),INDEX('All Player Data Store'!$N$8:$N$594,SMALL(IF('All Player Data Store'!$Y$7:$Y$594=AC167,ROW('All Player Data Store'!$Y$7:$Y$594)-ROW('All Player Data Store'!$Y$7)+1),COUNTIF($AC$8:AC167,AC167))),"")</f>
        <v/>
      </c>
      <c r="AN167" s="108" t="str">
        <f t="shared" si="7"/>
        <v/>
      </c>
      <c r="AO167" s="108" t="str">
        <f t="array" ref="AO167">IF(ISNUMBER(AC167),INDEX('All Player Data Store'!$O$8:$O$594,SMALL(IF('All Player Data Store'!$Y$7:$Y$594=AC167,ROW('All Player Data Store'!$Y$7:$Y$594)-ROW('All Player Data Store'!$Y$7)+1),COUNTIF($AC$8:AC167,AC167))),"")</f>
        <v>1*4</v>
      </c>
      <c r="AP167" s="108">
        <f t="shared" si="8"/>
        <v>16.21</v>
      </c>
      <c r="AQ167" s="108" t="str">
        <f t="array" ref="AQ167">IF(ISNUMBER(AC167),INDEX('All Player Data Store'!$P$8:$P$594,SMALL(IF('All Player Data Store'!$Y$7:$Y$594=AC167,ROW('All Player Data Store'!$Y$7:$Y$594)-ROW('All Player Data Store'!$Y$7)+1),COUNTIF($AC$8:AC167,AC167))),"")</f>
        <v/>
      </c>
      <c r="AR167" s="108" t="str">
        <f t="shared" si="9"/>
        <v/>
      </c>
      <c r="AS167" s="108" t="str">
        <f t="array" ref="AS167">IF(ISNUMBER(AC167),INDEX('All Player Data Store'!$Q$8:$Q$594,SMALL(IF('All Player Data Store'!$Y$7:$Y$594=AC167,ROW('All Player Data Store'!$Y$7:$Y$594)-ROW('All Player Data Store'!$Y$7)+1),COUNTIF($AC$8:AC167,AC167))),"")</f>
        <v/>
      </c>
      <c r="AT167" s="108" t="str">
        <f t="shared" si="10"/>
        <v/>
      </c>
      <c r="AU167" s="108" t="str">
        <f t="array" ref="AU167">IF(ISNUMBER(AC167),INDEX('All Player Data Store'!$R$8:$R$594,SMALL(IF('All Player Data Store'!$Y$7:$Y$594=AC167,ROW('All Player Data Store'!$Y$7:$Y$594)-ROW('All Player Data Store'!$Y$7)+1),COUNTIF($AC$8:AC167,AC167))),"")</f>
        <v>1*4</v>
      </c>
      <c r="AV167" s="108">
        <f t="shared" si="11"/>
        <v>18.89</v>
      </c>
      <c r="AW167" s="108" t="str">
        <f t="array" ref="AW167">IF(ISNUMBER(AC167),INDEX('All Player Data Store'!$S$8:$S$594,SMALL(IF('All Player Data Store'!$Y$7:$Y$594=AC167,ROW('All Player Data Store'!$Y$7:$Y$594)-ROW('All Player Data Store'!$Y$7)+1),COUNTIF($AC$8:AC167,AC167))),"")</f>
        <v>0*4</v>
      </c>
      <c r="AX167" s="108">
        <f t="shared" si="12"/>
        <v>19</v>
      </c>
      <c r="AY167" s="108" t="str">
        <f t="array" ref="AY167">IF(ISNUMBER(AC167),INDEX('All Player Data Store'!$T$8:$T$594,SMALL(IF('All Player Data Store'!$Y$7:$Y$594=AC167,ROW('All Player Data Store'!$Y$7:$Y$594)-ROW('All Player Data Store'!$Y$7)+1),COUNTIF($AC$8:AC167,AC167))),"")</f>
        <v/>
      </c>
      <c r="AZ167" s="108" t="str">
        <f t="shared" si="13"/>
        <v/>
      </c>
      <c r="BA167" s="108" t="str">
        <f t="array" ref="BA167">IF(ISNUMBER(AC167),INDEX('All Player Data Store'!$U$8:$U$594,SMALL(IF('All Player Data Store'!$Y$7:$Y$594=AC167,ROW('All Player Data Store'!$Y$7:$Y$594)-ROW('All Player Data Store'!$Y$7)+1),COUNTIF($AC$8:AC167,AC167))),"")</f>
        <v/>
      </c>
      <c r="BB167" s="108" t="str">
        <f t="shared" si="14"/>
        <v/>
      </c>
      <c r="BC167" s="108" t="str">
        <f t="array" ref="BC167">IF(ISNUMBER(AC167),INDEX('All Player Data Store'!$V$8:$V$594,SMALL(IF('All Player Data Store'!$Y$7:$Y$594=AC167,ROW('All Player Data Store'!$Y$7:$Y$594)-ROW('All Player Data Store'!$Y$7)+1),COUNTIF($AC$8:AC167,AC167))),"")</f>
        <v>2*4</v>
      </c>
      <c r="BD167" s="108">
        <f t="shared" si="15"/>
        <v>16.05</v>
      </c>
      <c r="BE167" s="1"/>
    </row>
    <row r="168" spans="2:57" ht="12" customHeight="1" x14ac:dyDescent="0.2">
      <c r="B168" s="98" t="str">
        <f t="shared" si="0"/>
        <v>N</v>
      </c>
      <c r="C168" s="1"/>
      <c r="D168" s="68">
        <f t="shared" si="1"/>
        <v>161</v>
      </c>
      <c r="E168" s="2"/>
      <c r="F168" s="78">
        <v>161</v>
      </c>
      <c r="G168" s="110" t="str">
        <f t="array" ref="G168">IF(ISNUMBER(AC168),INDEX('All Player Data Store'!$C$7:$C$594,SMALL(IF('All Player Data Store'!$Y$7:$Y$594=AC168,ROW('All Player Data Store'!$Y$7:$Y$594)-ROW('All Player Data Store'!$Y$7)+1),COUNTIF($AC$8:AC168,AC168))),"")</f>
        <v>Michael Beauchamp</v>
      </c>
      <c r="H168" s="111" t="str">
        <f t="array" ref="H168">IF(ISNUMBER(AC168),INDEX('All Player Data Store'!$D$7:$D$594,SMALL(IF('All Player Data Store'!$Y$7:$Y$594=AC168,ROW('All Player Data Store'!$Y$7:$Y$594)-ROW('All Player Data Store'!$Y$7)+1),COUNTIF($AC$8:AC168,AC168))),"")</f>
        <v>Wey</v>
      </c>
      <c r="I168" s="69">
        <f t="array" ref="I168">IF(ISNUMBER(AC168),INDEX('All Player Data Store'!$E$7:$E$594,SMALL(IF('All Player Data Store'!$Y$7:$Y$594=AC168,ROW('All Player Data Store'!$Y$7:$Y$594)-ROW('All Player Data Store'!$Y$7)+1),COUNTIF($AC$8:AC168,AC168))),"")</f>
        <v>1</v>
      </c>
      <c r="J168" s="70" t="str">
        <f t="array" ref="J168">IF(ISNUMBER(AC168),INDEX('All Player Data Store'!$F$7:$F$594,SMALL(IF('All Player Data Store'!$Y$7:$Y$594=AC168,ROW('All Player Data Store'!$Y$7:$Y$594)-ROW('All Player Data Store'!$Y$7)+1),COUNTIF($AC$8:AC168,AC168))),"")</f>
        <v/>
      </c>
      <c r="K168" s="112">
        <f t="array" ref="K168">IF(ISNUMBER(AC168),INDEX('All Player Data Store'!$G$7:$G$594,SMALL(IF('All Player Data Store'!$Y$7:$Y$594=AC168,ROW('All Player Data Store'!$Y$7:$Y$594)-ROW('All Player Data Store'!$Y$7)+1),COUNTIF($AC$8:AC168,AC168))),"")</f>
        <v>1</v>
      </c>
      <c r="L168" s="112">
        <f t="array" ref="L168">IF(ISNUMBER(AC168),INDEX('All Player Data Store'!$H$7:$H$594,SMALL(IF('All Player Data Store'!$Y$7:$Y$594=AC168,ROW('All Player Data Store'!$Y$7:$Y$594)-ROW('All Player Data Store'!$Y$7)+1),COUNTIF($AC$8:AC168,AC168))),"")</f>
        <v>1</v>
      </c>
      <c r="M168" s="113">
        <f t="array" ref="M168">IF(ISNUMBER(AC168),INDEX('All Player Data Store'!$I$7:$I$594,SMALL(IF('All Player Data Store'!$Y$7:$Y$594=AC168,ROW('All Player Data Store'!$Y$7:$Y$594)-ROW('All Player Data Store'!$Y$7)+1),COUNTIF($AC$8:AC168,AC168))),"")</f>
        <v>4</v>
      </c>
      <c r="N168" s="114" t="str">
        <f t="array" ref="N168">IF(ISNUMBER(AC168),INDEX('All Player Data Store'!$J$7:$J$594,SMALL(IF('All Player Data Store'!$Y$7:$Y$594=AC168,ROW('All Player Data Store'!$Y$7:$Y$594)-ROW('All Player Data Store'!$Y$7)+1),COUNTIF($AC$8:AC168,AC168))),"")</f>
        <v/>
      </c>
      <c r="O168" s="108" t="str">
        <f t="array" ref="O168">IF(ISNUMBER(AC168),INDEX('All Player Data Store'!$K$7:$K$594,SMALL(IF('All Player Data Store'!$Y$7:$Y$594=AC168,ROW('All Player Data Store'!$Y$7:$Y$594)-ROW('All Player Data Store'!$Y$7)+1),COUNTIF($AC$8:AC168,AC168))),"")</f>
        <v/>
      </c>
      <c r="P168" s="108" t="str">
        <f t="array" ref="P168">IF(ISNUMBER(AC168),INDEX('All Player Data Store'!$L$7:$L$594,SMALL(IF('All Player Data Store'!$Y$7:$Y$594=AC168,ROW('All Player Data Store'!$Y$7:$Y$594)-ROW('All Player Data Store'!$Y$7)+1),COUNTIF($AC$8:AC168,AC168))),"")</f>
        <v/>
      </c>
      <c r="Q168" s="108" t="str">
        <f t="array" ref="Q168">IF(ISNUMBER(AC168),INDEX('All Player Data Store'!$M$7:$M$594,SMALL(IF('All Player Data Store'!$Y$7:$Y$594=AC168,ROW('All Player Data Store'!$Y$7:$Y$594)-ROW('All Player Data Store'!$Y$7)+1),COUNTIF($AC$8:AC168,AC168))),"")</f>
        <v/>
      </c>
      <c r="R168" s="108" t="str">
        <f t="array" ref="R168">IF(ISNUMBER(AC168),INDEX('All Player Data Store'!$N$7:$N$594,SMALL(IF('All Player Data Store'!$Y$7:$Y$594=AC168,ROW('All Player Data Store'!$Y$7:$Y$594)-ROW('All Player Data Store'!$Y$7)+1),COUNTIF($AC$8:AC168,AC168))),"")</f>
        <v/>
      </c>
      <c r="S168" s="108" t="str">
        <f t="array" ref="S168">IF(ISNUMBER(AC168),INDEX('All Player Data Store'!$O$7:$O$594,SMALL(IF('All Player Data Store'!$Y$7:$Y$594=AC168,ROW('All Player Data Store'!$Y$7:$Y$594)-ROW('All Player Data Store'!$Y$7)+1),COUNTIF($AC$8:AC168,AC168))),"")</f>
        <v/>
      </c>
      <c r="T168" s="108" t="str">
        <f t="array" ref="T168">IF(ISNUMBER(AC168),INDEX('All Player Data Store'!$P$7:$P$594,SMALL(IF('All Player Data Store'!$Y$7:$Y$594=AC168,ROW('All Player Data Store'!$Y$7:$Y$594)-ROW('All Player Data Store'!$Y$7)+1),COUNTIF($AC$8:AC168,AC168))),"")</f>
        <v/>
      </c>
      <c r="U168" s="108" t="str">
        <f t="array" ref="U168">IF(ISNUMBER(AC168),INDEX('All Player Data Store'!$Q$7:$Q$594,SMALL(IF('All Player Data Store'!$Y$7:$Y$594=AC168,ROW('All Player Data Store'!$Y$7:$Y$594)-ROW('All Player Data Store'!$Y$7)+1),COUNTIF($AC$8:AC168,AC168))),"")</f>
        <v/>
      </c>
      <c r="V168" s="108" t="str">
        <f t="array" ref="V168">IF(ISNUMBER(AC168),INDEX('All Player Data Store'!$R$7:$R$594,SMALL(IF('All Player Data Store'!$Y$7:$Y$594=AC168,ROW('All Player Data Store'!$Y$7:$Y$594)-ROW('All Player Data Store'!$Y$7)+1),COUNTIF($AC$8:AC168,AC168))),"")</f>
        <v/>
      </c>
      <c r="W168" s="108">
        <f t="array" ref="W168">IF(ISNUMBER(AC168),INDEX('All Player Data Store'!$S$7:$S$594,SMALL(IF('All Player Data Store'!$Y$7:$Y$594=AC168,ROW('All Player Data Store'!$Y$7:$Y$594)-ROW('All Player Data Store'!$Y$7)+1),COUNTIF($AC$8:AC168,AC168))),"")</f>
        <v>18.61</v>
      </c>
      <c r="X168" s="108" t="str">
        <f t="array" ref="X168">IF(ISNUMBER(AC168),INDEX('All Player Data Store'!$T$7:$T$594,SMALL(IF('All Player Data Store'!$Y$7:$Y$594=AC168,ROW('All Player Data Store'!$Y$7:$Y$594)-ROW('All Player Data Store'!$Y$7)+1),COUNTIF($AC$8:AC168,AC168))),"")</f>
        <v/>
      </c>
      <c r="Y168" s="108" t="str">
        <f t="array" ref="Y168">IF(ISNUMBER(AC168),INDEX('All Player Data Store'!$U$7:$U$594,SMALL(IF('All Player Data Store'!$Y$7:$Y$594=AC168,ROW('All Player Data Store'!$Y$7:$Y$594)-ROW('All Player Data Store'!$Y$7)+1),COUNTIF($AC$8:AC168,AC168))),"")</f>
        <v/>
      </c>
      <c r="Z168" s="108" t="str">
        <f t="array" ref="Z168">IF(ISNUMBER(AC168),INDEX('All Player Data Store'!$V$7:$V$594,SMALL(IF('All Player Data Store'!$Y$7:$Y$594=AC168,ROW('All Player Data Store'!$Y$7:$Y$594)-ROW('All Player Data Store'!$Y$7)+1),COUNTIF($AC$8:AC168,AC168))),"")</f>
        <v/>
      </c>
      <c r="AA168" s="112" t="str">
        <f t="array" ref="AA168">IF(ISNUMBER(AC168),INDEX('All Player Data Store'!$W$7:$W$594,SMALL(IF('All Player Data Store'!$Y$7:$Y$594=AC168,ROW('All Player Data Store'!$Y$7:$Y$594)-ROW('All Player Data Store'!$Y$7)+1),COUNTIF($AC$8:AC168,AC168))),"")</f>
        <v/>
      </c>
      <c r="AB168" s="108">
        <f t="array" ref="AB168">IF(ISNUMBER(AC168),INDEX('All Player Data Store'!$X$7:$X$594,SMALL(IF('All Player Data Store'!$Y$7:$Y$594=AC168,ROW('All Player Data Store'!$Y$7:$Y$594)-ROW('All Player Data Store'!$Y$7)+1),COUNTIF($AC$8:AC168,AC168))),"")</f>
        <v>18.61</v>
      </c>
      <c r="AC168" s="115">
        <f>IF(ISERROR(IF(ISERROR(LARGE('All Player Data Store'!$Y$7:$Y$594,161)),"",(LARGE('All Player Data Store'!$Y$7:$Y$594,161)))),"",(IF(ISERROR(LARGE('All Player Data Store'!$Y$7:$Y$594,161)),"",(LARGE('All Player Data Store'!$Y$7:$Y$594,161)))))</f>
        <v>18.61</v>
      </c>
      <c r="AD168" s="106">
        <f t="shared" si="16"/>
        <v>3</v>
      </c>
      <c r="AE168" s="107" t="str">
        <f t="array" ref="AE168">IF(ISNUMBER(AC168),INDEX('All Player Data Store'!$J$8:$J$594,SMALL(IF('All Player Data Store'!$Y$7:$Y$594=AC168,ROW('All Player Data Store'!$Y$7:$Y$594)-ROW('All Player Data Store'!$Y$7)+1),COUNTIF($AC$8:AC168,AC168))),"")</f>
        <v/>
      </c>
      <c r="AF168" s="108" t="str">
        <f t="shared" si="3"/>
        <v/>
      </c>
      <c r="AG168" s="108" t="str">
        <f t="array" ref="AG168">IF(ISNUMBER(AC168),INDEX('All Player Data Store'!$K$8:$K$594,SMALL(IF('All Player Data Store'!$Y$7:$Y$594=AC168,ROW('All Player Data Store'!$Y$7:$Y$594)-ROW('All Player Data Store'!$Y$7)+1),COUNTIF($AC$8:AC168,AC168))),"")</f>
        <v/>
      </c>
      <c r="AH168" s="108" t="str">
        <f t="shared" si="4"/>
        <v/>
      </c>
      <c r="AI168" s="108" t="str">
        <f t="array" ref="AI168">IF(ISNUMBER(AC168),INDEX('All Player Data Store'!$L$8:$L$594,SMALL(IF('All Player Data Store'!$Y$7:$Y$594=AC168,ROW('All Player Data Store'!$Y$7:$Y$594)-ROW('All Player Data Store'!$Y$7)+1),COUNTIF($AC$8:AC168,AC168))),"")</f>
        <v/>
      </c>
      <c r="AJ168" s="108" t="str">
        <f t="shared" si="5"/>
        <v/>
      </c>
      <c r="AK168" s="108" t="str">
        <f t="array" ref="AK168">IF(ISNUMBER(AC168),INDEX('All Player Data Store'!$M$8:$M$594,SMALL(IF('All Player Data Store'!$Y$7:$Y$594=AC168,ROW('All Player Data Store'!$Y$7:$Y$594)-ROW('All Player Data Store'!$Y$7)+1),COUNTIF($AC$8:AC168,AC168))),"")</f>
        <v/>
      </c>
      <c r="AL168" s="108" t="str">
        <f t="shared" si="6"/>
        <v/>
      </c>
      <c r="AM168" s="108" t="str">
        <f t="array" ref="AM168">IF(ISNUMBER(AC168),INDEX('All Player Data Store'!$N$8:$N$594,SMALL(IF('All Player Data Store'!$Y$7:$Y$594=AC168,ROW('All Player Data Store'!$Y$7:$Y$594)-ROW('All Player Data Store'!$Y$7)+1),COUNTIF($AC$8:AC168,AC168))),"")</f>
        <v/>
      </c>
      <c r="AN168" s="108" t="str">
        <f t="shared" si="7"/>
        <v/>
      </c>
      <c r="AO168" s="108" t="str">
        <f t="array" ref="AO168">IF(ISNUMBER(AC168),INDEX('All Player Data Store'!$O$8:$O$594,SMALL(IF('All Player Data Store'!$Y$7:$Y$594=AC168,ROW('All Player Data Store'!$Y$7:$Y$594)-ROW('All Player Data Store'!$Y$7)+1),COUNTIF($AC$8:AC168,AC168))),"")</f>
        <v/>
      </c>
      <c r="AP168" s="108" t="str">
        <f t="shared" si="8"/>
        <v/>
      </c>
      <c r="AQ168" s="108" t="str">
        <f t="array" ref="AQ168">IF(ISNUMBER(AC168),INDEX('All Player Data Store'!$P$8:$P$594,SMALL(IF('All Player Data Store'!$Y$7:$Y$594=AC168,ROW('All Player Data Store'!$Y$7:$Y$594)-ROW('All Player Data Store'!$Y$7)+1),COUNTIF($AC$8:AC168,AC168))),"")</f>
        <v/>
      </c>
      <c r="AR168" s="108" t="str">
        <f t="shared" si="9"/>
        <v/>
      </c>
      <c r="AS168" s="108" t="str">
        <f t="array" ref="AS168">IF(ISNUMBER(AC168),INDEX('All Player Data Store'!$Q$8:$Q$594,SMALL(IF('All Player Data Store'!$Y$7:$Y$594=AC168,ROW('All Player Data Store'!$Y$7:$Y$594)-ROW('All Player Data Store'!$Y$7)+1),COUNTIF($AC$8:AC168,AC168))),"")</f>
        <v/>
      </c>
      <c r="AT168" s="108" t="str">
        <f t="shared" si="10"/>
        <v/>
      </c>
      <c r="AU168" s="108" t="str">
        <f t="array" ref="AU168">IF(ISNUMBER(AC168),INDEX('All Player Data Store'!$R$8:$R$594,SMALL(IF('All Player Data Store'!$Y$7:$Y$594=AC168,ROW('All Player Data Store'!$Y$7:$Y$594)-ROW('All Player Data Store'!$Y$7)+1),COUNTIF($AC$8:AC168,AC168))),"")</f>
        <v/>
      </c>
      <c r="AV168" s="108" t="str">
        <f t="shared" si="11"/>
        <v/>
      </c>
      <c r="AW168" s="108" t="str">
        <f t="array" ref="AW168">IF(ISNUMBER(AC168),INDEX('All Player Data Store'!$S$8:$S$594,SMALL(IF('All Player Data Store'!$Y$7:$Y$594=AC168,ROW('All Player Data Store'!$Y$7:$Y$594)-ROW('All Player Data Store'!$Y$7)+1),COUNTIF($AC$8:AC168,AC168))),"")</f>
        <v>1*4</v>
      </c>
      <c r="AX168" s="108">
        <f t="shared" si="12"/>
        <v>18.61</v>
      </c>
      <c r="AY168" s="108" t="str">
        <f t="array" ref="AY168">IF(ISNUMBER(AC168),INDEX('All Player Data Store'!$T$8:$T$594,SMALL(IF('All Player Data Store'!$Y$7:$Y$594=AC168,ROW('All Player Data Store'!$Y$7:$Y$594)-ROW('All Player Data Store'!$Y$7)+1),COUNTIF($AC$8:AC168,AC168))),"")</f>
        <v/>
      </c>
      <c r="AZ168" s="108" t="str">
        <f t="shared" si="13"/>
        <v/>
      </c>
      <c r="BA168" s="108" t="str">
        <f t="array" ref="BA168">IF(ISNUMBER(AC168),INDEX('All Player Data Store'!$U$8:$U$594,SMALL(IF('All Player Data Store'!$Y$7:$Y$594=AC168,ROW('All Player Data Store'!$Y$7:$Y$594)-ROW('All Player Data Store'!$Y$7)+1),COUNTIF($AC$8:AC168,AC168))),"")</f>
        <v/>
      </c>
      <c r="BB168" s="108" t="str">
        <f t="shared" si="14"/>
        <v/>
      </c>
      <c r="BC168" s="108" t="str">
        <f t="array" ref="BC168">IF(ISNUMBER(AC168),INDEX('All Player Data Store'!$V$8:$V$594,SMALL(IF('All Player Data Store'!$Y$7:$Y$594=AC168,ROW('All Player Data Store'!$Y$7:$Y$594)-ROW('All Player Data Store'!$Y$7)+1),COUNTIF($AC$8:AC168,AC168))),"")</f>
        <v/>
      </c>
      <c r="BD168" s="108" t="str">
        <f t="shared" si="15"/>
        <v/>
      </c>
      <c r="BE168" s="1"/>
    </row>
    <row r="169" spans="2:57" ht="12" customHeight="1" x14ac:dyDescent="0.2">
      <c r="B169" s="98" t="str">
        <f t="shared" si="0"/>
        <v>Y</v>
      </c>
      <c r="C169" s="1"/>
      <c r="D169" s="68">
        <f t="shared" si="1"/>
        <v>162</v>
      </c>
      <c r="E169" s="2"/>
      <c r="F169" s="78">
        <v>162</v>
      </c>
      <c r="G169" s="110" t="str">
        <f t="array" ref="G169">IF(ISNUMBER(AC169),INDEX('All Player Data Store'!$C$7:$C$594,SMALL(IF('All Player Data Store'!$Y$7:$Y$594=AC169,ROW('All Player Data Store'!$Y$7:$Y$594)-ROW('All Player Data Store'!$Y$7)+1),COUNTIF($AC$8:AC169,AC169))),"")</f>
        <v>Shaun Hibbert</v>
      </c>
      <c r="H169" s="111" t="str">
        <f t="array" ref="H169">IF(ISNUMBER(AC169),INDEX('All Player Data Store'!$D$7:$D$594,SMALL(IF('All Player Data Store'!$Y$7:$Y$594=AC169,ROW('All Player Data Store'!$Y$7:$Y$594)-ROW('All Player Data Store'!$Y$7)+1),COUNTIF($AC$8:AC169,AC169))),"")</f>
        <v>Bou</v>
      </c>
      <c r="I169" s="69">
        <f t="array" ref="I169">IF(ISNUMBER(AC169),INDEX('All Player Data Store'!$E$7:$E$594,SMALL(IF('All Player Data Store'!$Y$7:$Y$594=AC169,ROW('All Player Data Store'!$Y$7:$Y$594)-ROW('All Player Data Store'!$Y$7)+1),COUNTIF($AC$8:AC169,AC169))),"")</f>
        <v>10</v>
      </c>
      <c r="J169" s="70">
        <f t="array" ref="J169">IF(ISNUMBER(AC169),INDEX('All Player Data Store'!$F$7:$F$594,SMALL(IF('All Player Data Store'!$Y$7:$Y$594=AC169,ROW('All Player Data Store'!$Y$7:$Y$594)-ROW('All Player Data Store'!$Y$7)+1),COUNTIF($AC$8:AC169,AC169))),"")</f>
        <v>2</v>
      </c>
      <c r="K169" s="112">
        <f t="array" ref="K169">IF(ISNUMBER(AC169),INDEX('All Player Data Store'!$G$7:$G$594,SMALL(IF('All Player Data Store'!$Y$7:$Y$594=AC169,ROW('All Player Data Store'!$Y$7:$Y$594)-ROW('All Player Data Store'!$Y$7)+1),COUNTIF($AC$8:AC169,AC169))),"")</f>
        <v>8</v>
      </c>
      <c r="L169" s="112">
        <f t="array" ref="L169">IF(ISNUMBER(AC169),INDEX('All Player Data Store'!$H$7:$H$594,SMALL(IF('All Player Data Store'!$Y$7:$Y$594=AC169,ROW('All Player Data Store'!$Y$7:$Y$594)-ROW('All Player Data Store'!$Y$7)+1),COUNTIF($AC$8:AC169,AC169))),"")</f>
        <v>11</v>
      </c>
      <c r="M169" s="113">
        <f t="array" ref="M169">IF(ISNUMBER(AC169),INDEX('All Player Data Store'!$I$7:$I$594,SMALL(IF('All Player Data Store'!$Y$7:$Y$594=AC169,ROW('All Player Data Store'!$Y$7:$Y$594)-ROW('All Player Data Store'!$Y$7)+1),COUNTIF($AC$8:AC169,AC169))),"")</f>
        <v>34</v>
      </c>
      <c r="N169" s="114">
        <f t="array" ref="N169">IF(ISNUMBER(AC169),INDEX('All Player Data Store'!$J$7:$J$594,SMALL(IF('All Player Data Store'!$Y$7:$Y$594=AC169,ROW('All Player Data Store'!$Y$7:$Y$594)-ROW('All Player Data Store'!$Y$7)+1),COUNTIF($AC$8:AC169,AC169))),"")</f>
        <v>18.14</v>
      </c>
      <c r="O169" s="108" t="str">
        <f t="array" ref="O169">IF(ISNUMBER(AC169),INDEX('All Player Data Store'!$K$7:$K$594,SMALL(IF('All Player Data Store'!$Y$7:$Y$594=AC169,ROW('All Player Data Store'!$Y$7:$Y$594)-ROW('All Player Data Store'!$Y$7)+1),COUNTIF($AC$8:AC169,AC169))),"")</f>
        <v/>
      </c>
      <c r="P169" s="108">
        <f t="array" ref="P169">IF(ISNUMBER(AC169),INDEX('All Player Data Store'!$L$7:$L$594,SMALL(IF('All Player Data Store'!$Y$7:$Y$594=AC169,ROW('All Player Data Store'!$Y$7:$Y$594)-ROW('All Player Data Store'!$Y$7)+1),COUNTIF($AC$8:AC169,AC169))),"")</f>
        <v>18.86</v>
      </c>
      <c r="Q169" s="108">
        <f t="array" ref="Q169">IF(ISNUMBER(AC169),INDEX('All Player Data Store'!$M$7:$M$594,SMALL(IF('All Player Data Store'!$Y$7:$Y$594=AC169,ROW('All Player Data Store'!$Y$7:$Y$594)-ROW('All Player Data Store'!$Y$7)+1),COUNTIF($AC$8:AC169,AC169))),"")</f>
        <v>19.82</v>
      </c>
      <c r="R169" s="108">
        <f t="array" ref="R169">IF(ISNUMBER(AC169),INDEX('All Player Data Store'!$N$7:$N$594,SMALL(IF('All Player Data Store'!$Y$7:$Y$594=AC169,ROW('All Player Data Store'!$Y$7:$Y$594)-ROW('All Player Data Store'!$Y$7)+1),COUNTIF($AC$8:AC169,AC169))),"")</f>
        <v>20.170000000000002</v>
      </c>
      <c r="S169" s="108">
        <f t="array" ref="S169">IF(ISNUMBER(AC169),INDEX('All Player Data Store'!$O$7:$O$594,SMALL(IF('All Player Data Store'!$Y$7:$Y$594=AC169,ROW('All Player Data Store'!$Y$7:$Y$594)-ROW('All Player Data Store'!$Y$7)+1),COUNTIF($AC$8:AC169,AC169))),"")</f>
        <v>14.31</v>
      </c>
      <c r="T169" s="108">
        <f t="array" ref="T169">IF(ISNUMBER(AC169),INDEX('All Player Data Store'!$P$7:$P$594,SMALL(IF('All Player Data Store'!$Y$7:$Y$594=AC169,ROW('All Player Data Store'!$Y$7:$Y$594)-ROW('All Player Data Store'!$Y$7)+1),COUNTIF($AC$8:AC169,AC169))),"")</f>
        <v>17.98</v>
      </c>
      <c r="U169" s="108">
        <f t="array" ref="U169">IF(ISNUMBER(AC169),INDEX('All Player Data Store'!$Q$7:$Q$594,SMALL(IF('All Player Data Store'!$Y$7:$Y$594=AC169,ROW('All Player Data Store'!$Y$7:$Y$594)-ROW('All Player Data Store'!$Y$7)+1),COUNTIF($AC$8:AC169,AC169))),"")</f>
        <v>18.420000000000002</v>
      </c>
      <c r="V169" s="108" t="str">
        <f t="array" ref="V169">IF(ISNUMBER(AC169),INDEX('All Player Data Store'!$R$7:$R$594,SMALL(IF('All Player Data Store'!$Y$7:$Y$594=AC169,ROW('All Player Data Store'!$Y$7:$Y$594)-ROW('All Player Data Store'!$Y$7)+1),COUNTIF($AC$8:AC169,AC169))),"")</f>
        <v/>
      </c>
      <c r="W169" s="108">
        <f t="array" ref="W169">IF(ISNUMBER(AC169),INDEX('All Player Data Store'!$S$7:$S$594,SMALL(IF('All Player Data Store'!$Y$7:$Y$594=AC169,ROW('All Player Data Store'!$Y$7:$Y$594)-ROW('All Player Data Store'!$Y$7)+1),COUNTIF($AC$8:AC169,AC169))),"")</f>
        <v>13.11</v>
      </c>
      <c r="X169" s="108">
        <f t="array" ref="X169">IF(ISNUMBER(AC169),INDEX('All Player Data Store'!$T$7:$T$594,SMALL(IF('All Player Data Store'!$Y$7:$Y$594=AC169,ROW('All Player Data Store'!$Y$7:$Y$594)-ROW('All Player Data Store'!$Y$7)+1),COUNTIF($AC$8:AC169,AC169))),"")</f>
        <v>12.43</v>
      </c>
      <c r="Y169" s="108">
        <f t="array" ref="Y169">IF(ISNUMBER(AC169),INDEX('All Player Data Store'!$U$7:$U$594,SMALL(IF('All Player Data Store'!$Y$7:$Y$594=AC169,ROW('All Player Data Store'!$Y$7:$Y$594)-ROW('All Player Data Store'!$Y$7)+1),COUNTIF($AC$8:AC169,AC169))),"")</f>
        <v>12.46</v>
      </c>
      <c r="Z169" s="108" t="str">
        <f t="array" ref="Z169">IF(ISNUMBER(AC169),INDEX('All Player Data Store'!$V$7:$V$594,SMALL(IF('All Player Data Store'!$Y$7:$Y$594=AC169,ROW('All Player Data Store'!$Y$7:$Y$594)-ROW('All Player Data Store'!$Y$7)+1),COUNTIF($AC$8:AC169,AC169))),"")</f>
        <v/>
      </c>
      <c r="AA169" s="112" t="str">
        <f t="array" ref="AA169">IF(ISNUMBER(AC169),INDEX('All Player Data Store'!$W$7:$W$594,SMALL(IF('All Player Data Store'!$Y$7:$Y$594=AC169,ROW('All Player Data Store'!$Y$7:$Y$594)-ROW('All Player Data Store'!$Y$7)+1),COUNTIF($AC$8:AC169,AC169))),"")</f>
        <v/>
      </c>
      <c r="AB169" s="108">
        <f t="array" ref="AB169">IF(ISNUMBER(AC169),INDEX('All Player Data Store'!$X$7:$X$594,SMALL(IF('All Player Data Store'!$Y$7:$Y$594=AC169,ROW('All Player Data Store'!$Y$7:$Y$594)-ROW('All Player Data Store'!$Y$7)+1),COUNTIF($AC$8:AC169,AC169))),"")</f>
        <v>16.57</v>
      </c>
      <c r="AC169" s="115">
        <f>IF(ISERROR(IF(ISERROR(LARGE('All Player Data Store'!$Y$7:$Y$594,162)),"",(LARGE('All Player Data Store'!$Y$7:$Y$594,162)))),"",(IF(ISERROR(LARGE('All Player Data Store'!$Y$7:$Y$594,162)),"",(LARGE('All Player Data Store'!$Y$7:$Y$594,162)))))</f>
        <v>18.57</v>
      </c>
      <c r="AD169" s="106">
        <f t="shared" si="16"/>
        <v>3</v>
      </c>
      <c r="AE169" s="107" t="str">
        <f t="array" ref="AE169">IF(ISNUMBER(AC169),INDEX('All Player Data Store'!$J$8:$J$594,SMALL(IF('All Player Data Store'!$Y$7:$Y$594=AC169,ROW('All Player Data Store'!$Y$7:$Y$594)-ROW('All Player Data Store'!$Y$7)+1),COUNTIF($AC$8:AC169,AC169))),"")</f>
        <v>4*1</v>
      </c>
      <c r="AF169" s="108">
        <f t="shared" si="3"/>
        <v>19.14</v>
      </c>
      <c r="AG169" s="108" t="str">
        <f t="array" ref="AG169">IF(ISNUMBER(AC169),INDEX('All Player Data Store'!$K$8:$K$594,SMALL(IF('All Player Data Store'!$Y$7:$Y$594=AC169,ROW('All Player Data Store'!$Y$7:$Y$594)-ROW('All Player Data Store'!$Y$7)+1),COUNTIF($AC$8:AC169,AC169))),"")</f>
        <v/>
      </c>
      <c r="AH169" s="108" t="str">
        <f t="shared" si="4"/>
        <v/>
      </c>
      <c r="AI169" s="108" t="str">
        <f t="array" ref="AI169">IF(ISNUMBER(AC169),INDEX('All Player Data Store'!$L$8:$L$594,SMALL(IF('All Player Data Store'!$Y$7:$Y$594=AC169,ROW('All Player Data Store'!$Y$7:$Y$594)-ROW('All Player Data Store'!$Y$7)+1),COUNTIF($AC$8:AC169,AC169))),"")</f>
        <v>3*4</v>
      </c>
      <c r="AJ169" s="108">
        <f t="shared" si="5"/>
        <v>18.86</v>
      </c>
      <c r="AK169" s="108" t="str">
        <f t="array" ref="AK169">IF(ISNUMBER(AC169),INDEX('All Player Data Store'!$M$8:$M$594,SMALL(IF('All Player Data Store'!$Y$7:$Y$594=AC169,ROW('All Player Data Store'!$Y$7:$Y$594)-ROW('All Player Data Store'!$Y$7)+1),COUNTIF($AC$8:AC169,AC169))),"")</f>
        <v>4*1</v>
      </c>
      <c r="AL169" s="108">
        <f t="shared" si="6"/>
        <v>20.82</v>
      </c>
      <c r="AM169" s="108" t="str">
        <f t="array" ref="AM169">IF(ISNUMBER(AC169),INDEX('All Player Data Store'!$N$8:$N$594,SMALL(IF('All Player Data Store'!$Y$7:$Y$594=AC169,ROW('All Player Data Store'!$Y$7:$Y$594)-ROW('All Player Data Store'!$Y$7)+1),COUNTIF($AC$8:AC169,AC169))),"")</f>
        <v>0*4</v>
      </c>
      <c r="AN169" s="108">
        <f t="shared" si="7"/>
        <v>20.170000000000002</v>
      </c>
      <c r="AO169" s="108" t="str">
        <f t="array" ref="AO169">IF(ISNUMBER(AC169),INDEX('All Player Data Store'!$O$8:$O$594,SMALL(IF('All Player Data Store'!$Y$7:$Y$594=AC169,ROW('All Player Data Store'!$Y$7:$Y$594)-ROW('All Player Data Store'!$Y$7)+1),COUNTIF($AC$8:AC169,AC169))),"")</f>
        <v>0*4</v>
      </c>
      <c r="AP169" s="108">
        <f t="shared" si="8"/>
        <v>14.31</v>
      </c>
      <c r="AQ169" s="108" t="str">
        <f t="array" ref="AQ169">IF(ISNUMBER(AC169),INDEX('All Player Data Store'!$P$8:$P$594,SMALL(IF('All Player Data Store'!$Y$7:$Y$594=AC169,ROW('All Player Data Store'!$Y$7:$Y$594)-ROW('All Player Data Store'!$Y$7)+1),COUNTIF($AC$8:AC169,AC169))),"")</f>
        <v>0*4</v>
      </c>
      <c r="AR169" s="108">
        <f t="shared" si="9"/>
        <v>17.98</v>
      </c>
      <c r="AS169" s="108" t="str">
        <f t="array" ref="AS169">IF(ISNUMBER(AC169),INDEX('All Player Data Store'!$Q$8:$Q$594,SMALL(IF('All Player Data Store'!$Y$7:$Y$594=AC169,ROW('All Player Data Store'!$Y$7:$Y$594)-ROW('All Player Data Store'!$Y$7)+1),COUNTIF($AC$8:AC169,AC169))),"")</f>
        <v>0*4</v>
      </c>
      <c r="AT169" s="108">
        <f t="shared" si="10"/>
        <v>18.420000000000002</v>
      </c>
      <c r="AU169" s="108" t="str">
        <f t="array" ref="AU169">IF(ISNUMBER(AC169),INDEX('All Player Data Store'!$R$8:$R$594,SMALL(IF('All Player Data Store'!$Y$7:$Y$594=AC169,ROW('All Player Data Store'!$Y$7:$Y$594)-ROW('All Player Data Store'!$Y$7)+1),COUNTIF($AC$8:AC169,AC169))),"")</f>
        <v/>
      </c>
      <c r="AV169" s="108" t="str">
        <f t="shared" si="11"/>
        <v/>
      </c>
      <c r="AW169" s="108" t="str">
        <f t="array" ref="AW169">IF(ISNUMBER(AC169),INDEX('All Player Data Store'!$S$8:$S$594,SMALL(IF('All Player Data Store'!$Y$7:$Y$594=AC169,ROW('All Player Data Store'!$Y$7:$Y$594)-ROW('All Player Data Store'!$Y$7)+1),COUNTIF($AC$8:AC169,AC169))),"")</f>
        <v>0*4</v>
      </c>
      <c r="AX169" s="108">
        <f t="shared" si="12"/>
        <v>13.11</v>
      </c>
      <c r="AY169" s="108" t="str">
        <f t="array" ref="AY169">IF(ISNUMBER(AC169),INDEX('All Player Data Store'!$T$8:$T$594,SMALL(IF('All Player Data Store'!$Y$7:$Y$594=AC169,ROW('All Player Data Store'!$Y$7:$Y$594)-ROW('All Player Data Store'!$Y$7)+1),COUNTIF($AC$8:AC169,AC169))),"")</f>
        <v>0*4</v>
      </c>
      <c r="AZ169" s="108">
        <f t="shared" si="13"/>
        <v>12.43</v>
      </c>
      <c r="BA169" s="108" t="str">
        <f t="array" ref="BA169">IF(ISNUMBER(AC169),INDEX('All Player Data Store'!$U$8:$U$594,SMALL(IF('All Player Data Store'!$Y$7:$Y$594=AC169,ROW('All Player Data Store'!$Y$7:$Y$594)-ROW('All Player Data Store'!$Y$7)+1),COUNTIF($AC$8:AC169,AC169))),"")</f>
        <v>0*4</v>
      </c>
      <c r="BB169" s="108">
        <f t="shared" si="14"/>
        <v>12.46</v>
      </c>
      <c r="BC169" s="108" t="str">
        <f t="array" ref="BC169">IF(ISNUMBER(AC169),INDEX('All Player Data Store'!$V$8:$V$594,SMALL(IF('All Player Data Store'!$Y$7:$Y$594=AC169,ROW('All Player Data Store'!$Y$7:$Y$594)-ROW('All Player Data Store'!$Y$7)+1),COUNTIF($AC$8:AC169,AC169))),"")</f>
        <v/>
      </c>
      <c r="BD169" s="108" t="str">
        <f t="shared" si="15"/>
        <v/>
      </c>
      <c r="BE169" s="1"/>
    </row>
    <row r="170" spans="2:57" ht="12" customHeight="1" x14ac:dyDescent="0.2">
      <c r="B170" s="98" t="str">
        <f t="shared" si="0"/>
        <v>N</v>
      </c>
      <c r="C170" s="1"/>
      <c r="D170" s="68">
        <f t="shared" si="1"/>
        <v>163</v>
      </c>
      <c r="E170" s="2"/>
      <c r="F170" s="78">
        <v>163</v>
      </c>
      <c r="G170" s="110" t="str">
        <f t="array" ref="G170">IF(ISNUMBER(AC170),INDEX('All Player Data Store'!$C$7:$C$594,SMALL(IF('All Player Data Store'!$Y$7:$Y$594=AC170,ROW('All Player Data Store'!$Y$7:$Y$594)-ROW('All Player Data Store'!$Y$7)+1),COUNTIF($AC$8:AC170,AC170))),"")</f>
        <v>Richard Alcock</v>
      </c>
      <c r="H170" s="111" t="str">
        <f t="array" ref="H170">IF(ISNUMBER(AC170),INDEX('All Player Data Store'!$D$7:$D$594,SMALL(IF('All Player Data Store'!$Y$7:$Y$594=AC170,ROW('All Player Data Store'!$Y$7:$Y$594)-ROW('All Player Data Store'!$Y$7)+1),COUNTIF($AC$8:AC170,AC170))),"")</f>
        <v>Bos</v>
      </c>
      <c r="I170" s="69">
        <f t="array" ref="I170">IF(ISNUMBER(AC170),INDEX('All Player Data Store'!$E$7:$E$594,SMALL(IF('All Player Data Store'!$Y$7:$Y$594=AC170,ROW('All Player Data Store'!$Y$7:$Y$594)-ROW('All Player Data Store'!$Y$7)+1),COUNTIF($AC$8:AC170,AC170))),"")</f>
        <v>1</v>
      </c>
      <c r="J170" s="70" t="str">
        <f t="array" ref="J170">IF(ISNUMBER(AC170),INDEX('All Player Data Store'!$F$7:$F$594,SMALL(IF('All Player Data Store'!$Y$7:$Y$594=AC170,ROW('All Player Data Store'!$Y$7:$Y$594)-ROW('All Player Data Store'!$Y$7)+1),COUNTIF($AC$8:AC170,AC170))),"")</f>
        <v/>
      </c>
      <c r="K170" s="112">
        <f t="array" ref="K170">IF(ISNUMBER(AC170),INDEX('All Player Data Store'!$G$7:$G$594,SMALL(IF('All Player Data Store'!$Y$7:$Y$594=AC170,ROW('All Player Data Store'!$Y$7:$Y$594)-ROW('All Player Data Store'!$Y$7)+1),COUNTIF($AC$8:AC170,AC170))),"")</f>
        <v>1</v>
      </c>
      <c r="L170" s="112">
        <f t="array" ref="L170">IF(ISNUMBER(AC170),INDEX('All Player Data Store'!$H$7:$H$594,SMALL(IF('All Player Data Store'!$Y$7:$Y$594=AC170,ROW('All Player Data Store'!$Y$7:$Y$594)-ROW('All Player Data Store'!$Y$7)+1),COUNTIF($AC$8:AC170,AC170))),"")</f>
        <v>3</v>
      </c>
      <c r="M170" s="113">
        <f t="array" ref="M170">IF(ISNUMBER(AC170),INDEX('All Player Data Store'!$I$7:$I$594,SMALL(IF('All Player Data Store'!$Y$7:$Y$594=AC170,ROW('All Player Data Store'!$Y$7:$Y$594)-ROW('All Player Data Store'!$Y$7)+1),COUNTIF($AC$8:AC170,AC170))),"")</f>
        <v>4</v>
      </c>
      <c r="N170" s="114" t="str">
        <f t="array" ref="N170">IF(ISNUMBER(AC170),INDEX('All Player Data Store'!$J$7:$J$594,SMALL(IF('All Player Data Store'!$Y$7:$Y$594=AC170,ROW('All Player Data Store'!$Y$7:$Y$594)-ROW('All Player Data Store'!$Y$7)+1),COUNTIF($AC$8:AC170,AC170))),"")</f>
        <v/>
      </c>
      <c r="O170" s="108" t="str">
        <f t="array" ref="O170">IF(ISNUMBER(AC170),INDEX('All Player Data Store'!$K$7:$K$594,SMALL(IF('All Player Data Store'!$Y$7:$Y$594=AC170,ROW('All Player Data Store'!$Y$7:$Y$594)-ROW('All Player Data Store'!$Y$7)+1),COUNTIF($AC$8:AC170,AC170))),"")</f>
        <v/>
      </c>
      <c r="P170" s="108" t="str">
        <f t="array" ref="P170">IF(ISNUMBER(AC170),INDEX('All Player Data Store'!$L$7:$L$594,SMALL(IF('All Player Data Store'!$Y$7:$Y$594=AC170,ROW('All Player Data Store'!$Y$7:$Y$594)-ROW('All Player Data Store'!$Y$7)+1),COUNTIF($AC$8:AC170,AC170))),"")</f>
        <v/>
      </c>
      <c r="Q170" s="108" t="str">
        <f t="array" ref="Q170">IF(ISNUMBER(AC170),INDEX('All Player Data Store'!$M$7:$M$594,SMALL(IF('All Player Data Store'!$Y$7:$Y$594=AC170,ROW('All Player Data Store'!$Y$7:$Y$594)-ROW('All Player Data Store'!$Y$7)+1),COUNTIF($AC$8:AC170,AC170))),"")</f>
        <v/>
      </c>
      <c r="R170" s="108" t="str">
        <f t="array" ref="R170">IF(ISNUMBER(AC170),INDEX('All Player Data Store'!$N$7:$N$594,SMALL(IF('All Player Data Store'!$Y$7:$Y$594=AC170,ROW('All Player Data Store'!$Y$7:$Y$594)-ROW('All Player Data Store'!$Y$7)+1),COUNTIF($AC$8:AC170,AC170))),"")</f>
        <v/>
      </c>
      <c r="S170" s="108" t="str">
        <f t="array" ref="S170">IF(ISNUMBER(AC170),INDEX('All Player Data Store'!$O$7:$O$594,SMALL(IF('All Player Data Store'!$Y$7:$Y$594=AC170,ROW('All Player Data Store'!$Y$7:$Y$594)-ROW('All Player Data Store'!$Y$7)+1),COUNTIF($AC$8:AC170,AC170))),"")</f>
        <v/>
      </c>
      <c r="T170" s="108" t="str">
        <f t="array" ref="T170">IF(ISNUMBER(AC170),INDEX('All Player Data Store'!$P$7:$P$594,SMALL(IF('All Player Data Store'!$Y$7:$Y$594=AC170,ROW('All Player Data Store'!$Y$7:$Y$594)-ROW('All Player Data Store'!$Y$7)+1),COUNTIF($AC$8:AC170,AC170))),"")</f>
        <v/>
      </c>
      <c r="U170" s="108" t="str">
        <f t="array" ref="U170">IF(ISNUMBER(AC170),INDEX('All Player Data Store'!$Q$7:$Q$594,SMALL(IF('All Player Data Store'!$Y$7:$Y$594=AC170,ROW('All Player Data Store'!$Y$7:$Y$594)-ROW('All Player Data Store'!$Y$7)+1),COUNTIF($AC$8:AC170,AC170))),"")</f>
        <v/>
      </c>
      <c r="V170" s="108">
        <f t="array" ref="V170">IF(ISNUMBER(AC170),INDEX('All Player Data Store'!$R$7:$R$594,SMALL(IF('All Player Data Store'!$Y$7:$Y$594=AC170,ROW('All Player Data Store'!$Y$7:$Y$594)-ROW('All Player Data Store'!$Y$7)+1),COUNTIF($AC$8:AC170,AC170))),"")</f>
        <v>18.54</v>
      </c>
      <c r="W170" s="108" t="str">
        <f t="array" ref="W170">IF(ISNUMBER(AC170),INDEX('All Player Data Store'!$S$7:$S$594,SMALL(IF('All Player Data Store'!$Y$7:$Y$594=AC170,ROW('All Player Data Store'!$Y$7:$Y$594)-ROW('All Player Data Store'!$Y$7)+1),COUNTIF($AC$8:AC170,AC170))),"")</f>
        <v/>
      </c>
      <c r="X170" s="108" t="str">
        <f t="array" ref="X170">IF(ISNUMBER(AC170),INDEX('All Player Data Store'!$T$7:$T$594,SMALL(IF('All Player Data Store'!$Y$7:$Y$594=AC170,ROW('All Player Data Store'!$Y$7:$Y$594)-ROW('All Player Data Store'!$Y$7)+1),COUNTIF($AC$8:AC170,AC170))),"")</f>
        <v/>
      </c>
      <c r="Y170" s="108" t="str">
        <f t="array" ref="Y170">IF(ISNUMBER(AC170),INDEX('All Player Data Store'!$U$7:$U$594,SMALL(IF('All Player Data Store'!$Y$7:$Y$594=AC170,ROW('All Player Data Store'!$Y$7:$Y$594)-ROW('All Player Data Store'!$Y$7)+1),COUNTIF($AC$8:AC170,AC170))),"")</f>
        <v/>
      </c>
      <c r="Z170" s="108" t="str">
        <f t="array" ref="Z170">IF(ISNUMBER(AC170),INDEX('All Player Data Store'!$V$7:$V$594,SMALL(IF('All Player Data Store'!$Y$7:$Y$594=AC170,ROW('All Player Data Store'!$Y$7:$Y$594)-ROW('All Player Data Store'!$Y$7)+1),COUNTIF($AC$8:AC170,AC170))),"")</f>
        <v/>
      </c>
      <c r="AA170" s="112" t="str">
        <f t="array" ref="AA170">IF(ISNUMBER(AC170),INDEX('All Player Data Store'!$W$7:$W$594,SMALL(IF('All Player Data Store'!$Y$7:$Y$594=AC170,ROW('All Player Data Store'!$Y$7:$Y$594)-ROW('All Player Data Store'!$Y$7)+1),COUNTIF($AC$8:AC170,AC170))),"")</f>
        <v/>
      </c>
      <c r="AB170" s="108">
        <f t="array" ref="AB170">IF(ISNUMBER(AC170),INDEX('All Player Data Store'!$X$7:$X$594,SMALL(IF('All Player Data Store'!$Y$7:$Y$594=AC170,ROW('All Player Data Store'!$Y$7:$Y$594)-ROW('All Player Data Store'!$Y$7)+1),COUNTIF($AC$8:AC170,AC170))),"")</f>
        <v>18.54</v>
      </c>
      <c r="AC170" s="115">
        <f>IF(ISERROR(IF(ISERROR(LARGE('All Player Data Store'!$Y$7:$Y$594,163)),"",(LARGE('All Player Data Store'!$Y$7:$Y$594,163)))),"",(IF(ISERROR(LARGE('All Player Data Store'!$Y$7:$Y$594,163)),"",(LARGE('All Player Data Store'!$Y$7:$Y$594,163)))))</f>
        <v>18.54</v>
      </c>
      <c r="AD170" s="106">
        <f t="shared" si="16"/>
        <v>3</v>
      </c>
      <c r="AE170" s="107" t="str">
        <f t="array" ref="AE170">IF(ISNUMBER(AC170),INDEX('All Player Data Store'!$J$8:$J$594,SMALL(IF('All Player Data Store'!$Y$7:$Y$594=AC170,ROW('All Player Data Store'!$Y$7:$Y$594)-ROW('All Player Data Store'!$Y$7)+1),COUNTIF($AC$8:AC170,AC170))),"")</f>
        <v/>
      </c>
      <c r="AF170" s="108" t="str">
        <f t="shared" si="3"/>
        <v/>
      </c>
      <c r="AG170" s="108" t="str">
        <f t="array" ref="AG170">IF(ISNUMBER(AC170),INDEX('All Player Data Store'!$K$8:$K$594,SMALL(IF('All Player Data Store'!$Y$7:$Y$594=AC170,ROW('All Player Data Store'!$Y$7:$Y$594)-ROW('All Player Data Store'!$Y$7)+1),COUNTIF($AC$8:AC170,AC170))),"")</f>
        <v/>
      </c>
      <c r="AH170" s="108" t="str">
        <f t="shared" si="4"/>
        <v/>
      </c>
      <c r="AI170" s="108" t="str">
        <f t="array" ref="AI170">IF(ISNUMBER(AC170),INDEX('All Player Data Store'!$L$8:$L$594,SMALL(IF('All Player Data Store'!$Y$7:$Y$594=AC170,ROW('All Player Data Store'!$Y$7:$Y$594)-ROW('All Player Data Store'!$Y$7)+1),COUNTIF($AC$8:AC170,AC170))),"")</f>
        <v/>
      </c>
      <c r="AJ170" s="108" t="str">
        <f t="shared" si="5"/>
        <v/>
      </c>
      <c r="AK170" s="108" t="str">
        <f t="array" ref="AK170">IF(ISNUMBER(AC170),INDEX('All Player Data Store'!$M$8:$M$594,SMALL(IF('All Player Data Store'!$Y$7:$Y$594=AC170,ROW('All Player Data Store'!$Y$7:$Y$594)-ROW('All Player Data Store'!$Y$7)+1),COUNTIF($AC$8:AC170,AC170))),"")</f>
        <v/>
      </c>
      <c r="AL170" s="108" t="str">
        <f t="shared" si="6"/>
        <v/>
      </c>
      <c r="AM170" s="108" t="str">
        <f t="array" ref="AM170">IF(ISNUMBER(AC170),INDEX('All Player Data Store'!$N$8:$N$594,SMALL(IF('All Player Data Store'!$Y$7:$Y$594=AC170,ROW('All Player Data Store'!$Y$7:$Y$594)-ROW('All Player Data Store'!$Y$7)+1),COUNTIF($AC$8:AC170,AC170))),"")</f>
        <v/>
      </c>
      <c r="AN170" s="108" t="str">
        <f t="shared" si="7"/>
        <v/>
      </c>
      <c r="AO170" s="108" t="str">
        <f t="array" ref="AO170">IF(ISNUMBER(AC170),INDEX('All Player Data Store'!$O$8:$O$594,SMALL(IF('All Player Data Store'!$Y$7:$Y$594=AC170,ROW('All Player Data Store'!$Y$7:$Y$594)-ROW('All Player Data Store'!$Y$7)+1),COUNTIF($AC$8:AC170,AC170))),"")</f>
        <v/>
      </c>
      <c r="AP170" s="108" t="str">
        <f t="shared" si="8"/>
        <v/>
      </c>
      <c r="AQ170" s="108" t="str">
        <f t="array" ref="AQ170">IF(ISNUMBER(AC170),INDEX('All Player Data Store'!$P$8:$P$594,SMALL(IF('All Player Data Store'!$Y$7:$Y$594=AC170,ROW('All Player Data Store'!$Y$7:$Y$594)-ROW('All Player Data Store'!$Y$7)+1),COUNTIF($AC$8:AC170,AC170))),"")</f>
        <v/>
      </c>
      <c r="AR170" s="108" t="str">
        <f t="shared" si="9"/>
        <v/>
      </c>
      <c r="AS170" s="108" t="str">
        <f t="array" ref="AS170">IF(ISNUMBER(AC170),INDEX('All Player Data Store'!$Q$8:$Q$594,SMALL(IF('All Player Data Store'!$Y$7:$Y$594=AC170,ROW('All Player Data Store'!$Y$7:$Y$594)-ROW('All Player Data Store'!$Y$7)+1),COUNTIF($AC$8:AC170,AC170))),"")</f>
        <v/>
      </c>
      <c r="AT170" s="108" t="str">
        <f t="shared" si="10"/>
        <v/>
      </c>
      <c r="AU170" s="108" t="str">
        <f t="array" ref="AU170">IF(ISNUMBER(AC170),INDEX('All Player Data Store'!$R$8:$R$594,SMALL(IF('All Player Data Store'!$Y$7:$Y$594=AC170,ROW('All Player Data Store'!$Y$7:$Y$594)-ROW('All Player Data Store'!$Y$7)+1),COUNTIF($AC$8:AC170,AC170))),"")</f>
        <v>3*4</v>
      </c>
      <c r="AV170" s="108">
        <f t="shared" si="11"/>
        <v>18.54</v>
      </c>
      <c r="AW170" s="108" t="str">
        <f t="array" ref="AW170">IF(ISNUMBER(AC170),INDEX('All Player Data Store'!$S$8:$S$594,SMALL(IF('All Player Data Store'!$Y$7:$Y$594=AC170,ROW('All Player Data Store'!$Y$7:$Y$594)-ROW('All Player Data Store'!$Y$7)+1),COUNTIF($AC$8:AC170,AC170))),"")</f>
        <v/>
      </c>
      <c r="AX170" s="108" t="str">
        <f t="shared" si="12"/>
        <v/>
      </c>
      <c r="AY170" s="108" t="str">
        <f t="array" ref="AY170">IF(ISNUMBER(AC170),INDEX('All Player Data Store'!$T$8:$T$594,SMALL(IF('All Player Data Store'!$Y$7:$Y$594=AC170,ROW('All Player Data Store'!$Y$7:$Y$594)-ROW('All Player Data Store'!$Y$7)+1),COUNTIF($AC$8:AC170,AC170))),"")</f>
        <v/>
      </c>
      <c r="AZ170" s="108" t="str">
        <f t="shared" si="13"/>
        <v/>
      </c>
      <c r="BA170" s="108" t="str">
        <f t="array" ref="BA170">IF(ISNUMBER(AC170),INDEX('All Player Data Store'!$U$8:$U$594,SMALL(IF('All Player Data Store'!$Y$7:$Y$594=AC170,ROW('All Player Data Store'!$Y$7:$Y$594)-ROW('All Player Data Store'!$Y$7)+1),COUNTIF($AC$8:AC170,AC170))),"")</f>
        <v/>
      </c>
      <c r="BB170" s="108" t="str">
        <f t="shared" si="14"/>
        <v/>
      </c>
      <c r="BC170" s="108" t="str">
        <f t="array" ref="BC170">IF(ISNUMBER(AC170),INDEX('All Player Data Store'!$V$8:$V$594,SMALL(IF('All Player Data Store'!$Y$7:$Y$594=AC170,ROW('All Player Data Store'!$Y$7:$Y$594)-ROW('All Player Data Store'!$Y$7)+1),COUNTIF($AC$8:AC170,AC170))),"")</f>
        <v/>
      </c>
      <c r="BD170" s="108" t="str">
        <f t="shared" si="15"/>
        <v/>
      </c>
      <c r="BE170" s="1"/>
    </row>
    <row r="171" spans="2:57" ht="12" customHeight="1" x14ac:dyDescent="0.2">
      <c r="B171" s="98" t="str">
        <f t="shared" si="0"/>
        <v>N</v>
      </c>
      <c r="C171" s="1"/>
      <c r="D171" s="68">
        <f t="shared" si="1"/>
        <v>164</v>
      </c>
      <c r="E171" s="2"/>
      <c r="F171" s="78">
        <v>164</v>
      </c>
      <c r="G171" s="110" t="str">
        <f t="array" ref="G171">IF(ISNUMBER(AC171),INDEX('All Player Data Store'!$C$7:$C$594,SMALL(IF('All Player Data Store'!$Y$7:$Y$594=AC171,ROW('All Player Data Store'!$Y$7:$Y$594)-ROW('All Player Data Store'!$Y$7)+1),COUNTIF($AC$8:AC171,AC171))),"")</f>
        <v>Sam Hardy</v>
      </c>
      <c r="H171" s="111" t="str">
        <f t="array" ref="H171">IF(ISNUMBER(AC171),INDEX('All Player Data Store'!$D$7:$D$594,SMALL(IF('All Player Data Store'!$Y$7:$Y$594=AC171,ROW('All Player Data Store'!$Y$7:$Y$594)-ROW('All Player Data Store'!$Y$7)+1),COUNTIF($AC$8:AC171,AC171))),"")</f>
        <v>Bou</v>
      </c>
      <c r="I171" s="69">
        <f t="array" ref="I171">IF(ISNUMBER(AC171),INDEX('All Player Data Store'!$E$7:$E$594,SMALL(IF('All Player Data Store'!$Y$7:$Y$594=AC171,ROW('All Player Data Store'!$Y$7:$Y$594)-ROW('All Player Data Store'!$Y$7)+1),COUNTIF($AC$8:AC171,AC171))),"")</f>
        <v>3</v>
      </c>
      <c r="J171" s="70">
        <f t="array" ref="J171">IF(ISNUMBER(AC171),INDEX('All Player Data Store'!$F$7:$F$594,SMALL(IF('All Player Data Store'!$Y$7:$Y$594=AC171,ROW('All Player Data Store'!$Y$7:$Y$594)-ROW('All Player Data Store'!$Y$7)+1),COUNTIF($AC$8:AC171,AC171))),"")</f>
        <v>1</v>
      </c>
      <c r="K171" s="112">
        <f t="array" ref="K171">IF(ISNUMBER(AC171),INDEX('All Player Data Store'!$G$7:$G$594,SMALL(IF('All Player Data Store'!$Y$7:$Y$594=AC171,ROW('All Player Data Store'!$Y$7:$Y$594)-ROW('All Player Data Store'!$Y$7)+1),COUNTIF($AC$8:AC171,AC171))),"")</f>
        <v>2</v>
      </c>
      <c r="L171" s="112">
        <f t="array" ref="L171">IF(ISNUMBER(AC171),INDEX('All Player Data Store'!$H$7:$H$594,SMALL(IF('All Player Data Store'!$Y$7:$Y$594=AC171,ROW('All Player Data Store'!$Y$7:$Y$594)-ROW('All Player Data Store'!$Y$7)+1),COUNTIF($AC$8:AC171,AC171))),"")</f>
        <v>6</v>
      </c>
      <c r="M171" s="113">
        <f t="array" ref="M171">IF(ISNUMBER(AC171),INDEX('All Player Data Store'!$I$7:$I$594,SMALL(IF('All Player Data Store'!$Y$7:$Y$594=AC171,ROW('All Player Data Store'!$Y$7:$Y$594)-ROW('All Player Data Store'!$Y$7)+1),COUNTIF($AC$8:AC171,AC171))),"")</f>
        <v>11</v>
      </c>
      <c r="N171" s="114" t="str">
        <f t="array" ref="N171">IF(ISNUMBER(AC171),INDEX('All Player Data Store'!$J$7:$J$594,SMALL(IF('All Player Data Store'!$Y$7:$Y$594=AC171,ROW('All Player Data Store'!$Y$7:$Y$594)-ROW('All Player Data Store'!$Y$7)+1),COUNTIF($AC$8:AC171,AC171))),"")</f>
        <v/>
      </c>
      <c r="O171" s="108">
        <f t="array" ref="O171">IF(ISNUMBER(AC171),INDEX('All Player Data Store'!$K$7:$K$594,SMALL(IF('All Player Data Store'!$Y$7:$Y$594=AC171,ROW('All Player Data Store'!$Y$7:$Y$594)-ROW('All Player Data Store'!$Y$7)+1),COUNTIF($AC$8:AC171,AC171))),"")</f>
        <v>18.55</v>
      </c>
      <c r="P171" s="108" t="str">
        <f t="array" ref="P171">IF(ISNUMBER(AC171),INDEX('All Player Data Store'!$L$7:$L$594,SMALL(IF('All Player Data Store'!$Y$7:$Y$594=AC171,ROW('All Player Data Store'!$Y$7:$Y$594)-ROW('All Player Data Store'!$Y$7)+1),COUNTIF($AC$8:AC171,AC171))),"")</f>
        <v/>
      </c>
      <c r="Q171" s="108" t="str">
        <f t="array" ref="Q171">IF(ISNUMBER(AC171),INDEX('All Player Data Store'!$M$7:$M$594,SMALL(IF('All Player Data Store'!$Y$7:$Y$594=AC171,ROW('All Player Data Store'!$Y$7:$Y$594)-ROW('All Player Data Store'!$Y$7)+1),COUNTIF($AC$8:AC171,AC171))),"")</f>
        <v/>
      </c>
      <c r="R171" s="108" t="str">
        <f t="array" ref="R171">IF(ISNUMBER(AC171),INDEX('All Player Data Store'!$N$7:$N$594,SMALL(IF('All Player Data Store'!$Y$7:$Y$594=AC171,ROW('All Player Data Store'!$Y$7:$Y$594)-ROW('All Player Data Store'!$Y$7)+1),COUNTIF($AC$8:AC171,AC171))),"")</f>
        <v/>
      </c>
      <c r="S171" s="108" t="str">
        <f t="array" ref="S171">IF(ISNUMBER(AC171),INDEX('All Player Data Store'!$O$7:$O$594,SMALL(IF('All Player Data Store'!$Y$7:$Y$594=AC171,ROW('All Player Data Store'!$Y$7:$Y$594)-ROW('All Player Data Store'!$Y$7)+1),COUNTIF($AC$8:AC171,AC171))),"")</f>
        <v/>
      </c>
      <c r="T171" s="108" t="str">
        <f t="array" ref="T171">IF(ISNUMBER(AC171),INDEX('All Player Data Store'!$P$7:$P$594,SMALL(IF('All Player Data Store'!$Y$7:$Y$594=AC171,ROW('All Player Data Store'!$Y$7:$Y$594)-ROW('All Player Data Store'!$Y$7)+1),COUNTIF($AC$8:AC171,AC171))),"")</f>
        <v/>
      </c>
      <c r="U171" s="108" t="str">
        <f t="array" ref="U171">IF(ISNUMBER(AC171),INDEX('All Player Data Store'!$Q$7:$Q$594,SMALL(IF('All Player Data Store'!$Y$7:$Y$594=AC171,ROW('All Player Data Store'!$Y$7:$Y$594)-ROW('All Player Data Store'!$Y$7)+1),COUNTIF($AC$8:AC171,AC171))),"")</f>
        <v/>
      </c>
      <c r="V171" s="108">
        <f t="array" ref="V171">IF(ISNUMBER(AC171),INDEX('All Player Data Store'!$R$7:$R$594,SMALL(IF('All Player Data Store'!$Y$7:$Y$594=AC171,ROW('All Player Data Store'!$Y$7:$Y$594)-ROW('All Player Data Store'!$Y$7)+1),COUNTIF($AC$8:AC171,AC171))),"")</f>
        <v>16.09</v>
      </c>
      <c r="W171" s="108" t="str">
        <f t="array" ref="W171">IF(ISNUMBER(AC171),INDEX('All Player Data Store'!$S$7:$S$594,SMALL(IF('All Player Data Store'!$Y$7:$Y$594=AC171,ROW('All Player Data Store'!$Y$7:$Y$594)-ROW('All Player Data Store'!$Y$7)+1),COUNTIF($AC$8:AC171,AC171))),"")</f>
        <v/>
      </c>
      <c r="X171" s="108" t="str">
        <f t="array" ref="X171">IF(ISNUMBER(AC171),INDEX('All Player Data Store'!$T$7:$T$594,SMALL(IF('All Player Data Store'!$Y$7:$Y$594=AC171,ROW('All Player Data Store'!$Y$7:$Y$594)-ROW('All Player Data Store'!$Y$7)+1),COUNTIF($AC$8:AC171,AC171))),"")</f>
        <v/>
      </c>
      <c r="Y171" s="108" t="str">
        <f t="array" ref="Y171">IF(ISNUMBER(AC171),INDEX('All Player Data Store'!$U$7:$U$594,SMALL(IF('All Player Data Store'!$Y$7:$Y$594=AC171,ROW('All Player Data Store'!$Y$7:$Y$594)-ROW('All Player Data Store'!$Y$7)+1),COUNTIF($AC$8:AC171,AC171))),"")</f>
        <v/>
      </c>
      <c r="Z171" s="108">
        <f t="array" ref="Z171">IF(ISNUMBER(AC171),INDEX('All Player Data Store'!$V$7:$V$594,SMALL(IF('All Player Data Store'!$Y$7:$Y$594=AC171,ROW('All Player Data Store'!$Y$7:$Y$594)-ROW('All Player Data Store'!$Y$7)+1),COUNTIF($AC$8:AC171,AC171))),"")</f>
        <v>17.8</v>
      </c>
      <c r="AA171" s="112" t="str">
        <f t="array" ref="AA171">IF(ISNUMBER(AC171),INDEX('All Player Data Store'!$W$7:$W$594,SMALL(IF('All Player Data Store'!$Y$7:$Y$594=AC171,ROW('All Player Data Store'!$Y$7:$Y$594)-ROW('All Player Data Store'!$Y$7)+1),COUNTIF($AC$8:AC171,AC171))),"")</f>
        <v/>
      </c>
      <c r="AB171" s="108">
        <f t="array" ref="AB171">IF(ISNUMBER(AC171),INDEX('All Player Data Store'!$X$7:$X$594,SMALL(IF('All Player Data Store'!$Y$7:$Y$594=AC171,ROW('All Player Data Store'!$Y$7:$Y$594)-ROW('All Player Data Store'!$Y$7)+1),COUNTIF($AC$8:AC171,AC171))),"")</f>
        <v>17.48</v>
      </c>
      <c r="AC171" s="115">
        <f>IF(ISERROR(IF(ISERROR(LARGE('All Player Data Store'!$Y$7:$Y$594,164)),"",(LARGE('All Player Data Store'!$Y$7:$Y$594,164)))),"",(IF(ISERROR(LARGE('All Player Data Store'!$Y$7:$Y$594,164)),"",(LARGE('All Player Data Store'!$Y$7:$Y$594,164)))))</f>
        <v>18.48</v>
      </c>
      <c r="AD171" s="106">
        <f t="shared" si="16"/>
        <v>3</v>
      </c>
      <c r="AE171" s="107" t="str">
        <f t="array" ref="AE171">IF(ISNUMBER(AC171),INDEX('All Player Data Store'!$J$8:$J$594,SMALL(IF('All Player Data Store'!$Y$7:$Y$594=AC171,ROW('All Player Data Store'!$Y$7:$Y$594)-ROW('All Player Data Store'!$Y$7)+1),COUNTIF($AC$8:AC171,AC171))),"")</f>
        <v/>
      </c>
      <c r="AF171" s="108" t="str">
        <f t="shared" si="3"/>
        <v/>
      </c>
      <c r="AG171" s="108" t="str">
        <f t="array" ref="AG171">IF(ISNUMBER(AC171),INDEX('All Player Data Store'!$K$8:$K$594,SMALL(IF('All Player Data Store'!$Y$7:$Y$594=AC171,ROW('All Player Data Store'!$Y$7:$Y$594)-ROW('All Player Data Store'!$Y$7)+1),COUNTIF($AC$8:AC171,AC171))),"")</f>
        <v>2*4</v>
      </c>
      <c r="AH171" s="108">
        <f t="shared" si="4"/>
        <v>18.55</v>
      </c>
      <c r="AI171" s="108" t="str">
        <f t="array" ref="AI171">IF(ISNUMBER(AC171),INDEX('All Player Data Store'!$L$8:$L$594,SMALL(IF('All Player Data Store'!$Y$7:$Y$594=AC171,ROW('All Player Data Store'!$Y$7:$Y$594)-ROW('All Player Data Store'!$Y$7)+1),COUNTIF($AC$8:AC171,AC171))),"")</f>
        <v/>
      </c>
      <c r="AJ171" s="108" t="str">
        <f t="shared" si="5"/>
        <v/>
      </c>
      <c r="AK171" s="108" t="str">
        <f t="array" ref="AK171">IF(ISNUMBER(AC171),INDEX('All Player Data Store'!$M$8:$M$594,SMALL(IF('All Player Data Store'!$Y$7:$Y$594=AC171,ROW('All Player Data Store'!$Y$7:$Y$594)-ROW('All Player Data Store'!$Y$7)+1),COUNTIF($AC$8:AC171,AC171))),"")</f>
        <v/>
      </c>
      <c r="AL171" s="108" t="str">
        <f t="shared" si="6"/>
        <v/>
      </c>
      <c r="AM171" s="108" t="str">
        <f t="array" ref="AM171">IF(ISNUMBER(AC171),INDEX('All Player Data Store'!$N$8:$N$594,SMALL(IF('All Player Data Store'!$Y$7:$Y$594=AC171,ROW('All Player Data Store'!$Y$7:$Y$594)-ROW('All Player Data Store'!$Y$7)+1),COUNTIF($AC$8:AC171,AC171))),"")</f>
        <v/>
      </c>
      <c r="AN171" s="108" t="str">
        <f t="shared" si="7"/>
        <v/>
      </c>
      <c r="AO171" s="108" t="str">
        <f t="array" ref="AO171">IF(ISNUMBER(AC171),INDEX('All Player Data Store'!$O$8:$O$594,SMALL(IF('All Player Data Store'!$Y$7:$Y$594=AC171,ROW('All Player Data Store'!$Y$7:$Y$594)-ROW('All Player Data Store'!$Y$7)+1),COUNTIF($AC$8:AC171,AC171))),"")</f>
        <v/>
      </c>
      <c r="AP171" s="108" t="str">
        <f t="shared" si="8"/>
        <v/>
      </c>
      <c r="AQ171" s="108" t="str">
        <f t="array" ref="AQ171">IF(ISNUMBER(AC171),INDEX('All Player Data Store'!$P$8:$P$594,SMALL(IF('All Player Data Store'!$Y$7:$Y$594=AC171,ROW('All Player Data Store'!$Y$7:$Y$594)-ROW('All Player Data Store'!$Y$7)+1),COUNTIF($AC$8:AC171,AC171))),"")</f>
        <v/>
      </c>
      <c r="AR171" s="108" t="str">
        <f t="shared" si="9"/>
        <v/>
      </c>
      <c r="AS171" s="108" t="str">
        <f t="array" ref="AS171">IF(ISNUMBER(AC171),INDEX('All Player Data Store'!$Q$8:$Q$594,SMALL(IF('All Player Data Store'!$Y$7:$Y$594=AC171,ROW('All Player Data Store'!$Y$7:$Y$594)-ROW('All Player Data Store'!$Y$7)+1),COUNTIF($AC$8:AC171,AC171))),"")</f>
        <v/>
      </c>
      <c r="AT171" s="108" t="str">
        <f t="shared" si="10"/>
        <v/>
      </c>
      <c r="AU171" s="108" t="str">
        <f t="array" ref="AU171">IF(ISNUMBER(AC171),INDEX('All Player Data Store'!$R$8:$R$594,SMALL(IF('All Player Data Store'!$Y$7:$Y$594=AC171,ROW('All Player Data Store'!$Y$7:$Y$594)-ROW('All Player Data Store'!$Y$7)+1),COUNTIF($AC$8:AC171,AC171))),"")</f>
        <v>0*4</v>
      </c>
      <c r="AV171" s="108">
        <f t="shared" si="11"/>
        <v>16.09</v>
      </c>
      <c r="AW171" s="108" t="str">
        <f t="array" ref="AW171">IF(ISNUMBER(AC171),INDEX('All Player Data Store'!$S$8:$S$594,SMALL(IF('All Player Data Store'!$Y$7:$Y$594=AC171,ROW('All Player Data Store'!$Y$7:$Y$594)-ROW('All Player Data Store'!$Y$7)+1),COUNTIF($AC$8:AC171,AC171))),"")</f>
        <v/>
      </c>
      <c r="AX171" s="108" t="str">
        <f t="shared" si="12"/>
        <v/>
      </c>
      <c r="AY171" s="108" t="str">
        <f t="array" ref="AY171">IF(ISNUMBER(AC171),INDEX('All Player Data Store'!$T$8:$T$594,SMALL(IF('All Player Data Store'!$Y$7:$Y$594=AC171,ROW('All Player Data Store'!$Y$7:$Y$594)-ROW('All Player Data Store'!$Y$7)+1),COUNTIF($AC$8:AC171,AC171))),"")</f>
        <v/>
      </c>
      <c r="AZ171" s="108" t="str">
        <f t="shared" si="13"/>
        <v/>
      </c>
      <c r="BA171" s="108" t="str">
        <f t="array" ref="BA171">IF(ISNUMBER(AC171),INDEX('All Player Data Store'!$U$8:$U$594,SMALL(IF('All Player Data Store'!$Y$7:$Y$594=AC171,ROW('All Player Data Store'!$Y$7:$Y$594)-ROW('All Player Data Store'!$Y$7)+1),COUNTIF($AC$8:AC171,AC171))),"")</f>
        <v/>
      </c>
      <c r="BB171" s="108" t="str">
        <f t="shared" si="14"/>
        <v/>
      </c>
      <c r="BC171" s="108" t="str">
        <f t="array" ref="BC171">IF(ISNUMBER(AC171),INDEX('All Player Data Store'!$V$8:$V$594,SMALL(IF('All Player Data Store'!$Y$7:$Y$594=AC171,ROW('All Player Data Store'!$Y$7:$Y$594)-ROW('All Player Data Store'!$Y$7)+1),COUNTIF($AC$8:AC171,AC171))),"")</f>
        <v>4*3</v>
      </c>
      <c r="BD171" s="108">
        <f t="shared" si="15"/>
        <v>18.8</v>
      </c>
      <c r="BE171" s="1"/>
    </row>
    <row r="172" spans="2:57" ht="12" customHeight="1" x14ac:dyDescent="0.2">
      <c r="B172" s="98" t="str">
        <f t="shared" si="0"/>
        <v>N</v>
      </c>
      <c r="C172" s="1"/>
      <c r="D172" s="68">
        <f t="shared" si="1"/>
        <v>165</v>
      </c>
      <c r="E172" s="2"/>
      <c r="F172" s="78">
        <v>165</v>
      </c>
      <c r="G172" s="110" t="str">
        <f t="array" ref="G172">IF(ISNUMBER(AC172),INDEX('All Player Data Store'!$C$7:$C$594,SMALL(IF('All Player Data Store'!$Y$7:$Y$594=AC172,ROW('All Player Data Store'!$Y$7:$Y$594)-ROW('All Player Data Store'!$Y$7)+1),COUNTIF($AC$8:AC172,AC172))),"")</f>
        <v>Pete Honeybun</v>
      </c>
      <c r="H172" s="111" t="str">
        <f t="array" ref="H172">IF(ISNUMBER(AC172),INDEX('All Player Data Store'!$D$7:$D$594,SMALL(IF('All Player Data Store'!$Y$7:$Y$594=AC172,ROW('All Player Data Store'!$Y$7:$Y$594)-ROW('All Player Data Store'!$Y$7)+1),COUNTIF($AC$8:AC172,AC172))),"")</f>
        <v>Wey</v>
      </c>
      <c r="I172" s="69">
        <f t="array" ref="I172">IF(ISNUMBER(AC172),INDEX('All Player Data Store'!$E$7:$E$594,SMALL(IF('All Player Data Store'!$Y$7:$Y$594=AC172,ROW('All Player Data Store'!$Y$7:$Y$594)-ROW('All Player Data Store'!$Y$7)+1),COUNTIF($AC$8:AC172,AC172))),"")</f>
        <v>1</v>
      </c>
      <c r="J172" s="70" t="str">
        <f t="array" ref="J172">IF(ISNUMBER(AC172),INDEX('All Player Data Store'!$F$7:$F$594,SMALL(IF('All Player Data Store'!$Y$7:$Y$594=AC172,ROW('All Player Data Store'!$Y$7:$Y$594)-ROW('All Player Data Store'!$Y$7)+1),COUNTIF($AC$8:AC172,AC172))),"")</f>
        <v/>
      </c>
      <c r="K172" s="112">
        <f t="array" ref="K172">IF(ISNUMBER(AC172),INDEX('All Player Data Store'!$G$7:$G$594,SMALL(IF('All Player Data Store'!$Y$7:$Y$594=AC172,ROW('All Player Data Store'!$Y$7:$Y$594)-ROW('All Player Data Store'!$Y$7)+1),COUNTIF($AC$8:AC172,AC172))),"")</f>
        <v>1</v>
      </c>
      <c r="L172" s="112">
        <f t="array" ref="L172">IF(ISNUMBER(AC172),INDEX('All Player Data Store'!$H$7:$H$594,SMALL(IF('All Player Data Store'!$Y$7:$Y$594=AC172,ROW('All Player Data Store'!$Y$7:$Y$594)-ROW('All Player Data Store'!$Y$7)+1),COUNTIF($AC$8:AC172,AC172))),"")</f>
        <v>2</v>
      </c>
      <c r="M172" s="113">
        <f t="array" ref="M172">IF(ISNUMBER(AC172),INDEX('All Player Data Store'!$I$7:$I$594,SMALL(IF('All Player Data Store'!$Y$7:$Y$594=AC172,ROW('All Player Data Store'!$Y$7:$Y$594)-ROW('All Player Data Store'!$Y$7)+1),COUNTIF($AC$8:AC172,AC172))),"")</f>
        <v>4</v>
      </c>
      <c r="N172" s="114" t="str">
        <f t="array" ref="N172">IF(ISNUMBER(AC172),INDEX('All Player Data Store'!$J$7:$J$594,SMALL(IF('All Player Data Store'!$Y$7:$Y$594=AC172,ROW('All Player Data Store'!$Y$7:$Y$594)-ROW('All Player Data Store'!$Y$7)+1),COUNTIF($AC$8:AC172,AC172))),"")</f>
        <v/>
      </c>
      <c r="O172" s="108">
        <f t="array" ref="O172">IF(ISNUMBER(AC172),INDEX('All Player Data Store'!$K$7:$K$594,SMALL(IF('All Player Data Store'!$Y$7:$Y$594=AC172,ROW('All Player Data Store'!$Y$7:$Y$594)-ROW('All Player Data Store'!$Y$7)+1),COUNTIF($AC$8:AC172,AC172))),"")</f>
        <v>18.11</v>
      </c>
      <c r="P172" s="108" t="str">
        <f t="array" ref="P172">IF(ISNUMBER(AC172),INDEX('All Player Data Store'!$L$7:$L$594,SMALL(IF('All Player Data Store'!$Y$7:$Y$594=AC172,ROW('All Player Data Store'!$Y$7:$Y$594)-ROW('All Player Data Store'!$Y$7)+1),COUNTIF($AC$8:AC172,AC172))),"")</f>
        <v/>
      </c>
      <c r="Q172" s="108" t="str">
        <f t="array" ref="Q172">IF(ISNUMBER(AC172),INDEX('All Player Data Store'!$M$7:$M$594,SMALL(IF('All Player Data Store'!$Y$7:$Y$594=AC172,ROW('All Player Data Store'!$Y$7:$Y$594)-ROW('All Player Data Store'!$Y$7)+1),COUNTIF($AC$8:AC172,AC172))),"")</f>
        <v/>
      </c>
      <c r="R172" s="108" t="str">
        <f t="array" ref="R172">IF(ISNUMBER(AC172),INDEX('All Player Data Store'!$N$7:$N$594,SMALL(IF('All Player Data Store'!$Y$7:$Y$594=AC172,ROW('All Player Data Store'!$Y$7:$Y$594)-ROW('All Player Data Store'!$Y$7)+1),COUNTIF($AC$8:AC172,AC172))),"")</f>
        <v/>
      </c>
      <c r="S172" s="108" t="str">
        <f t="array" ref="S172">IF(ISNUMBER(AC172),INDEX('All Player Data Store'!$O$7:$O$594,SMALL(IF('All Player Data Store'!$Y$7:$Y$594=AC172,ROW('All Player Data Store'!$Y$7:$Y$594)-ROW('All Player Data Store'!$Y$7)+1),COUNTIF($AC$8:AC172,AC172))),"")</f>
        <v/>
      </c>
      <c r="T172" s="108" t="str">
        <f t="array" ref="T172">IF(ISNUMBER(AC172),INDEX('All Player Data Store'!$P$7:$P$594,SMALL(IF('All Player Data Store'!$Y$7:$Y$594=AC172,ROW('All Player Data Store'!$Y$7:$Y$594)-ROW('All Player Data Store'!$Y$7)+1),COUNTIF($AC$8:AC172,AC172))),"")</f>
        <v/>
      </c>
      <c r="U172" s="108" t="str">
        <f t="array" ref="U172">IF(ISNUMBER(AC172),INDEX('All Player Data Store'!$Q$7:$Q$594,SMALL(IF('All Player Data Store'!$Y$7:$Y$594=AC172,ROW('All Player Data Store'!$Y$7:$Y$594)-ROW('All Player Data Store'!$Y$7)+1),COUNTIF($AC$8:AC172,AC172))),"")</f>
        <v/>
      </c>
      <c r="V172" s="108" t="str">
        <f t="array" ref="V172">IF(ISNUMBER(AC172),INDEX('All Player Data Store'!$R$7:$R$594,SMALL(IF('All Player Data Store'!$Y$7:$Y$594=AC172,ROW('All Player Data Store'!$Y$7:$Y$594)-ROW('All Player Data Store'!$Y$7)+1),COUNTIF($AC$8:AC172,AC172))),"")</f>
        <v/>
      </c>
      <c r="W172" s="108" t="str">
        <f t="array" ref="W172">IF(ISNUMBER(AC172),INDEX('All Player Data Store'!$S$7:$S$594,SMALL(IF('All Player Data Store'!$Y$7:$Y$594=AC172,ROW('All Player Data Store'!$Y$7:$Y$594)-ROW('All Player Data Store'!$Y$7)+1),COUNTIF($AC$8:AC172,AC172))),"")</f>
        <v/>
      </c>
      <c r="X172" s="108" t="str">
        <f t="array" ref="X172">IF(ISNUMBER(AC172),INDEX('All Player Data Store'!$T$7:$T$594,SMALL(IF('All Player Data Store'!$Y$7:$Y$594=AC172,ROW('All Player Data Store'!$Y$7:$Y$594)-ROW('All Player Data Store'!$Y$7)+1),COUNTIF($AC$8:AC172,AC172))),"")</f>
        <v/>
      </c>
      <c r="Y172" s="108" t="str">
        <f t="array" ref="Y172">IF(ISNUMBER(AC172),INDEX('All Player Data Store'!$U$7:$U$594,SMALL(IF('All Player Data Store'!$Y$7:$Y$594=AC172,ROW('All Player Data Store'!$Y$7:$Y$594)-ROW('All Player Data Store'!$Y$7)+1),COUNTIF($AC$8:AC172,AC172))),"")</f>
        <v/>
      </c>
      <c r="Z172" s="108" t="str">
        <f t="array" ref="Z172">IF(ISNUMBER(AC172),INDEX('All Player Data Store'!$V$7:$V$594,SMALL(IF('All Player Data Store'!$Y$7:$Y$594=AC172,ROW('All Player Data Store'!$Y$7:$Y$594)-ROW('All Player Data Store'!$Y$7)+1),COUNTIF($AC$8:AC172,AC172))),"")</f>
        <v/>
      </c>
      <c r="AA172" s="112" t="str">
        <f t="array" ref="AA172">IF(ISNUMBER(AC172),INDEX('All Player Data Store'!$W$7:$W$594,SMALL(IF('All Player Data Store'!$Y$7:$Y$594=AC172,ROW('All Player Data Store'!$Y$7:$Y$594)-ROW('All Player Data Store'!$Y$7)+1),COUNTIF($AC$8:AC172,AC172))),"")</f>
        <v/>
      </c>
      <c r="AB172" s="108">
        <f t="array" ref="AB172">IF(ISNUMBER(AC172),INDEX('All Player Data Store'!$X$7:$X$594,SMALL(IF('All Player Data Store'!$Y$7:$Y$594=AC172,ROW('All Player Data Store'!$Y$7:$Y$594)-ROW('All Player Data Store'!$Y$7)+1),COUNTIF($AC$8:AC172,AC172))),"")</f>
        <v>18.11</v>
      </c>
      <c r="AC172" s="115">
        <f>IF(ISERROR(IF(ISERROR(LARGE('All Player Data Store'!$Y$7:$Y$594,165)),"",(LARGE('All Player Data Store'!$Y$7:$Y$594,165)))),"",(IF(ISERROR(LARGE('All Player Data Store'!$Y$7:$Y$594,165)),"",(LARGE('All Player Data Store'!$Y$7:$Y$594,165)))))</f>
        <v>18.11</v>
      </c>
      <c r="AD172" s="106">
        <f t="shared" si="16"/>
        <v>3</v>
      </c>
      <c r="AE172" s="107" t="str">
        <f t="array" ref="AE172">IF(ISNUMBER(AC172),INDEX('All Player Data Store'!$J$8:$J$594,SMALL(IF('All Player Data Store'!$Y$7:$Y$594=AC172,ROW('All Player Data Store'!$Y$7:$Y$594)-ROW('All Player Data Store'!$Y$7)+1),COUNTIF($AC$8:AC172,AC172))),"")</f>
        <v/>
      </c>
      <c r="AF172" s="108" t="str">
        <f t="shared" si="3"/>
        <v/>
      </c>
      <c r="AG172" s="108" t="str">
        <f t="array" ref="AG172">IF(ISNUMBER(AC172),INDEX('All Player Data Store'!$K$8:$K$594,SMALL(IF('All Player Data Store'!$Y$7:$Y$594=AC172,ROW('All Player Data Store'!$Y$7:$Y$594)-ROW('All Player Data Store'!$Y$7)+1),COUNTIF($AC$8:AC172,AC172))),"")</f>
        <v>2*4</v>
      </c>
      <c r="AH172" s="108">
        <f t="shared" si="4"/>
        <v>18.11</v>
      </c>
      <c r="AI172" s="108" t="str">
        <f t="array" ref="AI172">IF(ISNUMBER(AC172),INDEX('All Player Data Store'!$L$8:$L$594,SMALL(IF('All Player Data Store'!$Y$7:$Y$594=AC172,ROW('All Player Data Store'!$Y$7:$Y$594)-ROW('All Player Data Store'!$Y$7)+1),COUNTIF($AC$8:AC172,AC172))),"")</f>
        <v/>
      </c>
      <c r="AJ172" s="108" t="str">
        <f t="shared" si="5"/>
        <v/>
      </c>
      <c r="AK172" s="108" t="str">
        <f t="array" ref="AK172">IF(ISNUMBER(AC172),INDEX('All Player Data Store'!$M$8:$M$594,SMALL(IF('All Player Data Store'!$Y$7:$Y$594=AC172,ROW('All Player Data Store'!$Y$7:$Y$594)-ROW('All Player Data Store'!$Y$7)+1),COUNTIF($AC$8:AC172,AC172))),"")</f>
        <v/>
      </c>
      <c r="AL172" s="108" t="str">
        <f t="shared" si="6"/>
        <v/>
      </c>
      <c r="AM172" s="108" t="str">
        <f t="array" ref="AM172">IF(ISNUMBER(AC172),INDEX('All Player Data Store'!$N$8:$N$594,SMALL(IF('All Player Data Store'!$Y$7:$Y$594=AC172,ROW('All Player Data Store'!$Y$7:$Y$594)-ROW('All Player Data Store'!$Y$7)+1),COUNTIF($AC$8:AC172,AC172))),"")</f>
        <v/>
      </c>
      <c r="AN172" s="108" t="str">
        <f t="shared" si="7"/>
        <v/>
      </c>
      <c r="AO172" s="108" t="str">
        <f t="array" ref="AO172">IF(ISNUMBER(AC172),INDEX('All Player Data Store'!$O$8:$O$594,SMALL(IF('All Player Data Store'!$Y$7:$Y$594=AC172,ROW('All Player Data Store'!$Y$7:$Y$594)-ROW('All Player Data Store'!$Y$7)+1),COUNTIF($AC$8:AC172,AC172))),"")</f>
        <v/>
      </c>
      <c r="AP172" s="108" t="str">
        <f t="shared" si="8"/>
        <v/>
      </c>
      <c r="AQ172" s="108" t="str">
        <f t="array" ref="AQ172">IF(ISNUMBER(AC172),INDEX('All Player Data Store'!$P$8:$P$594,SMALL(IF('All Player Data Store'!$Y$7:$Y$594=AC172,ROW('All Player Data Store'!$Y$7:$Y$594)-ROW('All Player Data Store'!$Y$7)+1),COUNTIF($AC$8:AC172,AC172))),"")</f>
        <v/>
      </c>
      <c r="AR172" s="108" t="str">
        <f t="shared" si="9"/>
        <v/>
      </c>
      <c r="AS172" s="108" t="str">
        <f t="array" ref="AS172">IF(ISNUMBER(AC172),INDEX('All Player Data Store'!$Q$8:$Q$594,SMALL(IF('All Player Data Store'!$Y$7:$Y$594=AC172,ROW('All Player Data Store'!$Y$7:$Y$594)-ROW('All Player Data Store'!$Y$7)+1),COUNTIF($AC$8:AC172,AC172))),"")</f>
        <v/>
      </c>
      <c r="AT172" s="108" t="str">
        <f t="shared" si="10"/>
        <v/>
      </c>
      <c r="AU172" s="108" t="str">
        <f t="array" ref="AU172">IF(ISNUMBER(AC172),INDEX('All Player Data Store'!$R$8:$R$594,SMALL(IF('All Player Data Store'!$Y$7:$Y$594=AC172,ROW('All Player Data Store'!$Y$7:$Y$594)-ROW('All Player Data Store'!$Y$7)+1),COUNTIF($AC$8:AC172,AC172))),"")</f>
        <v/>
      </c>
      <c r="AV172" s="108" t="str">
        <f t="shared" si="11"/>
        <v/>
      </c>
      <c r="AW172" s="108" t="str">
        <f t="array" ref="AW172">IF(ISNUMBER(AC172),INDEX('All Player Data Store'!$S$8:$S$594,SMALL(IF('All Player Data Store'!$Y$7:$Y$594=AC172,ROW('All Player Data Store'!$Y$7:$Y$594)-ROW('All Player Data Store'!$Y$7)+1),COUNTIF($AC$8:AC172,AC172))),"")</f>
        <v/>
      </c>
      <c r="AX172" s="108" t="str">
        <f t="shared" si="12"/>
        <v/>
      </c>
      <c r="AY172" s="108" t="str">
        <f t="array" ref="AY172">IF(ISNUMBER(AC172),INDEX('All Player Data Store'!$T$8:$T$594,SMALL(IF('All Player Data Store'!$Y$7:$Y$594=AC172,ROW('All Player Data Store'!$Y$7:$Y$594)-ROW('All Player Data Store'!$Y$7)+1),COUNTIF($AC$8:AC172,AC172))),"")</f>
        <v/>
      </c>
      <c r="AZ172" s="108" t="str">
        <f t="shared" si="13"/>
        <v/>
      </c>
      <c r="BA172" s="108" t="str">
        <f t="array" ref="BA172">IF(ISNUMBER(AC172),INDEX('All Player Data Store'!$U$8:$U$594,SMALL(IF('All Player Data Store'!$Y$7:$Y$594=AC172,ROW('All Player Data Store'!$Y$7:$Y$594)-ROW('All Player Data Store'!$Y$7)+1),COUNTIF($AC$8:AC172,AC172))),"")</f>
        <v/>
      </c>
      <c r="BB172" s="108" t="str">
        <f t="shared" si="14"/>
        <v/>
      </c>
      <c r="BC172" s="108" t="str">
        <f t="array" ref="BC172">IF(ISNUMBER(AC172),INDEX('All Player Data Store'!$V$8:$V$594,SMALL(IF('All Player Data Store'!$Y$7:$Y$594=AC172,ROW('All Player Data Store'!$Y$7:$Y$594)-ROW('All Player Data Store'!$Y$7)+1),COUNTIF($AC$8:AC172,AC172))),"")</f>
        <v/>
      </c>
      <c r="BD172" s="108" t="str">
        <f t="shared" si="15"/>
        <v/>
      </c>
      <c r="BE172" s="1"/>
    </row>
    <row r="173" spans="2:57" ht="12" customHeight="1" x14ac:dyDescent="0.2">
      <c r="B173" s="98" t="str">
        <f t="shared" si="0"/>
        <v>N</v>
      </c>
      <c r="C173" s="1"/>
      <c r="D173" s="68">
        <f t="shared" si="1"/>
        <v>166</v>
      </c>
      <c r="E173" s="2"/>
      <c r="F173" s="78">
        <v>166</v>
      </c>
      <c r="G173" s="110" t="str">
        <f t="array" ref="G173">IF(ISNUMBER(AC173),INDEX('All Player Data Store'!$C$7:$C$594,SMALL(IF('All Player Data Store'!$Y$7:$Y$594=AC173,ROW('All Player Data Store'!$Y$7:$Y$594)-ROW('All Player Data Store'!$Y$7)+1),COUNTIF($AC$8:AC173,AC173))),"")</f>
        <v>Marc Plummer</v>
      </c>
      <c r="H173" s="111" t="str">
        <f t="array" ref="H173">IF(ISNUMBER(AC173),INDEX('All Player Data Store'!$D$7:$D$594,SMALL(IF('All Player Data Store'!$Y$7:$Y$594=AC173,ROW('All Player Data Store'!$Y$7:$Y$594)-ROW('All Player Data Store'!$Y$7)+1),COUNTIF($AC$8:AC173,AC173))),"")</f>
        <v>Swa</v>
      </c>
      <c r="I173" s="69">
        <f t="array" ref="I173">IF(ISNUMBER(AC173),INDEX('All Player Data Store'!$E$7:$E$594,SMALL(IF('All Player Data Store'!$Y$7:$Y$594=AC173,ROW('All Player Data Store'!$Y$7:$Y$594)-ROW('All Player Data Store'!$Y$7)+1),COUNTIF($AC$8:AC173,AC173))),"")</f>
        <v>5</v>
      </c>
      <c r="J173" s="70" t="str">
        <f t="array" ref="J173">IF(ISNUMBER(AC173),INDEX('All Player Data Store'!$F$7:$F$594,SMALL(IF('All Player Data Store'!$Y$7:$Y$594=AC173,ROW('All Player Data Store'!$Y$7:$Y$594)-ROW('All Player Data Store'!$Y$7)+1),COUNTIF($AC$8:AC173,AC173))),"")</f>
        <v/>
      </c>
      <c r="K173" s="112">
        <f t="array" ref="K173">IF(ISNUMBER(AC173),INDEX('All Player Data Store'!$G$7:$G$594,SMALL(IF('All Player Data Store'!$Y$7:$Y$594=AC173,ROW('All Player Data Store'!$Y$7:$Y$594)-ROW('All Player Data Store'!$Y$7)+1),COUNTIF($AC$8:AC173,AC173))),"")</f>
        <v>5</v>
      </c>
      <c r="L173" s="112">
        <f t="array" ref="L173">IF(ISNUMBER(AC173),INDEX('All Player Data Store'!$H$7:$H$594,SMALL(IF('All Player Data Store'!$Y$7:$Y$594=AC173,ROW('All Player Data Store'!$Y$7:$Y$594)-ROW('All Player Data Store'!$Y$7)+1),COUNTIF($AC$8:AC173,AC173))),"")</f>
        <v>4</v>
      </c>
      <c r="M173" s="113">
        <f t="array" ref="M173">IF(ISNUMBER(AC173),INDEX('All Player Data Store'!$I$7:$I$594,SMALL(IF('All Player Data Store'!$Y$7:$Y$594=AC173,ROW('All Player Data Store'!$Y$7:$Y$594)-ROW('All Player Data Store'!$Y$7)+1),COUNTIF($AC$8:AC173,AC173))),"")</f>
        <v>20</v>
      </c>
      <c r="N173" s="114" t="str">
        <f t="array" ref="N173">IF(ISNUMBER(AC173),INDEX('All Player Data Store'!$J$7:$J$594,SMALL(IF('All Player Data Store'!$Y$7:$Y$594=AC173,ROW('All Player Data Store'!$Y$7:$Y$594)-ROW('All Player Data Store'!$Y$7)+1),COUNTIF($AC$8:AC173,AC173))),"")</f>
        <v/>
      </c>
      <c r="O173" s="108" t="str">
        <f t="array" ref="O173">IF(ISNUMBER(AC173),INDEX('All Player Data Store'!$K$7:$K$594,SMALL(IF('All Player Data Store'!$Y$7:$Y$594=AC173,ROW('All Player Data Store'!$Y$7:$Y$594)-ROW('All Player Data Store'!$Y$7)+1),COUNTIF($AC$8:AC173,AC173))),"")</f>
        <v/>
      </c>
      <c r="P173" s="108" t="str">
        <f t="array" ref="P173">IF(ISNUMBER(AC173),INDEX('All Player Data Store'!$L$7:$L$594,SMALL(IF('All Player Data Store'!$Y$7:$Y$594=AC173,ROW('All Player Data Store'!$Y$7:$Y$594)-ROW('All Player Data Store'!$Y$7)+1),COUNTIF($AC$8:AC173,AC173))),"")</f>
        <v/>
      </c>
      <c r="Q173" s="108" t="str">
        <f t="array" ref="Q173">IF(ISNUMBER(AC173),INDEX('All Player Data Store'!$M$7:$M$594,SMALL(IF('All Player Data Store'!$Y$7:$Y$594=AC173,ROW('All Player Data Store'!$Y$7:$Y$594)-ROW('All Player Data Store'!$Y$7)+1),COUNTIF($AC$8:AC173,AC173))),"")</f>
        <v/>
      </c>
      <c r="R173" s="108" t="str">
        <f t="array" ref="R173">IF(ISNUMBER(AC173),INDEX('All Player Data Store'!$N$7:$N$594,SMALL(IF('All Player Data Store'!$Y$7:$Y$594=AC173,ROW('All Player Data Store'!$Y$7:$Y$594)-ROW('All Player Data Store'!$Y$7)+1),COUNTIF($AC$8:AC173,AC173))),"")</f>
        <v/>
      </c>
      <c r="S173" s="108">
        <f t="array" ref="S173">IF(ISNUMBER(AC173),INDEX('All Player Data Store'!$O$7:$O$594,SMALL(IF('All Player Data Store'!$Y$7:$Y$594=AC173,ROW('All Player Data Store'!$Y$7:$Y$594)-ROW('All Player Data Store'!$Y$7)+1),COUNTIF($AC$8:AC173,AC173))),"")</f>
        <v>19.64</v>
      </c>
      <c r="T173" s="108">
        <f t="array" ref="T173">IF(ISNUMBER(AC173),INDEX('All Player Data Store'!$P$7:$P$594,SMALL(IF('All Player Data Store'!$Y$7:$Y$594=AC173,ROW('All Player Data Store'!$Y$7:$Y$594)-ROW('All Player Data Store'!$Y$7)+1),COUNTIF($AC$8:AC173,AC173))),"")</f>
        <v>17.940000000000001</v>
      </c>
      <c r="U173" s="108">
        <f t="array" ref="U173">IF(ISNUMBER(AC173),INDEX('All Player Data Store'!$Q$7:$Q$594,SMALL(IF('All Player Data Store'!$Y$7:$Y$594=AC173,ROW('All Player Data Store'!$Y$7:$Y$594)-ROW('All Player Data Store'!$Y$7)+1),COUNTIF($AC$8:AC173,AC173))),"")</f>
        <v>15.62</v>
      </c>
      <c r="V173" s="108" t="str">
        <f t="array" ref="V173">IF(ISNUMBER(AC173),INDEX('All Player Data Store'!$R$7:$R$594,SMALL(IF('All Player Data Store'!$Y$7:$Y$594=AC173,ROW('All Player Data Store'!$Y$7:$Y$594)-ROW('All Player Data Store'!$Y$7)+1),COUNTIF($AC$8:AC173,AC173))),"")</f>
        <v/>
      </c>
      <c r="W173" s="108">
        <f t="array" ref="W173">IF(ISNUMBER(AC173),INDEX('All Player Data Store'!$S$7:$S$594,SMALL(IF('All Player Data Store'!$Y$7:$Y$594=AC173,ROW('All Player Data Store'!$Y$7:$Y$594)-ROW('All Player Data Store'!$Y$7)+1),COUNTIF($AC$8:AC173,AC173))),"")</f>
        <v>19.7</v>
      </c>
      <c r="X173" s="108">
        <f t="array" ref="X173">IF(ISNUMBER(AC173),INDEX('All Player Data Store'!$T$7:$T$594,SMALL(IF('All Player Data Store'!$Y$7:$Y$594=AC173,ROW('All Player Data Store'!$Y$7:$Y$594)-ROW('All Player Data Store'!$Y$7)+1),COUNTIF($AC$8:AC173,AC173))),"")</f>
        <v>17.600000000000001</v>
      </c>
      <c r="Y173" s="108" t="str">
        <f t="array" ref="Y173">IF(ISNUMBER(AC173),INDEX('All Player Data Store'!$U$7:$U$594,SMALL(IF('All Player Data Store'!$Y$7:$Y$594=AC173,ROW('All Player Data Store'!$Y$7:$Y$594)-ROW('All Player Data Store'!$Y$7)+1),COUNTIF($AC$8:AC173,AC173))),"")</f>
        <v/>
      </c>
      <c r="Z173" s="108" t="str">
        <f t="array" ref="Z173">IF(ISNUMBER(AC173),INDEX('All Player Data Store'!$V$7:$V$594,SMALL(IF('All Player Data Store'!$Y$7:$Y$594=AC173,ROW('All Player Data Store'!$Y$7:$Y$594)-ROW('All Player Data Store'!$Y$7)+1),COUNTIF($AC$8:AC173,AC173))),"")</f>
        <v/>
      </c>
      <c r="AA173" s="112">
        <f t="array" ref="AA173">IF(ISNUMBER(AC173),INDEX('All Player Data Store'!$W$7:$W$594,SMALL(IF('All Player Data Store'!$Y$7:$Y$594=AC173,ROW('All Player Data Store'!$Y$7:$Y$594)-ROW('All Player Data Store'!$Y$7)+1),COUNTIF($AC$8:AC173,AC173))),"")</f>
        <v>1</v>
      </c>
      <c r="AB173" s="108">
        <f t="array" ref="AB173">IF(ISNUMBER(AC173),INDEX('All Player Data Store'!$X$7:$X$594,SMALL(IF('All Player Data Store'!$Y$7:$Y$594=AC173,ROW('All Player Data Store'!$Y$7:$Y$594)-ROW('All Player Data Store'!$Y$7)+1),COUNTIF($AC$8:AC173,AC173))),"")</f>
        <v>18.100000000000001</v>
      </c>
      <c r="AC173" s="115">
        <f>IF(ISERROR(IF(ISERROR(LARGE('All Player Data Store'!$Y$7:$Y$594,166)),"",(LARGE('All Player Data Store'!$Y$7:$Y$594,166)))),"",(IF(ISERROR(LARGE('All Player Data Store'!$Y$7:$Y$594,166)),"",(LARGE('All Player Data Store'!$Y$7:$Y$594,166)))))</f>
        <v>18.100000000000001</v>
      </c>
      <c r="AD173" s="106">
        <f t="shared" si="16"/>
        <v>3</v>
      </c>
      <c r="AE173" s="107" t="str">
        <f t="array" ref="AE173">IF(ISNUMBER(AC173),INDEX('All Player Data Store'!$J$8:$J$594,SMALL(IF('All Player Data Store'!$Y$7:$Y$594=AC173,ROW('All Player Data Store'!$Y$7:$Y$594)-ROW('All Player Data Store'!$Y$7)+1),COUNTIF($AC$8:AC173,AC173))),"")</f>
        <v/>
      </c>
      <c r="AF173" s="108" t="str">
        <f t="shared" si="3"/>
        <v/>
      </c>
      <c r="AG173" s="108" t="str">
        <f t="array" ref="AG173">IF(ISNUMBER(AC173),INDEX('All Player Data Store'!$K$8:$K$594,SMALL(IF('All Player Data Store'!$Y$7:$Y$594=AC173,ROW('All Player Data Store'!$Y$7:$Y$594)-ROW('All Player Data Store'!$Y$7)+1),COUNTIF($AC$8:AC173,AC173))),"")</f>
        <v/>
      </c>
      <c r="AH173" s="108" t="str">
        <f t="shared" si="4"/>
        <v/>
      </c>
      <c r="AI173" s="108" t="str">
        <f t="array" ref="AI173">IF(ISNUMBER(AC173),INDEX('All Player Data Store'!$L$8:$L$594,SMALL(IF('All Player Data Store'!$Y$7:$Y$594=AC173,ROW('All Player Data Store'!$Y$7:$Y$594)-ROW('All Player Data Store'!$Y$7)+1),COUNTIF($AC$8:AC173,AC173))),"")</f>
        <v/>
      </c>
      <c r="AJ173" s="108" t="str">
        <f t="shared" si="5"/>
        <v/>
      </c>
      <c r="AK173" s="108" t="str">
        <f t="array" ref="AK173">IF(ISNUMBER(AC173),INDEX('All Player Data Store'!$M$8:$M$594,SMALL(IF('All Player Data Store'!$Y$7:$Y$594=AC173,ROW('All Player Data Store'!$Y$7:$Y$594)-ROW('All Player Data Store'!$Y$7)+1),COUNTIF($AC$8:AC173,AC173))),"")</f>
        <v/>
      </c>
      <c r="AL173" s="108" t="str">
        <f t="shared" si="6"/>
        <v/>
      </c>
      <c r="AM173" s="108" t="str">
        <f t="array" ref="AM173">IF(ISNUMBER(AC173),INDEX('All Player Data Store'!$N$8:$N$594,SMALL(IF('All Player Data Store'!$Y$7:$Y$594=AC173,ROW('All Player Data Store'!$Y$7:$Y$594)-ROW('All Player Data Store'!$Y$7)+1),COUNTIF($AC$8:AC173,AC173))),"")</f>
        <v/>
      </c>
      <c r="AN173" s="108" t="str">
        <f t="shared" si="7"/>
        <v/>
      </c>
      <c r="AO173" s="108" t="str">
        <f t="array" ref="AO173">IF(ISNUMBER(AC173),INDEX('All Player Data Store'!$O$8:$O$594,SMALL(IF('All Player Data Store'!$Y$7:$Y$594=AC173,ROW('All Player Data Store'!$Y$7:$Y$594)-ROW('All Player Data Store'!$Y$7)+1),COUNTIF($AC$8:AC173,AC173))),"")</f>
        <v>1*4</v>
      </c>
      <c r="AP173" s="108">
        <f t="shared" si="8"/>
        <v>19.64</v>
      </c>
      <c r="AQ173" s="108" t="str">
        <f t="array" ref="AQ173">IF(ISNUMBER(AC173),INDEX('All Player Data Store'!$P$8:$P$594,SMALL(IF('All Player Data Store'!$Y$7:$Y$594=AC173,ROW('All Player Data Store'!$Y$7:$Y$594)-ROW('All Player Data Store'!$Y$7)+1),COUNTIF($AC$8:AC173,AC173))),"")</f>
        <v>1*4</v>
      </c>
      <c r="AR173" s="108">
        <f t="shared" si="9"/>
        <v>17.940000000000001</v>
      </c>
      <c r="AS173" s="108" t="str">
        <f t="array" ref="AS173">IF(ISNUMBER(AC173),INDEX('All Player Data Store'!$Q$8:$Q$594,SMALL(IF('All Player Data Store'!$Y$7:$Y$594=AC173,ROW('All Player Data Store'!$Y$7:$Y$594)-ROW('All Player Data Store'!$Y$7)+1),COUNTIF($AC$8:AC173,AC173))),"")</f>
        <v>0*4</v>
      </c>
      <c r="AT173" s="108">
        <f t="shared" si="10"/>
        <v>15.62</v>
      </c>
      <c r="AU173" s="108" t="str">
        <f t="array" ref="AU173">IF(ISNUMBER(AC173),INDEX('All Player Data Store'!$R$8:$R$594,SMALL(IF('All Player Data Store'!$Y$7:$Y$594=AC173,ROW('All Player Data Store'!$Y$7:$Y$594)-ROW('All Player Data Store'!$Y$7)+1),COUNTIF($AC$8:AC173,AC173))),"")</f>
        <v/>
      </c>
      <c r="AV173" s="108" t="str">
        <f t="shared" si="11"/>
        <v/>
      </c>
      <c r="AW173" s="108" t="str">
        <f t="array" ref="AW173">IF(ISNUMBER(AC173),INDEX('All Player Data Store'!$S$8:$S$594,SMALL(IF('All Player Data Store'!$Y$7:$Y$594=AC173,ROW('All Player Data Store'!$Y$7:$Y$594)-ROW('All Player Data Store'!$Y$7)+1),COUNTIF($AC$8:AC173,AC173))),"")</f>
        <v>1*4(1)</v>
      </c>
      <c r="AX173" s="108">
        <f t="shared" si="12"/>
        <v>19.7</v>
      </c>
      <c r="AY173" s="108" t="str">
        <f t="array" ref="AY173">IF(ISNUMBER(AC173),INDEX('All Player Data Store'!$T$8:$T$594,SMALL(IF('All Player Data Store'!$Y$7:$Y$594=AC173,ROW('All Player Data Store'!$Y$7:$Y$594)-ROW('All Player Data Store'!$Y$7)+1),COUNTIF($AC$8:AC173,AC173))),"")</f>
        <v>1*4</v>
      </c>
      <c r="AZ173" s="108">
        <f t="shared" si="13"/>
        <v>17.600000000000001</v>
      </c>
      <c r="BA173" s="108" t="str">
        <f t="array" ref="BA173">IF(ISNUMBER(AC173),INDEX('All Player Data Store'!$U$8:$U$594,SMALL(IF('All Player Data Store'!$Y$7:$Y$594=AC173,ROW('All Player Data Store'!$Y$7:$Y$594)-ROW('All Player Data Store'!$Y$7)+1),COUNTIF($AC$8:AC173,AC173))),"")</f>
        <v/>
      </c>
      <c r="BB173" s="108" t="str">
        <f t="shared" si="14"/>
        <v/>
      </c>
      <c r="BC173" s="108" t="str">
        <f t="array" ref="BC173">IF(ISNUMBER(AC173),INDEX('All Player Data Store'!$V$8:$V$594,SMALL(IF('All Player Data Store'!$Y$7:$Y$594=AC173,ROW('All Player Data Store'!$Y$7:$Y$594)-ROW('All Player Data Store'!$Y$7)+1),COUNTIF($AC$8:AC173,AC173))),"")</f>
        <v/>
      </c>
      <c r="BD173" s="108" t="str">
        <f t="shared" si="15"/>
        <v/>
      </c>
      <c r="BE173" s="1"/>
    </row>
    <row r="174" spans="2:57" ht="12" customHeight="1" x14ac:dyDescent="0.2">
      <c r="B174" s="98" t="str">
        <f t="shared" si="0"/>
        <v>N</v>
      </c>
      <c r="C174" s="1"/>
      <c r="D174" s="68">
        <f t="shared" si="1"/>
        <v>167</v>
      </c>
      <c r="E174" s="2"/>
      <c r="F174" s="78">
        <v>167</v>
      </c>
      <c r="G174" s="110" t="str">
        <f t="array" ref="G174">IF(ISNUMBER(AC174),INDEX('All Player Data Store'!$C$7:$C$594,SMALL(IF('All Player Data Store'!$Y$7:$Y$594=AC174,ROW('All Player Data Store'!$Y$7:$Y$594)-ROW('All Player Data Store'!$Y$7)+1),COUNTIF($AC$8:AC174,AC174))),"")</f>
        <v>Chris Martin</v>
      </c>
      <c r="H174" s="111" t="str">
        <f t="array" ref="H174">IF(ISNUMBER(AC174),INDEX('All Player Data Store'!$D$7:$D$594,SMALL(IF('All Player Data Store'!$Y$7:$Y$594=AC174,ROW('All Player Data Store'!$Y$7:$Y$594)-ROW('All Player Data Store'!$Y$7)+1),COUNTIF($AC$8:AC174,AC174))),"")</f>
        <v>Bou</v>
      </c>
      <c r="I174" s="69">
        <f t="array" ref="I174">IF(ISNUMBER(AC174),INDEX('All Player Data Store'!$E$7:$E$594,SMALL(IF('All Player Data Store'!$Y$7:$Y$594=AC174,ROW('All Player Data Store'!$Y$7:$Y$594)-ROW('All Player Data Store'!$Y$7)+1),COUNTIF($AC$8:AC174,AC174))),"")</f>
        <v>1</v>
      </c>
      <c r="J174" s="70" t="str">
        <f t="array" ref="J174">IF(ISNUMBER(AC174),INDEX('All Player Data Store'!$F$7:$F$594,SMALL(IF('All Player Data Store'!$Y$7:$Y$594=AC174,ROW('All Player Data Store'!$Y$7:$Y$594)-ROW('All Player Data Store'!$Y$7)+1),COUNTIF($AC$8:AC174,AC174))),"")</f>
        <v/>
      </c>
      <c r="K174" s="112">
        <f t="array" ref="K174">IF(ISNUMBER(AC174),INDEX('All Player Data Store'!$G$7:$G$594,SMALL(IF('All Player Data Store'!$Y$7:$Y$594=AC174,ROW('All Player Data Store'!$Y$7:$Y$594)-ROW('All Player Data Store'!$Y$7)+1),COUNTIF($AC$8:AC174,AC174))),"")</f>
        <v>1</v>
      </c>
      <c r="L174" s="112">
        <f t="array" ref="L174">IF(ISNUMBER(AC174),INDEX('All Player Data Store'!$H$7:$H$594,SMALL(IF('All Player Data Store'!$Y$7:$Y$594=AC174,ROW('All Player Data Store'!$Y$7:$Y$594)-ROW('All Player Data Store'!$Y$7)+1),COUNTIF($AC$8:AC174,AC174))),"")</f>
        <v>2</v>
      </c>
      <c r="M174" s="113">
        <f t="array" ref="M174">IF(ISNUMBER(AC174),INDEX('All Player Data Store'!$I$7:$I$594,SMALL(IF('All Player Data Store'!$Y$7:$Y$594=AC174,ROW('All Player Data Store'!$Y$7:$Y$594)-ROW('All Player Data Store'!$Y$7)+1),COUNTIF($AC$8:AC174,AC174))),"")</f>
        <v>4</v>
      </c>
      <c r="N174" s="114" t="str">
        <f t="array" ref="N174">IF(ISNUMBER(AC174),INDEX('All Player Data Store'!$J$7:$J$594,SMALL(IF('All Player Data Store'!$Y$7:$Y$594=AC174,ROW('All Player Data Store'!$Y$7:$Y$594)-ROW('All Player Data Store'!$Y$7)+1),COUNTIF($AC$8:AC174,AC174))),"")</f>
        <v/>
      </c>
      <c r="O174" s="108" t="str">
        <f t="array" ref="O174">IF(ISNUMBER(AC174),INDEX('All Player Data Store'!$K$7:$K$594,SMALL(IF('All Player Data Store'!$Y$7:$Y$594=AC174,ROW('All Player Data Store'!$Y$7:$Y$594)-ROW('All Player Data Store'!$Y$7)+1),COUNTIF($AC$8:AC174,AC174))),"")</f>
        <v/>
      </c>
      <c r="P174" s="108" t="str">
        <f t="array" ref="P174">IF(ISNUMBER(AC174),INDEX('All Player Data Store'!$L$7:$L$594,SMALL(IF('All Player Data Store'!$Y$7:$Y$594=AC174,ROW('All Player Data Store'!$Y$7:$Y$594)-ROW('All Player Data Store'!$Y$7)+1),COUNTIF($AC$8:AC174,AC174))),"")</f>
        <v/>
      </c>
      <c r="Q174" s="108" t="str">
        <f t="array" ref="Q174">IF(ISNUMBER(AC174),INDEX('All Player Data Store'!$M$7:$M$594,SMALL(IF('All Player Data Store'!$Y$7:$Y$594=AC174,ROW('All Player Data Store'!$Y$7:$Y$594)-ROW('All Player Data Store'!$Y$7)+1),COUNTIF($AC$8:AC174,AC174))),"")</f>
        <v/>
      </c>
      <c r="R174" s="108" t="str">
        <f t="array" ref="R174">IF(ISNUMBER(AC174),INDEX('All Player Data Store'!$N$7:$N$594,SMALL(IF('All Player Data Store'!$Y$7:$Y$594=AC174,ROW('All Player Data Store'!$Y$7:$Y$594)-ROW('All Player Data Store'!$Y$7)+1),COUNTIF($AC$8:AC174,AC174))),"")</f>
        <v/>
      </c>
      <c r="S174" s="108" t="str">
        <f t="array" ref="S174">IF(ISNUMBER(AC174),INDEX('All Player Data Store'!$O$7:$O$594,SMALL(IF('All Player Data Store'!$Y$7:$Y$594=AC174,ROW('All Player Data Store'!$Y$7:$Y$594)-ROW('All Player Data Store'!$Y$7)+1),COUNTIF($AC$8:AC174,AC174))),"")</f>
        <v/>
      </c>
      <c r="T174" s="108">
        <f t="array" ref="T174">IF(ISNUMBER(AC174),INDEX('All Player Data Store'!$P$7:$P$594,SMALL(IF('All Player Data Store'!$Y$7:$Y$594=AC174,ROW('All Player Data Store'!$Y$7:$Y$594)-ROW('All Player Data Store'!$Y$7)+1),COUNTIF($AC$8:AC174,AC174))),"")</f>
        <v>18</v>
      </c>
      <c r="U174" s="108" t="str">
        <f t="array" ref="U174">IF(ISNUMBER(AC174),INDEX('All Player Data Store'!$Q$7:$Q$594,SMALL(IF('All Player Data Store'!$Y$7:$Y$594=AC174,ROW('All Player Data Store'!$Y$7:$Y$594)-ROW('All Player Data Store'!$Y$7)+1),COUNTIF($AC$8:AC174,AC174))),"")</f>
        <v/>
      </c>
      <c r="V174" s="108" t="str">
        <f t="array" ref="V174">IF(ISNUMBER(AC174),INDEX('All Player Data Store'!$R$7:$R$594,SMALL(IF('All Player Data Store'!$Y$7:$Y$594=AC174,ROW('All Player Data Store'!$Y$7:$Y$594)-ROW('All Player Data Store'!$Y$7)+1),COUNTIF($AC$8:AC174,AC174))),"")</f>
        <v/>
      </c>
      <c r="W174" s="108" t="str">
        <f t="array" ref="W174">IF(ISNUMBER(AC174),INDEX('All Player Data Store'!$S$7:$S$594,SMALL(IF('All Player Data Store'!$Y$7:$Y$594=AC174,ROW('All Player Data Store'!$Y$7:$Y$594)-ROW('All Player Data Store'!$Y$7)+1),COUNTIF($AC$8:AC174,AC174))),"")</f>
        <v/>
      </c>
      <c r="X174" s="108" t="str">
        <f t="array" ref="X174">IF(ISNUMBER(AC174),INDEX('All Player Data Store'!$T$7:$T$594,SMALL(IF('All Player Data Store'!$Y$7:$Y$594=AC174,ROW('All Player Data Store'!$Y$7:$Y$594)-ROW('All Player Data Store'!$Y$7)+1),COUNTIF($AC$8:AC174,AC174))),"")</f>
        <v/>
      </c>
      <c r="Y174" s="108" t="str">
        <f t="array" ref="Y174">IF(ISNUMBER(AC174),INDEX('All Player Data Store'!$U$7:$U$594,SMALL(IF('All Player Data Store'!$Y$7:$Y$594=AC174,ROW('All Player Data Store'!$Y$7:$Y$594)-ROW('All Player Data Store'!$Y$7)+1),COUNTIF($AC$8:AC174,AC174))),"")</f>
        <v/>
      </c>
      <c r="Z174" s="108" t="str">
        <f t="array" ref="Z174">IF(ISNUMBER(AC174),INDEX('All Player Data Store'!$V$7:$V$594,SMALL(IF('All Player Data Store'!$Y$7:$Y$594=AC174,ROW('All Player Data Store'!$Y$7:$Y$594)-ROW('All Player Data Store'!$Y$7)+1),COUNTIF($AC$8:AC174,AC174))),"")</f>
        <v/>
      </c>
      <c r="AA174" s="112" t="str">
        <f t="array" ref="AA174">IF(ISNUMBER(AC174),INDEX('All Player Data Store'!$W$7:$W$594,SMALL(IF('All Player Data Store'!$Y$7:$Y$594=AC174,ROW('All Player Data Store'!$Y$7:$Y$594)-ROW('All Player Data Store'!$Y$7)+1),COUNTIF($AC$8:AC174,AC174))),"")</f>
        <v/>
      </c>
      <c r="AB174" s="108">
        <f t="array" ref="AB174">IF(ISNUMBER(AC174),INDEX('All Player Data Store'!$X$7:$X$594,SMALL(IF('All Player Data Store'!$Y$7:$Y$594=AC174,ROW('All Player Data Store'!$Y$7:$Y$594)-ROW('All Player Data Store'!$Y$7)+1),COUNTIF($AC$8:AC174,AC174))),"")</f>
        <v>18</v>
      </c>
      <c r="AC174" s="115">
        <f>IF(ISERROR(IF(ISERROR(LARGE('All Player Data Store'!$Y$7:$Y$594,167)),"",(LARGE('All Player Data Store'!$Y$7:$Y$594,167)))),"",(IF(ISERROR(LARGE('All Player Data Store'!$Y$7:$Y$594,167)),"",(LARGE('All Player Data Store'!$Y$7:$Y$594,167)))))</f>
        <v>18</v>
      </c>
      <c r="AD174" s="106">
        <f t="shared" si="16"/>
        <v>3</v>
      </c>
      <c r="AE174" s="107" t="str">
        <f t="array" ref="AE174">IF(ISNUMBER(AC174),INDEX('All Player Data Store'!$J$8:$J$594,SMALL(IF('All Player Data Store'!$Y$7:$Y$594=AC174,ROW('All Player Data Store'!$Y$7:$Y$594)-ROW('All Player Data Store'!$Y$7)+1),COUNTIF($AC$8:AC174,AC174))),"")</f>
        <v/>
      </c>
      <c r="AF174" s="108" t="str">
        <f t="shared" si="3"/>
        <v/>
      </c>
      <c r="AG174" s="108" t="str">
        <f t="array" ref="AG174">IF(ISNUMBER(AC174),INDEX('All Player Data Store'!$K$8:$K$594,SMALL(IF('All Player Data Store'!$Y$7:$Y$594=AC174,ROW('All Player Data Store'!$Y$7:$Y$594)-ROW('All Player Data Store'!$Y$7)+1),COUNTIF($AC$8:AC174,AC174))),"")</f>
        <v/>
      </c>
      <c r="AH174" s="108" t="str">
        <f t="shared" si="4"/>
        <v/>
      </c>
      <c r="AI174" s="108" t="str">
        <f t="array" ref="AI174">IF(ISNUMBER(AC174),INDEX('All Player Data Store'!$L$8:$L$594,SMALL(IF('All Player Data Store'!$Y$7:$Y$594=AC174,ROW('All Player Data Store'!$Y$7:$Y$594)-ROW('All Player Data Store'!$Y$7)+1),COUNTIF($AC$8:AC174,AC174))),"")</f>
        <v/>
      </c>
      <c r="AJ174" s="108" t="str">
        <f t="shared" si="5"/>
        <v/>
      </c>
      <c r="AK174" s="108" t="str">
        <f t="array" ref="AK174">IF(ISNUMBER(AC174),INDEX('All Player Data Store'!$M$8:$M$594,SMALL(IF('All Player Data Store'!$Y$7:$Y$594=AC174,ROW('All Player Data Store'!$Y$7:$Y$594)-ROW('All Player Data Store'!$Y$7)+1),COUNTIF($AC$8:AC174,AC174))),"")</f>
        <v/>
      </c>
      <c r="AL174" s="108" t="str">
        <f t="shared" si="6"/>
        <v/>
      </c>
      <c r="AM174" s="108" t="str">
        <f t="array" ref="AM174">IF(ISNUMBER(AC174),INDEX('All Player Data Store'!$N$8:$N$594,SMALL(IF('All Player Data Store'!$Y$7:$Y$594=AC174,ROW('All Player Data Store'!$Y$7:$Y$594)-ROW('All Player Data Store'!$Y$7)+1),COUNTIF($AC$8:AC174,AC174))),"")</f>
        <v/>
      </c>
      <c r="AN174" s="108" t="str">
        <f t="shared" si="7"/>
        <v/>
      </c>
      <c r="AO174" s="108" t="str">
        <f t="array" ref="AO174">IF(ISNUMBER(AC174),INDEX('All Player Data Store'!$O$8:$O$594,SMALL(IF('All Player Data Store'!$Y$7:$Y$594=AC174,ROW('All Player Data Store'!$Y$7:$Y$594)-ROW('All Player Data Store'!$Y$7)+1),COUNTIF($AC$8:AC174,AC174))),"")</f>
        <v/>
      </c>
      <c r="AP174" s="108" t="str">
        <f t="shared" si="8"/>
        <v/>
      </c>
      <c r="AQ174" s="108" t="str">
        <f t="array" ref="AQ174">IF(ISNUMBER(AC174),INDEX('All Player Data Store'!$P$8:$P$594,SMALL(IF('All Player Data Store'!$Y$7:$Y$594=AC174,ROW('All Player Data Store'!$Y$7:$Y$594)-ROW('All Player Data Store'!$Y$7)+1),COUNTIF($AC$8:AC174,AC174))),"")</f>
        <v>2*4</v>
      </c>
      <c r="AR174" s="108">
        <f t="shared" si="9"/>
        <v>18</v>
      </c>
      <c r="AS174" s="108" t="str">
        <f t="array" ref="AS174">IF(ISNUMBER(AC174),INDEX('All Player Data Store'!$Q$8:$Q$594,SMALL(IF('All Player Data Store'!$Y$7:$Y$594=AC174,ROW('All Player Data Store'!$Y$7:$Y$594)-ROW('All Player Data Store'!$Y$7)+1),COUNTIF($AC$8:AC174,AC174))),"")</f>
        <v/>
      </c>
      <c r="AT174" s="108" t="str">
        <f t="shared" si="10"/>
        <v/>
      </c>
      <c r="AU174" s="108" t="str">
        <f t="array" ref="AU174">IF(ISNUMBER(AC174),INDEX('All Player Data Store'!$R$8:$R$594,SMALL(IF('All Player Data Store'!$Y$7:$Y$594=AC174,ROW('All Player Data Store'!$Y$7:$Y$594)-ROW('All Player Data Store'!$Y$7)+1),COUNTIF($AC$8:AC174,AC174))),"")</f>
        <v/>
      </c>
      <c r="AV174" s="108" t="str">
        <f t="shared" si="11"/>
        <v/>
      </c>
      <c r="AW174" s="108" t="str">
        <f t="array" ref="AW174">IF(ISNUMBER(AC174),INDEX('All Player Data Store'!$S$8:$S$594,SMALL(IF('All Player Data Store'!$Y$7:$Y$594=AC174,ROW('All Player Data Store'!$Y$7:$Y$594)-ROW('All Player Data Store'!$Y$7)+1),COUNTIF($AC$8:AC174,AC174))),"")</f>
        <v/>
      </c>
      <c r="AX174" s="108" t="str">
        <f t="shared" si="12"/>
        <v/>
      </c>
      <c r="AY174" s="108" t="str">
        <f t="array" ref="AY174">IF(ISNUMBER(AC174),INDEX('All Player Data Store'!$T$8:$T$594,SMALL(IF('All Player Data Store'!$Y$7:$Y$594=AC174,ROW('All Player Data Store'!$Y$7:$Y$594)-ROW('All Player Data Store'!$Y$7)+1),COUNTIF($AC$8:AC174,AC174))),"")</f>
        <v/>
      </c>
      <c r="AZ174" s="108" t="str">
        <f t="shared" si="13"/>
        <v/>
      </c>
      <c r="BA174" s="108" t="str">
        <f t="array" ref="BA174">IF(ISNUMBER(AC174),INDEX('All Player Data Store'!$U$8:$U$594,SMALL(IF('All Player Data Store'!$Y$7:$Y$594=AC174,ROW('All Player Data Store'!$Y$7:$Y$594)-ROW('All Player Data Store'!$Y$7)+1),COUNTIF($AC$8:AC174,AC174))),"")</f>
        <v/>
      </c>
      <c r="BB174" s="108" t="str">
        <f t="shared" si="14"/>
        <v/>
      </c>
      <c r="BC174" s="108" t="str">
        <f t="array" ref="BC174">IF(ISNUMBER(AC174),INDEX('All Player Data Store'!$V$8:$V$594,SMALL(IF('All Player Data Store'!$Y$7:$Y$594=AC174,ROW('All Player Data Store'!$Y$7:$Y$594)-ROW('All Player Data Store'!$Y$7)+1),COUNTIF($AC$8:AC174,AC174))),"")</f>
        <v/>
      </c>
      <c r="BD174" s="108" t="str">
        <f t="shared" si="15"/>
        <v/>
      </c>
      <c r="BE174" s="1"/>
    </row>
    <row r="175" spans="2:57" ht="12" customHeight="1" x14ac:dyDescent="0.2">
      <c r="B175" s="98" t="str">
        <f t="shared" si="0"/>
        <v>N</v>
      </c>
      <c r="C175" s="1"/>
      <c r="D175" s="68">
        <f t="shared" si="1"/>
        <v>168</v>
      </c>
      <c r="E175" s="2"/>
      <c r="F175" s="78">
        <v>168</v>
      </c>
      <c r="G175" s="110" t="str">
        <f t="array" ref="G175">IF(ISNUMBER(AC175),INDEX('All Player Data Store'!$C$7:$C$594,SMALL(IF('All Player Data Store'!$Y$7:$Y$594=AC175,ROW('All Player Data Store'!$Y$7:$Y$594)-ROW('All Player Data Store'!$Y$7)+1),COUNTIF($AC$8:AC175,AC175))),"")</f>
        <v>Charlie Falder</v>
      </c>
      <c r="H175" s="111" t="str">
        <f t="array" ref="H175">IF(ISNUMBER(AC175),INDEX('All Player Data Store'!$D$7:$D$594,SMALL(IF('All Player Data Store'!$Y$7:$Y$594=AC175,ROW('All Player Data Store'!$Y$7:$Y$594)-ROW('All Player Data Store'!$Y$7)+1),COUNTIF($AC$8:AC175,AC175))),"")</f>
        <v>Bou</v>
      </c>
      <c r="I175" s="69">
        <f t="array" ref="I175">IF(ISNUMBER(AC175),INDEX('All Player Data Store'!$E$7:$E$594,SMALL(IF('All Player Data Store'!$Y$7:$Y$594=AC175,ROW('All Player Data Store'!$Y$7:$Y$594)-ROW('All Player Data Store'!$Y$7)+1),COUNTIF($AC$8:AC175,AC175))),"")</f>
        <v>2</v>
      </c>
      <c r="J175" s="70" t="str">
        <f t="array" ref="J175">IF(ISNUMBER(AC175),INDEX('All Player Data Store'!$F$7:$F$594,SMALL(IF('All Player Data Store'!$Y$7:$Y$594=AC175,ROW('All Player Data Store'!$Y$7:$Y$594)-ROW('All Player Data Store'!$Y$7)+1),COUNTIF($AC$8:AC175,AC175))),"")</f>
        <v/>
      </c>
      <c r="K175" s="112">
        <f t="array" ref="K175">IF(ISNUMBER(AC175),INDEX('All Player Data Store'!$G$7:$G$594,SMALL(IF('All Player Data Store'!$Y$7:$Y$594=AC175,ROW('All Player Data Store'!$Y$7:$Y$594)-ROW('All Player Data Store'!$Y$7)+1),COUNTIF($AC$8:AC175,AC175))),"")</f>
        <v>2</v>
      </c>
      <c r="L175" s="112">
        <f t="array" ref="L175">IF(ISNUMBER(AC175),INDEX('All Player Data Store'!$H$7:$H$594,SMALL(IF('All Player Data Store'!$Y$7:$Y$594=AC175,ROW('All Player Data Store'!$Y$7:$Y$594)-ROW('All Player Data Store'!$Y$7)+1),COUNTIF($AC$8:AC175,AC175))),"")</f>
        <v>2</v>
      </c>
      <c r="M175" s="113">
        <f t="array" ref="M175">IF(ISNUMBER(AC175),INDEX('All Player Data Store'!$I$7:$I$594,SMALL(IF('All Player Data Store'!$Y$7:$Y$594=AC175,ROW('All Player Data Store'!$Y$7:$Y$594)-ROW('All Player Data Store'!$Y$7)+1),COUNTIF($AC$8:AC175,AC175))),"")</f>
        <v>8</v>
      </c>
      <c r="N175" s="114" t="str">
        <f t="array" ref="N175">IF(ISNUMBER(AC175),INDEX('All Player Data Store'!$J$7:$J$594,SMALL(IF('All Player Data Store'!$Y$7:$Y$594=AC175,ROW('All Player Data Store'!$Y$7:$Y$594)-ROW('All Player Data Store'!$Y$7)+1),COUNTIF($AC$8:AC175,AC175))),"")</f>
        <v/>
      </c>
      <c r="O175" s="108">
        <f t="array" ref="O175">IF(ISNUMBER(AC175),INDEX('All Player Data Store'!$K$7:$K$594,SMALL(IF('All Player Data Store'!$Y$7:$Y$594=AC175,ROW('All Player Data Store'!$Y$7:$Y$594)-ROW('All Player Data Store'!$Y$7)+1),COUNTIF($AC$8:AC175,AC175))),"")</f>
        <v>17.46</v>
      </c>
      <c r="P175" s="108" t="str">
        <f t="array" ref="P175">IF(ISNUMBER(AC175),INDEX('All Player Data Store'!$L$7:$L$594,SMALL(IF('All Player Data Store'!$Y$7:$Y$594=AC175,ROW('All Player Data Store'!$Y$7:$Y$594)-ROW('All Player Data Store'!$Y$7)+1),COUNTIF($AC$8:AC175,AC175))),"")</f>
        <v/>
      </c>
      <c r="Q175" s="108" t="str">
        <f t="array" ref="Q175">IF(ISNUMBER(AC175),INDEX('All Player Data Store'!$M$7:$M$594,SMALL(IF('All Player Data Store'!$Y$7:$Y$594=AC175,ROW('All Player Data Store'!$Y$7:$Y$594)-ROW('All Player Data Store'!$Y$7)+1),COUNTIF($AC$8:AC175,AC175))),"")</f>
        <v/>
      </c>
      <c r="R175" s="108" t="str">
        <f t="array" ref="R175">IF(ISNUMBER(AC175),INDEX('All Player Data Store'!$N$7:$N$594,SMALL(IF('All Player Data Store'!$Y$7:$Y$594=AC175,ROW('All Player Data Store'!$Y$7:$Y$594)-ROW('All Player Data Store'!$Y$7)+1),COUNTIF($AC$8:AC175,AC175))),"")</f>
        <v/>
      </c>
      <c r="S175" s="108" t="str">
        <f t="array" ref="S175">IF(ISNUMBER(AC175),INDEX('All Player Data Store'!$O$7:$O$594,SMALL(IF('All Player Data Store'!$Y$7:$Y$594=AC175,ROW('All Player Data Store'!$Y$7:$Y$594)-ROW('All Player Data Store'!$Y$7)+1),COUNTIF($AC$8:AC175,AC175))),"")</f>
        <v/>
      </c>
      <c r="T175" s="108" t="str">
        <f t="array" ref="T175">IF(ISNUMBER(AC175),INDEX('All Player Data Store'!$P$7:$P$594,SMALL(IF('All Player Data Store'!$Y$7:$Y$594=AC175,ROW('All Player Data Store'!$Y$7:$Y$594)-ROW('All Player Data Store'!$Y$7)+1),COUNTIF($AC$8:AC175,AC175))),"")</f>
        <v/>
      </c>
      <c r="U175" s="108" t="str">
        <f t="array" ref="U175">IF(ISNUMBER(AC175),INDEX('All Player Data Store'!$Q$7:$Q$594,SMALL(IF('All Player Data Store'!$Y$7:$Y$594=AC175,ROW('All Player Data Store'!$Y$7:$Y$594)-ROW('All Player Data Store'!$Y$7)+1),COUNTIF($AC$8:AC175,AC175))),"")</f>
        <v/>
      </c>
      <c r="V175" s="108" t="str">
        <f t="array" ref="V175">IF(ISNUMBER(AC175),INDEX('All Player Data Store'!$R$7:$R$594,SMALL(IF('All Player Data Store'!$Y$7:$Y$594=AC175,ROW('All Player Data Store'!$Y$7:$Y$594)-ROW('All Player Data Store'!$Y$7)+1),COUNTIF($AC$8:AC175,AC175))),"")</f>
        <v/>
      </c>
      <c r="W175" s="108" t="str">
        <f t="array" ref="W175">IF(ISNUMBER(AC175),INDEX('All Player Data Store'!$S$7:$S$594,SMALL(IF('All Player Data Store'!$Y$7:$Y$594=AC175,ROW('All Player Data Store'!$Y$7:$Y$594)-ROW('All Player Data Store'!$Y$7)+1),COUNTIF($AC$8:AC175,AC175))),"")</f>
        <v/>
      </c>
      <c r="X175" s="108" t="str">
        <f t="array" ref="X175">IF(ISNUMBER(AC175),INDEX('All Player Data Store'!$T$7:$T$594,SMALL(IF('All Player Data Store'!$Y$7:$Y$594=AC175,ROW('All Player Data Store'!$Y$7:$Y$594)-ROW('All Player Data Store'!$Y$7)+1),COUNTIF($AC$8:AC175,AC175))),"")</f>
        <v/>
      </c>
      <c r="Y175" s="108" t="str">
        <f t="array" ref="Y175">IF(ISNUMBER(AC175),INDEX('All Player Data Store'!$U$7:$U$594,SMALL(IF('All Player Data Store'!$Y$7:$Y$594=AC175,ROW('All Player Data Store'!$Y$7:$Y$594)-ROW('All Player Data Store'!$Y$7)+1),COUNTIF($AC$8:AC175,AC175))),"")</f>
        <v/>
      </c>
      <c r="Z175" s="108">
        <f t="array" ref="Z175">IF(ISNUMBER(AC175),INDEX('All Player Data Store'!$V$7:$V$594,SMALL(IF('All Player Data Store'!$Y$7:$Y$594=AC175,ROW('All Player Data Store'!$Y$7:$Y$594)-ROW('All Player Data Store'!$Y$7)+1),COUNTIF($AC$8:AC175,AC175))),"")</f>
        <v>18.309999999999999</v>
      </c>
      <c r="AA175" s="112" t="str">
        <f t="array" ref="AA175">IF(ISNUMBER(AC175),INDEX('All Player Data Store'!$W$7:$W$594,SMALL(IF('All Player Data Store'!$Y$7:$Y$594=AC175,ROW('All Player Data Store'!$Y$7:$Y$594)-ROW('All Player Data Store'!$Y$7)+1),COUNTIF($AC$8:AC175,AC175))),"")</f>
        <v/>
      </c>
      <c r="AB175" s="108">
        <f t="array" ref="AB175">IF(ISNUMBER(AC175),INDEX('All Player Data Store'!$X$7:$X$594,SMALL(IF('All Player Data Store'!$Y$7:$Y$594=AC175,ROW('All Player Data Store'!$Y$7:$Y$594)-ROW('All Player Data Store'!$Y$7)+1),COUNTIF($AC$8:AC175,AC175))),"")</f>
        <v>17.884999999999998</v>
      </c>
      <c r="AC175" s="115">
        <f>IF(ISERROR(IF(ISERROR(LARGE('All Player Data Store'!$Y$7:$Y$594,168)),"",(LARGE('All Player Data Store'!$Y$7:$Y$594,168)))),"",(IF(ISERROR(LARGE('All Player Data Store'!$Y$7:$Y$594,168)),"",(LARGE('All Player Data Store'!$Y$7:$Y$594,168)))))</f>
        <v>17.884999999999998</v>
      </c>
      <c r="AD175" s="106">
        <f t="shared" si="16"/>
        <v>3</v>
      </c>
      <c r="AE175" s="107" t="str">
        <f t="array" ref="AE175">IF(ISNUMBER(AC175),INDEX('All Player Data Store'!$J$8:$J$594,SMALL(IF('All Player Data Store'!$Y$7:$Y$594=AC175,ROW('All Player Data Store'!$Y$7:$Y$594)-ROW('All Player Data Store'!$Y$7)+1),COUNTIF($AC$8:AC175,AC175))),"")</f>
        <v/>
      </c>
      <c r="AF175" s="108" t="str">
        <f t="shared" si="3"/>
        <v/>
      </c>
      <c r="AG175" s="108" t="str">
        <f t="array" ref="AG175">IF(ISNUMBER(AC175),INDEX('All Player Data Store'!$K$8:$K$594,SMALL(IF('All Player Data Store'!$Y$7:$Y$594=AC175,ROW('All Player Data Store'!$Y$7:$Y$594)-ROW('All Player Data Store'!$Y$7)+1),COUNTIF($AC$8:AC175,AC175))),"")</f>
        <v>1*4</v>
      </c>
      <c r="AH175" s="108">
        <f t="shared" si="4"/>
        <v>17.46</v>
      </c>
      <c r="AI175" s="108" t="str">
        <f t="array" ref="AI175">IF(ISNUMBER(AC175),INDEX('All Player Data Store'!$L$8:$L$594,SMALL(IF('All Player Data Store'!$Y$7:$Y$594=AC175,ROW('All Player Data Store'!$Y$7:$Y$594)-ROW('All Player Data Store'!$Y$7)+1),COUNTIF($AC$8:AC175,AC175))),"")</f>
        <v/>
      </c>
      <c r="AJ175" s="108" t="str">
        <f t="shared" si="5"/>
        <v/>
      </c>
      <c r="AK175" s="108" t="str">
        <f t="array" ref="AK175">IF(ISNUMBER(AC175),INDEX('All Player Data Store'!$M$8:$M$594,SMALL(IF('All Player Data Store'!$Y$7:$Y$594=AC175,ROW('All Player Data Store'!$Y$7:$Y$594)-ROW('All Player Data Store'!$Y$7)+1),COUNTIF($AC$8:AC175,AC175))),"")</f>
        <v/>
      </c>
      <c r="AL175" s="108" t="str">
        <f t="shared" si="6"/>
        <v/>
      </c>
      <c r="AM175" s="108" t="str">
        <f t="array" ref="AM175">IF(ISNUMBER(AC175),INDEX('All Player Data Store'!$N$8:$N$594,SMALL(IF('All Player Data Store'!$Y$7:$Y$594=AC175,ROW('All Player Data Store'!$Y$7:$Y$594)-ROW('All Player Data Store'!$Y$7)+1),COUNTIF($AC$8:AC175,AC175))),"")</f>
        <v/>
      </c>
      <c r="AN175" s="108" t="str">
        <f t="shared" si="7"/>
        <v/>
      </c>
      <c r="AO175" s="108" t="str">
        <f t="array" ref="AO175">IF(ISNUMBER(AC175),INDEX('All Player Data Store'!$O$8:$O$594,SMALL(IF('All Player Data Store'!$Y$7:$Y$594=AC175,ROW('All Player Data Store'!$Y$7:$Y$594)-ROW('All Player Data Store'!$Y$7)+1),COUNTIF($AC$8:AC175,AC175))),"")</f>
        <v/>
      </c>
      <c r="AP175" s="108" t="str">
        <f t="shared" si="8"/>
        <v/>
      </c>
      <c r="AQ175" s="108" t="str">
        <f t="array" ref="AQ175">IF(ISNUMBER(AC175),INDEX('All Player Data Store'!$P$8:$P$594,SMALL(IF('All Player Data Store'!$Y$7:$Y$594=AC175,ROW('All Player Data Store'!$Y$7:$Y$594)-ROW('All Player Data Store'!$Y$7)+1),COUNTIF($AC$8:AC175,AC175))),"")</f>
        <v/>
      </c>
      <c r="AR175" s="108" t="str">
        <f t="shared" si="9"/>
        <v/>
      </c>
      <c r="AS175" s="108" t="str">
        <f t="array" ref="AS175">IF(ISNUMBER(AC175),INDEX('All Player Data Store'!$Q$8:$Q$594,SMALL(IF('All Player Data Store'!$Y$7:$Y$594=AC175,ROW('All Player Data Store'!$Y$7:$Y$594)-ROW('All Player Data Store'!$Y$7)+1),COUNTIF($AC$8:AC175,AC175))),"")</f>
        <v/>
      </c>
      <c r="AT175" s="108" t="str">
        <f t="shared" si="10"/>
        <v/>
      </c>
      <c r="AU175" s="108" t="str">
        <f t="array" ref="AU175">IF(ISNUMBER(AC175),INDEX('All Player Data Store'!$R$8:$R$594,SMALL(IF('All Player Data Store'!$Y$7:$Y$594=AC175,ROW('All Player Data Store'!$Y$7:$Y$594)-ROW('All Player Data Store'!$Y$7)+1),COUNTIF($AC$8:AC175,AC175))),"")</f>
        <v/>
      </c>
      <c r="AV175" s="108" t="str">
        <f t="shared" si="11"/>
        <v/>
      </c>
      <c r="AW175" s="108" t="str">
        <f t="array" ref="AW175">IF(ISNUMBER(AC175),INDEX('All Player Data Store'!$S$8:$S$594,SMALL(IF('All Player Data Store'!$Y$7:$Y$594=AC175,ROW('All Player Data Store'!$Y$7:$Y$594)-ROW('All Player Data Store'!$Y$7)+1),COUNTIF($AC$8:AC175,AC175))),"")</f>
        <v/>
      </c>
      <c r="AX175" s="108" t="str">
        <f t="shared" si="12"/>
        <v/>
      </c>
      <c r="AY175" s="108" t="str">
        <f t="array" ref="AY175">IF(ISNUMBER(AC175),INDEX('All Player Data Store'!$T$8:$T$594,SMALL(IF('All Player Data Store'!$Y$7:$Y$594=AC175,ROW('All Player Data Store'!$Y$7:$Y$594)-ROW('All Player Data Store'!$Y$7)+1),COUNTIF($AC$8:AC175,AC175))),"")</f>
        <v/>
      </c>
      <c r="AZ175" s="108" t="str">
        <f t="shared" si="13"/>
        <v/>
      </c>
      <c r="BA175" s="108" t="str">
        <f t="array" ref="BA175">IF(ISNUMBER(AC175),INDEX('All Player Data Store'!$U$8:$U$594,SMALL(IF('All Player Data Store'!$Y$7:$Y$594=AC175,ROW('All Player Data Store'!$Y$7:$Y$594)-ROW('All Player Data Store'!$Y$7)+1),COUNTIF($AC$8:AC175,AC175))),"")</f>
        <v/>
      </c>
      <c r="BB175" s="108" t="str">
        <f t="shared" si="14"/>
        <v/>
      </c>
      <c r="BC175" s="108" t="str">
        <f t="array" ref="BC175">IF(ISNUMBER(AC175),INDEX('All Player Data Store'!$V$8:$V$594,SMALL(IF('All Player Data Store'!$Y$7:$Y$594=AC175,ROW('All Player Data Store'!$Y$7:$Y$594)-ROW('All Player Data Store'!$Y$7)+1),COUNTIF($AC$8:AC175,AC175))),"")</f>
        <v>1*4</v>
      </c>
      <c r="BD175" s="108">
        <f t="shared" si="15"/>
        <v>18.309999999999999</v>
      </c>
      <c r="BE175" s="1"/>
    </row>
    <row r="176" spans="2:57" ht="12" customHeight="1" x14ac:dyDescent="0.2">
      <c r="B176" s="98" t="str">
        <f t="shared" si="0"/>
        <v>N</v>
      </c>
      <c r="C176" s="1"/>
      <c r="D176" s="68">
        <f t="shared" si="1"/>
        <v>169</v>
      </c>
      <c r="E176" s="2"/>
      <c r="F176" s="78">
        <v>169</v>
      </c>
      <c r="G176" s="110" t="str">
        <f t="array" ref="G176">IF(ISNUMBER(AC176),INDEX('All Player Data Store'!$C$7:$C$594,SMALL(IF('All Player Data Store'!$Y$7:$Y$594=AC176,ROW('All Player Data Store'!$Y$7:$Y$594)-ROW('All Player Data Store'!$Y$7)+1),COUNTIF($AC$8:AC176,AC176))),"")</f>
        <v>Paul Burnham</v>
      </c>
      <c r="H176" s="111" t="str">
        <f t="array" ref="H176">IF(ISNUMBER(AC176),INDEX('All Player Data Store'!$D$7:$D$594,SMALL(IF('All Player Data Store'!$Y$7:$Y$594=AC176,ROW('All Player Data Store'!$Y$7:$Y$594)-ROW('All Player Data Store'!$Y$7)+1),COUNTIF($AC$8:AC176,AC176))),"")</f>
        <v>Bos</v>
      </c>
      <c r="I176" s="69">
        <f t="array" ref="I176">IF(ISNUMBER(AC176),INDEX('All Player Data Store'!$E$7:$E$594,SMALL(IF('All Player Data Store'!$Y$7:$Y$594=AC176,ROW('All Player Data Store'!$Y$7:$Y$594)-ROW('All Player Data Store'!$Y$7)+1),COUNTIF($AC$8:AC176,AC176))),"")</f>
        <v>1</v>
      </c>
      <c r="J176" s="70" t="str">
        <f t="array" ref="J176">IF(ISNUMBER(AC176),INDEX('All Player Data Store'!$F$7:$F$594,SMALL(IF('All Player Data Store'!$Y$7:$Y$594=AC176,ROW('All Player Data Store'!$Y$7:$Y$594)-ROW('All Player Data Store'!$Y$7)+1),COUNTIF($AC$8:AC176,AC176))),"")</f>
        <v/>
      </c>
      <c r="K176" s="112">
        <f t="array" ref="K176">IF(ISNUMBER(AC176),INDEX('All Player Data Store'!$G$7:$G$594,SMALL(IF('All Player Data Store'!$Y$7:$Y$594=AC176,ROW('All Player Data Store'!$Y$7:$Y$594)-ROW('All Player Data Store'!$Y$7)+1),COUNTIF($AC$8:AC176,AC176))),"")</f>
        <v>1</v>
      </c>
      <c r="L176" s="112">
        <f t="array" ref="L176">IF(ISNUMBER(AC176),INDEX('All Player Data Store'!$H$7:$H$594,SMALL(IF('All Player Data Store'!$Y$7:$Y$594=AC176,ROW('All Player Data Store'!$Y$7:$Y$594)-ROW('All Player Data Store'!$Y$7)+1),COUNTIF($AC$8:AC176,AC176))),"")</f>
        <v>1</v>
      </c>
      <c r="M176" s="113">
        <f t="array" ref="M176">IF(ISNUMBER(AC176),INDEX('All Player Data Store'!$I$7:$I$594,SMALL(IF('All Player Data Store'!$Y$7:$Y$594=AC176,ROW('All Player Data Store'!$Y$7:$Y$594)-ROW('All Player Data Store'!$Y$7)+1),COUNTIF($AC$8:AC176,AC176))),"")</f>
        <v>4</v>
      </c>
      <c r="N176" s="114" t="str">
        <f t="array" ref="N176">IF(ISNUMBER(AC176),INDEX('All Player Data Store'!$J$7:$J$594,SMALL(IF('All Player Data Store'!$Y$7:$Y$594=AC176,ROW('All Player Data Store'!$Y$7:$Y$594)-ROW('All Player Data Store'!$Y$7)+1),COUNTIF($AC$8:AC176,AC176))),"")</f>
        <v/>
      </c>
      <c r="O176" s="108" t="str">
        <f t="array" ref="O176">IF(ISNUMBER(AC176),INDEX('All Player Data Store'!$K$7:$K$594,SMALL(IF('All Player Data Store'!$Y$7:$Y$594=AC176,ROW('All Player Data Store'!$Y$7:$Y$594)-ROW('All Player Data Store'!$Y$7)+1),COUNTIF($AC$8:AC176,AC176))),"")</f>
        <v/>
      </c>
      <c r="P176" s="108" t="str">
        <f t="array" ref="P176">IF(ISNUMBER(AC176),INDEX('All Player Data Store'!$L$7:$L$594,SMALL(IF('All Player Data Store'!$Y$7:$Y$594=AC176,ROW('All Player Data Store'!$Y$7:$Y$594)-ROW('All Player Data Store'!$Y$7)+1),COUNTIF($AC$8:AC176,AC176))),"")</f>
        <v/>
      </c>
      <c r="Q176" s="108" t="str">
        <f t="array" ref="Q176">IF(ISNUMBER(AC176),INDEX('All Player Data Store'!$M$7:$M$594,SMALL(IF('All Player Data Store'!$Y$7:$Y$594=AC176,ROW('All Player Data Store'!$Y$7:$Y$594)-ROW('All Player Data Store'!$Y$7)+1),COUNTIF($AC$8:AC176,AC176))),"")</f>
        <v/>
      </c>
      <c r="R176" s="108">
        <f t="array" ref="R176">IF(ISNUMBER(AC176),INDEX('All Player Data Store'!$N$7:$N$594,SMALL(IF('All Player Data Store'!$Y$7:$Y$594=AC176,ROW('All Player Data Store'!$Y$7:$Y$594)-ROW('All Player Data Store'!$Y$7)+1),COUNTIF($AC$8:AC176,AC176))),"")</f>
        <v>17.829999999999998</v>
      </c>
      <c r="S176" s="108" t="str">
        <f t="array" ref="S176">IF(ISNUMBER(AC176),INDEX('All Player Data Store'!$O$7:$O$594,SMALL(IF('All Player Data Store'!$Y$7:$Y$594=AC176,ROW('All Player Data Store'!$Y$7:$Y$594)-ROW('All Player Data Store'!$Y$7)+1),COUNTIF($AC$8:AC176,AC176))),"")</f>
        <v/>
      </c>
      <c r="T176" s="108" t="str">
        <f t="array" ref="T176">IF(ISNUMBER(AC176),INDEX('All Player Data Store'!$P$7:$P$594,SMALL(IF('All Player Data Store'!$Y$7:$Y$594=AC176,ROW('All Player Data Store'!$Y$7:$Y$594)-ROW('All Player Data Store'!$Y$7)+1),COUNTIF($AC$8:AC176,AC176))),"")</f>
        <v/>
      </c>
      <c r="U176" s="108" t="str">
        <f t="array" ref="U176">IF(ISNUMBER(AC176),INDEX('All Player Data Store'!$Q$7:$Q$594,SMALL(IF('All Player Data Store'!$Y$7:$Y$594=AC176,ROW('All Player Data Store'!$Y$7:$Y$594)-ROW('All Player Data Store'!$Y$7)+1),COUNTIF($AC$8:AC176,AC176))),"")</f>
        <v/>
      </c>
      <c r="V176" s="108" t="str">
        <f t="array" ref="V176">IF(ISNUMBER(AC176),INDEX('All Player Data Store'!$R$7:$R$594,SMALL(IF('All Player Data Store'!$Y$7:$Y$594=AC176,ROW('All Player Data Store'!$Y$7:$Y$594)-ROW('All Player Data Store'!$Y$7)+1),COUNTIF($AC$8:AC176,AC176))),"")</f>
        <v/>
      </c>
      <c r="W176" s="108" t="str">
        <f t="array" ref="W176">IF(ISNUMBER(AC176),INDEX('All Player Data Store'!$S$7:$S$594,SMALL(IF('All Player Data Store'!$Y$7:$Y$594=AC176,ROW('All Player Data Store'!$Y$7:$Y$594)-ROW('All Player Data Store'!$Y$7)+1),COUNTIF($AC$8:AC176,AC176))),"")</f>
        <v/>
      </c>
      <c r="X176" s="108" t="str">
        <f t="array" ref="X176">IF(ISNUMBER(AC176),INDEX('All Player Data Store'!$T$7:$T$594,SMALL(IF('All Player Data Store'!$Y$7:$Y$594=AC176,ROW('All Player Data Store'!$Y$7:$Y$594)-ROW('All Player Data Store'!$Y$7)+1),COUNTIF($AC$8:AC176,AC176))),"")</f>
        <v/>
      </c>
      <c r="Y176" s="108" t="str">
        <f t="array" ref="Y176">IF(ISNUMBER(AC176),INDEX('All Player Data Store'!$U$7:$U$594,SMALL(IF('All Player Data Store'!$Y$7:$Y$594=AC176,ROW('All Player Data Store'!$Y$7:$Y$594)-ROW('All Player Data Store'!$Y$7)+1),COUNTIF($AC$8:AC176,AC176))),"")</f>
        <v/>
      </c>
      <c r="Z176" s="108" t="str">
        <f t="array" ref="Z176">IF(ISNUMBER(AC176),INDEX('All Player Data Store'!$V$7:$V$594,SMALL(IF('All Player Data Store'!$Y$7:$Y$594=AC176,ROW('All Player Data Store'!$Y$7:$Y$594)-ROW('All Player Data Store'!$Y$7)+1),COUNTIF($AC$8:AC176,AC176))),"")</f>
        <v/>
      </c>
      <c r="AA176" s="112" t="str">
        <f t="array" ref="AA176">IF(ISNUMBER(AC176),INDEX('All Player Data Store'!$W$7:$W$594,SMALL(IF('All Player Data Store'!$Y$7:$Y$594=AC176,ROW('All Player Data Store'!$Y$7:$Y$594)-ROW('All Player Data Store'!$Y$7)+1),COUNTIF($AC$8:AC176,AC176))),"")</f>
        <v/>
      </c>
      <c r="AB176" s="108">
        <f t="array" ref="AB176">IF(ISNUMBER(AC176),INDEX('All Player Data Store'!$X$7:$X$594,SMALL(IF('All Player Data Store'!$Y$7:$Y$594=AC176,ROW('All Player Data Store'!$Y$7:$Y$594)-ROW('All Player Data Store'!$Y$7)+1),COUNTIF($AC$8:AC176,AC176))),"")</f>
        <v>17.829999999999998</v>
      </c>
      <c r="AC176" s="115">
        <f>IF(ISERROR(IF(ISERROR(LARGE('All Player Data Store'!$Y$7:$Y$594,169)),"",(LARGE('All Player Data Store'!$Y$7:$Y$594,169)))),"",(IF(ISERROR(LARGE('All Player Data Store'!$Y$7:$Y$594,169)),"",(LARGE('All Player Data Store'!$Y$7:$Y$594,169)))))</f>
        <v>17.829999999999998</v>
      </c>
      <c r="AD176" s="106">
        <f t="shared" si="16"/>
        <v>3</v>
      </c>
      <c r="AE176" s="107" t="str">
        <f t="array" ref="AE176">IF(ISNUMBER(AC176),INDEX('All Player Data Store'!$J$8:$J$594,SMALL(IF('All Player Data Store'!$Y$7:$Y$594=AC176,ROW('All Player Data Store'!$Y$7:$Y$594)-ROW('All Player Data Store'!$Y$7)+1),COUNTIF($AC$8:AC176,AC176))),"")</f>
        <v/>
      </c>
      <c r="AF176" s="108" t="str">
        <f t="shared" si="3"/>
        <v/>
      </c>
      <c r="AG176" s="108" t="str">
        <f t="array" ref="AG176">IF(ISNUMBER(AC176),INDEX('All Player Data Store'!$K$8:$K$594,SMALL(IF('All Player Data Store'!$Y$7:$Y$594=AC176,ROW('All Player Data Store'!$Y$7:$Y$594)-ROW('All Player Data Store'!$Y$7)+1),COUNTIF($AC$8:AC176,AC176))),"")</f>
        <v/>
      </c>
      <c r="AH176" s="108" t="str">
        <f t="shared" si="4"/>
        <v/>
      </c>
      <c r="AI176" s="108" t="str">
        <f t="array" ref="AI176">IF(ISNUMBER(AC176),INDEX('All Player Data Store'!$L$8:$L$594,SMALL(IF('All Player Data Store'!$Y$7:$Y$594=AC176,ROW('All Player Data Store'!$Y$7:$Y$594)-ROW('All Player Data Store'!$Y$7)+1),COUNTIF($AC$8:AC176,AC176))),"")</f>
        <v/>
      </c>
      <c r="AJ176" s="108" t="str">
        <f t="shared" si="5"/>
        <v/>
      </c>
      <c r="AK176" s="108" t="str">
        <f t="array" ref="AK176">IF(ISNUMBER(AC176),INDEX('All Player Data Store'!$M$8:$M$594,SMALL(IF('All Player Data Store'!$Y$7:$Y$594=AC176,ROW('All Player Data Store'!$Y$7:$Y$594)-ROW('All Player Data Store'!$Y$7)+1),COUNTIF($AC$8:AC176,AC176))),"")</f>
        <v/>
      </c>
      <c r="AL176" s="108" t="str">
        <f t="shared" si="6"/>
        <v/>
      </c>
      <c r="AM176" s="108" t="str">
        <f t="array" ref="AM176">IF(ISNUMBER(AC176),INDEX('All Player Data Store'!$N$8:$N$594,SMALL(IF('All Player Data Store'!$Y$7:$Y$594=AC176,ROW('All Player Data Store'!$Y$7:$Y$594)-ROW('All Player Data Store'!$Y$7)+1),COUNTIF($AC$8:AC176,AC176))),"")</f>
        <v>1*4</v>
      </c>
      <c r="AN176" s="108">
        <f t="shared" si="7"/>
        <v>17.829999999999998</v>
      </c>
      <c r="AO176" s="108" t="str">
        <f t="array" ref="AO176">IF(ISNUMBER(AC176),INDEX('All Player Data Store'!$O$8:$O$594,SMALL(IF('All Player Data Store'!$Y$7:$Y$594=AC176,ROW('All Player Data Store'!$Y$7:$Y$594)-ROW('All Player Data Store'!$Y$7)+1),COUNTIF($AC$8:AC176,AC176))),"")</f>
        <v/>
      </c>
      <c r="AP176" s="108" t="str">
        <f t="shared" si="8"/>
        <v/>
      </c>
      <c r="AQ176" s="108" t="str">
        <f t="array" ref="AQ176">IF(ISNUMBER(AC176),INDEX('All Player Data Store'!$P$8:$P$594,SMALL(IF('All Player Data Store'!$Y$7:$Y$594=AC176,ROW('All Player Data Store'!$Y$7:$Y$594)-ROW('All Player Data Store'!$Y$7)+1),COUNTIF($AC$8:AC176,AC176))),"")</f>
        <v/>
      </c>
      <c r="AR176" s="108" t="str">
        <f t="shared" si="9"/>
        <v/>
      </c>
      <c r="AS176" s="108" t="str">
        <f t="array" ref="AS176">IF(ISNUMBER(AC176),INDEX('All Player Data Store'!$Q$8:$Q$594,SMALL(IF('All Player Data Store'!$Y$7:$Y$594=AC176,ROW('All Player Data Store'!$Y$7:$Y$594)-ROW('All Player Data Store'!$Y$7)+1),COUNTIF($AC$8:AC176,AC176))),"")</f>
        <v/>
      </c>
      <c r="AT176" s="108" t="str">
        <f t="shared" si="10"/>
        <v/>
      </c>
      <c r="AU176" s="108" t="str">
        <f t="array" ref="AU176">IF(ISNUMBER(AC176),INDEX('All Player Data Store'!$R$8:$R$594,SMALL(IF('All Player Data Store'!$Y$7:$Y$594=AC176,ROW('All Player Data Store'!$Y$7:$Y$594)-ROW('All Player Data Store'!$Y$7)+1),COUNTIF($AC$8:AC176,AC176))),"")</f>
        <v/>
      </c>
      <c r="AV176" s="108" t="str">
        <f t="shared" si="11"/>
        <v/>
      </c>
      <c r="AW176" s="108" t="str">
        <f t="array" ref="AW176">IF(ISNUMBER(AC176),INDEX('All Player Data Store'!$S$8:$S$594,SMALL(IF('All Player Data Store'!$Y$7:$Y$594=AC176,ROW('All Player Data Store'!$Y$7:$Y$594)-ROW('All Player Data Store'!$Y$7)+1),COUNTIF($AC$8:AC176,AC176))),"")</f>
        <v/>
      </c>
      <c r="AX176" s="108" t="str">
        <f t="shared" si="12"/>
        <v/>
      </c>
      <c r="AY176" s="108" t="str">
        <f t="array" ref="AY176">IF(ISNUMBER(AC176),INDEX('All Player Data Store'!$T$8:$T$594,SMALL(IF('All Player Data Store'!$Y$7:$Y$594=AC176,ROW('All Player Data Store'!$Y$7:$Y$594)-ROW('All Player Data Store'!$Y$7)+1),COUNTIF($AC$8:AC176,AC176))),"")</f>
        <v/>
      </c>
      <c r="AZ176" s="108" t="str">
        <f t="shared" si="13"/>
        <v/>
      </c>
      <c r="BA176" s="108" t="str">
        <f t="array" ref="BA176">IF(ISNUMBER(AC176),INDEX('All Player Data Store'!$U$8:$U$594,SMALL(IF('All Player Data Store'!$Y$7:$Y$594=AC176,ROW('All Player Data Store'!$Y$7:$Y$594)-ROW('All Player Data Store'!$Y$7)+1),COUNTIF($AC$8:AC176,AC176))),"")</f>
        <v/>
      </c>
      <c r="BB176" s="108" t="str">
        <f t="shared" si="14"/>
        <v/>
      </c>
      <c r="BC176" s="108" t="str">
        <f t="array" ref="BC176">IF(ISNUMBER(AC176),INDEX('All Player Data Store'!$V$8:$V$594,SMALL(IF('All Player Data Store'!$Y$7:$Y$594=AC176,ROW('All Player Data Store'!$Y$7:$Y$594)-ROW('All Player Data Store'!$Y$7)+1),COUNTIF($AC$8:AC176,AC176))),"")</f>
        <v/>
      </c>
      <c r="BD176" s="108" t="str">
        <f t="shared" si="15"/>
        <v/>
      </c>
      <c r="BE176" s="1"/>
    </row>
    <row r="177" spans="2:57" ht="12" customHeight="1" x14ac:dyDescent="0.2">
      <c r="B177" s="98" t="str">
        <f t="shared" si="0"/>
        <v>N</v>
      </c>
      <c r="C177" s="1"/>
      <c r="D177" s="68">
        <f t="shared" si="1"/>
        <v>170</v>
      </c>
      <c r="E177" s="2"/>
      <c r="F177" s="78">
        <v>170</v>
      </c>
      <c r="G177" s="110" t="str">
        <f t="array" ref="G177">IF(ISNUMBER(AC177),INDEX('All Player Data Store'!$C$7:$C$594,SMALL(IF('All Player Data Store'!$Y$7:$Y$594=AC177,ROW('All Player Data Store'!$Y$7:$Y$594)-ROW('All Player Data Store'!$Y$7)+1),COUNTIF($AC$8:AC177,AC177))),"")</f>
        <v>Mark Jones</v>
      </c>
      <c r="H177" s="111" t="str">
        <f t="array" ref="H177">IF(ISNUMBER(AC177),INDEX('All Player Data Store'!$D$7:$D$594,SMALL(IF('All Player Data Store'!$Y$7:$Y$594=AC177,ROW('All Player Data Store'!$Y$7:$Y$594)-ROW('All Player Data Store'!$Y$7)+1),COUNTIF($AC$8:AC177,AC177))),"")</f>
        <v>Por</v>
      </c>
      <c r="I177" s="69">
        <f t="array" ref="I177">IF(ISNUMBER(AC177),INDEX('All Player Data Store'!$E$7:$E$594,SMALL(IF('All Player Data Store'!$Y$7:$Y$594=AC177,ROW('All Player Data Store'!$Y$7:$Y$594)-ROW('All Player Data Store'!$Y$7)+1),COUNTIF($AC$8:AC177,AC177))),"")</f>
        <v>4</v>
      </c>
      <c r="J177" s="70">
        <f t="array" ref="J177">IF(ISNUMBER(AC177),INDEX('All Player Data Store'!$F$7:$F$594,SMALL(IF('All Player Data Store'!$Y$7:$Y$594=AC177,ROW('All Player Data Store'!$Y$7:$Y$594)-ROW('All Player Data Store'!$Y$7)+1),COUNTIF($AC$8:AC177,AC177))),"")</f>
        <v>1</v>
      </c>
      <c r="K177" s="112">
        <f t="array" ref="K177">IF(ISNUMBER(AC177),INDEX('All Player Data Store'!$G$7:$G$594,SMALL(IF('All Player Data Store'!$Y$7:$Y$594=AC177,ROW('All Player Data Store'!$Y$7:$Y$594)-ROW('All Player Data Store'!$Y$7)+1),COUNTIF($AC$8:AC177,AC177))),"")</f>
        <v>3</v>
      </c>
      <c r="L177" s="112">
        <f t="array" ref="L177">IF(ISNUMBER(AC177),INDEX('All Player Data Store'!$H$7:$H$594,SMALL(IF('All Player Data Store'!$Y$7:$Y$594=AC177,ROW('All Player Data Store'!$Y$7:$Y$594)-ROW('All Player Data Store'!$Y$7)+1),COUNTIF($AC$8:AC177,AC177))),"")</f>
        <v>5</v>
      </c>
      <c r="M177" s="113">
        <f t="array" ref="M177">IF(ISNUMBER(AC177),INDEX('All Player Data Store'!$I$7:$I$594,SMALL(IF('All Player Data Store'!$Y$7:$Y$594=AC177,ROW('All Player Data Store'!$Y$7:$Y$594)-ROW('All Player Data Store'!$Y$7)+1),COUNTIF($AC$8:AC177,AC177))),"")</f>
        <v>15</v>
      </c>
      <c r="N177" s="114" t="str">
        <f t="array" ref="N177">IF(ISNUMBER(AC177),INDEX('All Player Data Store'!$J$7:$J$594,SMALL(IF('All Player Data Store'!$Y$7:$Y$594=AC177,ROW('All Player Data Store'!$Y$7:$Y$594)-ROW('All Player Data Store'!$Y$7)+1),COUNTIF($AC$8:AC177,AC177))),"")</f>
        <v/>
      </c>
      <c r="O177" s="108">
        <f t="array" ref="O177">IF(ISNUMBER(AC177),INDEX('All Player Data Store'!$K$7:$K$594,SMALL(IF('All Player Data Store'!$Y$7:$Y$594=AC177,ROW('All Player Data Store'!$Y$7:$Y$594)-ROW('All Player Data Store'!$Y$7)+1),COUNTIF($AC$8:AC177,AC177))),"")</f>
        <v>17.43</v>
      </c>
      <c r="P177" s="108" t="str">
        <f t="array" ref="P177">IF(ISNUMBER(AC177),INDEX('All Player Data Store'!$L$7:$L$594,SMALL(IF('All Player Data Store'!$Y$7:$Y$594=AC177,ROW('All Player Data Store'!$Y$7:$Y$594)-ROW('All Player Data Store'!$Y$7)+1),COUNTIF($AC$8:AC177,AC177))),"")</f>
        <v/>
      </c>
      <c r="Q177" s="108" t="str">
        <f t="array" ref="Q177">IF(ISNUMBER(AC177),INDEX('All Player Data Store'!$M$7:$M$594,SMALL(IF('All Player Data Store'!$Y$7:$Y$594=AC177,ROW('All Player Data Store'!$Y$7:$Y$594)-ROW('All Player Data Store'!$Y$7)+1),COUNTIF($AC$8:AC177,AC177))),"")</f>
        <v/>
      </c>
      <c r="R177" s="108" t="str">
        <f t="array" ref="R177">IF(ISNUMBER(AC177),INDEX('All Player Data Store'!$N$7:$N$594,SMALL(IF('All Player Data Store'!$Y$7:$Y$594=AC177,ROW('All Player Data Store'!$Y$7:$Y$594)-ROW('All Player Data Store'!$Y$7)+1),COUNTIF($AC$8:AC177,AC177))),"")</f>
        <v/>
      </c>
      <c r="S177" s="108" t="str">
        <f t="array" ref="S177">IF(ISNUMBER(AC177),INDEX('All Player Data Store'!$O$7:$O$594,SMALL(IF('All Player Data Store'!$Y$7:$Y$594=AC177,ROW('All Player Data Store'!$Y$7:$Y$594)-ROW('All Player Data Store'!$Y$7)+1),COUNTIF($AC$8:AC177,AC177))),"")</f>
        <v/>
      </c>
      <c r="T177" s="108" t="str">
        <f t="array" ref="T177">IF(ISNUMBER(AC177),INDEX('All Player Data Store'!$P$7:$P$594,SMALL(IF('All Player Data Store'!$Y$7:$Y$594=AC177,ROW('All Player Data Store'!$Y$7:$Y$594)-ROW('All Player Data Store'!$Y$7)+1),COUNTIF($AC$8:AC177,AC177))),"")</f>
        <v/>
      </c>
      <c r="U177" s="108">
        <f t="array" ref="U177">IF(ISNUMBER(AC177),INDEX('All Player Data Store'!$Q$7:$Q$594,SMALL(IF('All Player Data Store'!$Y$7:$Y$594=AC177,ROW('All Player Data Store'!$Y$7:$Y$594)-ROW('All Player Data Store'!$Y$7)+1),COUNTIF($AC$8:AC177,AC177))),"")</f>
        <v>15.91</v>
      </c>
      <c r="V177" s="108" t="str">
        <f t="array" ref="V177">IF(ISNUMBER(AC177),INDEX('All Player Data Store'!$R$7:$R$594,SMALL(IF('All Player Data Store'!$Y$7:$Y$594=AC177,ROW('All Player Data Store'!$Y$7:$Y$594)-ROW('All Player Data Store'!$Y$7)+1),COUNTIF($AC$8:AC177,AC177))),"")</f>
        <v/>
      </c>
      <c r="W177" s="108" t="str">
        <f t="array" ref="W177">IF(ISNUMBER(AC177),INDEX('All Player Data Store'!$S$7:$S$594,SMALL(IF('All Player Data Store'!$Y$7:$Y$594=AC177,ROW('All Player Data Store'!$Y$7:$Y$594)-ROW('All Player Data Store'!$Y$7)+1),COUNTIF($AC$8:AC177,AC177))),"")</f>
        <v/>
      </c>
      <c r="X177" s="108">
        <f t="array" ref="X177">IF(ISNUMBER(AC177),INDEX('All Player Data Store'!$T$7:$T$594,SMALL(IF('All Player Data Store'!$Y$7:$Y$594=AC177,ROW('All Player Data Store'!$Y$7:$Y$594)-ROW('All Player Data Store'!$Y$7)+1),COUNTIF($AC$8:AC177,AC177))),"")</f>
        <v>17.260000000000002</v>
      </c>
      <c r="Y177" s="108">
        <f t="array" ref="Y177">IF(ISNUMBER(AC177),INDEX('All Player Data Store'!$U$7:$U$594,SMALL(IF('All Player Data Store'!$Y$7:$Y$594=AC177,ROW('All Player Data Store'!$Y$7:$Y$594)-ROW('All Player Data Store'!$Y$7)+1),COUNTIF($AC$8:AC177,AC177))),"")</f>
        <v>16.62</v>
      </c>
      <c r="Z177" s="108" t="str">
        <f t="array" ref="Z177">IF(ISNUMBER(AC177),INDEX('All Player Data Store'!$V$7:$V$594,SMALL(IF('All Player Data Store'!$Y$7:$Y$594=AC177,ROW('All Player Data Store'!$Y$7:$Y$594)-ROW('All Player Data Store'!$Y$7)+1),COUNTIF($AC$8:AC177,AC177))),"")</f>
        <v/>
      </c>
      <c r="AA177" s="112" t="str">
        <f t="array" ref="AA177">IF(ISNUMBER(AC177),INDEX('All Player Data Store'!$W$7:$W$594,SMALL(IF('All Player Data Store'!$Y$7:$Y$594=AC177,ROW('All Player Data Store'!$Y$7:$Y$594)-ROW('All Player Data Store'!$Y$7)+1),COUNTIF($AC$8:AC177,AC177))),"")</f>
        <v/>
      </c>
      <c r="AB177" s="108">
        <f t="array" ref="AB177">IF(ISNUMBER(AC177),INDEX('All Player Data Store'!$X$7:$X$594,SMALL(IF('All Player Data Store'!$Y$7:$Y$594=AC177,ROW('All Player Data Store'!$Y$7:$Y$594)-ROW('All Player Data Store'!$Y$7)+1),COUNTIF($AC$8:AC177,AC177))),"")</f>
        <v>16.805000000000003</v>
      </c>
      <c r="AC177" s="115">
        <f>IF(ISERROR(IF(ISERROR(LARGE('All Player Data Store'!$Y$7:$Y$594,170)),"",(LARGE('All Player Data Store'!$Y$7:$Y$594,170)))),"",(IF(ISERROR(LARGE('All Player Data Store'!$Y$7:$Y$594,170)),"",(LARGE('All Player Data Store'!$Y$7:$Y$594,170)))))</f>
        <v>17.805000000000003</v>
      </c>
      <c r="AD177" s="106">
        <f t="shared" si="16"/>
        <v>3</v>
      </c>
      <c r="AE177" s="107" t="str">
        <f t="array" ref="AE177">IF(ISNUMBER(AC177),INDEX('All Player Data Store'!$J$8:$J$594,SMALL(IF('All Player Data Store'!$Y$7:$Y$594=AC177,ROW('All Player Data Store'!$Y$7:$Y$594)-ROW('All Player Data Store'!$Y$7)+1),COUNTIF($AC$8:AC177,AC177))),"")</f>
        <v/>
      </c>
      <c r="AF177" s="108" t="str">
        <f t="shared" si="3"/>
        <v/>
      </c>
      <c r="AG177" s="108" t="str">
        <f t="array" ref="AG177">IF(ISNUMBER(AC177),INDEX('All Player Data Store'!$K$8:$K$594,SMALL(IF('All Player Data Store'!$Y$7:$Y$594=AC177,ROW('All Player Data Store'!$Y$7:$Y$594)-ROW('All Player Data Store'!$Y$7)+1),COUNTIF($AC$8:AC177,AC177))),"")</f>
        <v>0*4</v>
      </c>
      <c r="AH177" s="108">
        <f t="shared" si="4"/>
        <v>17.43</v>
      </c>
      <c r="AI177" s="108" t="str">
        <f t="array" ref="AI177">IF(ISNUMBER(AC177),INDEX('All Player Data Store'!$L$8:$L$594,SMALL(IF('All Player Data Store'!$Y$7:$Y$594=AC177,ROW('All Player Data Store'!$Y$7:$Y$594)-ROW('All Player Data Store'!$Y$7)+1),COUNTIF($AC$8:AC177,AC177))),"")</f>
        <v/>
      </c>
      <c r="AJ177" s="108" t="str">
        <f t="shared" si="5"/>
        <v/>
      </c>
      <c r="AK177" s="108" t="str">
        <f t="array" ref="AK177">IF(ISNUMBER(AC177),INDEX('All Player Data Store'!$M$8:$M$594,SMALL(IF('All Player Data Store'!$Y$7:$Y$594=AC177,ROW('All Player Data Store'!$Y$7:$Y$594)-ROW('All Player Data Store'!$Y$7)+1),COUNTIF($AC$8:AC177,AC177))),"")</f>
        <v/>
      </c>
      <c r="AL177" s="108" t="str">
        <f t="shared" si="6"/>
        <v/>
      </c>
      <c r="AM177" s="108" t="str">
        <f t="array" ref="AM177">IF(ISNUMBER(AC177),INDEX('All Player Data Store'!$N$8:$N$594,SMALL(IF('All Player Data Store'!$Y$7:$Y$594=AC177,ROW('All Player Data Store'!$Y$7:$Y$594)-ROW('All Player Data Store'!$Y$7)+1),COUNTIF($AC$8:AC177,AC177))),"")</f>
        <v/>
      </c>
      <c r="AN177" s="108" t="str">
        <f t="shared" si="7"/>
        <v/>
      </c>
      <c r="AO177" s="108" t="str">
        <f t="array" ref="AO177">IF(ISNUMBER(AC177),INDEX('All Player Data Store'!$O$8:$O$594,SMALL(IF('All Player Data Store'!$Y$7:$Y$594=AC177,ROW('All Player Data Store'!$Y$7:$Y$594)-ROW('All Player Data Store'!$Y$7)+1),COUNTIF($AC$8:AC177,AC177))),"")</f>
        <v/>
      </c>
      <c r="AP177" s="108" t="str">
        <f t="shared" si="8"/>
        <v/>
      </c>
      <c r="AQ177" s="108" t="str">
        <f t="array" ref="AQ177">IF(ISNUMBER(AC177),INDEX('All Player Data Store'!$P$8:$P$594,SMALL(IF('All Player Data Store'!$Y$7:$Y$594=AC177,ROW('All Player Data Store'!$Y$7:$Y$594)-ROW('All Player Data Store'!$Y$7)+1),COUNTIF($AC$8:AC177,AC177))),"")</f>
        <v/>
      </c>
      <c r="AR177" s="108" t="str">
        <f t="shared" si="9"/>
        <v/>
      </c>
      <c r="AS177" s="108" t="str">
        <f t="array" ref="AS177">IF(ISNUMBER(AC177),INDEX('All Player Data Store'!$Q$8:$Q$594,SMALL(IF('All Player Data Store'!$Y$7:$Y$594=AC177,ROW('All Player Data Store'!$Y$7:$Y$594)-ROW('All Player Data Store'!$Y$7)+1),COUNTIF($AC$8:AC177,AC177))),"")</f>
        <v>0*4</v>
      </c>
      <c r="AT177" s="108">
        <f t="shared" si="10"/>
        <v>15.91</v>
      </c>
      <c r="AU177" s="108" t="str">
        <f t="array" ref="AU177">IF(ISNUMBER(AC177),INDEX('All Player Data Store'!$R$8:$R$594,SMALL(IF('All Player Data Store'!$Y$7:$Y$594=AC177,ROW('All Player Data Store'!$Y$7:$Y$594)-ROW('All Player Data Store'!$Y$7)+1),COUNTIF($AC$8:AC177,AC177))),"")</f>
        <v/>
      </c>
      <c r="AV177" s="108" t="str">
        <f t="shared" si="11"/>
        <v/>
      </c>
      <c r="AW177" s="108" t="str">
        <f t="array" ref="AW177">IF(ISNUMBER(AC177),INDEX('All Player Data Store'!$S$8:$S$594,SMALL(IF('All Player Data Store'!$Y$7:$Y$594=AC177,ROW('All Player Data Store'!$Y$7:$Y$594)-ROW('All Player Data Store'!$Y$7)+1),COUNTIF($AC$8:AC177,AC177))),"")</f>
        <v/>
      </c>
      <c r="AX177" s="108" t="str">
        <f t="shared" si="12"/>
        <v/>
      </c>
      <c r="AY177" s="108" t="str">
        <f t="array" ref="AY177">IF(ISNUMBER(AC177),INDEX('All Player Data Store'!$T$8:$T$594,SMALL(IF('All Player Data Store'!$Y$7:$Y$594=AC177,ROW('All Player Data Store'!$Y$7:$Y$594)-ROW('All Player Data Store'!$Y$7)+1),COUNTIF($AC$8:AC177,AC177))),"")</f>
        <v>4*3</v>
      </c>
      <c r="AZ177" s="108">
        <f t="shared" si="13"/>
        <v>18.260000000000002</v>
      </c>
      <c r="BA177" s="108" t="str">
        <f t="array" ref="BA177">IF(ISNUMBER(AC177),INDEX('All Player Data Store'!$U$8:$U$594,SMALL(IF('All Player Data Store'!$Y$7:$Y$594=AC177,ROW('All Player Data Store'!$Y$7:$Y$594)-ROW('All Player Data Store'!$Y$7)+1),COUNTIF($AC$8:AC177,AC177))),"")</f>
        <v>1*4</v>
      </c>
      <c r="BB177" s="108">
        <f t="shared" si="14"/>
        <v>16.62</v>
      </c>
      <c r="BC177" s="108" t="str">
        <f t="array" ref="BC177">IF(ISNUMBER(AC177),INDEX('All Player Data Store'!$V$8:$V$594,SMALL(IF('All Player Data Store'!$Y$7:$Y$594=AC177,ROW('All Player Data Store'!$Y$7:$Y$594)-ROW('All Player Data Store'!$Y$7)+1),COUNTIF($AC$8:AC177,AC177))),"")</f>
        <v/>
      </c>
      <c r="BD177" s="108" t="str">
        <f t="shared" si="15"/>
        <v/>
      </c>
      <c r="BE177" s="1"/>
    </row>
    <row r="178" spans="2:57" ht="12" customHeight="1" x14ac:dyDescent="0.2">
      <c r="B178" s="98" t="str">
        <f t="shared" si="0"/>
        <v>N</v>
      </c>
      <c r="C178" s="1"/>
      <c r="D178" s="68">
        <f t="shared" si="1"/>
        <v>171</v>
      </c>
      <c r="E178" s="2"/>
      <c r="F178" s="78">
        <v>171</v>
      </c>
      <c r="G178" s="110" t="str">
        <f t="array" ref="G178">IF(ISNUMBER(AC178),INDEX('All Player Data Store'!$C$7:$C$594,SMALL(IF('All Player Data Store'!$Y$7:$Y$594=AC178,ROW('All Player Data Store'!$Y$7:$Y$594)-ROW('All Player Data Store'!$Y$7)+1),COUNTIF($AC$8:AC178,AC178))),"")</f>
        <v>Scott Wyeth</v>
      </c>
      <c r="H178" s="111" t="str">
        <f t="array" ref="H178">IF(ISNUMBER(AC178),INDEX('All Player Data Store'!$D$7:$D$594,SMALL(IF('All Player Data Store'!$Y$7:$Y$594=AC178,ROW('All Player Data Store'!$Y$7:$Y$594)-ROW('All Player Data Store'!$Y$7)+1),COUNTIF($AC$8:AC178,AC178))),"")</f>
        <v>Aly</v>
      </c>
      <c r="I178" s="69">
        <f t="array" ref="I178">IF(ISNUMBER(AC178),INDEX('All Player Data Store'!$E$7:$E$594,SMALL(IF('All Player Data Store'!$Y$7:$Y$594=AC178,ROW('All Player Data Store'!$Y$7:$Y$594)-ROW('All Player Data Store'!$Y$7)+1),COUNTIF($AC$8:AC178,AC178))),"")</f>
        <v>2</v>
      </c>
      <c r="J178" s="70" t="str">
        <f t="array" ref="J178">IF(ISNUMBER(AC178),INDEX('All Player Data Store'!$F$7:$F$594,SMALL(IF('All Player Data Store'!$Y$7:$Y$594=AC178,ROW('All Player Data Store'!$Y$7:$Y$594)-ROW('All Player Data Store'!$Y$7)+1),COUNTIF($AC$8:AC178,AC178))),"")</f>
        <v/>
      </c>
      <c r="K178" s="112">
        <f t="array" ref="K178">IF(ISNUMBER(AC178),INDEX('All Player Data Store'!$G$7:$G$594,SMALL(IF('All Player Data Store'!$Y$7:$Y$594=AC178,ROW('All Player Data Store'!$Y$7:$Y$594)-ROW('All Player Data Store'!$Y$7)+1),COUNTIF($AC$8:AC178,AC178))),"")</f>
        <v>2</v>
      </c>
      <c r="L178" s="70">
        <f t="array" ref="L178">IF(ISNUMBER(AC178),INDEX('All Player Data Store'!$H$7:$H$594,SMALL(IF('All Player Data Store'!$Y$7:$Y$594=AC178,ROW('All Player Data Store'!$Y$7:$Y$594)-ROW('All Player Data Store'!$Y$7)+1),COUNTIF($AC$8:AC178,AC178))),"")</f>
        <v>1</v>
      </c>
      <c r="M178" s="113">
        <f t="array" ref="M178">IF(ISNUMBER(AC178),INDEX('All Player Data Store'!$I$7:$I$594,SMALL(IF('All Player Data Store'!$Y$7:$Y$594=AC178,ROW('All Player Data Store'!$Y$7:$Y$594)-ROW('All Player Data Store'!$Y$7)+1),COUNTIF($AC$8:AC178,AC178))),"")</f>
        <v>8</v>
      </c>
      <c r="N178" s="114">
        <f t="array" ref="N178">IF(ISNUMBER(AC178),INDEX('All Player Data Store'!$J$7:$J$594,SMALL(IF('All Player Data Store'!$Y$7:$Y$594=AC178,ROW('All Player Data Store'!$Y$7:$Y$594)-ROW('All Player Data Store'!$Y$7)+1),COUNTIF($AC$8:AC178,AC178))),"")</f>
        <v>15.23</v>
      </c>
      <c r="O178" s="108" t="str">
        <f t="array" ref="O178">IF(ISNUMBER(AC178),INDEX('All Player Data Store'!$K$7:$K$594,SMALL(IF('All Player Data Store'!$Y$7:$Y$594=AC178,ROW('All Player Data Store'!$Y$7:$Y$594)-ROW('All Player Data Store'!$Y$7)+1),COUNTIF($AC$8:AC178,AC178))),"")</f>
        <v/>
      </c>
      <c r="P178" s="108">
        <f t="array" ref="P178">IF(ISNUMBER(AC178),INDEX('All Player Data Store'!$L$7:$L$594,SMALL(IF('All Player Data Store'!$Y$7:$Y$594=AC178,ROW('All Player Data Store'!$Y$7:$Y$594)-ROW('All Player Data Store'!$Y$7)+1),COUNTIF($AC$8:AC178,AC178))),"")</f>
        <v>20.34</v>
      </c>
      <c r="Q178" s="108" t="str">
        <f t="array" ref="Q178">IF(ISNUMBER(AC178),INDEX('All Player Data Store'!$M$7:$M$594,SMALL(IF('All Player Data Store'!$Y$7:$Y$594=AC178,ROW('All Player Data Store'!$Y$7:$Y$594)-ROW('All Player Data Store'!$Y$7)+1),COUNTIF($AC$8:AC178,AC178))),"")</f>
        <v/>
      </c>
      <c r="R178" s="108" t="str">
        <f t="array" ref="R178">IF(ISNUMBER(AC178),INDEX('All Player Data Store'!$N$7:$N$594,SMALL(IF('All Player Data Store'!$Y$7:$Y$594=AC178,ROW('All Player Data Store'!$Y$7:$Y$594)-ROW('All Player Data Store'!$Y$7)+1),COUNTIF($AC$8:AC178,AC178))),"")</f>
        <v/>
      </c>
      <c r="S178" s="108" t="str">
        <f t="array" ref="S178">IF(ISNUMBER(AC178),INDEX('All Player Data Store'!$O$7:$O$594,SMALL(IF('All Player Data Store'!$Y$7:$Y$594=AC178,ROW('All Player Data Store'!$Y$7:$Y$594)-ROW('All Player Data Store'!$Y$7)+1),COUNTIF($AC$8:AC178,AC178))),"")</f>
        <v/>
      </c>
      <c r="T178" s="108" t="str">
        <f t="array" ref="T178">IF(ISNUMBER(AC178),INDEX('All Player Data Store'!$P$7:$P$594,SMALL(IF('All Player Data Store'!$Y$7:$Y$594=AC178,ROW('All Player Data Store'!$Y$7:$Y$594)-ROW('All Player Data Store'!$Y$7)+1),COUNTIF($AC$8:AC178,AC178))),"")</f>
        <v/>
      </c>
      <c r="U178" s="108" t="str">
        <f t="array" ref="U178">IF(ISNUMBER(AC178),INDEX('All Player Data Store'!$Q$7:$Q$594,SMALL(IF('All Player Data Store'!$Y$7:$Y$594=AC178,ROW('All Player Data Store'!$Y$7:$Y$594)-ROW('All Player Data Store'!$Y$7)+1),COUNTIF($AC$8:AC178,AC178))),"")</f>
        <v/>
      </c>
      <c r="V178" s="108" t="str">
        <f t="array" ref="V178">IF(ISNUMBER(AC178),INDEX('All Player Data Store'!$R$7:$R$594,SMALL(IF('All Player Data Store'!$Y$7:$Y$594=AC178,ROW('All Player Data Store'!$Y$7:$Y$594)-ROW('All Player Data Store'!$Y$7)+1),COUNTIF($AC$8:AC178,AC178))),"")</f>
        <v/>
      </c>
      <c r="W178" s="108" t="str">
        <f t="array" ref="W178">IF(ISNUMBER(AC178),INDEX('All Player Data Store'!$S$7:$S$594,SMALL(IF('All Player Data Store'!$Y$7:$Y$594=AC178,ROW('All Player Data Store'!$Y$7:$Y$594)-ROW('All Player Data Store'!$Y$7)+1),COUNTIF($AC$8:AC178,AC178))),"")</f>
        <v/>
      </c>
      <c r="X178" s="108" t="str">
        <f t="array" ref="X178">IF(ISNUMBER(AC178),INDEX('All Player Data Store'!$T$7:$T$594,SMALL(IF('All Player Data Store'!$Y$7:$Y$594=AC178,ROW('All Player Data Store'!$Y$7:$Y$594)-ROW('All Player Data Store'!$Y$7)+1),COUNTIF($AC$8:AC178,AC178))),"")</f>
        <v/>
      </c>
      <c r="Y178" s="108" t="str">
        <f t="array" ref="Y178">IF(ISNUMBER(AC178),INDEX('All Player Data Store'!$U$7:$U$594,SMALL(IF('All Player Data Store'!$Y$7:$Y$594=AC178,ROW('All Player Data Store'!$Y$7:$Y$594)-ROW('All Player Data Store'!$Y$7)+1),COUNTIF($AC$8:AC178,AC178))),"")</f>
        <v/>
      </c>
      <c r="Z178" s="108" t="str">
        <f t="array" ref="Z178">IF(ISNUMBER(AC178),INDEX('All Player Data Store'!$V$7:$V$594,SMALL(IF('All Player Data Store'!$Y$7:$Y$594=AC178,ROW('All Player Data Store'!$Y$7:$Y$594)-ROW('All Player Data Store'!$Y$7)+1),COUNTIF($AC$8:AC178,AC178))),"")</f>
        <v/>
      </c>
      <c r="AA178" s="112" t="str">
        <f t="array" ref="AA178">IF(ISNUMBER(AC178),INDEX('All Player Data Store'!$W$7:$W$594,SMALL(IF('All Player Data Store'!$Y$7:$Y$594=AC178,ROW('All Player Data Store'!$Y$7:$Y$594)-ROW('All Player Data Store'!$Y$7)+1),COUNTIF($AC$8:AC178,AC178))),"")</f>
        <v/>
      </c>
      <c r="AB178" s="108">
        <f t="array" ref="AB178">IF(ISNUMBER(AC178),INDEX('All Player Data Store'!$X$7:$X$594,SMALL(IF('All Player Data Store'!$Y$7:$Y$594=AC178,ROW('All Player Data Store'!$Y$7:$Y$594)-ROW('All Player Data Store'!$Y$7)+1),COUNTIF($AC$8:AC178,AC178))),"")</f>
        <v>17.785</v>
      </c>
      <c r="AC178" s="115">
        <f>IF(ISERROR(IF(ISERROR(LARGE('All Player Data Store'!$Y$7:$Y$594,171)),"",(LARGE('All Player Data Store'!$Y$7:$Y$594,171)))),"",(IF(ISERROR(LARGE('All Player Data Store'!$Y$7:$Y$594,171)),"",(LARGE('All Player Data Store'!$Y$7:$Y$594,171)))))</f>
        <v>17.785</v>
      </c>
      <c r="AD178" s="106">
        <f t="shared" si="16"/>
        <v>3</v>
      </c>
      <c r="AE178" s="107" t="str">
        <f t="array" ref="AE178">IF(ISNUMBER(AC178),INDEX('All Player Data Store'!$J$8:$J$594,SMALL(IF('All Player Data Store'!$Y$7:$Y$594=AC178,ROW('All Player Data Store'!$Y$7:$Y$594)-ROW('All Player Data Store'!$Y$7)+1),COUNTIF($AC$8:AC178,AC178))),"")</f>
        <v>0*4</v>
      </c>
      <c r="AF178" s="108">
        <f t="shared" si="3"/>
        <v>15.23</v>
      </c>
      <c r="AG178" s="108" t="str">
        <f t="array" ref="AG178">IF(ISNUMBER(AC178),INDEX('All Player Data Store'!$K$8:$K$594,SMALL(IF('All Player Data Store'!$Y$7:$Y$594=AC178,ROW('All Player Data Store'!$Y$7:$Y$594)-ROW('All Player Data Store'!$Y$7)+1),COUNTIF($AC$8:AC178,AC178))),"")</f>
        <v/>
      </c>
      <c r="AH178" s="108" t="str">
        <f t="shared" si="4"/>
        <v/>
      </c>
      <c r="AI178" s="108" t="str">
        <f t="array" ref="AI178">IF(ISNUMBER(AC178),INDEX('All Player Data Store'!$L$8:$L$594,SMALL(IF('All Player Data Store'!$Y$7:$Y$594=AC178,ROW('All Player Data Store'!$Y$7:$Y$594)-ROW('All Player Data Store'!$Y$7)+1),COUNTIF($AC$8:AC178,AC178))),"")</f>
        <v>1*4</v>
      </c>
      <c r="AJ178" s="108">
        <f t="shared" si="5"/>
        <v>20.34</v>
      </c>
      <c r="AK178" s="108" t="str">
        <f t="array" ref="AK178">IF(ISNUMBER(AC178),INDEX('All Player Data Store'!$M$8:$M$594,SMALL(IF('All Player Data Store'!$Y$7:$Y$594=AC178,ROW('All Player Data Store'!$Y$7:$Y$594)-ROW('All Player Data Store'!$Y$7)+1),COUNTIF($AC$8:AC178,AC178))),"")</f>
        <v/>
      </c>
      <c r="AL178" s="108" t="str">
        <f t="shared" si="6"/>
        <v/>
      </c>
      <c r="AM178" s="108" t="str">
        <f t="array" ref="AM178">IF(ISNUMBER(AC178),INDEX('All Player Data Store'!$N$8:$N$594,SMALL(IF('All Player Data Store'!$Y$7:$Y$594=AC178,ROW('All Player Data Store'!$Y$7:$Y$594)-ROW('All Player Data Store'!$Y$7)+1),COUNTIF($AC$8:AC178,AC178))),"")</f>
        <v/>
      </c>
      <c r="AN178" s="108" t="str">
        <f t="shared" si="7"/>
        <v/>
      </c>
      <c r="AO178" s="108" t="str">
        <f t="array" ref="AO178">IF(ISNUMBER(AC178),INDEX('All Player Data Store'!$O$8:$O$594,SMALL(IF('All Player Data Store'!$Y$7:$Y$594=AC178,ROW('All Player Data Store'!$Y$7:$Y$594)-ROW('All Player Data Store'!$Y$7)+1),COUNTIF($AC$8:AC178,AC178))),"")</f>
        <v/>
      </c>
      <c r="AP178" s="108" t="str">
        <f t="shared" si="8"/>
        <v/>
      </c>
      <c r="AQ178" s="108" t="str">
        <f t="array" ref="AQ178">IF(ISNUMBER(AC178),INDEX('All Player Data Store'!$P$8:$P$594,SMALL(IF('All Player Data Store'!$Y$7:$Y$594=AC178,ROW('All Player Data Store'!$Y$7:$Y$594)-ROW('All Player Data Store'!$Y$7)+1),COUNTIF($AC$8:AC178,AC178))),"")</f>
        <v/>
      </c>
      <c r="AR178" s="108" t="str">
        <f t="shared" si="9"/>
        <v/>
      </c>
      <c r="AS178" s="108" t="str">
        <f t="array" ref="AS178">IF(ISNUMBER(AC178),INDEX('All Player Data Store'!$Q$8:$Q$594,SMALL(IF('All Player Data Store'!$Y$7:$Y$594=AC178,ROW('All Player Data Store'!$Y$7:$Y$594)-ROW('All Player Data Store'!$Y$7)+1),COUNTIF($AC$8:AC178,AC178))),"")</f>
        <v/>
      </c>
      <c r="AT178" s="108" t="str">
        <f t="shared" si="10"/>
        <v/>
      </c>
      <c r="AU178" s="108" t="str">
        <f t="array" ref="AU178">IF(ISNUMBER(AC178),INDEX('All Player Data Store'!$R$8:$R$594,SMALL(IF('All Player Data Store'!$Y$7:$Y$594=AC178,ROW('All Player Data Store'!$Y$7:$Y$594)-ROW('All Player Data Store'!$Y$7)+1),COUNTIF($AC$8:AC178,AC178))),"")</f>
        <v/>
      </c>
      <c r="AV178" s="108" t="str">
        <f t="shared" si="11"/>
        <v/>
      </c>
      <c r="AW178" s="108" t="str">
        <f t="array" ref="AW178">IF(ISNUMBER(AC178),INDEX('All Player Data Store'!$S$8:$S$594,SMALL(IF('All Player Data Store'!$Y$7:$Y$594=AC178,ROW('All Player Data Store'!$Y$7:$Y$594)-ROW('All Player Data Store'!$Y$7)+1),COUNTIF($AC$8:AC178,AC178))),"")</f>
        <v/>
      </c>
      <c r="AX178" s="108" t="str">
        <f t="shared" si="12"/>
        <v/>
      </c>
      <c r="AY178" s="108" t="str">
        <f t="array" ref="AY178">IF(ISNUMBER(AC178),INDEX('All Player Data Store'!$T$8:$T$594,SMALL(IF('All Player Data Store'!$Y$7:$Y$594=AC178,ROW('All Player Data Store'!$Y$7:$Y$594)-ROW('All Player Data Store'!$Y$7)+1),COUNTIF($AC$8:AC178,AC178))),"")</f>
        <v/>
      </c>
      <c r="AZ178" s="108" t="str">
        <f t="shared" si="13"/>
        <v/>
      </c>
      <c r="BA178" s="108" t="str">
        <f t="array" ref="BA178">IF(ISNUMBER(AC178),INDEX('All Player Data Store'!$U$8:$U$594,SMALL(IF('All Player Data Store'!$Y$7:$Y$594=AC178,ROW('All Player Data Store'!$Y$7:$Y$594)-ROW('All Player Data Store'!$Y$7)+1),COUNTIF($AC$8:AC178,AC178))),"")</f>
        <v/>
      </c>
      <c r="BB178" s="108" t="str">
        <f t="shared" si="14"/>
        <v/>
      </c>
      <c r="BC178" s="108" t="str">
        <f t="array" ref="BC178">IF(ISNUMBER(AC178),INDEX('All Player Data Store'!$V$8:$V$594,SMALL(IF('All Player Data Store'!$Y$7:$Y$594=AC178,ROW('All Player Data Store'!$Y$7:$Y$594)-ROW('All Player Data Store'!$Y$7)+1),COUNTIF($AC$8:AC178,AC178))),"")</f>
        <v/>
      </c>
      <c r="BD178" s="108" t="str">
        <f t="shared" si="15"/>
        <v/>
      </c>
      <c r="BE178" s="1"/>
    </row>
    <row r="179" spans="2:57" ht="12" customHeight="1" x14ac:dyDescent="0.2">
      <c r="B179" s="98" t="str">
        <f t="shared" si="0"/>
        <v>N</v>
      </c>
      <c r="C179" s="1"/>
      <c r="D179" s="68">
        <f t="shared" si="1"/>
        <v>172</v>
      </c>
      <c r="E179" s="2"/>
      <c r="F179" s="78">
        <v>172</v>
      </c>
      <c r="G179" s="110" t="str">
        <f t="array" ref="G179">IF(ISNUMBER(AC179),INDEX('All Player Data Store'!$C$7:$C$594,SMALL(IF('All Player Data Store'!$Y$7:$Y$594=AC179,ROW('All Player Data Store'!$Y$7:$Y$594)-ROW('All Player Data Store'!$Y$7)+1),COUNTIF($AC$8:AC179,AC179))),"")</f>
        <v>Lee Shiel</v>
      </c>
      <c r="H179" s="111" t="str">
        <f t="array" ref="H179">IF(ISNUMBER(AC179),INDEX('All Player Data Store'!$D$7:$D$594,SMALL(IF('All Player Data Store'!$Y$7:$Y$594=AC179,ROW('All Player Data Store'!$Y$7:$Y$594)-ROW('All Player Data Store'!$Y$7)+1),COUNTIF($AC$8:AC179,AC179))),"")</f>
        <v>Ald</v>
      </c>
      <c r="I179" s="69">
        <f t="array" ref="I179">IF(ISNUMBER(AC179),INDEX('All Player Data Store'!$E$7:$E$594,SMALL(IF('All Player Data Store'!$Y$7:$Y$594=AC179,ROW('All Player Data Store'!$Y$7:$Y$594)-ROW('All Player Data Store'!$Y$7)+1),COUNTIF($AC$8:AC179,AC179))),"")</f>
        <v>4</v>
      </c>
      <c r="J179" s="70">
        <f t="array" ref="J179">IF(ISNUMBER(AC179),INDEX('All Player Data Store'!$F$7:$F$594,SMALL(IF('All Player Data Store'!$Y$7:$Y$594=AC179,ROW('All Player Data Store'!$Y$7:$Y$594)-ROW('All Player Data Store'!$Y$7)+1),COUNTIF($AC$8:AC179,AC179))),"")</f>
        <v>1</v>
      </c>
      <c r="K179" s="112">
        <f t="array" ref="K179">IF(ISNUMBER(AC179),INDEX('All Player Data Store'!$G$7:$G$594,SMALL(IF('All Player Data Store'!$Y$7:$Y$594=AC179,ROW('All Player Data Store'!$Y$7:$Y$594)-ROW('All Player Data Store'!$Y$7)+1),COUNTIF($AC$8:AC179,AC179))),"")</f>
        <v>3</v>
      </c>
      <c r="L179" s="112">
        <f t="array" ref="L179">IF(ISNUMBER(AC179),INDEX('All Player Data Store'!$H$7:$H$594,SMALL(IF('All Player Data Store'!$Y$7:$Y$594=AC179,ROW('All Player Data Store'!$Y$7:$Y$594)-ROW('All Player Data Store'!$Y$7)+1),COUNTIF($AC$8:AC179,AC179))),"")</f>
        <v>7</v>
      </c>
      <c r="M179" s="113">
        <f t="array" ref="M179">IF(ISNUMBER(AC179),INDEX('All Player Data Store'!$I$7:$I$594,SMALL(IF('All Player Data Store'!$Y$7:$Y$594=AC179,ROW('All Player Data Store'!$Y$7:$Y$594)-ROW('All Player Data Store'!$Y$7)+1),COUNTIF($AC$8:AC179,AC179))),"")</f>
        <v>14</v>
      </c>
      <c r="N179" s="114">
        <f t="array" ref="N179">IF(ISNUMBER(AC179),INDEX('All Player Data Store'!$J$7:$J$594,SMALL(IF('All Player Data Store'!$Y$7:$Y$594=AC179,ROW('All Player Data Store'!$Y$7:$Y$594)-ROW('All Player Data Store'!$Y$7)+1),COUNTIF($AC$8:AC179,AC179))),"")</f>
        <v>18.72</v>
      </c>
      <c r="O179" s="108">
        <f t="array" ref="O179">IF(ISNUMBER(AC179),INDEX('All Player Data Store'!$K$7:$K$594,SMALL(IF('All Player Data Store'!$Y$7:$Y$594=AC179,ROW('All Player Data Store'!$Y$7:$Y$594)-ROW('All Player Data Store'!$Y$7)+1),COUNTIF($AC$8:AC179,AC179))),"")</f>
        <v>17.84</v>
      </c>
      <c r="P179" s="108">
        <f t="array" ref="P179">IF(ISNUMBER(AC179),INDEX('All Player Data Store'!$L$7:$L$594,SMALL(IF('All Player Data Store'!$Y$7:$Y$594=AC179,ROW('All Player Data Store'!$Y$7:$Y$594)-ROW('All Player Data Store'!$Y$7)+1),COUNTIF($AC$8:AC179,AC179))),"")</f>
        <v>19.47</v>
      </c>
      <c r="Q179" s="108">
        <f t="array" ref="Q179">IF(ISNUMBER(AC179),INDEX('All Player Data Store'!$M$7:$M$594,SMALL(IF('All Player Data Store'!$Y$7:$Y$594=AC179,ROW('All Player Data Store'!$Y$7:$Y$594)-ROW('All Player Data Store'!$Y$7)+1),COUNTIF($AC$8:AC179,AC179))),"")</f>
        <v>10.85</v>
      </c>
      <c r="R179" s="108" t="str">
        <f t="array" ref="R179">IF(ISNUMBER(AC179),INDEX('All Player Data Store'!$N$7:$N$594,SMALL(IF('All Player Data Store'!$Y$7:$Y$594=AC179,ROW('All Player Data Store'!$Y$7:$Y$594)-ROW('All Player Data Store'!$Y$7)+1),COUNTIF($AC$8:AC179,AC179))),"")</f>
        <v/>
      </c>
      <c r="S179" s="108" t="str">
        <f t="array" ref="S179">IF(ISNUMBER(AC179),INDEX('All Player Data Store'!$O$7:$O$594,SMALL(IF('All Player Data Store'!$Y$7:$Y$594=AC179,ROW('All Player Data Store'!$Y$7:$Y$594)-ROW('All Player Data Store'!$Y$7)+1),COUNTIF($AC$8:AC179,AC179))),"")</f>
        <v/>
      </c>
      <c r="T179" s="108" t="str">
        <f t="array" ref="T179">IF(ISNUMBER(AC179),INDEX('All Player Data Store'!$P$7:$P$594,SMALL(IF('All Player Data Store'!$Y$7:$Y$594=AC179,ROW('All Player Data Store'!$Y$7:$Y$594)-ROW('All Player Data Store'!$Y$7)+1),COUNTIF($AC$8:AC179,AC179))),"")</f>
        <v/>
      </c>
      <c r="U179" s="108" t="str">
        <f t="array" ref="U179">IF(ISNUMBER(AC179),INDEX('All Player Data Store'!$Q$7:$Q$594,SMALL(IF('All Player Data Store'!$Y$7:$Y$594=AC179,ROW('All Player Data Store'!$Y$7:$Y$594)-ROW('All Player Data Store'!$Y$7)+1),COUNTIF($AC$8:AC179,AC179))),"")</f>
        <v/>
      </c>
      <c r="V179" s="108" t="str">
        <f t="array" ref="V179">IF(ISNUMBER(AC179),INDEX('All Player Data Store'!$R$7:$R$594,SMALL(IF('All Player Data Store'!$Y$7:$Y$594=AC179,ROW('All Player Data Store'!$Y$7:$Y$594)-ROW('All Player Data Store'!$Y$7)+1),COUNTIF($AC$8:AC179,AC179))),"")</f>
        <v/>
      </c>
      <c r="W179" s="108" t="str">
        <f t="array" ref="W179">IF(ISNUMBER(AC179),INDEX('All Player Data Store'!$S$7:$S$594,SMALL(IF('All Player Data Store'!$Y$7:$Y$594=AC179,ROW('All Player Data Store'!$Y$7:$Y$594)-ROW('All Player Data Store'!$Y$7)+1),COUNTIF($AC$8:AC179,AC179))),"")</f>
        <v/>
      </c>
      <c r="X179" s="108" t="str">
        <f t="array" ref="X179">IF(ISNUMBER(AC179),INDEX('All Player Data Store'!$T$7:$T$594,SMALL(IF('All Player Data Store'!$Y$7:$Y$594=AC179,ROW('All Player Data Store'!$Y$7:$Y$594)-ROW('All Player Data Store'!$Y$7)+1),COUNTIF($AC$8:AC179,AC179))),"")</f>
        <v/>
      </c>
      <c r="Y179" s="108" t="str">
        <f t="array" ref="Y179">IF(ISNUMBER(AC179),INDEX('All Player Data Store'!$U$7:$U$594,SMALL(IF('All Player Data Store'!$Y$7:$Y$594=AC179,ROW('All Player Data Store'!$Y$7:$Y$594)-ROW('All Player Data Store'!$Y$7)+1),COUNTIF($AC$8:AC179,AC179))),"")</f>
        <v/>
      </c>
      <c r="Z179" s="108" t="str">
        <f t="array" ref="Z179">IF(ISNUMBER(AC179),INDEX('All Player Data Store'!$V$7:$V$594,SMALL(IF('All Player Data Store'!$Y$7:$Y$594=AC179,ROW('All Player Data Store'!$Y$7:$Y$594)-ROW('All Player Data Store'!$Y$7)+1),COUNTIF($AC$8:AC179,AC179))),"")</f>
        <v/>
      </c>
      <c r="AA179" s="112">
        <f t="array" ref="AA179">IF(ISNUMBER(AC179),INDEX('All Player Data Store'!$W$7:$W$594,SMALL(IF('All Player Data Store'!$Y$7:$Y$594=AC179,ROW('All Player Data Store'!$Y$7:$Y$594)-ROW('All Player Data Store'!$Y$7)+1),COUNTIF($AC$8:AC179,AC179))),"")</f>
        <v>1</v>
      </c>
      <c r="AB179" s="108">
        <f t="array" ref="AB179">IF(ISNUMBER(AC179),INDEX('All Player Data Store'!$X$7:$X$594,SMALL(IF('All Player Data Store'!$Y$7:$Y$594=AC179,ROW('All Player Data Store'!$Y$7:$Y$594)-ROW('All Player Data Store'!$Y$7)+1),COUNTIF($AC$8:AC179,AC179))),"")</f>
        <v>16.72</v>
      </c>
      <c r="AC179" s="115">
        <f>IF(ISERROR(IF(ISERROR(LARGE('All Player Data Store'!$Y$7:$Y$594,172)),"",(LARGE('All Player Data Store'!$Y$7:$Y$594,172)))),"",(IF(ISERROR(LARGE('All Player Data Store'!$Y$7:$Y$594,172)),"",(LARGE('All Player Data Store'!$Y$7:$Y$594,172)))))</f>
        <v>17.72</v>
      </c>
      <c r="AD179" s="106">
        <f t="shared" si="16"/>
        <v>3</v>
      </c>
      <c r="AE179" s="107" t="str">
        <f t="array" ref="AE179">IF(ISNUMBER(AC179),INDEX('All Player Data Store'!$J$8:$J$594,SMALL(IF('All Player Data Store'!$Y$7:$Y$594=AC179,ROW('All Player Data Store'!$Y$7:$Y$594)-ROW('All Player Data Store'!$Y$7)+1),COUNTIF($AC$8:AC179,AC179))),"")</f>
        <v>4*2</v>
      </c>
      <c r="AF179" s="108">
        <f t="shared" si="3"/>
        <v>19.72</v>
      </c>
      <c r="AG179" s="108" t="str">
        <f t="array" ref="AG179">IF(ISNUMBER(AC179),INDEX('All Player Data Store'!$K$8:$K$594,SMALL(IF('All Player Data Store'!$Y$7:$Y$594=AC179,ROW('All Player Data Store'!$Y$7:$Y$594)-ROW('All Player Data Store'!$Y$7)+1),COUNTIF($AC$8:AC179,AC179))),"")</f>
        <v>1*4</v>
      </c>
      <c r="AH179" s="108">
        <f t="shared" si="4"/>
        <v>17.84</v>
      </c>
      <c r="AI179" s="108" t="str">
        <f t="array" ref="AI179">IF(ISNUMBER(AC179),INDEX('All Player Data Store'!$L$8:$L$594,SMALL(IF('All Player Data Store'!$Y$7:$Y$594=AC179,ROW('All Player Data Store'!$Y$7:$Y$594)-ROW('All Player Data Store'!$Y$7)+1),COUNTIF($AC$8:AC179,AC179))),"")</f>
        <v>2*4(1)</v>
      </c>
      <c r="AJ179" s="108">
        <f t="shared" si="5"/>
        <v>19.47</v>
      </c>
      <c r="AK179" s="108" t="str">
        <f t="array" ref="AK179">IF(ISNUMBER(AC179),INDEX('All Player Data Store'!$M$8:$M$594,SMALL(IF('All Player Data Store'!$Y$7:$Y$594=AC179,ROW('All Player Data Store'!$Y$7:$Y$594)-ROW('All Player Data Store'!$Y$7)+1),COUNTIF($AC$8:AC179,AC179))),"")</f>
        <v>0*4</v>
      </c>
      <c r="AL179" s="108">
        <f t="shared" si="6"/>
        <v>10.85</v>
      </c>
      <c r="AM179" s="108" t="str">
        <f t="array" ref="AM179">IF(ISNUMBER(AC179),INDEX('All Player Data Store'!$N$8:$N$594,SMALL(IF('All Player Data Store'!$Y$7:$Y$594=AC179,ROW('All Player Data Store'!$Y$7:$Y$594)-ROW('All Player Data Store'!$Y$7)+1),COUNTIF($AC$8:AC179,AC179))),"")</f>
        <v/>
      </c>
      <c r="AN179" s="108" t="str">
        <f t="shared" si="7"/>
        <v/>
      </c>
      <c r="AO179" s="108" t="str">
        <f t="array" ref="AO179">IF(ISNUMBER(AC179),INDEX('All Player Data Store'!$O$8:$O$594,SMALL(IF('All Player Data Store'!$Y$7:$Y$594=AC179,ROW('All Player Data Store'!$Y$7:$Y$594)-ROW('All Player Data Store'!$Y$7)+1),COUNTIF($AC$8:AC179,AC179))),"")</f>
        <v/>
      </c>
      <c r="AP179" s="108" t="str">
        <f t="shared" si="8"/>
        <v/>
      </c>
      <c r="AQ179" s="108" t="str">
        <f t="array" ref="AQ179">IF(ISNUMBER(AC179),INDEX('All Player Data Store'!$P$8:$P$594,SMALL(IF('All Player Data Store'!$Y$7:$Y$594=AC179,ROW('All Player Data Store'!$Y$7:$Y$594)-ROW('All Player Data Store'!$Y$7)+1),COUNTIF($AC$8:AC179,AC179))),"")</f>
        <v/>
      </c>
      <c r="AR179" s="108" t="str">
        <f t="shared" si="9"/>
        <v/>
      </c>
      <c r="AS179" s="108" t="str">
        <f t="array" ref="AS179">IF(ISNUMBER(AC179),INDEX('All Player Data Store'!$Q$8:$Q$594,SMALL(IF('All Player Data Store'!$Y$7:$Y$594=AC179,ROW('All Player Data Store'!$Y$7:$Y$594)-ROW('All Player Data Store'!$Y$7)+1),COUNTIF($AC$8:AC179,AC179))),"")</f>
        <v/>
      </c>
      <c r="AT179" s="108" t="str">
        <f t="shared" si="10"/>
        <v/>
      </c>
      <c r="AU179" s="108" t="str">
        <f t="array" ref="AU179">IF(ISNUMBER(AC179),INDEX('All Player Data Store'!$R$8:$R$594,SMALL(IF('All Player Data Store'!$Y$7:$Y$594=AC179,ROW('All Player Data Store'!$Y$7:$Y$594)-ROW('All Player Data Store'!$Y$7)+1),COUNTIF($AC$8:AC179,AC179))),"")</f>
        <v/>
      </c>
      <c r="AV179" s="108" t="str">
        <f t="shared" si="11"/>
        <v/>
      </c>
      <c r="AW179" s="108" t="str">
        <f t="array" ref="AW179">IF(ISNUMBER(AC179),INDEX('All Player Data Store'!$S$8:$S$594,SMALL(IF('All Player Data Store'!$Y$7:$Y$594=AC179,ROW('All Player Data Store'!$Y$7:$Y$594)-ROW('All Player Data Store'!$Y$7)+1),COUNTIF($AC$8:AC179,AC179))),"")</f>
        <v/>
      </c>
      <c r="AX179" s="108" t="str">
        <f t="shared" si="12"/>
        <v/>
      </c>
      <c r="AY179" s="108" t="str">
        <f t="array" ref="AY179">IF(ISNUMBER(AC179),INDEX('All Player Data Store'!$T$8:$T$594,SMALL(IF('All Player Data Store'!$Y$7:$Y$594=AC179,ROW('All Player Data Store'!$Y$7:$Y$594)-ROW('All Player Data Store'!$Y$7)+1),COUNTIF($AC$8:AC179,AC179))),"")</f>
        <v/>
      </c>
      <c r="AZ179" s="108" t="str">
        <f t="shared" si="13"/>
        <v/>
      </c>
      <c r="BA179" s="108" t="str">
        <f t="array" ref="BA179">IF(ISNUMBER(AC179),INDEX('All Player Data Store'!$U$8:$U$594,SMALL(IF('All Player Data Store'!$Y$7:$Y$594=AC179,ROW('All Player Data Store'!$Y$7:$Y$594)-ROW('All Player Data Store'!$Y$7)+1),COUNTIF($AC$8:AC179,AC179))),"")</f>
        <v/>
      </c>
      <c r="BB179" s="108" t="str">
        <f t="shared" si="14"/>
        <v/>
      </c>
      <c r="BC179" s="108" t="str">
        <f t="array" ref="BC179">IF(ISNUMBER(AC179),INDEX('All Player Data Store'!$V$8:$V$594,SMALL(IF('All Player Data Store'!$Y$7:$Y$594=AC179,ROW('All Player Data Store'!$Y$7:$Y$594)-ROW('All Player Data Store'!$Y$7)+1),COUNTIF($AC$8:AC179,AC179))),"")</f>
        <v/>
      </c>
      <c r="BD179" s="108" t="str">
        <f t="shared" si="15"/>
        <v/>
      </c>
      <c r="BE179" s="1"/>
    </row>
    <row r="180" spans="2:57" ht="12" customHeight="1" x14ac:dyDescent="0.2">
      <c r="B180" s="98" t="str">
        <f t="shared" si="0"/>
        <v>N</v>
      </c>
      <c r="C180" s="1"/>
      <c r="D180" s="68">
        <f t="shared" si="1"/>
        <v>173</v>
      </c>
      <c r="E180" s="2"/>
      <c r="F180" s="78">
        <v>173</v>
      </c>
      <c r="G180" s="110" t="str">
        <f t="array" ref="G180">IF(ISNUMBER(AC180),INDEX('All Player Data Store'!$C$7:$C$594,SMALL(IF('All Player Data Store'!$Y$7:$Y$594=AC180,ROW('All Player Data Store'!$Y$7:$Y$594)-ROW('All Player Data Store'!$Y$7)+1),COUNTIF($AC$8:AC180,AC180))),"")</f>
        <v>Joe Carpenter</v>
      </c>
      <c r="H180" s="111" t="str">
        <f t="array" ref="H180">IF(ISNUMBER(AC180),INDEX('All Player Data Store'!$D$7:$D$594,SMALL(IF('All Player Data Store'!$Y$7:$Y$594=AC180,ROW('All Player Data Store'!$Y$7:$Y$594)-ROW('All Player Data Store'!$Y$7)+1),COUNTIF($AC$8:AC180,AC180))),"")</f>
        <v>Ald</v>
      </c>
      <c r="I180" s="69">
        <f t="array" ref="I180">IF(ISNUMBER(AC180),INDEX('All Player Data Store'!$E$7:$E$594,SMALL(IF('All Player Data Store'!$Y$7:$Y$594=AC180,ROW('All Player Data Store'!$Y$7:$Y$594)-ROW('All Player Data Store'!$Y$7)+1),COUNTIF($AC$8:AC180,AC180))),"")</f>
        <v>6</v>
      </c>
      <c r="J180" s="70" t="str">
        <f t="array" ref="J180">IF(ISNUMBER(AC180),INDEX('All Player Data Store'!$F$7:$F$594,SMALL(IF('All Player Data Store'!$Y$7:$Y$594=AC180,ROW('All Player Data Store'!$Y$7:$Y$594)-ROW('All Player Data Store'!$Y$7)+1),COUNTIF($AC$8:AC180,AC180))),"")</f>
        <v/>
      </c>
      <c r="K180" s="112">
        <f t="array" ref="K180">IF(ISNUMBER(AC180),INDEX('All Player Data Store'!$G$7:$G$594,SMALL(IF('All Player Data Store'!$Y$7:$Y$594=AC180,ROW('All Player Data Store'!$Y$7:$Y$594)-ROW('All Player Data Store'!$Y$7)+1),COUNTIF($AC$8:AC180,AC180))),"")</f>
        <v>6</v>
      </c>
      <c r="L180" s="112">
        <f t="array" ref="L180">IF(ISNUMBER(AC180),INDEX('All Player Data Store'!$H$7:$H$594,SMALL(IF('All Player Data Store'!$Y$7:$Y$594=AC180,ROW('All Player Data Store'!$Y$7:$Y$594)-ROW('All Player Data Store'!$Y$7)+1),COUNTIF($AC$8:AC180,AC180))),"")</f>
        <v>8</v>
      </c>
      <c r="M180" s="113">
        <f t="array" ref="M180">IF(ISNUMBER(AC180),INDEX('All Player Data Store'!$I$7:$I$594,SMALL(IF('All Player Data Store'!$Y$7:$Y$594=AC180,ROW('All Player Data Store'!$Y$7:$Y$594)-ROW('All Player Data Store'!$Y$7)+1),COUNTIF($AC$8:AC180,AC180))),"")</f>
        <v>24</v>
      </c>
      <c r="N180" s="114" t="str">
        <f t="array" ref="N180">IF(ISNUMBER(AC180),INDEX('All Player Data Store'!$J$7:$J$594,SMALL(IF('All Player Data Store'!$Y$7:$Y$594=AC180,ROW('All Player Data Store'!$Y$7:$Y$594)-ROW('All Player Data Store'!$Y$7)+1),COUNTIF($AC$8:AC180,AC180))),"")</f>
        <v/>
      </c>
      <c r="O180" s="108" t="str">
        <f t="array" ref="O180">IF(ISNUMBER(AC180),INDEX('All Player Data Store'!$K$7:$K$594,SMALL(IF('All Player Data Store'!$Y$7:$Y$594=AC180,ROW('All Player Data Store'!$Y$7:$Y$594)-ROW('All Player Data Store'!$Y$7)+1),COUNTIF($AC$8:AC180,AC180))),"")</f>
        <v/>
      </c>
      <c r="P180" s="108" t="str">
        <f t="array" ref="P180">IF(ISNUMBER(AC180),INDEX('All Player Data Store'!$L$7:$L$594,SMALL(IF('All Player Data Store'!$Y$7:$Y$594=AC180,ROW('All Player Data Store'!$Y$7:$Y$594)-ROW('All Player Data Store'!$Y$7)+1),COUNTIF($AC$8:AC180,AC180))),"")</f>
        <v/>
      </c>
      <c r="Q180" s="108" t="str">
        <f t="array" ref="Q180">IF(ISNUMBER(AC180),INDEX('All Player Data Store'!$M$7:$M$594,SMALL(IF('All Player Data Store'!$Y$7:$Y$594=AC180,ROW('All Player Data Store'!$Y$7:$Y$594)-ROW('All Player Data Store'!$Y$7)+1),COUNTIF($AC$8:AC180,AC180))),"")</f>
        <v/>
      </c>
      <c r="R180" s="108" t="str">
        <f t="array" ref="R180">IF(ISNUMBER(AC180),INDEX('All Player Data Store'!$N$7:$N$594,SMALL(IF('All Player Data Store'!$Y$7:$Y$594=AC180,ROW('All Player Data Store'!$Y$7:$Y$594)-ROW('All Player Data Store'!$Y$7)+1),COUNTIF($AC$8:AC180,AC180))),"")</f>
        <v/>
      </c>
      <c r="S180" s="108" t="str">
        <f t="array" ref="S180">IF(ISNUMBER(AC180),INDEX('All Player Data Store'!$O$7:$O$594,SMALL(IF('All Player Data Store'!$Y$7:$Y$594=AC180,ROW('All Player Data Store'!$Y$7:$Y$594)-ROW('All Player Data Store'!$Y$7)+1),COUNTIF($AC$8:AC180,AC180))),"")</f>
        <v/>
      </c>
      <c r="T180" s="108">
        <f t="array" ref="T180">IF(ISNUMBER(AC180),INDEX('All Player Data Store'!$P$7:$P$594,SMALL(IF('All Player Data Store'!$Y$7:$Y$594=AC180,ROW('All Player Data Store'!$Y$7:$Y$594)-ROW('All Player Data Store'!$Y$7)+1),COUNTIF($AC$8:AC180,AC180))),"")</f>
        <v>17.920000000000002</v>
      </c>
      <c r="U180" s="108">
        <f t="array" ref="U180">IF(ISNUMBER(AC180),INDEX('All Player Data Store'!$Q$7:$Q$594,SMALL(IF('All Player Data Store'!$Y$7:$Y$594=AC180,ROW('All Player Data Store'!$Y$7:$Y$594)-ROW('All Player Data Store'!$Y$7)+1),COUNTIF($AC$8:AC180,AC180))),"")</f>
        <v>18.5</v>
      </c>
      <c r="V180" s="108">
        <f t="array" ref="V180">IF(ISNUMBER(AC180),INDEX('All Player Data Store'!$R$7:$R$594,SMALL(IF('All Player Data Store'!$Y$7:$Y$594=AC180,ROW('All Player Data Store'!$Y$7:$Y$594)-ROW('All Player Data Store'!$Y$7)+1),COUNTIF($AC$8:AC180,AC180))),"")</f>
        <v>17.48</v>
      </c>
      <c r="W180" s="108">
        <f t="array" ref="W180">IF(ISNUMBER(AC180),INDEX('All Player Data Store'!$S$7:$S$594,SMALL(IF('All Player Data Store'!$Y$7:$Y$594=AC180,ROW('All Player Data Store'!$Y$7:$Y$594)-ROW('All Player Data Store'!$Y$7)+1),COUNTIF($AC$8:AC180,AC180))),"")</f>
        <v>17.98</v>
      </c>
      <c r="X180" s="108" t="str">
        <f t="array" ref="X180">IF(ISNUMBER(AC180),INDEX('All Player Data Store'!$T$7:$T$594,SMALL(IF('All Player Data Store'!$Y$7:$Y$594=AC180,ROW('All Player Data Store'!$Y$7:$Y$594)-ROW('All Player Data Store'!$Y$7)+1),COUNTIF($AC$8:AC180,AC180))),"")</f>
        <v/>
      </c>
      <c r="Y180" s="108">
        <f t="array" ref="Y180">IF(ISNUMBER(AC180),INDEX('All Player Data Store'!$U$7:$U$594,SMALL(IF('All Player Data Store'!$Y$7:$Y$594=AC180,ROW('All Player Data Store'!$Y$7:$Y$594)-ROW('All Player Data Store'!$Y$7)+1),COUNTIF($AC$8:AC180,AC180))),"")</f>
        <v>17.91</v>
      </c>
      <c r="Z180" s="108">
        <f t="array" ref="Z180">IF(ISNUMBER(AC180),INDEX('All Player Data Store'!$V$7:$V$594,SMALL(IF('All Player Data Store'!$Y$7:$Y$594=AC180,ROW('All Player Data Store'!$Y$7:$Y$594)-ROW('All Player Data Store'!$Y$7)+1),COUNTIF($AC$8:AC180,AC180))),"")</f>
        <v>16.309999999999999</v>
      </c>
      <c r="AA180" s="112" t="str">
        <f t="array" ref="AA180">IF(ISNUMBER(AC180),INDEX('All Player Data Store'!$W$7:$W$594,SMALL(IF('All Player Data Store'!$Y$7:$Y$594=AC180,ROW('All Player Data Store'!$Y$7:$Y$594)-ROW('All Player Data Store'!$Y$7)+1),COUNTIF($AC$8:AC180,AC180))),"")</f>
        <v/>
      </c>
      <c r="AB180" s="108">
        <f t="array" ref="AB180">IF(ISNUMBER(AC180),INDEX('All Player Data Store'!$X$7:$X$594,SMALL(IF('All Player Data Store'!$Y$7:$Y$594=AC180,ROW('All Player Data Store'!$Y$7:$Y$594)-ROW('All Player Data Store'!$Y$7)+1),COUNTIF($AC$8:AC180,AC180))),"")</f>
        <v>17.683333333333334</v>
      </c>
      <c r="AC180" s="115">
        <f>IF(ISERROR(IF(ISERROR(LARGE('All Player Data Store'!$Y$7:$Y$594,173)),"",(LARGE('All Player Data Store'!$Y$7:$Y$594,173)))),"",(IF(ISERROR(LARGE('All Player Data Store'!$Y$7:$Y$594,173)),"",(LARGE('All Player Data Store'!$Y$7:$Y$594,173)))))</f>
        <v>17.683333333333334</v>
      </c>
      <c r="AD180" s="106">
        <f t="shared" si="16"/>
        <v>3</v>
      </c>
      <c r="AE180" s="107" t="str">
        <f t="array" ref="AE180">IF(ISNUMBER(AC180),INDEX('All Player Data Store'!$J$8:$J$594,SMALL(IF('All Player Data Store'!$Y$7:$Y$594=AC180,ROW('All Player Data Store'!$Y$7:$Y$594)-ROW('All Player Data Store'!$Y$7)+1),COUNTIF($AC$8:AC180,AC180))),"")</f>
        <v/>
      </c>
      <c r="AF180" s="108" t="str">
        <f t="shared" si="3"/>
        <v/>
      </c>
      <c r="AG180" s="108" t="str">
        <f t="array" ref="AG180">IF(ISNUMBER(AC180),INDEX('All Player Data Store'!$K$8:$K$594,SMALL(IF('All Player Data Store'!$Y$7:$Y$594=AC180,ROW('All Player Data Store'!$Y$7:$Y$594)-ROW('All Player Data Store'!$Y$7)+1),COUNTIF($AC$8:AC180,AC180))),"")</f>
        <v/>
      </c>
      <c r="AH180" s="108" t="str">
        <f t="shared" si="4"/>
        <v/>
      </c>
      <c r="AI180" s="108" t="str">
        <f t="array" ref="AI180">IF(ISNUMBER(AC180),INDEX('All Player Data Store'!$L$8:$L$594,SMALL(IF('All Player Data Store'!$Y$7:$Y$594=AC180,ROW('All Player Data Store'!$Y$7:$Y$594)-ROW('All Player Data Store'!$Y$7)+1),COUNTIF($AC$8:AC180,AC180))),"")</f>
        <v/>
      </c>
      <c r="AJ180" s="108" t="str">
        <f t="shared" si="5"/>
        <v/>
      </c>
      <c r="AK180" s="108" t="str">
        <f t="array" ref="AK180">IF(ISNUMBER(AC180),INDEX('All Player Data Store'!$M$8:$M$594,SMALL(IF('All Player Data Store'!$Y$7:$Y$594=AC180,ROW('All Player Data Store'!$Y$7:$Y$594)-ROW('All Player Data Store'!$Y$7)+1),COUNTIF($AC$8:AC180,AC180))),"")</f>
        <v/>
      </c>
      <c r="AL180" s="108" t="str">
        <f t="shared" si="6"/>
        <v/>
      </c>
      <c r="AM180" s="108" t="str">
        <f t="array" ref="AM180">IF(ISNUMBER(AC180),INDEX('All Player Data Store'!$N$8:$N$594,SMALL(IF('All Player Data Store'!$Y$7:$Y$594=AC180,ROW('All Player Data Store'!$Y$7:$Y$594)-ROW('All Player Data Store'!$Y$7)+1),COUNTIF($AC$8:AC180,AC180))),"")</f>
        <v/>
      </c>
      <c r="AN180" s="108" t="str">
        <f t="shared" si="7"/>
        <v/>
      </c>
      <c r="AO180" s="108" t="str">
        <f t="array" ref="AO180">IF(ISNUMBER(AC180),INDEX('All Player Data Store'!$O$8:$O$594,SMALL(IF('All Player Data Store'!$Y$7:$Y$594=AC180,ROW('All Player Data Store'!$Y$7:$Y$594)-ROW('All Player Data Store'!$Y$7)+1),COUNTIF($AC$8:AC180,AC180))),"")</f>
        <v/>
      </c>
      <c r="AP180" s="108" t="str">
        <f t="shared" si="8"/>
        <v/>
      </c>
      <c r="AQ180" s="108" t="str">
        <f t="array" ref="AQ180">IF(ISNUMBER(AC180),INDEX('All Player Data Store'!$P$8:$P$594,SMALL(IF('All Player Data Store'!$Y$7:$Y$594=AC180,ROW('All Player Data Store'!$Y$7:$Y$594)-ROW('All Player Data Store'!$Y$7)+1),COUNTIF($AC$8:AC180,AC180))),"")</f>
        <v>0*4</v>
      </c>
      <c r="AR180" s="108">
        <f t="shared" si="9"/>
        <v>17.920000000000002</v>
      </c>
      <c r="AS180" s="108" t="str">
        <f t="array" ref="AS180">IF(ISNUMBER(AC180),INDEX('All Player Data Store'!$Q$8:$Q$594,SMALL(IF('All Player Data Store'!$Y$7:$Y$594=AC180,ROW('All Player Data Store'!$Y$7:$Y$594)-ROW('All Player Data Store'!$Y$7)+1),COUNTIF($AC$8:AC180,AC180))),"")</f>
        <v>2*4</v>
      </c>
      <c r="AT180" s="108">
        <f t="shared" si="10"/>
        <v>18.5</v>
      </c>
      <c r="AU180" s="108" t="str">
        <f t="array" ref="AU180">IF(ISNUMBER(AC180),INDEX('All Player Data Store'!$R$8:$R$594,SMALL(IF('All Player Data Store'!$Y$7:$Y$594=AC180,ROW('All Player Data Store'!$Y$7:$Y$594)-ROW('All Player Data Store'!$Y$7)+1),COUNTIF($AC$8:AC180,AC180))),"")</f>
        <v>2*4</v>
      </c>
      <c r="AV180" s="108">
        <f t="shared" si="11"/>
        <v>17.48</v>
      </c>
      <c r="AW180" s="108" t="str">
        <f t="array" ref="AW180">IF(ISNUMBER(AC180),INDEX('All Player Data Store'!$S$8:$S$594,SMALL(IF('All Player Data Store'!$Y$7:$Y$594=AC180,ROW('All Player Data Store'!$Y$7:$Y$594)-ROW('All Player Data Store'!$Y$7)+1),COUNTIF($AC$8:AC180,AC180))),"")</f>
        <v>2*4</v>
      </c>
      <c r="AX180" s="108">
        <f t="shared" si="12"/>
        <v>17.98</v>
      </c>
      <c r="AY180" s="108" t="str">
        <f t="array" ref="AY180">IF(ISNUMBER(AC180),INDEX('All Player Data Store'!$T$8:$T$594,SMALL(IF('All Player Data Store'!$Y$7:$Y$594=AC180,ROW('All Player Data Store'!$Y$7:$Y$594)-ROW('All Player Data Store'!$Y$7)+1),COUNTIF($AC$8:AC180,AC180))),"")</f>
        <v/>
      </c>
      <c r="AZ180" s="108" t="str">
        <f t="shared" si="13"/>
        <v/>
      </c>
      <c r="BA180" s="108" t="str">
        <f t="array" ref="BA180">IF(ISNUMBER(AC180),INDEX('All Player Data Store'!$U$8:$U$594,SMALL(IF('All Player Data Store'!$Y$7:$Y$594=AC180,ROW('All Player Data Store'!$Y$7:$Y$594)-ROW('All Player Data Store'!$Y$7)+1),COUNTIF($AC$8:AC180,AC180))),"")</f>
        <v>0*4</v>
      </c>
      <c r="BB180" s="108">
        <f t="shared" si="14"/>
        <v>17.91</v>
      </c>
      <c r="BC180" s="108" t="str">
        <f t="array" ref="BC180">IF(ISNUMBER(AC180),INDEX('All Player Data Store'!$V$8:$V$594,SMALL(IF('All Player Data Store'!$Y$7:$Y$594=AC180,ROW('All Player Data Store'!$Y$7:$Y$594)-ROW('All Player Data Store'!$Y$7)+1),COUNTIF($AC$8:AC180,AC180))),"")</f>
        <v>2*4</v>
      </c>
      <c r="BD180" s="108">
        <f t="shared" si="15"/>
        <v>16.309999999999999</v>
      </c>
      <c r="BE180" s="1"/>
    </row>
    <row r="181" spans="2:57" ht="12" customHeight="1" x14ac:dyDescent="0.2">
      <c r="B181" s="98" t="str">
        <f t="shared" si="0"/>
        <v>N</v>
      </c>
      <c r="C181" s="1"/>
      <c r="D181" s="68">
        <f t="shared" si="1"/>
        <v>174</v>
      </c>
      <c r="E181" s="2"/>
      <c r="F181" s="78">
        <v>174</v>
      </c>
      <c r="G181" s="110" t="str">
        <f t="array" ref="G181">IF(ISNUMBER(AC181),INDEX('All Player Data Store'!$C$7:$C$594,SMALL(IF('All Player Data Store'!$Y$7:$Y$594=AC181,ROW('All Player Data Store'!$Y$7:$Y$594)-ROW('All Player Data Store'!$Y$7)+1),COUNTIF($AC$8:AC181,AC181))),"")</f>
        <v>Aaron Eyres</v>
      </c>
      <c r="H181" s="111" t="str">
        <f t="array" ref="H181">IF(ISNUMBER(AC181),INDEX('All Player Data Store'!$D$7:$D$594,SMALL(IF('All Player Data Store'!$Y$7:$Y$594=AC181,ROW('All Player Data Store'!$Y$7:$Y$594)-ROW('All Player Data Store'!$Y$7)+1),COUNTIF($AC$8:AC181,AC181))),"")</f>
        <v>Aly</v>
      </c>
      <c r="I181" s="69">
        <f t="array" ref="I181">IF(ISNUMBER(AC181),INDEX('All Player Data Store'!$E$7:$E$594,SMALL(IF('All Player Data Store'!$Y$7:$Y$594=AC181,ROW('All Player Data Store'!$Y$7:$Y$594)-ROW('All Player Data Store'!$Y$7)+1),COUNTIF($AC$8:AC181,AC181))),"")</f>
        <v>8</v>
      </c>
      <c r="J181" s="70" t="str">
        <f t="array" ref="J181">IF(ISNUMBER(AC181),INDEX('All Player Data Store'!$F$7:$F$594,SMALL(IF('All Player Data Store'!$Y$7:$Y$594=AC181,ROW('All Player Data Store'!$Y$7:$Y$594)-ROW('All Player Data Store'!$Y$7)+1),COUNTIF($AC$8:AC181,AC181))),"")</f>
        <v/>
      </c>
      <c r="K181" s="112">
        <f t="array" ref="K181">IF(ISNUMBER(AC181),INDEX('All Player Data Store'!$G$7:$G$594,SMALL(IF('All Player Data Store'!$Y$7:$Y$594=AC181,ROW('All Player Data Store'!$Y$7:$Y$594)-ROW('All Player Data Store'!$Y$7)+1),COUNTIF($AC$8:AC181,AC181))),"")</f>
        <v>8</v>
      </c>
      <c r="L181" s="112">
        <f t="array" ref="L181">IF(ISNUMBER(AC181),INDEX('All Player Data Store'!$H$7:$H$594,SMALL(IF('All Player Data Store'!$Y$7:$Y$594=AC181,ROW('All Player Data Store'!$Y$7:$Y$594)-ROW('All Player Data Store'!$Y$7)+1),COUNTIF($AC$8:AC181,AC181))),"")</f>
        <v>6</v>
      </c>
      <c r="M181" s="113">
        <f t="array" ref="M181">IF(ISNUMBER(AC181),INDEX('All Player Data Store'!$I$7:$I$594,SMALL(IF('All Player Data Store'!$Y$7:$Y$594=AC181,ROW('All Player Data Store'!$Y$7:$Y$594)-ROW('All Player Data Store'!$Y$7)+1),COUNTIF($AC$8:AC181,AC181))),"")</f>
        <v>32</v>
      </c>
      <c r="N181" s="114" t="str">
        <f t="array" ref="N181">IF(ISNUMBER(AC181),INDEX('All Player Data Store'!$J$7:$J$594,SMALL(IF('All Player Data Store'!$Y$7:$Y$594=AC181,ROW('All Player Data Store'!$Y$7:$Y$594)-ROW('All Player Data Store'!$Y$7)+1),COUNTIF($AC$8:AC181,AC181))),"")</f>
        <v/>
      </c>
      <c r="O181" s="108" t="str">
        <f t="array" ref="O181">IF(ISNUMBER(AC181),INDEX('All Player Data Store'!$K$7:$K$594,SMALL(IF('All Player Data Store'!$Y$7:$Y$594=AC181,ROW('All Player Data Store'!$Y$7:$Y$594)-ROW('All Player Data Store'!$Y$7)+1),COUNTIF($AC$8:AC181,AC181))),"")</f>
        <v/>
      </c>
      <c r="P181" s="108" t="str">
        <f t="array" ref="P181">IF(ISNUMBER(AC181),INDEX('All Player Data Store'!$L$7:$L$594,SMALL(IF('All Player Data Store'!$Y$7:$Y$594=AC181,ROW('All Player Data Store'!$Y$7:$Y$594)-ROW('All Player Data Store'!$Y$7)+1),COUNTIF($AC$8:AC181,AC181))),"")</f>
        <v/>
      </c>
      <c r="Q181" s="108" t="str">
        <f t="array" ref="Q181">IF(ISNUMBER(AC181),INDEX('All Player Data Store'!$M$7:$M$594,SMALL(IF('All Player Data Store'!$Y$7:$Y$594=AC181,ROW('All Player Data Store'!$Y$7:$Y$594)-ROW('All Player Data Store'!$Y$7)+1),COUNTIF($AC$8:AC181,AC181))),"")</f>
        <v/>
      </c>
      <c r="R181" s="108" t="str">
        <f t="array" ref="R181">IF(ISNUMBER(AC181),INDEX('All Player Data Store'!$N$7:$N$594,SMALL(IF('All Player Data Store'!$Y$7:$Y$594=AC181,ROW('All Player Data Store'!$Y$7:$Y$594)-ROW('All Player Data Store'!$Y$7)+1),COUNTIF($AC$8:AC181,AC181))),"")</f>
        <v/>
      </c>
      <c r="S181" s="108">
        <f t="array" ref="S181">IF(ISNUMBER(AC181),INDEX('All Player Data Store'!$O$7:$O$594,SMALL(IF('All Player Data Store'!$Y$7:$Y$594=AC181,ROW('All Player Data Store'!$Y$7:$Y$594)-ROW('All Player Data Store'!$Y$7)+1),COUNTIF($AC$8:AC181,AC181))),"")</f>
        <v>13.84</v>
      </c>
      <c r="T181" s="108">
        <f t="array" ref="T181">IF(ISNUMBER(AC181),INDEX('All Player Data Store'!$P$7:$P$594,SMALL(IF('All Player Data Store'!$Y$7:$Y$594=AC181,ROW('All Player Data Store'!$Y$7:$Y$594)-ROW('All Player Data Store'!$Y$7)+1),COUNTIF($AC$8:AC181,AC181))),"")</f>
        <v>16.2</v>
      </c>
      <c r="U181" s="108">
        <f t="array" ref="U181">IF(ISNUMBER(AC181),INDEX('All Player Data Store'!$Q$7:$Q$594,SMALL(IF('All Player Data Store'!$Y$7:$Y$594=AC181,ROW('All Player Data Store'!$Y$7:$Y$594)-ROW('All Player Data Store'!$Y$7)+1),COUNTIF($AC$8:AC181,AC181))),"")</f>
        <v>18.489999999999998</v>
      </c>
      <c r="V181" s="108">
        <f t="array" ref="V181">IF(ISNUMBER(AC181),INDEX('All Player Data Store'!$R$7:$R$594,SMALL(IF('All Player Data Store'!$Y$7:$Y$594=AC181,ROW('All Player Data Store'!$Y$7:$Y$594)-ROW('All Player Data Store'!$Y$7)+1),COUNTIF($AC$8:AC181,AC181))),"")</f>
        <v>21.04</v>
      </c>
      <c r="W181" s="108">
        <f t="array" ref="W181">IF(ISNUMBER(AC181),INDEX('All Player Data Store'!$S$7:$S$594,SMALL(IF('All Player Data Store'!$Y$7:$Y$594=AC181,ROW('All Player Data Store'!$Y$7:$Y$594)-ROW('All Player Data Store'!$Y$7)+1),COUNTIF($AC$8:AC181,AC181))),"")</f>
        <v>15.41</v>
      </c>
      <c r="X181" s="108">
        <f t="array" ref="X181">IF(ISNUMBER(AC181),INDEX('All Player Data Store'!$T$7:$T$594,SMALL(IF('All Player Data Store'!$Y$7:$Y$594=AC181,ROW('All Player Data Store'!$Y$7:$Y$594)-ROW('All Player Data Store'!$Y$7)+1),COUNTIF($AC$8:AC181,AC181))),"")</f>
        <v>19.43</v>
      </c>
      <c r="Y181" s="108">
        <f t="array" ref="Y181">IF(ISNUMBER(AC181),INDEX('All Player Data Store'!$U$7:$U$594,SMALL(IF('All Player Data Store'!$Y$7:$Y$594=AC181,ROW('All Player Data Store'!$Y$7:$Y$594)-ROW('All Player Data Store'!$Y$7)+1),COUNTIF($AC$8:AC181,AC181))),"")</f>
        <v>19.11</v>
      </c>
      <c r="Z181" s="108">
        <f t="array" ref="Z181">IF(ISNUMBER(AC181),INDEX('All Player Data Store'!$V$7:$V$594,SMALL(IF('All Player Data Store'!$Y$7:$Y$594=AC181,ROW('All Player Data Store'!$Y$7:$Y$594)-ROW('All Player Data Store'!$Y$7)+1),COUNTIF($AC$8:AC181,AC181))),"")</f>
        <v>17.68</v>
      </c>
      <c r="AA181" s="112" t="str">
        <f t="array" ref="AA181">IF(ISNUMBER(AC181),INDEX('All Player Data Store'!$W$7:$W$594,SMALL(IF('All Player Data Store'!$Y$7:$Y$594=AC181,ROW('All Player Data Store'!$Y$7:$Y$594)-ROW('All Player Data Store'!$Y$7)+1),COUNTIF($AC$8:AC181,AC181))),"")</f>
        <v/>
      </c>
      <c r="AB181" s="108">
        <f t="array" ref="AB181">IF(ISNUMBER(AC181),INDEX('All Player Data Store'!$X$7:$X$594,SMALL(IF('All Player Data Store'!$Y$7:$Y$594=AC181,ROW('All Player Data Store'!$Y$7:$Y$594)-ROW('All Player Data Store'!$Y$7)+1),COUNTIF($AC$8:AC181,AC181))),"")</f>
        <v>17.649999999999999</v>
      </c>
      <c r="AC181" s="115">
        <f>IF(ISERROR(IF(ISERROR(LARGE('All Player Data Store'!$Y$7:$Y$594,174)),"",(LARGE('All Player Data Store'!$Y$7:$Y$594,174)))),"",(IF(ISERROR(LARGE('All Player Data Store'!$Y$7:$Y$594,174)),"",(LARGE('All Player Data Store'!$Y$7:$Y$594,174)))))</f>
        <v>17.649999999999999</v>
      </c>
      <c r="AD181" s="106">
        <f t="shared" si="16"/>
        <v>3</v>
      </c>
      <c r="AE181" s="107" t="str">
        <f t="array" ref="AE181">IF(ISNUMBER(AC181),INDEX('All Player Data Store'!$J$8:$J$594,SMALL(IF('All Player Data Store'!$Y$7:$Y$594=AC181,ROW('All Player Data Store'!$Y$7:$Y$594)-ROW('All Player Data Store'!$Y$7)+1),COUNTIF($AC$8:AC181,AC181))),"")</f>
        <v/>
      </c>
      <c r="AF181" s="108" t="str">
        <f t="shared" si="3"/>
        <v/>
      </c>
      <c r="AG181" s="108" t="str">
        <f t="array" ref="AG181">IF(ISNUMBER(AC181),INDEX('All Player Data Store'!$K$8:$K$594,SMALL(IF('All Player Data Store'!$Y$7:$Y$594=AC181,ROW('All Player Data Store'!$Y$7:$Y$594)-ROW('All Player Data Store'!$Y$7)+1),COUNTIF($AC$8:AC181,AC181))),"")</f>
        <v/>
      </c>
      <c r="AH181" s="108" t="str">
        <f t="shared" si="4"/>
        <v/>
      </c>
      <c r="AI181" s="108" t="str">
        <f t="array" ref="AI181">IF(ISNUMBER(AC181),INDEX('All Player Data Store'!$L$8:$L$594,SMALL(IF('All Player Data Store'!$Y$7:$Y$594=AC181,ROW('All Player Data Store'!$Y$7:$Y$594)-ROW('All Player Data Store'!$Y$7)+1),COUNTIF($AC$8:AC181,AC181))),"")</f>
        <v/>
      </c>
      <c r="AJ181" s="108" t="str">
        <f t="shared" si="5"/>
        <v/>
      </c>
      <c r="AK181" s="108" t="str">
        <f t="array" ref="AK181">IF(ISNUMBER(AC181),INDEX('All Player Data Store'!$M$8:$M$594,SMALL(IF('All Player Data Store'!$Y$7:$Y$594=AC181,ROW('All Player Data Store'!$Y$7:$Y$594)-ROW('All Player Data Store'!$Y$7)+1),COUNTIF($AC$8:AC181,AC181))),"")</f>
        <v/>
      </c>
      <c r="AL181" s="108" t="str">
        <f t="shared" si="6"/>
        <v/>
      </c>
      <c r="AM181" s="108" t="str">
        <f t="array" ref="AM181">IF(ISNUMBER(AC181),INDEX('All Player Data Store'!$N$8:$N$594,SMALL(IF('All Player Data Store'!$Y$7:$Y$594=AC181,ROW('All Player Data Store'!$Y$7:$Y$594)-ROW('All Player Data Store'!$Y$7)+1),COUNTIF($AC$8:AC181,AC181))),"")</f>
        <v/>
      </c>
      <c r="AN181" s="108" t="str">
        <f t="shared" si="7"/>
        <v/>
      </c>
      <c r="AO181" s="108" t="str">
        <f t="array" ref="AO181">IF(ISNUMBER(AC181),INDEX('All Player Data Store'!$O$8:$O$594,SMALL(IF('All Player Data Store'!$Y$7:$Y$594=AC181,ROW('All Player Data Store'!$Y$7:$Y$594)-ROW('All Player Data Store'!$Y$7)+1),COUNTIF($AC$8:AC181,AC181))),"")</f>
        <v>2*4</v>
      </c>
      <c r="AP181" s="108">
        <f t="shared" si="8"/>
        <v>13.84</v>
      </c>
      <c r="AQ181" s="108" t="str">
        <f t="array" ref="AQ181">IF(ISNUMBER(AC181),INDEX('All Player Data Store'!$P$8:$P$594,SMALL(IF('All Player Data Store'!$Y$7:$Y$594=AC181,ROW('All Player Data Store'!$Y$7:$Y$594)-ROW('All Player Data Store'!$Y$7)+1),COUNTIF($AC$8:AC181,AC181))),"")</f>
        <v>1*4</v>
      </c>
      <c r="AR181" s="108">
        <f t="shared" si="9"/>
        <v>16.2</v>
      </c>
      <c r="AS181" s="108" t="str">
        <f t="array" ref="AS181">IF(ISNUMBER(AC181),INDEX('All Player Data Store'!$Q$8:$Q$594,SMALL(IF('All Player Data Store'!$Y$7:$Y$594=AC181,ROW('All Player Data Store'!$Y$7:$Y$594)-ROW('All Player Data Store'!$Y$7)+1),COUNTIF($AC$8:AC181,AC181))),"")</f>
        <v>0*4</v>
      </c>
      <c r="AT181" s="108">
        <f t="shared" si="10"/>
        <v>18.489999999999998</v>
      </c>
      <c r="AU181" s="108" t="str">
        <f t="array" ref="AU181">IF(ISNUMBER(AC181),INDEX('All Player Data Store'!$R$8:$R$594,SMALL(IF('All Player Data Store'!$Y$7:$Y$594=AC181,ROW('All Player Data Store'!$Y$7:$Y$594)-ROW('All Player Data Store'!$Y$7)+1),COUNTIF($AC$8:AC181,AC181))),"")</f>
        <v>0*4</v>
      </c>
      <c r="AV181" s="108">
        <f t="shared" si="11"/>
        <v>21.04</v>
      </c>
      <c r="AW181" s="108" t="str">
        <f t="array" ref="AW181">IF(ISNUMBER(AC181),INDEX('All Player Data Store'!$S$8:$S$594,SMALL(IF('All Player Data Store'!$Y$7:$Y$594=AC181,ROW('All Player Data Store'!$Y$7:$Y$594)-ROW('All Player Data Store'!$Y$7)+1),COUNTIF($AC$8:AC181,AC181))),"")</f>
        <v>0*4</v>
      </c>
      <c r="AX181" s="108">
        <f t="shared" si="12"/>
        <v>15.41</v>
      </c>
      <c r="AY181" s="108" t="str">
        <f t="array" ref="AY181">IF(ISNUMBER(AC181),INDEX('All Player Data Store'!$T$8:$T$594,SMALL(IF('All Player Data Store'!$Y$7:$Y$594=AC181,ROW('All Player Data Store'!$Y$7:$Y$594)-ROW('All Player Data Store'!$Y$7)+1),COUNTIF($AC$8:AC181,AC181))),"")</f>
        <v>0*4</v>
      </c>
      <c r="AZ181" s="108">
        <f t="shared" si="13"/>
        <v>19.43</v>
      </c>
      <c r="BA181" s="108" t="str">
        <f t="array" ref="BA181">IF(ISNUMBER(AC181),INDEX('All Player Data Store'!$U$8:$U$594,SMALL(IF('All Player Data Store'!$Y$7:$Y$594=AC181,ROW('All Player Data Store'!$Y$7:$Y$594)-ROW('All Player Data Store'!$Y$7)+1),COUNTIF($AC$8:AC181,AC181))),"")</f>
        <v>0*4</v>
      </c>
      <c r="BB181" s="108">
        <f t="shared" si="14"/>
        <v>19.11</v>
      </c>
      <c r="BC181" s="108" t="str">
        <f t="array" ref="BC181">IF(ISNUMBER(AC181),INDEX('All Player Data Store'!$V$8:$V$594,SMALL(IF('All Player Data Store'!$Y$7:$Y$594=AC181,ROW('All Player Data Store'!$Y$7:$Y$594)-ROW('All Player Data Store'!$Y$7)+1),COUNTIF($AC$8:AC181,AC181))),"")</f>
        <v>3*4</v>
      </c>
      <c r="BD181" s="108">
        <f t="shared" si="15"/>
        <v>17.68</v>
      </c>
      <c r="BE181" s="1"/>
    </row>
    <row r="182" spans="2:57" ht="12" customHeight="1" x14ac:dyDescent="0.2">
      <c r="B182" s="98" t="str">
        <f t="shared" si="0"/>
        <v>N</v>
      </c>
      <c r="C182" s="1"/>
      <c r="D182" s="68">
        <f t="shared" si="1"/>
        <v>175</v>
      </c>
      <c r="E182" s="2"/>
      <c r="F182" s="78">
        <v>175</v>
      </c>
      <c r="G182" s="110" t="str">
        <f t="array" ref="G182">IF(ISNUMBER(AC182),INDEX('All Player Data Store'!$C$7:$C$594,SMALL(IF('All Player Data Store'!$Y$7:$Y$594=AC182,ROW('All Player Data Store'!$Y$7:$Y$594)-ROW('All Player Data Store'!$Y$7)+1),COUNTIF($AC$8:AC182,AC182))),"")</f>
        <v>Rich Sawyer</v>
      </c>
      <c r="H182" s="111" t="str">
        <f t="array" ref="H182">IF(ISNUMBER(AC182),INDEX('All Player Data Store'!$D$7:$D$594,SMALL(IF('All Player Data Store'!$Y$7:$Y$594=AC182,ROW('All Player Data Store'!$Y$7:$Y$594)-ROW('All Player Data Store'!$Y$7)+1),COUNTIF($AC$8:AC182,AC182))),"")</f>
        <v>Swa</v>
      </c>
      <c r="I182" s="69">
        <f t="array" ref="I182">IF(ISNUMBER(AC182),INDEX('All Player Data Store'!$E$7:$E$594,SMALL(IF('All Player Data Store'!$Y$7:$Y$594=AC182,ROW('All Player Data Store'!$Y$7:$Y$594)-ROW('All Player Data Store'!$Y$7)+1),COUNTIF($AC$8:AC182,AC182))),"")</f>
        <v>1</v>
      </c>
      <c r="J182" s="70" t="str">
        <f t="array" ref="J182">IF(ISNUMBER(AC182),INDEX('All Player Data Store'!$F$7:$F$594,SMALL(IF('All Player Data Store'!$Y$7:$Y$594=AC182,ROW('All Player Data Store'!$Y$7:$Y$594)-ROW('All Player Data Store'!$Y$7)+1),COUNTIF($AC$8:AC182,AC182))),"")</f>
        <v/>
      </c>
      <c r="K182" s="112">
        <f t="array" ref="K182">IF(ISNUMBER(AC182),INDEX('All Player Data Store'!$G$7:$G$594,SMALL(IF('All Player Data Store'!$Y$7:$Y$594=AC182,ROW('All Player Data Store'!$Y$7:$Y$594)-ROW('All Player Data Store'!$Y$7)+1),COUNTIF($AC$8:AC182,AC182))),"")</f>
        <v>1</v>
      </c>
      <c r="L182" s="70" t="str">
        <f t="array" ref="L182">IF(ISNUMBER(AC182),INDEX('All Player Data Store'!$H$7:$H$594,SMALL(IF('All Player Data Store'!$Y$7:$Y$594=AC182,ROW('All Player Data Store'!$Y$7:$Y$594)-ROW('All Player Data Store'!$Y$7)+1),COUNTIF($AC$8:AC182,AC182))),"")</f>
        <v/>
      </c>
      <c r="M182" s="113">
        <f t="array" ref="M182">IF(ISNUMBER(AC182),INDEX('All Player Data Store'!$I$7:$I$594,SMALL(IF('All Player Data Store'!$Y$7:$Y$594=AC182,ROW('All Player Data Store'!$Y$7:$Y$594)-ROW('All Player Data Store'!$Y$7)+1),COUNTIF($AC$8:AC182,AC182))),"")</f>
        <v>4</v>
      </c>
      <c r="N182" s="114">
        <f t="array" ref="N182">IF(ISNUMBER(AC182),INDEX('All Player Data Store'!$J$7:$J$594,SMALL(IF('All Player Data Store'!$Y$7:$Y$594=AC182,ROW('All Player Data Store'!$Y$7:$Y$594)-ROW('All Player Data Store'!$Y$7)+1),COUNTIF($AC$8:AC182,AC182))),"")</f>
        <v>17.29</v>
      </c>
      <c r="O182" s="108" t="str">
        <f t="array" ref="O182">IF(ISNUMBER(AC182),INDEX('All Player Data Store'!$K$7:$K$594,SMALL(IF('All Player Data Store'!$Y$7:$Y$594=AC182,ROW('All Player Data Store'!$Y$7:$Y$594)-ROW('All Player Data Store'!$Y$7)+1),COUNTIF($AC$8:AC182,AC182))),"")</f>
        <v/>
      </c>
      <c r="P182" s="108" t="str">
        <f t="array" ref="P182">IF(ISNUMBER(AC182),INDEX('All Player Data Store'!$L$7:$L$594,SMALL(IF('All Player Data Store'!$Y$7:$Y$594=AC182,ROW('All Player Data Store'!$Y$7:$Y$594)-ROW('All Player Data Store'!$Y$7)+1),COUNTIF($AC$8:AC182,AC182))),"")</f>
        <v/>
      </c>
      <c r="Q182" s="108" t="str">
        <f t="array" ref="Q182">IF(ISNUMBER(AC182),INDEX('All Player Data Store'!$M$7:$M$594,SMALL(IF('All Player Data Store'!$Y$7:$Y$594=AC182,ROW('All Player Data Store'!$Y$7:$Y$594)-ROW('All Player Data Store'!$Y$7)+1),COUNTIF($AC$8:AC182,AC182))),"")</f>
        <v/>
      </c>
      <c r="R182" s="108" t="str">
        <f t="array" ref="R182">IF(ISNUMBER(AC182),INDEX('All Player Data Store'!$N$7:$N$594,SMALL(IF('All Player Data Store'!$Y$7:$Y$594=AC182,ROW('All Player Data Store'!$Y$7:$Y$594)-ROW('All Player Data Store'!$Y$7)+1),COUNTIF($AC$8:AC182,AC182))),"")</f>
        <v/>
      </c>
      <c r="S182" s="108" t="str">
        <f t="array" ref="S182">IF(ISNUMBER(AC182),INDEX('All Player Data Store'!$O$7:$O$594,SMALL(IF('All Player Data Store'!$Y$7:$Y$594=AC182,ROW('All Player Data Store'!$Y$7:$Y$594)-ROW('All Player Data Store'!$Y$7)+1),COUNTIF($AC$8:AC182,AC182))),"")</f>
        <v/>
      </c>
      <c r="T182" s="108" t="str">
        <f t="array" ref="T182">IF(ISNUMBER(AC182),INDEX('All Player Data Store'!$P$7:$P$594,SMALL(IF('All Player Data Store'!$Y$7:$Y$594=AC182,ROW('All Player Data Store'!$Y$7:$Y$594)-ROW('All Player Data Store'!$Y$7)+1),COUNTIF($AC$8:AC182,AC182))),"")</f>
        <v/>
      </c>
      <c r="U182" s="108" t="str">
        <f t="array" ref="U182">IF(ISNUMBER(AC182),INDEX('All Player Data Store'!$Q$7:$Q$594,SMALL(IF('All Player Data Store'!$Y$7:$Y$594=AC182,ROW('All Player Data Store'!$Y$7:$Y$594)-ROW('All Player Data Store'!$Y$7)+1),COUNTIF($AC$8:AC182,AC182))),"")</f>
        <v/>
      </c>
      <c r="V182" s="108" t="str">
        <f t="array" ref="V182">IF(ISNUMBER(AC182),INDEX('All Player Data Store'!$R$7:$R$594,SMALL(IF('All Player Data Store'!$Y$7:$Y$594=AC182,ROW('All Player Data Store'!$Y$7:$Y$594)-ROW('All Player Data Store'!$Y$7)+1),COUNTIF($AC$8:AC182,AC182))),"")</f>
        <v/>
      </c>
      <c r="W182" s="108" t="str">
        <f t="array" ref="W182">IF(ISNUMBER(AC182),INDEX('All Player Data Store'!$S$7:$S$594,SMALL(IF('All Player Data Store'!$Y$7:$Y$594=AC182,ROW('All Player Data Store'!$Y$7:$Y$594)-ROW('All Player Data Store'!$Y$7)+1),COUNTIF($AC$8:AC182,AC182))),"")</f>
        <v/>
      </c>
      <c r="X182" s="108" t="str">
        <f t="array" ref="X182">IF(ISNUMBER(AC182),INDEX('All Player Data Store'!$T$7:$T$594,SMALL(IF('All Player Data Store'!$Y$7:$Y$594=AC182,ROW('All Player Data Store'!$Y$7:$Y$594)-ROW('All Player Data Store'!$Y$7)+1),COUNTIF($AC$8:AC182,AC182))),"")</f>
        <v/>
      </c>
      <c r="Y182" s="108" t="str">
        <f t="array" ref="Y182">IF(ISNUMBER(AC182),INDEX('All Player Data Store'!$U$7:$U$594,SMALL(IF('All Player Data Store'!$Y$7:$Y$594=AC182,ROW('All Player Data Store'!$Y$7:$Y$594)-ROW('All Player Data Store'!$Y$7)+1),COUNTIF($AC$8:AC182,AC182))),"")</f>
        <v/>
      </c>
      <c r="Z182" s="108" t="str">
        <f t="array" ref="Z182">IF(ISNUMBER(AC182),INDEX('All Player Data Store'!$V$7:$V$594,SMALL(IF('All Player Data Store'!$Y$7:$Y$594=AC182,ROW('All Player Data Store'!$Y$7:$Y$594)-ROW('All Player Data Store'!$Y$7)+1),COUNTIF($AC$8:AC182,AC182))),"")</f>
        <v/>
      </c>
      <c r="AA182" s="112" t="str">
        <f t="array" ref="AA182">IF(ISNUMBER(AC182),INDEX('All Player Data Store'!$W$7:$W$594,SMALL(IF('All Player Data Store'!$Y$7:$Y$594=AC182,ROW('All Player Data Store'!$Y$7:$Y$594)-ROW('All Player Data Store'!$Y$7)+1),COUNTIF($AC$8:AC182,AC182))),"")</f>
        <v/>
      </c>
      <c r="AB182" s="108">
        <f t="array" ref="AB182">IF(ISNUMBER(AC182),INDEX('All Player Data Store'!$X$7:$X$594,SMALL(IF('All Player Data Store'!$Y$7:$Y$594=AC182,ROW('All Player Data Store'!$Y$7:$Y$594)-ROW('All Player Data Store'!$Y$7)+1),COUNTIF($AC$8:AC182,AC182))),"")</f>
        <v>17.29</v>
      </c>
      <c r="AC182" s="115">
        <f>IF(ISERROR(IF(ISERROR(LARGE('All Player Data Store'!$Y$7:$Y$594,175)),"",(LARGE('All Player Data Store'!$Y$7:$Y$594,175)))),"",(IF(ISERROR(LARGE('All Player Data Store'!$Y$7:$Y$594,175)),"",(LARGE('All Player Data Store'!$Y$7:$Y$594,175)))))</f>
        <v>17.29</v>
      </c>
      <c r="AD182" s="106">
        <f t="shared" si="16"/>
        <v>3</v>
      </c>
      <c r="AE182" s="107" t="str">
        <f t="array" ref="AE182">IF(ISNUMBER(AC182),INDEX('All Player Data Store'!$J$8:$J$594,SMALL(IF('All Player Data Store'!$Y$7:$Y$594=AC182,ROW('All Player Data Store'!$Y$7:$Y$594)-ROW('All Player Data Store'!$Y$7)+1),COUNTIF($AC$8:AC182,AC182))),"")</f>
        <v>0*4</v>
      </c>
      <c r="AF182" s="108">
        <f t="shared" si="3"/>
        <v>17.29</v>
      </c>
      <c r="AG182" s="108" t="str">
        <f t="array" ref="AG182">IF(ISNUMBER(AC182),INDEX('All Player Data Store'!$K$8:$K$594,SMALL(IF('All Player Data Store'!$Y$7:$Y$594=AC182,ROW('All Player Data Store'!$Y$7:$Y$594)-ROW('All Player Data Store'!$Y$7)+1),COUNTIF($AC$8:AC182,AC182))),"")</f>
        <v/>
      </c>
      <c r="AH182" s="108" t="str">
        <f t="shared" si="4"/>
        <v/>
      </c>
      <c r="AI182" s="108" t="str">
        <f t="array" ref="AI182">IF(ISNUMBER(AC182),INDEX('All Player Data Store'!$L$8:$L$594,SMALL(IF('All Player Data Store'!$Y$7:$Y$594=AC182,ROW('All Player Data Store'!$Y$7:$Y$594)-ROW('All Player Data Store'!$Y$7)+1),COUNTIF($AC$8:AC182,AC182))),"")</f>
        <v/>
      </c>
      <c r="AJ182" s="108" t="str">
        <f t="shared" si="5"/>
        <v/>
      </c>
      <c r="AK182" s="108" t="str">
        <f t="array" ref="AK182">IF(ISNUMBER(AC182),INDEX('All Player Data Store'!$M$8:$M$594,SMALL(IF('All Player Data Store'!$Y$7:$Y$594=AC182,ROW('All Player Data Store'!$Y$7:$Y$594)-ROW('All Player Data Store'!$Y$7)+1),COUNTIF($AC$8:AC182,AC182))),"")</f>
        <v/>
      </c>
      <c r="AL182" s="108" t="str">
        <f t="shared" si="6"/>
        <v/>
      </c>
      <c r="AM182" s="108" t="str">
        <f t="array" ref="AM182">IF(ISNUMBER(AC182),INDEX('All Player Data Store'!$N$8:$N$594,SMALL(IF('All Player Data Store'!$Y$7:$Y$594=AC182,ROW('All Player Data Store'!$Y$7:$Y$594)-ROW('All Player Data Store'!$Y$7)+1),COUNTIF($AC$8:AC182,AC182))),"")</f>
        <v/>
      </c>
      <c r="AN182" s="108" t="str">
        <f t="shared" si="7"/>
        <v/>
      </c>
      <c r="AO182" s="108" t="str">
        <f t="array" ref="AO182">IF(ISNUMBER(AC182),INDEX('All Player Data Store'!$O$8:$O$594,SMALL(IF('All Player Data Store'!$Y$7:$Y$594=AC182,ROW('All Player Data Store'!$Y$7:$Y$594)-ROW('All Player Data Store'!$Y$7)+1),COUNTIF($AC$8:AC182,AC182))),"")</f>
        <v/>
      </c>
      <c r="AP182" s="108" t="str">
        <f t="shared" si="8"/>
        <v/>
      </c>
      <c r="AQ182" s="108" t="str">
        <f t="array" ref="AQ182">IF(ISNUMBER(AC182),INDEX('All Player Data Store'!$P$8:$P$594,SMALL(IF('All Player Data Store'!$Y$7:$Y$594=AC182,ROW('All Player Data Store'!$Y$7:$Y$594)-ROW('All Player Data Store'!$Y$7)+1),COUNTIF($AC$8:AC182,AC182))),"")</f>
        <v/>
      </c>
      <c r="AR182" s="108" t="str">
        <f t="shared" si="9"/>
        <v/>
      </c>
      <c r="AS182" s="108" t="str">
        <f t="array" ref="AS182">IF(ISNUMBER(AC182),INDEX('All Player Data Store'!$Q$8:$Q$594,SMALL(IF('All Player Data Store'!$Y$7:$Y$594=AC182,ROW('All Player Data Store'!$Y$7:$Y$594)-ROW('All Player Data Store'!$Y$7)+1),COUNTIF($AC$8:AC182,AC182))),"")</f>
        <v/>
      </c>
      <c r="AT182" s="108" t="str">
        <f t="shared" si="10"/>
        <v/>
      </c>
      <c r="AU182" s="108" t="str">
        <f t="array" ref="AU182">IF(ISNUMBER(AC182),INDEX('All Player Data Store'!$R$8:$R$594,SMALL(IF('All Player Data Store'!$Y$7:$Y$594=AC182,ROW('All Player Data Store'!$Y$7:$Y$594)-ROW('All Player Data Store'!$Y$7)+1),COUNTIF($AC$8:AC182,AC182))),"")</f>
        <v/>
      </c>
      <c r="AV182" s="108" t="str">
        <f t="shared" si="11"/>
        <v/>
      </c>
      <c r="AW182" s="108" t="str">
        <f t="array" ref="AW182">IF(ISNUMBER(AC182),INDEX('All Player Data Store'!$S$8:$S$594,SMALL(IF('All Player Data Store'!$Y$7:$Y$594=AC182,ROW('All Player Data Store'!$Y$7:$Y$594)-ROW('All Player Data Store'!$Y$7)+1),COUNTIF($AC$8:AC182,AC182))),"")</f>
        <v/>
      </c>
      <c r="AX182" s="108" t="str">
        <f t="shared" si="12"/>
        <v/>
      </c>
      <c r="AY182" s="108" t="str">
        <f t="array" ref="AY182">IF(ISNUMBER(AC182),INDEX('All Player Data Store'!$T$8:$T$594,SMALL(IF('All Player Data Store'!$Y$7:$Y$594=AC182,ROW('All Player Data Store'!$Y$7:$Y$594)-ROW('All Player Data Store'!$Y$7)+1),COUNTIF($AC$8:AC182,AC182))),"")</f>
        <v/>
      </c>
      <c r="AZ182" s="108" t="str">
        <f t="shared" si="13"/>
        <v/>
      </c>
      <c r="BA182" s="108" t="str">
        <f t="array" ref="BA182">IF(ISNUMBER(AC182),INDEX('All Player Data Store'!$U$8:$U$594,SMALL(IF('All Player Data Store'!$Y$7:$Y$594=AC182,ROW('All Player Data Store'!$Y$7:$Y$594)-ROW('All Player Data Store'!$Y$7)+1),COUNTIF($AC$8:AC182,AC182))),"")</f>
        <v/>
      </c>
      <c r="BB182" s="108" t="str">
        <f t="shared" si="14"/>
        <v/>
      </c>
      <c r="BC182" s="108" t="str">
        <f t="array" ref="BC182">IF(ISNUMBER(AC182),INDEX('All Player Data Store'!$V$8:$V$594,SMALL(IF('All Player Data Store'!$Y$7:$Y$594=AC182,ROW('All Player Data Store'!$Y$7:$Y$594)-ROW('All Player Data Store'!$Y$7)+1),COUNTIF($AC$8:AC182,AC182))),"")</f>
        <v/>
      </c>
      <c r="BD182" s="108" t="str">
        <f t="shared" si="15"/>
        <v/>
      </c>
      <c r="BE182" s="1"/>
    </row>
    <row r="183" spans="2:57" ht="12" customHeight="1" x14ac:dyDescent="0.2">
      <c r="B183" s="98" t="str">
        <f t="shared" si="0"/>
        <v>Y</v>
      </c>
      <c r="C183" s="1"/>
      <c r="D183" s="68">
        <f t="shared" si="1"/>
        <v>176</v>
      </c>
      <c r="E183" s="2"/>
      <c r="F183" s="78">
        <v>176</v>
      </c>
      <c r="G183" s="110" t="str">
        <f t="array" ref="G183">IF(ISNUMBER(AC183),INDEX('All Player Data Store'!$C$7:$C$594,SMALL(IF('All Player Data Store'!$Y$7:$Y$594=AC183,ROW('All Player Data Store'!$Y$7:$Y$594)-ROW('All Player Data Store'!$Y$7)+1),COUNTIF($AC$8:AC183,AC183))),"")</f>
        <v>Paul Farwell</v>
      </c>
      <c r="H183" s="111" t="str">
        <f t="array" ref="H183">IF(ISNUMBER(AC183),INDEX('All Player Data Store'!$D$7:$D$594,SMALL(IF('All Player Data Store'!$Y$7:$Y$594=AC183,ROW('All Player Data Store'!$Y$7:$Y$594)-ROW('All Player Data Store'!$Y$7)+1),COUNTIF($AC$8:AC183,AC183))),"")</f>
        <v>Wey</v>
      </c>
      <c r="I183" s="69">
        <f t="array" ref="I183">IF(ISNUMBER(AC183),INDEX('All Player Data Store'!$E$7:$E$594,SMALL(IF('All Player Data Store'!$Y$7:$Y$594=AC183,ROW('All Player Data Store'!$Y$7:$Y$594)-ROW('All Player Data Store'!$Y$7)+1),COUNTIF($AC$8:AC183,AC183))),"")</f>
        <v>10</v>
      </c>
      <c r="J183" s="70" t="str">
        <f t="array" ref="J183">IF(ISNUMBER(AC183),INDEX('All Player Data Store'!$F$7:$F$594,SMALL(IF('All Player Data Store'!$Y$7:$Y$594=AC183,ROW('All Player Data Store'!$Y$7:$Y$594)-ROW('All Player Data Store'!$Y$7)+1),COUNTIF($AC$8:AC183,AC183))),"")</f>
        <v/>
      </c>
      <c r="K183" s="112">
        <f t="array" ref="K183">IF(ISNUMBER(AC183),INDEX('All Player Data Store'!$G$7:$G$594,SMALL(IF('All Player Data Store'!$Y$7:$Y$594=AC183,ROW('All Player Data Store'!$Y$7:$Y$594)-ROW('All Player Data Store'!$Y$7)+1),COUNTIF($AC$8:AC183,AC183))),"")</f>
        <v>10</v>
      </c>
      <c r="L183" s="70">
        <f t="array" ref="L183">IF(ISNUMBER(AC183),INDEX('All Player Data Store'!$H$7:$H$594,SMALL(IF('All Player Data Store'!$Y$7:$Y$594=AC183,ROW('All Player Data Store'!$Y$7:$Y$594)-ROW('All Player Data Store'!$Y$7)+1),COUNTIF($AC$8:AC183,AC183))),"")</f>
        <v>10</v>
      </c>
      <c r="M183" s="113">
        <f t="array" ref="M183">IF(ISNUMBER(AC183),INDEX('All Player Data Store'!$I$7:$I$594,SMALL(IF('All Player Data Store'!$Y$7:$Y$594=AC183,ROW('All Player Data Store'!$Y$7:$Y$594)-ROW('All Player Data Store'!$Y$7)+1),COUNTIF($AC$8:AC183,AC183))),"")</f>
        <v>40</v>
      </c>
      <c r="N183" s="114">
        <f t="array" ref="N183">IF(ISNUMBER(AC183),INDEX('All Player Data Store'!$J$7:$J$594,SMALL(IF('All Player Data Store'!$Y$7:$Y$594=AC183,ROW('All Player Data Store'!$Y$7:$Y$594)-ROW('All Player Data Store'!$Y$7)+1),COUNTIF($AC$8:AC183,AC183))),"")</f>
        <v>17.55</v>
      </c>
      <c r="O183" s="108">
        <f t="array" ref="O183">IF(ISNUMBER(AC183),INDEX('All Player Data Store'!$K$7:$K$594,SMALL(IF('All Player Data Store'!$Y$7:$Y$594=AC183,ROW('All Player Data Store'!$Y$7:$Y$594)-ROW('All Player Data Store'!$Y$7)+1),COUNTIF($AC$8:AC183,AC183))),"")</f>
        <v>17.66</v>
      </c>
      <c r="P183" s="108">
        <f t="array" ref="P183">IF(ISNUMBER(AC183),INDEX('All Player Data Store'!$L$7:$L$594,SMALL(IF('All Player Data Store'!$Y$7:$Y$594=AC183,ROW('All Player Data Store'!$Y$7:$Y$594)-ROW('All Player Data Store'!$Y$7)+1),COUNTIF($AC$8:AC183,AC183))),"")</f>
        <v>16.95</v>
      </c>
      <c r="Q183" s="108">
        <f t="array" ref="Q183">IF(ISNUMBER(AC183),INDEX('All Player Data Store'!$M$7:$M$594,SMALL(IF('All Player Data Store'!$Y$7:$Y$594=AC183,ROW('All Player Data Store'!$Y$7:$Y$594)-ROW('All Player Data Store'!$Y$7)+1),COUNTIF($AC$8:AC183,AC183))),"")</f>
        <v>14.85</v>
      </c>
      <c r="R183" s="108">
        <f t="array" ref="R183">IF(ISNUMBER(AC183),INDEX('All Player Data Store'!$N$7:$N$594,SMALL(IF('All Player Data Store'!$Y$7:$Y$594=AC183,ROW('All Player Data Store'!$Y$7:$Y$594)-ROW('All Player Data Store'!$Y$7)+1),COUNTIF($AC$8:AC183,AC183))),"")</f>
        <v>20.76</v>
      </c>
      <c r="S183" s="108">
        <f t="array" ref="S183">IF(ISNUMBER(AC183),INDEX('All Player Data Store'!$O$7:$O$594,SMALL(IF('All Player Data Store'!$Y$7:$Y$594=AC183,ROW('All Player Data Store'!$Y$7:$Y$594)-ROW('All Player Data Store'!$Y$7)+1),COUNTIF($AC$8:AC183,AC183))),"")</f>
        <v>14.75</v>
      </c>
      <c r="T183" s="108" t="str">
        <f t="array" ref="T183">IF(ISNUMBER(AC183),INDEX('All Player Data Store'!$P$7:$P$594,SMALL(IF('All Player Data Store'!$Y$7:$Y$594=AC183,ROW('All Player Data Store'!$Y$7:$Y$594)-ROW('All Player Data Store'!$Y$7)+1),COUNTIF($AC$8:AC183,AC183))),"")</f>
        <v/>
      </c>
      <c r="U183" s="108">
        <f t="array" ref="U183">IF(ISNUMBER(AC183),INDEX('All Player Data Store'!$Q$7:$Q$594,SMALL(IF('All Player Data Store'!$Y$7:$Y$594=AC183,ROW('All Player Data Store'!$Y$7:$Y$594)-ROW('All Player Data Store'!$Y$7)+1),COUNTIF($AC$8:AC183,AC183))),"")</f>
        <v>19.38</v>
      </c>
      <c r="V183" s="108">
        <f t="array" ref="V183">IF(ISNUMBER(AC183),INDEX('All Player Data Store'!$R$7:$R$594,SMALL(IF('All Player Data Store'!$Y$7:$Y$594=AC183,ROW('All Player Data Store'!$Y$7:$Y$594)-ROW('All Player Data Store'!$Y$7)+1),COUNTIF($AC$8:AC183,AC183))),"")</f>
        <v>18.600000000000001</v>
      </c>
      <c r="W183" s="108">
        <f t="array" ref="W183">IF(ISNUMBER(AC183),INDEX('All Player Data Store'!$S$7:$S$594,SMALL(IF('All Player Data Store'!$Y$7:$Y$594=AC183,ROW('All Player Data Store'!$Y$7:$Y$594)-ROW('All Player Data Store'!$Y$7)+1),COUNTIF($AC$8:AC183,AC183))),"")</f>
        <v>16.649999999999999</v>
      </c>
      <c r="X183" s="108">
        <f t="array" ref="X183">IF(ISNUMBER(AC183),INDEX('All Player Data Store'!$T$7:$T$594,SMALL(IF('All Player Data Store'!$Y$7:$Y$594=AC183,ROW('All Player Data Store'!$Y$7:$Y$594)-ROW('All Player Data Store'!$Y$7)+1),COUNTIF($AC$8:AC183,AC183))),"")</f>
        <v>14.89</v>
      </c>
      <c r="Y183" s="108" t="str">
        <f t="array" ref="Y183">IF(ISNUMBER(AC183),INDEX('All Player Data Store'!$U$7:$U$594,SMALL(IF('All Player Data Store'!$Y$7:$Y$594=AC183,ROW('All Player Data Store'!$Y$7:$Y$594)-ROW('All Player Data Store'!$Y$7)+1),COUNTIF($AC$8:AC183,AC183))),"")</f>
        <v/>
      </c>
      <c r="Z183" s="108" t="str">
        <f t="array" ref="Z183">IF(ISNUMBER(AC183),INDEX('All Player Data Store'!$V$7:$V$594,SMALL(IF('All Player Data Store'!$Y$7:$Y$594=AC183,ROW('All Player Data Store'!$Y$7:$Y$594)-ROW('All Player Data Store'!$Y$7)+1),COUNTIF($AC$8:AC183,AC183))),"")</f>
        <v/>
      </c>
      <c r="AA183" s="112" t="str">
        <f t="array" ref="AA183">IF(ISNUMBER(AC183),INDEX('All Player Data Store'!$W$7:$W$594,SMALL(IF('All Player Data Store'!$Y$7:$Y$594=AC183,ROW('All Player Data Store'!$Y$7:$Y$594)-ROW('All Player Data Store'!$Y$7)+1),COUNTIF($AC$8:AC183,AC183))),"")</f>
        <v/>
      </c>
      <c r="AB183" s="108">
        <f t="array" ref="AB183">IF(ISNUMBER(AC183),INDEX('All Player Data Store'!$X$7:$X$594,SMALL(IF('All Player Data Store'!$Y$7:$Y$594=AC183,ROW('All Player Data Store'!$Y$7:$Y$594)-ROW('All Player Data Store'!$Y$7)+1),COUNTIF($AC$8:AC183,AC183))),"")</f>
        <v>17.204000000000001</v>
      </c>
      <c r="AC183" s="115">
        <f>IF(ISERROR(IF(ISERROR(LARGE('All Player Data Store'!$Y$7:$Y$594,176)),"",(LARGE('All Player Data Store'!$Y$7:$Y$594,176)))),"",(IF(ISERROR(LARGE('All Player Data Store'!$Y$7:$Y$594,176)),"",(LARGE('All Player Data Store'!$Y$7:$Y$594,176)))))</f>
        <v>17.204000000000001</v>
      </c>
      <c r="AD183" s="106">
        <f t="shared" si="16"/>
        <v>3</v>
      </c>
      <c r="AE183" s="107" t="str">
        <f t="array" ref="AE183">IF(ISNUMBER(AC183),INDEX('All Player Data Store'!$J$8:$J$594,SMALL(IF('All Player Data Store'!$Y$7:$Y$594=AC183,ROW('All Player Data Store'!$Y$7:$Y$594)-ROW('All Player Data Store'!$Y$7)+1),COUNTIF($AC$8:AC183,AC183))),"")</f>
        <v>3*4</v>
      </c>
      <c r="AF183" s="108">
        <f t="shared" si="3"/>
        <v>17.55</v>
      </c>
      <c r="AG183" s="108" t="str">
        <f t="array" ref="AG183">IF(ISNUMBER(AC183),INDEX('All Player Data Store'!$K$8:$K$594,SMALL(IF('All Player Data Store'!$Y$7:$Y$594=AC183,ROW('All Player Data Store'!$Y$7:$Y$594)-ROW('All Player Data Store'!$Y$7)+1),COUNTIF($AC$8:AC183,AC183))),"")</f>
        <v>2*4</v>
      </c>
      <c r="AH183" s="108">
        <f t="shared" si="4"/>
        <v>17.66</v>
      </c>
      <c r="AI183" s="108" t="str">
        <f t="array" ref="AI183">IF(ISNUMBER(AC183),INDEX('All Player Data Store'!$L$8:$L$594,SMALL(IF('All Player Data Store'!$Y$7:$Y$594=AC183,ROW('All Player Data Store'!$Y$7:$Y$594)-ROW('All Player Data Store'!$Y$7)+1),COUNTIF($AC$8:AC183,AC183))),"")</f>
        <v>1*4</v>
      </c>
      <c r="AJ183" s="108">
        <f t="shared" si="5"/>
        <v>16.95</v>
      </c>
      <c r="AK183" s="108" t="str">
        <f t="array" ref="AK183">IF(ISNUMBER(AC183),INDEX('All Player Data Store'!$M$8:$M$594,SMALL(IF('All Player Data Store'!$Y$7:$Y$594=AC183,ROW('All Player Data Store'!$Y$7:$Y$594)-ROW('All Player Data Store'!$Y$7)+1),COUNTIF($AC$8:AC183,AC183))),"")</f>
        <v>1*4</v>
      </c>
      <c r="AL183" s="108">
        <f t="shared" si="6"/>
        <v>14.85</v>
      </c>
      <c r="AM183" s="108" t="str">
        <f t="array" ref="AM183">IF(ISNUMBER(AC183),INDEX('All Player Data Store'!$N$8:$N$594,SMALL(IF('All Player Data Store'!$Y$7:$Y$594=AC183,ROW('All Player Data Store'!$Y$7:$Y$594)-ROW('All Player Data Store'!$Y$7)+1),COUNTIF($AC$8:AC183,AC183))),"")</f>
        <v>0*4</v>
      </c>
      <c r="AN183" s="108">
        <f t="shared" si="7"/>
        <v>20.76</v>
      </c>
      <c r="AO183" s="108" t="str">
        <f t="array" ref="AO183">IF(ISNUMBER(AC183),INDEX('All Player Data Store'!$O$8:$O$594,SMALL(IF('All Player Data Store'!$Y$7:$Y$594=AC183,ROW('All Player Data Store'!$Y$7:$Y$594)-ROW('All Player Data Store'!$Y$7)+1),COUNTIF($AC$8:AC183,AC183))),"")</f>
        <v>0*4</v>
      </c>
      <c r="AP183" s="108">
        <f t="shared" si="8"/>
        <v>14.75</v>
      </c>
      <c r="AQ183" s="108" t="str">
        <f t="array" ref="AQ183">IF(ISNUMBER(AC183),INDEX('All Player Data Store'!$P$8:$P$594,SMALL(IF('All Player Data Store'!$Y$7:$Y$594=AC183,ROW('All Player Data Store'!$Y$7:$Y$594)-ROW('All Player Data Store'!$Y$7)+1),COUNTIF($AC$8:AC183,AC183))),"")</f>
        <v/>
      </c>
      <c r="AR183" s="108" t="str">
        <f t="shared" si="9"/>
        <v/>
      </c>
      <c r="AS183" s="108" t="str">
        <f t="array" ref="AS183">IF(ISNUMBER(AC183),INDEX('All Player Data Store'!$Q$8:$Q$594,SMALL(IF('All Player Data Store'!$Y$7:$Y$594=AC183,ROW('All Player Data Store'!$Y$7:$Y$594)-ROW('All Player Data Store'!$Y$7)+1),COUNTIF($AC$8:AC183,AC183))),"")</f>
        <v>2*4</v>
      </c>
      <c r="AT183" s="108">
        <f t="shared" si="10"/>
        <v>19.38</v>
      </c>
      <c r="AU183" s="108" t="str">
        <f t="array" ref="AU183">IF(ISNUMBER(AC183),INDEX('All Player Data Store'!$R$8:$R$594,SMALL(IF('All Player Data Store'!$Y$7:$Y$594=AC183,ROW('All Player Data Store'!$Y$7:$Y$594)-ROW('All Player Data Store'!$Y$7)+1),COUNTIF($AC$8:AC183,AC183))),"")</f>
        <v>1*4</v>
      </c>
      <c r="AV183" s="108">
        <f t="shared" si="11"/>
        <v>18.600000000000001</v>
      </c>
      <c r="AW183" s="108" t="str">
        <f t="array" ref="AW183">IF(ISNUMBER(AC183),INDEX('All Player Data Store'!$S$8:$S$594,SMALL(IF('All Player Data Store'!$Y$7:$Y$594=AC183,ROW('All Player Data Store'!$Y$7:$Y$594)-ROW('All Player Data Store'!$Y$7)+1),COUNTIF($AC$8:AC183,AC183))),"")</f>
        <v>0*4</v>
      </c>
      <c r="AX183" s="108">
        <f t="shared" si="12"/>
        <v>16.649999999999999</v>
      </c>
      <c r="AY183" s="108" t="str">
        <f t="array" ref="AY183">IF(ISNUMBER(AC183),INDEX('All Player Data Store'!$T$8:$T$594,SMALL(IF('All Player Data Store'!$Y$7:$Y$594=AC183,ROW('All Player Data Store'!$Y$7:$Y$594)-ROW('All Player Data Store'!$Y$7)+1),COUNTIF($AC$8:AC183,AC183))),"")</f>
        <v>0*4</v>
      </c>
      <c r="AZ183" s="108">
        <f t="shared" si="13"/>
        <v>14.89</v>
      </c>
      <c r="BA183" s="108" t="str">
        <f t="array" ref="BA183">IF(ISNUMBER(AC183),INDEX('All Player Data Store'!$U$8:$U$594,SMALL(IF('All Player Data Store'!$Y$7:$Y$594=AC183,ROW('All Player Data Store'!$Y$7:$Y$594)-ROW('All Player Data Store'!$Y$7)+1),COUNTIF($AC$8:AC183,AC183))),"")</f>
        <v/>
      </c>
      <c r="BB183" s="108" t="str">
        <f t="shared" si="14"/>
        <v/>
      </c>
      <c r="BC183" s="108" t="str">
        <f t="array" ref="BC183">IF(ISNUMBER(AC183),INDEX('All Player Data Store'!$V$8:$V$594,SMALL(IF('All Player Data Store'!$Y$7:$Y$594=AC183,ROW('All Player Data Store'!$Y$7:$Y$594)-ROW('All Player Data Store'!$Y$7)+1),COUNTIF($AC$8:AC183,AC183))),"")</f>
        <v/>
      </c>
      <c r="BD183" s="108" t="str">
        <f t="shared" si="15"/>
        <v/>
      </c>
      <c r="BE183" s="1"/>
    </row>
    <row r="184" spans="2:57" ht="12" customHeight="1" x14ac:dyDescent="0.2">
      <c r="B184" s="98" t="str">
        <f t="shared" si="0"/>
        <v>Y</v>
      </c>
      <c r="C184" s="1"/>
      <c r="D184" s="68">
        <f t="shared" si="1"/>
        <v>177</v>
      </c>
      <c r="E184" s="2"/>
      <c r="F184" s="78">
        <v>177</v>
      </c>
      <c r="G184" s="110" t="str">
        <f t="array" ref="G184">IF(ISNUMBER(AC184),INDEX('All Player Data Store'!$C$7:$C$594,SMALL(IF('All Player Data Store'!$Y$7:$Y$594=AC184,ROW('All Player Data Store'!$Y$7:$Y$594)-ROW('All Player Data Store'!$Y$7)+1),COUNTIF($AC$8:AC184,AC184))),"")</f>
        <v>Connor Morris</v>
      </c>
      <c r="H184" s="111" t="str">
        <f t="array" ref="H184">IF(ISNUMBER(AC184),INDEX('All Player Data Store'!$D$7:$D$594,SMALL(IF('All Player Data Store'!$Y$7:$Y$594=AC184,ROW('All Player Data Store'!$Y$7:$Y$594)-ROW('All Player Data Store'!$Y$7)+1),COUNTIF($AC$8:AC184,AC184))),"")</f>
        <v>Aly</v>
      </c>
      <c r="I184" s="69">
        <f t="array" ref="I184">IF(ISNUMBER(AC184),INDEX('All Player Data Store'!$E$7:$E$594,SMALL(IF('All Player Data Store'!$Y$7:$Y$594=AC184,ROW('All Player Data Store'!$Y$7:$Y$594)-ROW('All Player Data Store'!$Y$7)+1),COUNTIF($AC$8:AC184,AC184))),"")</f>
        <v>10</v>
      </c>
      <c r="J184" s="70" t="str">
        <f t="array" ref="J184">IF(ISNUMBER(AC184),INDEX('All Player Data Store'!$F$7:$F$594,SMALL(IF('All Player Data Store'!$Y$7:$Y$594=AC184,ROW('All Player Data Store'!$Y$7:$Y$594)-ROW('All Player Data Store'!$Y$7)+1),COUNTIF($AC$8:AC184,AC184))),"")</f>
        <v/>
      </c>
      <c r="K184" s="112">
        <f t="array" ref="K184">IF(ISNUMBER(AC184),INDEX('All Player Data Store'!$G$7:$G$594,SMALL(IF('All Player Data Store'!$Y$7:$Y$594=AC184,ROW('All Player Data Store'!$Y$7:$Y$594)-ROW('All Player Data Store'!$Y$7)+1),COUNTIF($AC$8:AC184,AC184))),"")</f>
        <v>10</v>
      </c>
      <c r="L184" s="70">
        <f t="array" ref="L184">IF(ISNUMBER(AC184),INDEX('All Player Data Store'!$H$7:$H$594,SMALL(IF('All Player Data Store'!$Y$7:$Y$594=AC184,ROW('All Player Data Store'!$Y$7:$Y$594)-ROW('All Player Data Store'!$Y$7)+1),COUNTIF($AC$8:AC184,AC184))),"")</f>
        <v>10</v>
      </c>
      <c r="M184" s="113">
        <f t="array" ref="M184">IF(ISNUMBER(AC184),INDEX('All Player Data Store'!$I$7:$I$594,SMALL(IF('All Player Data Store'!$Y$7:$Y$594=AC184,ROW('All Player Data Store'!$Y$7:$Y$594)-ROW('All Player Data Store'!$Y$7)+1),COUNTIF($AC$8:AC184,AC184))),"")</f>
        <v>40</v>
      </c>
      <c r="N184" s="114">
        <f t="array" ref="N184">IF(ISNUMBER(AC184),INDEX('All Player Data Store'!$J$7:$J$594,SMALL(IF('All Player Data Store'!$Y$7:$Y$594=AC184,ROW('All Player Data Store'!$Y$7:$Y$594)-ROW('All Player Data Store'!$Y$7)+1),COUNTIF($AC$8:AC184,AC184))),"")</f>
        <v>16.579999999999998</v>
      </c>
      <c r="O184" s="108">
        <f t="array" ref="O184">IF(ISNUMBER(AC184),INDEX('All Player Data Store'!$K$7:$K$594,SMALL(IF('All Player Data Store'!$Y$7:$Y$594=AC184,ROW('All Player Data Store'!$Y$7:$Y$594)-ROW('All Player Data Store'!$Y$7)+1),COUNTIF($AC$8:AC184,AC184))),"")</f>
        <v>14.65</v>
      </c>
      <c r="P184" s="108">
        <f t="array" ref="P184">IF(ISNUMBER(AC184),INDEX('All Player Data Store'!$L$7:$L$594,SMALL(IF('All Player Data Store'!$Y$7:$Y$594=AC184,ROW('All Player Data Store'!$Y$7:$Y$594)-ROW('All Player Data Store'!$Y$7)+1),COUNTIF($AC$8:AC184,AC184))),"")</f>
        <v>15.02</v>
      </c>
      <c r="Q184" s="108">
        <f t="array" ref="Q184">IF(ISNUMBER(AC184),INDEX('All Player Data Store'!$M$7:$M$594,SMALL(IF('All Player Data Store'!$Y$7:$Y$594=AC184,ROW('All Player Data Store'!$Y$7:$Y$594)-ROW('All Player Data Store'!$Y$7)+1),COUNTIF($AC$8:AC184,AC184))),"")</f>
        <v>17.95</v>
      </c>
      <c r="R184" s="108">
        <f t="array" ref="R184">IF(ISNUMBER(AC184),INDEX('All Player Data Store'!$N$7:$N$594,SMALL(IF('All Player Data Store'!$Y$7:$Y$594=AC184,ROW('All Player Data Store'!$Y$7:$Y$594)-ROW('All Player Data Store'!$Y$7)+1),COUNTIF($AC$8:AC184,AC184))),"")</f>
        <v>19.68</v>
      </c>
      <c r="S184" s="108">
        <f t="array" ref="S184">IF(ISNUMBER(AC184),INDEX('All Player Data Store'!$O$7:$O$594,SMALL(IF('All Player Data Store'!$Y$7:$Y$594=AC184,ROW('All Player Data Store'!$Y$7:$Y$594)-ROW('All Player Data Store'!$Y$7)+1),COUNTIF($AC$8:AC184,AC184))),"")</f>
        <v>15.6</v>
      </c>
      <c r="T184" s="108">
        <f t="array" ref="T184">IF(ISNUMBER(AC184),INDEX('All Player Data Store'!$P$7:$P$594,SMALL(IF('All Player Data Store'!$Y$7:$Y$594=AC184,ROW('All Player Data Store'!$Y$7:$Y$594)-ROW('All Player Data Store'!$Y$7)+1),COUNTIF($AC$8:AC184,AC184))),"")</f>
        <v>15.65</v>
      </c>
      <c r="U184" s="108" t="str">
        <f t="array" ref="U184">IF(ISNUMBER(AC184),INDEX('All Player Data Store'!$Q$7:$Q$594,SMALL(IF('All Player Data Store'!$Y$7:$Y$594=AC184,ROW('All Player Data Store'!$Y$7:$Y$594)-ROW('All Player Data Store'!$Y$7)+1),COUNTIF($AC$8:AC184,AC184))),"")</f>
        <v/>
      </c>
      <c r="V184" s="108" t="str">
        <f t="array" ref="V184">IF(ISNUMBER(AC184),INDEX('All Player Data Store'!$R$7:$R$594,SMALL(IF('All Player Data Store'!$Y$7:$Y$594=AC184,ROW('All Player Data Store'!$Y$7:$Y$594)-ROW('All Player Data Store'!$Y$7)+1),COUNTIF($AC$8:AC184,AC184))),"")</f>
        <v/>
      </c>
      <c r="W184" s="108">
        <f t="array" ref="W184">IF(ISNUMBER(AC184),INDEX('All Player Data Store'!$S$7:$S$594,SMALL(IF('All Player Data Store'!$Y$7:$Y$594=AC184,ROW('All Player Data Store'!$Y$7:$Y$594)-ROW('All Player Data Store'!$Y$7)+1),COUNTIF($AC$8:AC184,AC184))),"")</f>
        <v>19.2</v>
      </c>
      <c r="X184" s="108" t="str">
        <f t="array" ref="X184">IF(ISNUMBER(AC184),INDEX('All Player Data Store'!$T$7:$T$594,SMALL(IF('All Player Data Store'!$Y$7:$Y$594=AC184,ROW('All Player Data Store'!$Y$7:$Y$594)-ROW('All Player Data Store'!$Y$7)+1),COUNTIF($AC$8:AC184,AC184))),"")</f>
        <v/>
      </c>
      <c r="Y184" s="108">
        <f t="array" ref="Y184">IF(ISNUMBER(AC184),INDEX('All Player Data Store'!$U$7:$U$594,SMALL(IF('All Player Data Store'!$Y$7:$Y$594=AC184,ROW('All Player Data Store'!$Y$7:$Y$594)-ROW('All Player Data Store'!$Y$7)+1),COUNTIF($AC$8:AC184,AC184))),"")</f>
        <v>18.95</v>
      </c>
      <c r="Z184" s="108">
        <f t="array" ref="Z184">IF(ISNUMBER(AC184),INDEX('All Player Data Store'!$V$7:$V$594,SMALL(IF('All Player Data Store'!$Y$7:$Y$594=AC184,ROW('All Player Data Store'!$Y$7:$Y$594)-ROW('All Player Data Store'!$Y$7)+1),COUNTIF($AC$8:AC184,AC184))),"")</f>
        <v>18.600000000000001</v>
      </c>
      <c r="AA184" s="112">
        <f t="array" ref="AA184">IF(ISNUMBER(AC184),INDEX('All Player Data Store'!$W$7:$W$594,SMALL(IF('All Player Data Store'!$Y$7:$Y$594=AC184,ROW('All Player Data Store'!$Y$7:$Y$594)-ROW('All Player Data Store'!$Y$7)+1),COUNTIF($AC$8:AC184,AC184))),"")</f>
        <v>1</v>
      </c>
      <c r="AB184" s="108">
        <f t="array" ref="AB184">IF(ISNUMBER(AC184),INDEX('All Player Data Store'!$X$7:$X$594,SMALL(IF('All Player Data Store'!$Y$7:$Y$594=AC184,ROW('All Player Data Store'!$Y$7:$Y$594)-ROW('All Player Data Store'!$Y$7)+1),COUNTIF($AC$8:AC184,AC184))),"")</f>
        <v>17.187999999999995</v>
      </c>
      <c r="AC184" s="115">
        <f>IF(ISERROR(IF(ISERROR(LARGE('All Player Data Store'!$Y$7:$Y$594,177)),"",(LARGE('All Player Data Store'!$Y$7:$Y$594,177)))),"",(IF(ISERROR(LARGE('All Player Data Store'!$Y$7:$Y$594,177)),"",(LARGE('All Player Data Store'!$Y$7:$Y$594,177)))))</f>
        <v>17.187999999999995</v>
      </c>
      <c r="AD184" s="106">
        <f t="shared" si="16"/>
        <v>3</v>
      </c>
      <c r="AE184" s="107" t="str">
        <f t="array" ref="AE184">IF(ISNUMBER(AC184),INDEX('All Player Data Store'!$J$8:$J$594,SMALL(IF('All Player Data Store'!$Y$7:$Y$594=AC184,ROW('All Player Data Store'!$Y$7:$Y$594)-ROW('All Player Data Store'!$Y$7)+1),COUNTIF($AC$8:AC184,AC184))),"")</f>
        <v>1*4</v>
      </c>
      <c r="AF184" s="108">
        <f t="shared" si="3"/>
        <v>16.579999999999998</v>
      </c>
      <c r="AG184" s="108" t="str">
        <f t="array" ref="AG184">IF(ISNUMBER(AC184),INDEX('All Player Data Store'!$K$8:$K$594,SMALL(IF('All Player Data Store'!$Y$7:$Y$594=AC184,ROW('All Player Data Store'!$Y$7:$Y$594)-ROW('All Player Data Store'!$Y$7)+1),COUNTIF($AC$8:AC184,AC184))),"")</f>
        <v>0*4</v>
      </c>
      <c r="AH184" s="108">
        <f t="shared" si="4"/>
        <v>14.65</v>
      </c>
      <c r="AI184" s="108" t="str">
        <f t="array" ref="AI184">IF(ISNUMBER(AC184),INDEX('All Player Data Store'!$L$8:$L$594,SMALL(IF('All Player Data Store'!$Y$7:$Y$594=AC184,ROW('All Player Data Store'!$Y$7:$Y$594)-ROW('All Player Data Store'!$Y$7)+1),COUNTIF($AC$8:AC184,AC184))),"")</f>
        <v>1*4</v>
      </c>
      <c r="AJ184" s="108">
        <f t="shared" si="5"/>
        <v>15.02</v>
      </c>
      <c r="AK184" s="108" t="str">
        <f t="array" ref="AK184">IF(ISNUMBER(AC184),INDEX('All Player Data Store'!$M$8:$M$594,SMALL(IF('All Player Data Store'!$Y$7:$Y$594=AC184,ROW('All Player Data Store'!$Y$7:$Y$594)-ROW('All Player Data Store'!$Y$7)+1),COUNTIF($AC$8:AC184,AC184))),"")</f>
        <v>2*4</v>
      </c>
      <c r="AL184" s="108">
        <f t="shared" si="6"/>
        <v>17.95</v>
      </c>
      <c r="AM184" s="108" t="str">
        <f t="array" ref="AM184">IF(ISNUMBER(AC184),INDEX('All Player Data Store'!$N$8:$N$594,SMALL(IF('All Player Data Store'!$Y$7:$Y$594=AC184,ROW('All Player Data Store'!$Y$7:$Y$594)-ROW('All Player Data Store'!$Y$7)+1),COUNTIF($AC$8:AC184,AC184))),"")</f>
        <v>1*4(1)</v>
      </c>
      <c r="AN184" s="108">
        <f t="shared" si="7"/>
        <v>19.68</v>
      </c>
      <c r="AO184" s="108" t="str">
        <f t="array" ref="AO184">IF(ISNUMBER(AC184),INDEX('All Player Data Store'!$O$8:$O$594,SMALL(IF('All Player Data Store'!$Y$7:$Y$594=AC184,ROW('All Player Data Store'!$Y$7:$Y$594)-ROW('All Player Data Store'!$Y$7)+1),COUNTIF($AC$8:AC184,AC184))),"")</f>
        <v>0*4</v>
      </c>
      <c r="AP184" s="108">
        <f t="shared" si="8"/>
        <v>15.6</v>
      </c>
      <c r="AQ184" s="108" t="str">
        <f t="array" ref="AQ184">IF(ISNUMBER(AC184),INDEX('All Player Data Store'!$P$8:$P$594,SMALL(IF('All Player Data Store'!$Y$7:$Y$594=AC184,ROW('All Player Data Store'!$Y$7:$Y$594)-ROW('All Player Data Store'!$Y$7)+1),COUNTIF($AC$8:AC184,AC184))),"")</f>
        <v>0*4</v>
      </c>
      <c r="AR184" s="108">
        <f t="shared" si="9"/>
        <v>15.65</v>
      </c>
      <c r="AS184" s="108" t="str">
        <f t="array" ref="AS184">IF(ISNUMBER(AC184),INDEX('All Player Data Store'!$Q$8:$Q$594,SMALL(IF('All Player Data Store'!$Y$7:$Y$594=AC184,ROW('All Player Data Store'!$Y$7:$Y$594)-ROW('All Player Data Store'!$Y$7)+1),COUNTIF($AC$8:AC184,AC184))),"")</f>
        <v/>
      </c>
      <c r="AT184" s="108" t="str">
        <f t="shared" si="10"/>
        <v/>
      </c>
      <c r="AU184" s="108" t="str">
        <f t="array" ref="AU184">IF(ISNUMBER(AC184),INDEX('All Player Data Store'!$R$8:$R$594,SMALL(IF('All Player Data Store'!$Y$7:$Y$594=AC184,ROW('All Player Data Store'!$Y$7:$Y$594)-ROW('All Player Data Store'!$Y$7)+1),COUNTIF($AC$8:AC184,AC184))),"")</f>
        <v/>
      </c>
      <c r="AV184" s="108" t="str">
        <f t="shared" si="11"/>
        <v/>
      </c>
      <c r="AW184" s="108" t="str">
        <f t="array" ref="AW184">IF(ISNUMBER(AC184),INDEX('All Player Data Store'!$S$8:$S$594,SMALL(IF('All Player Data Store'!$Y$7:$Y$594=AC184,ROW('All Player Data Store'!$Y$7:$Y$594)-ROW('All Player Data Store'!$Y$7)+1),COUNTIF($AC$8:AC184,AC184))),"")</f>
        <v>1*4</v>
      </c>
      <c r="AX184" s="108">
        <f t="shared" si="12"/>
        <v>19.2</v>
      </c>
      <c r="AY184" s="108" t="str">
        <f t="array" ref="AY184">IF(ISNUMBER(AC184),INDEX('All Player Data Store'!$T$8:$T$594,SMALL(IF('All Player Data Store'!$Y$7:$Y$594=AC184,ROW('All Player Data Store'!$Y$7:$Y$594)-ROW('All Player Data Store'!$Y$7)+1),COUNTIF($AC$8:AC184,AC184))),"")</f>
        <v/>
      </c>
      <c r="AZ184" s="108" t="str">
        <f t="shared" si="13"/>
        <v/>
      </c>
      <c r="BA184" s="108" t="str">
        <f t="array" ref="BA184">IF(ISNUMBER(AC184),INDEX('All Player Data Store'!$U$8:$U$594,SMALL(IF('All Player Data Store'!$Y$7:$Y$594=AC184,ROW('All Player Data Store'!$Y$7:$Y$594)-ROW('All Player Data Store'!$Y$7)+1),COUNTIF($AC$8:AC184,AC184))),"")</f>
        <v>1*4</v>
      </c>
      <c r="BB184" s="108">
        <f t="shared" si="14"/>
        <v>18.95</v>
      </c>
      <c r="BC184" s="108" t="str">
        <f t="array" ref="BC184">IF(ISNUMBER(AC184),INDEX('All Player Data Store'!$V$8:$V$594,SMALL(IF('All Player Data Store'!$Y$7:$Y$594=AC184,ROW('All Player Data Store'!$Y$7:$Y$594)-ROW('All Player Data Store'!$Y$7)+1),COUNTIF($AC$8:AC184,AC184))),"")</f>
        <v>3*4</v>
      </c>
      <c r="BD184" s="108">
        <f t="shared" si="15"/>
        <v>18.600000000000001</v>
      </c>
      <c r="BE184" s="1"/>
    </row>
    <row r="185" spans="2:57" ht="12" customHeight="1" x14ac:dyDescent="0.2">
      <c r="B185" s="98" t="str">
        <f t="shared" si="0"/>
        <v>N</v>
      </c>
      <c r="C185" s="1"/>
      <c r="D185" s="68">
        <f t="shared" si="1"/>
        <v>178</v>
      </c>
      <c r="E185" s="2"/>
      <c r="F185" s="78">
        <v>178</v>
      </c>
      <c r="G185" s="110" t="str">
        <f t="array" ref="G185">IF(ISNUMBER(AC185),INDEX('All Player Data Store'!$C$7:$C$594,SMALL(IF('All Player Data Store'!$Y$7:$Y$594=AC185,ROW('All Player Data Store'!$Y$7:$Y$594)-ROW('All Player Data Store'!$Y$7)+1),COUNTIF($AC$8:AC185,AC185))),"")</f>
        <v>Jon Honeybun</v>
      </c>
      <c r="H185" s="111" t="str">
        <f t="array" ref="H185">IF(ISNUMBER(AC185),INDEX('All Player Data Store'!$D$7:$D$594,SMALL(IF('All Player Data Store'!$Y$7:$Y$594=AC185,ROW('All Player Data Store'!$Y$7:$Y$594)-ROW('All Player Data Store'!$Y$7)+1),COUNTIF($AC$8:AC185,AC185))),"")</f>
        <v>Wey</v>
      </c>
      <c r="I185" s="69">
        <f t="array" ref="I185">IF(ISNUMBER(AC185),INDEX('All Player Data Store'!$E$7:$E$594,SMALL(IF('All Player Data Store'!$Y$7:$Y$594=AC185,ROW('All Player Data Store'!$Y$7:$Y$594)-ROW('All Player Data Store'!$Y$7)+1),COUNTIF($AC$8:AC185,AC185))),"")</f>
        <v>2</v>
      </c>
      <c r="J185" s="70" t="str">
        <f t="array" ref="J185">IF(ISNUMBER(AC185),INDEX('All Player Data Store'!$F$7:$F$594,SMALL(IF('All Player Data Store'!$Y$7:$Y$594=AC185,ROW('All Player Data Store'!$Y$7:$Y$594)-ROW('All Player Data Store'!$Y$7)+1),COUNTIF($AC$8:AC185,AC185))),"")</f>
        <v/>
      </c>
      <c r="K185" s="112">
        <f t="array" ref="K185">IF(ISNUMBER(AC185),INDEX('All Player Data Store'!$G$7:$G$594,SMALL(IF('All Player Data Store'!$Y$7:$Y$594=AC185,ROW('All Player Data Store'!$Y$7:$Y$594)-ROW('All Player Data Store'!$Y$7)+1),COUNTIF($AC$8:AC185,AC185))),"")</f>
        <v>2</v>
      </c>
      <c r="L185" s="70">
        <f t="array" ref="L185">IF(ISNUMBER(AC185),INDEX('All Player Data Store'!$H$7:$H$594,SMALL(IF('All Player Data Store'!$Y$7:$Y$594=AC185,ROW('All Player Data Store'!$Y$7:$Y$594)-ROW('All Player Data Store'!$Y$7)+1),COUNTIF($AC$8:AC185,AC185))),"")</f>
        <v>1</v>
      </c>
      <c r="M185" s="113">
        <f t="array" ref="M185">IF(ISNUMBER(AC185),INDEX('All Player Data Store'!$I$7:$I$594,SMALL(IF('All Player Data Store'!$Y$7:$Y$594=AC185,ROW('All Player Data Store'!$Y$7:$Y$594)-ROW('All Player Data Store'!$Y$7)+1),COUNTIF($AC$8:AC185,AC185))),"")</f>
        <v>8</v>
      </c>
      <c r="N185" s="114" t="str">
        <f t="array" ref="N185">IF(ISNUMBER(AC185),INDEX('All Player Data Store'!$J$7:$J$594,SMALL(IF('All Player Data Store'!$Y$7:$Y$594=AC185,ROW('All Player Data Store'!$Y$7:$Y$594)-ROW('All Player Data Store'!$Y$7)+1),COUNTIF($AC$8:AC185,AC185))),"")</f>
        <v/>
      </c>
      <c r="O185" s="108">
        <f t="array" ref="O185">IF(ISNUMBER(AC185),INDEX('All Player Data Store'!$K$7:$K$594,SMALL(IF('All Player Data Store'!$Y$7:$Y$594=AC185,ROW('All Player Data Store'!$Y$7:$Y$594)-ROW('All Player Data Store'!$Y$7)+1),COUNTIF($AC$8:AC185,AC185))),"")</f>
        <v>18.66</v>
      </c>
      <c r="P185" s="108" t="str">
        <f t="array" ref="P185">IF(ISNUMBER(AC185),INDEX('All Player Data Store'!$L$7:$L$594,SMALL(IF('All Player Data Store'!$Y$7:$Y$594=AC185,ROW('All Player Data Store'!$Y$7:$Y$594)-ROW('All Player Data Store'!$Y$7)+1),COUNTIF($AC$8:AC185,AC185))),"")</f>
        <v/>
      </c>
      <c r="Q185" s="108" t="str">
        <f t="array" ref="Q185">IF(ISNUMBER(AC185),INDEX('All Player Data Store'!$M$7:$M$594,SMALL(IF('All Player Data Store'!$Y$7:$Y$594=AC185,ROW('All Player Data Store'!$Y$7:$Y$594)-ROW('All Player Data Store'!$Y$7)+1),COUNTIF($AC$8:AC185,AC185))),"")</f>
        <v/>
      </c>
      <c r="R185" s="108" t="str">
        <f t="array" ref="R185">IF(ISNUMBER(AC185),INDEX('All Player Data Store'!$N$7:$N$594,SMALL(IF('All Player Data Store'!$Y$7:$Y$594=AC185,ROW('All Player Data Store'!$Y$7:$Y$594)-ROW('All Player Data Store'!$Y$7)+1),COUNTIF($AC$8:AC185,AC185))),"")</f>
        <v/>
      </c>
      <c r="S185" s="108" t="str">
        <f t="array" ref="S185">IF(ISNUMBER(AC185),INDEX('All Player Data Store'!$O$7:$O$594,SMALL(IF('All Player Data Store'!$Y$7:$Y$594=AC185,ROW('All Player Data Store'!$Y$7:$Y$594)-ROW('All Player Data Store'!$Y$7)+1),COUNTIF($AC$8:AC185,AC185))),"")</f>
        <v/>
      </c>
      <c r="T185" s="108" t="str">
        <f t="array" ref="T185">IF(ISNUMBER(AC185),INDEX('All Player Data Store'!$P$7:$P$594,SMALL(IF('All Player Data Store'!$Y$7:$Y$594=AC185,ROW('All Player Data Store'!$Y$7:$Y$594)-ROW('All Player Data Store'!$Y$7)+1),COUNTIF($AC$8:AC185,AC185))),"")</f>
        <v/>
      </c>
      <c r="U185" s="108" t="str">
        <f t="array" ref="U185">IF(ISNUMBER(AC185),INDEX('All Player Data Store'!$Q$7:$Q$594,SMALL(IF('All Player Data Store'!$Y$7:$Y$594=AC185,ROW('All Player Data Store'!$Y$7:$Y$594)-ROW('All Player Data Store'!$Y$7)+1),COUNTIF($AC$8:AC185,AC185))),"")</f>
        <v/>
      </c>
      <c r="V185" s="108" t="str">
        <f t="array" ref="V185">IF(ISNUMBER(AC185),INDEX('All Player Data Store'!$R$7:$R$594,SMALL(IF('All Player Data Store'!$Y$7:$Y$594=AC185,ROW('All Player Data Store'!$Y$7:$Y$594)-ROW('All Player Data Store'!$Y$7)+1),COUNTIF($AC$8:AC185,AC185))),"")</f>
        <v/>
      </c>
      <c r="W185" s="108" t="str">
        <f t="array" ref="W185">IF(ISNUMBER(AC185),INDEX('All Player Data Store'!$S$7:$S$594,SMALL(IF('All Player Data Store'!$Y$7:$Y$594=AC185,ROW('All Player Data Store'!$Y$7:$Y$594)-ROW('All Player Data Store'!$Y$7)+1),COUNTIF($AC$8:AC185,AC185))),"")</f>
        <v/>
      </c>
      <c r="X185" s="108" t="str">
        <f t="array" ref="X185">IF(ISNUMBER(AC185),INDEX('All Player Data Store'!$T$7:$T$594,SMALL(IF('All Player Data Store'!$Y$7:$Y$594=AC185,ROW('All Player Data Store'!$Y$7:$Y$594)-ROW('All Player Data Store'!$Y$7)+1),COUNTIF($AC$8:AC185,AC185))),"")</f>
        <v/>
      </c>
      <c r="Y185" s="108" t="str">
        <f t="array" ref="Y185">IF(ISNUMBER(AC185),INDEX('All Player Data Store'!$U$7:$U$594,SMALL(IF('All Player Data Store'!$Y$7:$Y$594=AC185,ROW('All Player Data Store'!$Y$7:$Y$594)-ROW('All Player Data Store'!$Y$7)+1),COUNTIF($AC$8:AC185,AC185))),"")</f>
        <v/>
      </c>
      <c r="Z185" s="108">
        <f t="array" ref="Z185">IF(ISNUMBER(AC185),INDEX('All Player Data Store'!$V$7:$V$594,SMALL(IF('All Player Data Store'!$Y$7:$Y$594=AC185,ROW('All Player Data Store'!$Y$7:$Y$594)-ROW('All Player Data Store'!$Y$7)+1),COUNTIF($AC$8:AC185,AC185))),"")</f>
        <v>15.67</v>
      </c>
      <c r="AA185" s="112" t="str">
        <f t="array" ref="AA185">IF(ISNUMBER(AC185),INDEX('All Player Data Store'!$W$7:$W$594,SMALL(IF('All Player Data Store'!$Y$7:$Y$594=AC185,ROW('All Player Data Store'!$Y$7:$Y$594)-ROW('All Player Data Store'!$Y$7)+1),COUNTIF($AC$8:AC185,AC185))),"")</f>
        <v/>
      </c>
      <c r="AB185" s="108">
        <f t="array" ref="AB185">IF(ISNUMBER(AC185),INDEX('All Player Data Store'!$X$7:$X$594,SMALL(IF('All Player Data Store'!$Y$7:$Y$594=AC185,ROW('All Player Data Store'!$Y$7:$Y$594)-ROW('All Player Data Store'!$Y$7)+1),COUNTIF($AC$8:AC185,AC185))),"")</f>
        <v>17.164999999999999</v>
      </c>
      <c r="AC185" s="115">
        <f>IF(ISERROR(IF(ISERROR(LARGE('All Player Data Store'!$Y$7:$Y$594,178)),"",(LARGE('All Player Data Store'!$Y$7:$Y$594,178)))),"",(IF(ISERROR(LARGE('All Player Data Store'!$Y$7:$Y$594,178)),"",(LARGE('All Player Data Store'!$Y$7:$Y$594,178)))))</f>
        <v>17.164999999999999</v>
      </c>
      <c r="AD185" s="106">
        <f t="shared" si="16"/>
        <v>3</v>
      </c>
      <c r="AE185" s="107" t="str">
        <f t="array" ref="AE185">IF(ISNUMBER(AC185),INDEX('All Player Data Store'!$J$8:$J$594,SMALL(IF('All Player Data Store'!$Y$7:$Y$594=AC185,ROW('All Player Data Store'!$Y$7:$Y$594)-ROW('All Player Data Store'!$Y$7)+1),COUNTIF($AC$8:AC185,AC185))),"")</f>
        <v/>
      </c>
      <c r="AF185" s="108" t="str">
        <f t="shared" si="3"/>
        <v/>
      </c>
      <c r="AG185" s="108" t="str">
        <f t="array" ref="AG185">IF(ISNUMBER(AC185),INDEX('All Player Data Store'!$K$8:$K$594,SMALL(IF('All Player Data Store'!$Y$7:$Y$594=AC185,ROW('All Player Data Store'!$Y$7:$Y$594)-ROW('All Player Data Store'!$Y$7)+1),COUNTIF($AC$8:AC185,AC185))),"")</f>
        <v>1*4</v>
      </c>
      <c r="AH185" s="108">
        <f t="shared" si="4"/>
        <v>18.66</v>
      </c>
      <c r="AI185" s="108" t="str">
        <f t="array" ref="AI185">IF(ISNUMBER(AC185),INDEX('All Player Data Store'!$L$8:$L$594,SMALL(IF('All Player Data Store'!$Y$7:$Y$594=AC185,ROW('All Player Data Store'!$Y$7:$Y$594)-ROW('All Player Data Store'!$Y$7)+1),COUNTIF($AC$8:AC185,AC185))),"")</f>
        <v/>
      </c>
      <c r="AJ185" s="108" t="str">
        <f t="shared" si="5"/>
        <v/>
      </c>
      <c r="AK185" s="108" t="str">
        <f t="array" ref="AK185">IF(ISNUMBER(AC185),INDEX('All Player Data Store'!$M$8:$M$594,SMALL(IF('All Player Data Store'!$Y$7:$Y$594=AC185,ROW('All Player Data Store'!$Y$7:$Y$594)-ROW('All Player Data Store'!$Y$7)+1),COUNTIF($AC$8:AC185,AC185))),"")</f>
        <v/>
      </c>
      <c r="AL185" s="108" t="str">
        <f t="shared" si="6"/>
        <v/>
      </c>
      <c r="AM185" s="108" t="str">
        <f t="array" ref="AM185">IF(ISNUMBER(AC185),INDEX('All Player Data Store'!$N$8:$N$594,SMALL(IF('All Player Data Store'!$Y$7:$Y$594=AC185,ROW('All Player Data Store'!$Y$7:$Y$594)-ROW('All Player Data Store'!$Y$7)+1),COUNTIF($AC$8:AC185,AC185))),"")</f>
        <v/>
      </c>
      <c r="AN185" s="108" t="str">
        <f t="shared" si="7"/>
        <v/>
      </c>
      <c r="AO185" s="108" t="str">
        <f t="array" ref="AO185">IF(ISNUMBER(AC185),INDEX('All Player Data Store'!$O$8:$O$594,SMALL(IF('All Player Data Store'!$Y$7:$Y$594=AC185,ROW('All Player Data Store'!$Y$7:$Y$594)-ROW('All Player Data Store'!$Y$7)+1),COUNTIF($AC$8:AC185,AC185))),"")</f>
        <v/>
      </c>
      <c r="AP185" s="108" t="str">
        <f t="shared" si="8"/>
        <v/>
      </c>
      <c r="AQ185" s="108" t="str">
        <f t="array" ref="AQ185">IF(ISNUMBER(AC185),INDEX('All Player Data Store'!$P$8:$P$594,SMALL(IF('All Player Data Store'!$Y$7:$Y$594=AC185,ROW('All Player Data Store'!$Y$7:$Y$594)-ROW('All Player Data Store'!$Y$7)+1),COUNTIF($AC$8:AC185,AC185))),"")</f>
        <v/>
      </c>
      <c r="AR185" s="108" t="str">
        <f t="shared" si="9"/>
        <v/>
      </c>
      <c r="AS185" s="108" t="str">
        <f t="array" ref="AS185">IF(ISNUMBER(AC185),INDEX('All Player Data Store'!$Q$8:$Q$594,SMALL(IF('All Player Data Store'!$Y$7:$Y$594=AC185,ROW('All Player Data Store'!$Y$7:$Y$594)-ROW('All Player Data Store'!$Y$7)+1),COUNTIF($AC$8:AC185,AC185))),"")</f>
        <v/>
      </c>
      <c r="AT185" s="108" t="str">
        <f t="shared" si="10"/>
        <v/>
      </c>
      <c r="AU185" s="108" t="str">
        <f t="array" ref="AU185">IF(ISNUMBER(AC185),INDEX('All Player Data Store'!$R$8:$R$594,SMALL(IF('All Player Data Store'!$Y$7:$Y$594=AC185,ROW('All Player Data Store'!$Y$7:$Y$594)-ROW('All Player Data Store'!$Y$7)+1),COUNTIF($AC$8:AC185,AC185))),"")</f>
        <v/>
      </c>
      <c r="AV185" s="108" t="str">
        <f t="shared" si="11"/>
        <v/>
      </c>
      <c r="AW185" s="108" t="str">
        <f t="array" ref="AW185">IF(ISNUMBER(AC185),INDEX('All Player Data Store'!$S$8:$S$594,SMALL(IF('All Player Data Store'!$Y$7:$Y$594=AC185,ROW('All Player Data Store'!$Y$7:$Y$594)-ROW('All Player Data Store'!$Y$7)+1),COUNTIF($AC$8:AC185,AC185))),"")</f>
        <v/>
      </c>
      <c r="AX185" s="108" t="str">
        <f t="shared" si="12"/>
        <v/>
      </c>
      <c r="AY185" s="108" t="str">
        <f t="array" ref="AY185">IF(ISNUMBER(AC185),INDEX('All Player Data Store'!$T$8:$T$594,SMALL(IF('All Player Data Store'!$Y$7:$Y$594=AC185,ROW('All Player Data Store'!$Y$7:$Y$594)-ROW('All Player Data Store'!$Y$7)+1),COUNTIF($AC$8:AC185,AC185))),"")</f>
        <v/>
      </c>
      <c r="AZ185" s="108" t="str">
        <f t="shared" si="13"/>
        <v/>
      </c>
      <c r="BA185" s="108" t="str">
        <f t="array" ref="BA185">IF(ISNUMBER(AC185),INDEX('All Player Data Store'!$U$8:$U$594,SMALL(IF('All Player Data Store'!$Y$7:$Y$594=AC185,ROW('All Player Data Store'!$Y$7:$Y$594)-ROW('All Player Data Store'!$Y$7)+1),COUNTIF($AC$8:AC185,AC185))),"")</f>
        <v/>
      </c>
      <c r="BB185" s="108" t="str">
        <f t="shared" si="14"/>
        <v/>
      </c>
      <c r="BC185" s="108" t="str">
        <f t="array" ref="BC185">IF(ISNUMBER(AC185),INDEX('All Player Data Store'!$V$8:$V$594,SMALL(IF('All Player Data Store'!$Y$7:$Y$594=AC185,ROW('All Player Data Store'!$Y$7:$Y$594)-ROW('All Player Data Store'!$Y$7)+1),COUNTIF($AC$8:AC185,AC185))),"")</f>
        <v>0*4</v>
      </c>
      <c r="BD185" s="108">
        <f t="shared" si="15"/>
        <v>15.67</v>
      </c>
      <c r="BE185" s="1"/>
    </row>
    <row r="186" spans="2:57" ht="12" customHeight="1" x14ac:dyDescent="0.2">
      <c r="B186" s="98" t="str">
        <f t="shared" si="0"/>
        <v>N</v>
      </c>
      <c r="C186" s="1"/>
      <c r="D186" s="68">
        <f t="shared" si="1"/>
        <v>179</v>
      </c>
      <c r="E186" s="2"/>
      <c r="F186" s="78">
        <v>179</v>
      </c>
      <c r="G186" s="110" t="str">
        <f t="array" ref="G186">IF(ISNUMBER(AC186),INDEX('All Player Data Store'!$C$7:$C$594,SMALL(IF('All Player Data Store'!$Y$7:$Y$594=AC186,ROW('All Player Data Store'!$Y$7:$Y$594)-ROW('All Player Data Store'!$Y$7)+1),COUNTIF($AC$8:AC186,AC186))),"")</f>
        <v>Liam Roberts</v>
      </c>
      <c r="H186" s="68" t="str">
        <f t="array" ref="H186">IF(ISNUMBER(AC186),INDEX('All Player Data Store'!$D$7:$D$594,SMALL(IF('All Player Data Store'!$Y$7:$Y$594=AC186,ROW('All Player Data Store'!$Y$7:$Y$594)-ROW('All Player Data Store'!$Y$7)+1),COUNTIF($AC$8:AC186,AC186))),"")</f>
        <v>Aly</v>
      </c>
      <c r="I186" s="69">
        <f t="array" ref="I186">IF(ISNUMBER(AC186),INDEX('All Player Data Store'!$E$7:$E$594,SMALL(IF('All Player Data Store'!$Y$7:$Y$594=AC186,ROW('All Player Data Store'!$Y$7:$Y$594)-ROW('All Player Data Store'!$Y$7)+1),COUNTIF($AC$8:AC186,AC186))),"")</f>
        <v>6</v>
      </c>
      <c r="J186" s="70" t="str">
        <f t="array" ref="J186">IF(ISNUMBER(AC186),INDEX('All Player Data Store'!$F$7:$F$594,SMALL(IF('All Player Data Store'!$Y$7:$Y$594=AC186,ROW('All Player Data Store'!$Y$7:$Y$594)-ROW('All Player Data Store'!$Y$7)+1),COUNTIF($AC$8:AC186,AC186))),"")</f>
        <v/>
      </c>
      <c r="K186" s="70">
        <f t="array" ref="K186">IF(ISNUMBER(AC186),INDEX('All Player Data Store'!$G$7:$G$594,SMALL(IF('All Player Data Store'!$Y$7:$Y$594=AC186,ROW('All Player Data Store'!$Y$7:$Y$594)-ROW('All Player Data Store'!$Y$7)+1),COUNTIF($AC$8:AC186,AC186))),"")</f>
        <v>6</v>
      </c>
      <c r="L186" s="70">
        <f t="array" ref="L186">IF(ISNUMBER(AC186),INDEX('All Player Data Store'!$H$7:$H$594,SMALL(IF('All Player Data Store'!$Y$7:$Y$594=AC186,ROW('All Player Data Store'!$Y$7:$Y$594)-ROW('All Player Data Store'!$Y$7)+1),COUNTIF($AC$8:AC186,AC186))),"")</f>
        <v>4</v>
      </c>
      <c r="M186" s="72">
        <f t="array" ref="M186">IF(ISNUMBER(AC186),INDEX('All Player Data Store'!$I$7:$I$594,SMALL(IF('All Player Data Store'!$Y$7:$Y$594=AC186,ROW('All Player Data Store'!$Y$7:$Y$594)-ROW('All Player Data Store'!$Y$7)+1),COUNTIF($AC$8:AC186,AC186))),"")</f>
        <v>24</v>
      </c>
      <c r="N186" s="114" t="str">
        <f t="array" ref="N186">IF(ISNUMBER(AC186),INDEX('All Player Data Store'!$J$7:$J$594,SMALL(IF('All Player Data Store'!$Y$7:$Y$594=AC186,ROW('All Player Data Store'!$Y$7:$Y$594)-ROW('All Player Data Store'!$Y$7)+1),COUNTIF($AC$8:AC186,AC186))),"")</f>
        <v/>
      </c>
      <c r="O186" s="108" t="str">
        <f t="array" ref="O186">IF(ISNUMBER(AC186),INDEX('All Player Data Store'!$K$7:$K$594,SMALL(IF('All Player Data Store'!$Y$7:$Y$594=AC186,ROW('All Player Data Store'!$Y$7:$Y$594)-ROW('All Player Data Store'!$Y$7)+1),COUNTIF($AC$8:AC186,AC186))),"")</f>
        <v/>
      </c>
      <c r="P186" s="108" t="str">
        <f t="array" ref="P186">IF(ISNUMBER(AC186),INDEX('All Player Data Store'!$L$7:$L$594,SMALL(IF('All Player Data Store'!$Y$7:$Y$594=AC186,ROW('All Player Data Store'!$Y$7:$Y$594)-ROW('All Player Data Store'!$Y$7)+1),COUNTIF($AC$8:AC186,AC186))),"")</f>
        <v/>
      </c>
      <c r="Q186" s="108" t="str">
        <f t="array" ref="Q186">IF(ISNUMBER(AC186),INDEX('All Player Data Store'!$M$7:$M$594,SMALL(IF('All Player Data Store'!$Y$7:$Y$594=AC186,ROW('All Player Data Store'!$Y$7:$Y$594)-ROW('All Player Data Store'!$Y$7)+1),COUNTIF($AC$8:AC186,AC186))),"")</f>
        <v/>
      </c>
      <c r="R186" s="108" t="str">
        <f t="array" ref="R186">IF(ISNUMBER(AC186),INDEX('All Player Data Store'!$N$7:$N$594,SMALL(IF('All Player Data Store'!$Y$7:$Y$594=AC186,ROW('All Player Data Store'!$Y$7:$Y$594)-ROW('All Player Data Store'!$Y$7)+1),COUNTIF($AC$8:AC186,AC186))),"")</f>
        <v/>
      </c>
      <c r="S186" s="108">
        <f t="array" ref="S186">IF(ISNUMBER(AC186),INDEX('All Player Data Store'!$O$7:$O$594,SMALL(IF('All Player Data Store'!$Y$7:$Y$594=AC186,ROW('All Player Data Store'!$Y$7:$Y$594)-ROW('All Player Data Store'!$Y$7)+1),COUNTIF($AC$8:AC186,AC186))),"")</f>
        <v>19.670000000000002</v>
      </c>
      <c r="T186" s="108" t="str">
        <f t="array" ref="T186">IF(ISNUMBER(AC186),INDEX('All Player Data Store'!$P$7:$P$594,SMALL(IF('All Player Data Store'!$Y$7:$Y$594=AC186,ROW('All Player Data Store'!$Y$7:$Y$594)-ROW('All Player Data Store'!$Y$7)+1),COUNTIF($AC$8:AC186,AC186))),"")</f>
        <v/>
      </c>
      <c r="U186" s="108">
        <f t="array" ref="U186">IF(ISNUMBER(AC186),INDEX('All Player Data Store'!$Q$7:$Q$594,SMALL(IF('All Player Data Store'!$Y$7:$Y$594=AC186,ROW('All Player Data Store'!$Y$7:$Y$594)-ROW('All Player Data Store'!$Y$7)+1),COUNTIF($AC$8:AC186,AC186))),"")</f>
        <v>15.34</v>
      </c>
      <c r="V186" s="108">
        <f t="array" ref="V186">IF(ISNUMBER(AC186),INDEX('All Player Data Store'!$R$7:$R$594,SMALL(IF('All Player Data Store'!$Y$7:$Y$594=AC186,ROW('All Player Data Store'!$Y$7:$Y$594)-ROW('All Player Data Store'!$Y$7)+1),COUNTIF($AC$8:AC186,AC186))),"")</f>
        <v>18.03</v>
      </c>
      <c r="W186" s="108">
        <f t="array" ref="W186">IF(ISNUMBER(AC186),INDEX('All Player Data Store'!$S$7:$S$594,SMALL(IF('All Player Data Store'!$Y$7:$Y$594=AC186,ROW('All Player Data Store'!$Y$7:$Y$594)-ROW('All Player Data Store'!$Y$7)+1),COUNTIF($AC$8:AC186,AC186))),"")</f>
        <v>15.99</v>
      </c>
      <c r="X186" s="108">
        <f t="array" ref="X186">IF(ISNUMBER(AC186),INDEX('All Player Data Store'!$T$7:$T$594,SMALL(IF('All Player Data Store'!$Y$7:$Y$594=AC186,ROW('All Player Data Store'!$Y$7:$Y$594)-ROW('All Player Data Store'!$Y$7)+1),COUNTIF($AC$8:AC186,AC186))),"")</f>
        <v>18.16</v>
      </c>
      <c r="Y186" s="108" t="str">
        <f t="array" ref="Y186">IF(ISNUMBER(AC186),INDEX('All Player Data Store'!$U$7:$U$594,SMALL(IF('All Player Data Store'!$Y$7:$Y$594=AC186,ROW('All Player Data Store'!$Y$7:$Y$594)-ROW('All Player Data Store'!$Y$7)+1),COUNTIF($AC$8:AC186,AC186))),"")</f>
        <v/>
      </c>
      <c r="Z186" s="108">
        <f t="array" ref="Z186">IF(ISNUMBER(AC186),INDEX('All Player Data Store'!$V$7:$V$594,SMALL(IF('All Player Data Store'!$Y$7:$Y$594=AC186,ROW('All Player Data Store'!$Y$7:$Y$594)-ROW('All Player Data Store'!$Y$7)+1),COUNTIF($AC$8:AC186,AC186))),"")</f>
        <v>15.63</v>
      </c>
      <c r="AA186" s="112" t="str">
        <f t="array" ref="AA186">IF(ISNUMBER(AC186),INDEX('All Player Data Store'!$W$7:$W$594,SMALL(IF('All Player Data Store'!$Y$7:$Y$594=AC186,ROW('All Player Data Store'!$Y$7:$Y$594)-ROW('All Player Data Store'!$Y$7)+1),COUNTIF($AC$8:AC186,AC186))),"")</f>
        <v/>
      </c>
      <c r="AB186" s="108">
        <f t="array" ref="AB186">IF(ISNUMBER(AC186),INDEX('All Player Data Store'!$X$7:$X$594,SMALL(IF('All Player Data Store'!$Y$7:$Y$594=AC186,ROW('All Player Data Store'!$Y$7:$Y$594)-ROW('All Player Data Store'!$Y$7)+1),COUNTIF($AC$8:AC186,AC186))),"")</f>
        <v>17.136666666666667</v>
      </c>
      <c r="AC186" s="115">
        <f>IF(ISERROR(IF(ISERROR(LARGE('All Player Data Store'!$Y$7:$Y$594,179)),"",(LARGE('All Player Data Store'!$Y$7:$Y$594,179)))),"",(IF(ISERROR(LARGE('All Player Data Store'!$Y$7:$Y$594,179)),"",(LARGE('All Player Data Store'!$Y$7:$Y$594,179)))))</f>
        <v>17.136666666666667</v>
      </c>
      <c r="AD186" s="106">
        <f t="shared" si="16"/>
        <v>3</v>
      </c>
      <c r="AE186" s="107" t="str">
        <f t="array" ref="AE186">IF(ISNUMBER(AC186),INDEX('All Player Data Store'!$J$8:$J$594,SMALL(IF('All Player Data Store'!$Y$7:$Y$594=AC186,ROW('All Player Data Store'!$Y$7:$Y$594)-ROW('All Player Data Store'!$Y$7)+1),COUNTIF($AC$8:AC186,AC186))),"")</f>
        <v/>
      </c>
      <c r="AF186" s="108" t="str">
        <f t="shared" si="3"/>
        <v/>
      </c>
      <c r="AG186" s="108" t="str">
        <f t="array" ref="AG186">IF(ISNUMBER(AC186),INDEX('All Player Data Store'!$K$8:$K$594,SMALL(IF('All Player Data Store'!$Y$7:$Y$594=AC186,ROW('All Player Data Store'!$Y$7:$Y$594)-ROW('All Player Data Store'!$Y$7)+1),COUNTIF($AC$8:AC186,AC186))),"")</f>
        <v/>
      </c>
      <c r="AH186" s="108" t="str">
        <f t="shared" si="4"/>
        <v/>
      </c>
      <c r="AI186" s="108" t="str">
        <f t="array" ref="AI186">IF(ISNUMBER(AC186),INDEX('All Player Data Store'!$L$8:$L$594,SMALL(IF('All Player Data Store'!$Y$7:$Y$594=AC186,ROW('All Player Data Store'!$Y$7:$Y$594)-ROW('All Player Data Store'!$Y$7)+1),COUNTIF($AC$8:AC186,AC186))),"")</f>
        <v/>
      </c>
      <c r="AJ186" s="108" t="str">
        <f t="shared" si="5"/>
        <v/>
      </c>
      <c r="AK186" s="108" t="str">
        <f t="array" ref="AK186">IF(ISNUMBER(AC186),INDEX('All Player Data Store'!$M$8:$M$594,SMALL(IF('All Player Data Store'!$Y$7:$Y$594=AC186,ROW('All Player Data Store'!$Y$7:$Y$594)-ROW('All Player Data Store'!$Y$7)+1),COUNTIF($AC$8:AC186,AC186))),"")</f>
        <v/>
      </c>
      <c r="AL186" s="108" t="str">
        <f t="shared" si="6"/>
        <v/>
      </c>
      <c r="AM186" s="108" t="str">
        <f t="array" ref="AM186">IF(ISNUMBER(AC186),INDEX('All Player Data Store'!$N$8:$N$594,SMALL(IF('All Player Data Store'!$Y$7:$Y$594=AC186,ROW('All Player Data Store'!$Y$7:$Y$594)-ROW('All Player Data Store'!$Y$7)+1),COUNTIF($AC$8:AC186,AC186))),"")</f>
        <v/>
      </c>
      <c r="AN186" s="108" t="str">
        <f t="shared" si="7"/>
        <v/>
      </c>
      <c r="AO186" s="108" t="str">
        <f t="array" ref="AO186">IF(ISNUMBER(AC186),INDEX('All Player Data Store'!$O$8:$O$594,SMALL(IF('All Player Data Store'!$Y$7:$Y$594=AC186,ROW('All Player Data Store'!$Y$7:$Y$594)-ROW('All Player Data Store'!$Y$7)+1),COUNTIF($AC$8:AC186,AC186))),"")</f>
        <v>2*4</v>
      </c>
      <c r="AP186" s="108">
        <f t="shared" si="8"/>
        <v>19.670000000000002</v>
      </c>
      <c r="AQ186" s="108" t="str">
        <f t="array" ref="AQ186">IF(ISNUMBER(AC186),INDEX('All Player Data Store'!$P$8:$P$594,SMALL(IF('All Player Data Store'!$Y$7:$Y$594=AC186,ROW('All Player Data Store'!$Y$7:$Y$594)-ROW('All Player Data Store'!$Y$7)+1),COUNTIF($AC$8:AC186,AC186))),"")</f>
        <v/>
      </c>
      <c r="AR186" s="108" t="str">
        <f t="shared" si="9"/>
        <v/>
      </c>
      <c r="AS186" s="108" t="str">
        <f t="array" ref="AS186">IF(ISNUMBER(AC186),INDEX('All Player Data Store'!$Q$8:$Q$594,SMALL(IF('All Player Data Store'!$Y$7:$Y$594=AC186,ROW('All Player Data Store'!$Y$7:$Y$594)-ROW('All Player Data Store'!$Y$7)+1),COUNTIF($AC$8:AC186,AC186))),"")</f>
        <v>0*4</v>
      </c>
      <c r="AT186" s="108">
        <f t="shared" si="10"/>
        <v>15.34</v>
      </c>
      <c r="AU186" s="108" t="str">
        <f t="array" ref="AU186">IF(ISNUMBER(AC186),INDEX('All Player Data Store'!$R$8:$R$594,SMALL(IF('All Player Data Store'!$Y$7:$Y$594=AC186,ROW('All Player Data Store'!$Y$7:$Y$594)-ROW('All Player Data Store'!$Y$7)+1),COUNTIF($AC$8:AC186,AC186))),"")</f>
        <v>0*4</v>
      </c>
      <c r="AV186" s="108">
        <f t="shared" si="11"/>
        <v>18.03</v>
      </c>
      <c r="AW186" s="108" t="str">
        <f t="array" ref="AW186">IF(ISNUMBER(AC186),INDEX('All Player Data Store'!$S$8:$S$594,SMALL(IF('All Player Data Store'!$Y$7:$Y$594=AC186,ROW('All Player Data Store'!$Y$7:$Y$594)-ROW('All Player Data Store'!$Y$7)+1),COUNTIF($AC$8:AC186,AC186))),"")</f>
        <v>0*4</v>
      </c>
      <c r="AX186" s="108">
        <f t="shared" si="12"/>
        <v>15.99</v>
      </c>
      <c r="AY186" s="108" t="str">
        <f t="array" ref="AY186">IF(ISNUMBER(AC186),INDEX('All Player Data Store'!$T$8:$T$594,SMALL(IF('All Player Data Store'!$Y$7:$Y$594=AC186,ROW('All Player Data Store'!$Y$7:$Y$594)-ROW('All Player Data Store'!$Y$7)+1),COUNTIF($AC$8:AC186,AC186))),"")</f>
        <v>0*4</v>
      </c>
      <c r="AZ186" s="108">
        <f t="shared" si="13"/>
        <v>18.16</v>
      </c>
      <c r="BA186" s="108" t="str">
        <f t="array" ref="BA186">IF(ISNUMBER(AC186),INDEX('All Player Data Store'!$U$8:$U$594,SMALL(IF('All Player Data Store'!$Y$7:$Y$594=AC186,ROW('All Player Data Store'!$Y$7:$Y$594)-ROW('All Player Data Store'!$Y$7)+1),COUNTIF($AC$8:AC186,AC186))),"")</f>
        <v/>
      </c>
      <c r="BB186" s="108" t="str">
        <f t="shared" si="14"/>
        <v/>
      </c>
      <c r="BC186" s="108" t="str">
        <f t="array" ref="BC186">IF(ISNUMBER(AC186),INDEX('All Player Data Store'!$V$8:$V$594,SMALL(IF('All Player Data Store'!$Y$7:$Y$594=AC186,ROW('All Player Data Store'!$Y$7:$Y$594)-ROW('All Player Data Store'!$Y$7)+1),COUNTIF($AC$8:AC186,AC186))),"")</f>
        <v>2*4</v>
      </c>
      <c r="BD186" s="108">
        <f t="shared" si="15"/>
        <v>15.63</v>
      </c>
      <c r="BE186" s="1"/>
    </row>
    <row r="187" spans="2:57" ht="12" customHeight="1" x14ac:dyDescent="0.2">
      <c r="B187" s="98" t="str">
        <f t="shared" si="0"/>
        <v>N</v>
      </c>
      <c r="C187" s="1"/>
      <c r="D187" s="68">
        <f t="shared" si="1"/>
        <v>180</v>
      </c>
      <c r="E187" s="2"/>
      <c r="F187" s="78">
        <v>180</v>
      </c>
      <c r="G187" s="110" t="str">
        <f t="array" ref="G187">IF(ISNUMBER(AC187),INDEX('All Player Data Store'!$C$7:$C$594,SMALL(IF('All Player Data Store'!$Y$7:$Y$594=AC187,ROW('All Player Data Store'!$Y$7:$Y$594)-ROW('All Player Data Store'!$Y$7)+1),COUNTIF($AC$8:AC187,AC187))),"")</f>
        <v>Tony Williams</v>
      </c>
      <c r="H187" s="68" t="str">
        <f t="array" ref="H187">IF(ISNUMBER(AC187),INDEX('All Player Data Store'!$D$7:$D$594,SMALL(IF('All Player Data Store'!$Y$7:$Y$594=AC187,ROW('All Player Data Store'!$Y$7:$Y$594)-ROW('All Player Data Store'!$Y$7)+1),COUNTIF($AC$8:AC187,AC187))),"")</f>
        <v>Sha</v>
      </c>
      <c r="I187" s="69">
        <f t="array" ref="I187">IF(ISNUMBER(AC187),INDEX('All Player Data Store'!$E$7:$E$594,SMALL(IF('All Player Data Store'!$Y$7:$Y$594=AC187,ROW('All Player Data Store'!$Y$7:$Y$594)-ROW('All Player Data Store'!$Y$7)+1),COUNTIF($AC$8:AC187,AC187))),"")</f>
        <v>5</v>
      </c>
      <c r="J187" s="70" t="str">
        <f t="array" ref="J187">IF(ISNUMBER(AC187),INDEX('All Player Data Store'!$F$7:$F$594,SMALL(IF('All Player Data Store'!$Y$7:$Y$594=AC187,ROW('All Player Data Store'!$Y$7:$Y$594)-ROW('All Player Data Store'!$Y$7)+1),COUNTIF($AC$8:AC187,AC187))),"")</f>
        <v/>
      </c>
      <c r="K187" s="70">
        <f t="array" ref="K187">IF(ISNUMBER(AC187),INDEX('All Player Data Store'!$G$7:$G$594,SMALL(IF('All Player Data Store'!$Y$7:$Y$594=AC187,ROW('All Player Data Store'!$Y$7:$Y$594)-ROW('All Player Data Store'!$Y$7)+1),COUNTIF($AC$8:AC187,AC187))),"")</f>
        <v>5</v>
      </c>
      <c r="L187" s="70">
        <f t="array" ref="L187">IF(ISNUMBER(AC187),INDEX('All Player Data Store'!$H$7:$H$594,SMALL(IF('All Player Data Store'!$Y$7:$Y$594=AC187,ROW('All Player Data Store'!$Y$7:$Y$594)-ROW('All Player Data Store'!$Y$7)+1),COUNTIF($AC$8:AC187,AC187))),"")</f>
        <v>5</v>
      </c>
      <c r="M187" s="72">
        <f t="array" ref="M187">IF(ISNUMBER(AC187),INDEX('All Player Data Store'!$I$7:$I$594,SMALL(IF('All Player Data Store'!$Y$7:$Y$594=AC187,ROW('All Player Data Store'!$Y$7:$Y$594)-ROW('All Player Data Store'!$Y$7)+1),COUNTIF($AC$8:AC187,AC187))),"")</f>
        <v>20</v>
      </c>
      <c r="N187" s="114">
        <f t="array" ref="N187">IF(ISNUMBER(AC187),INDEX('All Player Data Store'!$J$7:$J$594,SMALL(IF('All Player Data Store'!$Y$7:$Y$594=AC187,ROW('All Player Data Store'!$Y$7:$Y$594)-ROW('All Player Data Store'!$Y$7)+1),COUNTIF($AC$8:AC187,AC187))),"")</f>
        <v>14.57</v>
      </c>
      <c r="O187" s="108" t="str">
        <f t="array" ref="O187">IF(ISNUMBER(AC187),INDEX('All Player Data Store'!$K$7:$K$594,SMALL(IF('All Player Data Store'!$Y$7:$Y$594=AC187,ROW('All Player Data Store'!$Y$7:$Y$594)-ROW('All Player Data Store'!$Y$7)+1),COUNTIF($AC$8:AC187,AC187))),"")</f>
        <v/>
      </c>
      <c r="P187" s="108">
        <f t="array" ref="P187">IF(ISNUMBER(AC187),INDEX('All Player Data Store'!$L$7:$L$594,SMALL(IF('All Player Data Store'!$Y$7:$Y$594=AC187,ROW('All Player Data Store'!$Y$7:$Y$594)-ROW('All Player Data Store'!$Y$7)+1),COUNTIF($AC$8:AC187,AC187))),"")</f>
        <v>18.96</v>
      </c>
      <c r="Q187" s="108">
        <f t="array" ref="Q187">IF(ISNUMBER(AC187),INDEX('All Player Data Store'!$M$7:$M$594,SMALL(IF('All Player Data Store'!$Y$7:$Y$594=AC187,ROW('All Player Data Store'!$Y$7:$Y$594)-ROW('All Player Data Store'!$Y$7)+1),COUNTIF($AC$8:AC187,AC187))),"")</f>
        <v>20.14</v>
      </c>
      <c r="R187" s="108">
        <f t="array" ref="R187">IF(ISNUMBER(AC187),INDEX('All Player Data Store'!$N$7:$N$594,SMALL(IF('All Player Data Store'!$Y$7:$Y$594=AC187,ROW('All Player Data Store'!$Y$7:$Y$594)-ROW('All Player Data Store'!$Y$7)+1),COUNTIF($AC$8:AC187,AC187))),"")</f>
        <v>15.47</v>
      </c>
      <c r="S187" s="108" t="str">
        <f t="array" ref="S187">IF(ISNUMBER(AC187),INDEX('All Player Data Store'!$O$7:$O$594,SMALL(IF('All Player Data Store'!$Y$7:$Y$594=AC187,ROW('All Player Data Store'!$Y$7:$Y$594)-ROW('All Player Data Store'!$Y$7)+1),COUNTIF($AC$8:AC187,AC187))),"")</f>
        <v/>
      </c>
      <c r="T187" s="108" t="str">
        <f t="array" ref="T187">IF(ISNUMBER(AC187),INDEX('All Player Data Store'!$P$7:$P$594,SMALL(IF('All Player Data Store'!$Y$7:$Y$594=AC187,ROW('All Player Data Store'!$Y$7:$Y$594)-ROW('All Player Data Store'!$Y$7)+1),COUNTIF($AC$8:AC187,AC187))),"")</f>
        <v/>
      </c>
      <c r="U187" s="108" t="str">
        <f t="array" ref="U187">IF(ISNUMBER(AC187),INDEX('All Player Data Store'!$Q$7:$Q$594,SMALL(IF('All Player Data Store'!$Y$7:$Y$594=AC187,ROW('All Player Data Store'!$Y$7:$Y$594)-ROW('All Player Data Store'!$Y$7)+1),COUNTIF($AC$8:AC187,AC187))),"")</f>
        <v/>
      </c>
      <c r="V187" s="108">
        <f t="array" ref="V187">IF(ISNUMBER(AC187),INDEX('All Player Data Store'!$R$7:$R$594,SMALL(IF('All Player Data Store'!$Y$7:$Y$594=AC187,ROW('All Player Data Store'!$Y$7:$Y$594)-ROW('All Player Data Store'!$Y$7)+1),COUNTIF($AC$8:AC187,AC187))),"")</f>
        <v>16.45</v>
      </c>
      <c r="W187" s="108" t="str">
        <f t="array" ref="W187">IF(ISNUMBER(AC187),INDEX('All Player Data Store'!$S$7:$S$594,SMALL(IF('All Player Data Store'!$Y$7:$Y$594=AC187,ROW('All Player Data Store'!$Y$7:$Y$594)-ROW('All Player Data Store'!$Y$7)+1),COUNTIF($AC$8:AC187,AC187))),"")</f>
        <v/>
      </c>
      <c r="X187" s="108" t="str">
        <f t="array" ref="X187">IF(ISNUMBER(AC187),INDEX('All Player Data Store'!$T$7:$T$594,SMALL(IF('All Player Data Store'!$Y$7:$Y$594=AC187,ROW('All Player Data Store'!$Y$7:$Y$594)-ROW('All Player Data Store'!$Y$7)+1),COUNTIF($AC$8:AC187,AC187))),"")</f>
        <v/>
      </c>
      <c r="Y187" s="108" t="str">
        <f t="array" ref="Y187">IF(ISNUMBER(AC187),INDEX('All Player Data Store'!$U$7:$U$594,SMALL(IF('All Player Data Store'!$Y$7:$Y$594=AC187,ROW('All Player Data Store'!$Y$7:$Y$594)-ROW('All Player Data Store'!$Y$7)+1),COUNTIF($AC$8:AC187,AC187))),"")</f>
        <v/>
      </c>
      <c r="Z187" s="108" t="str">
        <f t="array" ref="Z187">IF(ISNUMBER(AC187),INDEX('All Player Data Store'!$V$7:$V$594,SMALL(IF('All Player Data Store'!$Y$7:$Y$594=AC187,ROW('All Player Data Store'!$Y$7:$Y$594)-ROW('All Player Data Store'!$Y$7)+1),COUNTIF($AC$8:AC187,AC187))),"")</f>
        <v/>
      </c>
      <c r="AA187" s="112" t="str">
        <f t="array" ref="AA187">IF(ISNUMBER(AC187),INDEX('All Player Data Store'!$W$7:$W$594,SMALL(IF('All Player Data Store'!$Y$7:$Y$594=AC187,ROW('All Player Data Store'!$Y$7:$Y$594)-ROW('All Player Data Store'!$Y$7)+1),COUNTIF($AC$8:AC187,AC187))),"")</f>
        <v/>
      </c>
      <c r="AB187" s="108">
        <f t="array" ref="AB187">IF(ISNUMBER(AC187),INDEX('All Player Data Store'!$X$7:$X$594,SMALL(IF('All Player Data Store'!$Y$7:$Y$594=AC187,ROW('All Player Data Store'!$Y$7:$Y$594)-ROW('All Player Data Store'!$Y$7)+1),COUNTIF($AC$8:AC187,AC187))),"")</f>
        <v>17.118000000000002</v>
      </c>
      <c r="AC187" s="115">
        <f>IF(ISERROR(IF(ISERROR(LARGE('All Player Data Store'!$Y$7:$Y$594,180)),"",(LARGE('All Player Data Store'!$Y$7:$Y$594,180)))),"",(IF(ISERROR(LARGE('All Player Data Store'!$Y$7:$Y$594,180)),"",(LARGE('All Player Data Store'!$Y$7:$Y$594,180)))))</f>
        <v>17.118000000000002</v>
      </c>
      <c r="AD187" s="106">
        <f t="shared" si="16"/>
        <v>3</v>
      </c>
      <c r="AE187" s="107" t="str">
        <f t="array" ref="AE187">IF(ISNUMBER(AC187),INDEX('All Player Data Store'!$J$8:$J$594,SMALL(IF('All Player Data Store'!$Y$7:$Y$594=AC187,ROW('All Player Data Store'!$Y$7:$Y$594)-ROW('All Player Data Store'!$Y$7)+1),COUNTIF($AC$8:AC187,AC187))),"")</f>
        <v>0*4</v>
      </c>
      <c r="AF187" s="108">
        <f t="shared" si="3"/>
        <v>14.57</v>
      </c>
      <c r="AG187" s="108" t="str">
        <f t="array" ref="AG187">IF(ISNUMBER(AC187),INDEX('All Player Data Store'!$K$8:$K$594,SMALL(IF('All Player Data Store'!$Y$7:$Y$594=AC187,ROW('All Player Data Store'!$Y$7:$Y$594)-ROW('All Player Data Store'!$Y$7)+1),COUNTIF($AC$8:AC187,AC187))),"")</f>
        <v/>
      </c>
      <c r="AH187" s="108" t="str">
        <f t="shared" si="4"/>
        <v/>
      </c>
      <c r="AI187" s="108" t="str">
        <f t="array" ref="AI187">IF(ISNUMBER(AC187),INDEX('All Player Data Store'!$L$8:$L$594,SMALL(IF('All Player Data Store'!$Y$7:$Y$594=AC187,ROW('All Player Data Store'!$Y$7:$Y$594)-ROW('All Player Data Store'!$Y$7)+1),COUNTIF($AC$8:AC187,AC187))),"")</f>
        <v>1*4</v>
      </c>
      <c r="AJ187" s="108">
        <f t="shared" si="5"/>
        <v>18.96</v>
      </c>
      <c r="AK187" s="108" t="str">
        <f t="array" ref="AK187">IF(ISNUMBER(AC187),INDEX('All Player Data Store'!$M$8:$M$594,SMALL(IF('All Player Data Store'!$Y$7:$Y$594=AC187,ROW('All Player Data Store'!$Y$7:$Y$594)-ROW('All Player Data Store'!$Y$7)+1),COUNTIF($AC$8:AC187,AC187))),"")</f>
        <v>3*4</v>
      </c>
      <c r="AL187" s="108">
        <f t="shared" si="6"/>
        <v>20.14</v>
      </c>
      <c r="AM187" s="108" t="str">
        <f t="array" ref="AM187">IF(ISNUMBER(AC187),INDEX('All Player Data Store'!$N$8:$N$594,SMALL(IF('All Player Data Store'!$Y$7:$Y$594=AC187,ROW('All Player Data Store'!$Y$7:$Y$594)-ROW('All Player Data Store'!$Y$7)+1),COUNTIF($AC$8:AC187,AC187))),"")</f>
        <v>0*4</v>
      </c>
      <c r="AN187" s="108">
        <f t="shared" si="7"/>
        <v>15.47</v>
      </c>
      <c r="AO187" s="108" t="str">
        <f t="array" ref="AO187">IF(ISNUMBER(AC187),INDEX('All Player Data Store'!$O$8:$O$594,SMALL(IF('All Player Data Store'!$Y$7:$Y$594=AC187,ROW('All Player Data Store'!$Y$7:$Y$594)-ROW('All Player Data Store'!$Y$7)+1),COUNTIF($AC$8:AC187,AC187))),"")</f>
        <v/>
      </c>
      <c r="AP187" s="108" t="str">
        <f t="shared" si="8"/>
        <v/>
      </c>
      <c r="AQ187" s="108" t="str">
        <f t="array" ref="AQ187">IF(ISNUMBER(AC187),INDEX('All Player Data Store'!$P$8:$P$594,SMALL(IF('All Player Data Store'!$Y$7:$Y$594=AC187,ROW('All Player Data Store'!$Y$7:$Y$594)-ROW('All Player Data Store'!$Y$7)+1),COUNTIF($AC$8:AC187,AC187))),"")</f>
        <v/>
      </c>
      <c r="AR187" s="108" t="str">
        <f t="shared" si="9"/>
        <v/>
      </c>
      <c r="AS187" s="108" t="str">
        <f t="array" ref="AS187">IF(ISNUMBER(AC187),INDEX('All Player Data Store'!$Q$8:$Q$594,SMALL(IF('All Player Data Store'!$Y$7:$Y$594=AC187,ROW('All Player Data Store'!$Y$7:$Y$594)-ROW('All Player Data Store'!$Y$7)+1),COUNTIF($AC$8:AC187,AC187))),"")</f>
        <v/>
      </c>
      <c r="AT187" s="108" t="str">
        <f t="shared" si="10"/>
        <v/>
      </c>
      <c r="AU187" s="108" t="str">
        <f t="array" ref="AU187">IF(ISNUMBER(AC187),INDEX('All Player Data Store'!$R$8:$R$594,SMALL(IF('All Player Data Store'!$Y$7:$Y$594=AC187,ROW('All Player Data Store'!$Y$7:$Y$594)-ROW('All Player Data Store'!$Y$7)+1),COUNTIF($AC$8:AC187,AC187))),"")</f>
        <v>1*4</v>
      </c>
      <c r="AV187" s="108">
        <f t="shared" si="11"/>
        <v>16.45</v>
      </c>
      <c r="AW187" s="108" t="str">
        <f t="array" ref="AW187">IF(ISNUMBER(AC187),INDEX('All Player Data Store'!$S$8:$S$594,SMALL(IF('All Player Data Store'!$Y$7:$Y$594=AC187,ROW('All Player Data Store'!$Y$7:$Y$594)-ROW('All Player Data Store'!$Y$7)+1),COUNTIF($AC$8:AC187,AC187))),"")</f>
        <v/>
      </c>
      <c r="AX187" s="108" t="str">
        <f t="shared" si="12"/>
        <v/>
      </c>
      <c r="AY187" s="108" t="str">
        <f t="array" ref="AY187">IF(ISNUMBER(AC187),INDEX('All Player Data Store'!$T$8:$T$594,SMALL(IF('All Player Data Store'!$Y$7:$Y$594=AC187,ROW('All Player Data Store'!$Y$7:$Y$594)-ROW('All Player Data Store'!$Y$7)+1),COUNTIF($AC$8:AC187,AC187))),"")</f>
        <v/>
      </c>
      <c r="AZ187" s="108" t="str">
        <f t="shared" si="13"/>
        <v/>
      </c>
      <c r="BA187" s="108" t="str">
        <f t="array" ref="BA187">IF(ISNUMBER(AC187),INDEX('All Player Data Store'!$U$8:$U$594,SMALL(IF('All Player Data Store'!$Y$7:$Y$594=AC187,ROW('All Player Data Store'!$Y$7:$Y$594)-ROW('All Player Data Store'!$Y$7)+1),COUNTIF($AC$8:AC187,AC187))),"")</f>
        <v/>
      </c>
      <c r="BB187" s="108" t="str">
        <f t="shared" si="14"/>
        <v/>
      </c>
      <c r="BC187" s="108" t="str">
        <f t="array" ref="BC187">IF(ISNUMBER(AC187),INDEX('All Player Data Store'!$V$8:$V$594,SMALL(IF('All Player Data Store'!$Y$7:$Y$594=AC187,ROW('All Player Data Store'!$Y$7:$Y$594)-ROW('All Player Data Store'!$Y$7)+1),COUNTIF($AC$8:AC187,AC187))),"")</f>
        <v/>
      </c>
      <c r="BD187" s="108" t="str">
        <f t="shared" si="15"/>
        <v/>
      </c>
      <c r="BE187" s="1"/>
    </row>
    <row r="188" spans="2:57" ht="12" customHeight="1" x14ac:dyDescent="0.2">
      <c r="B188" s="98" t="str">
        <f t="shared" si="0"/>
        <v>N</v>
      </c>
      <c r="C188" s="1"/>
      <c r="D188" s="68">
        <f t="shared" si="1"/>
        <v>181</v>
      </c>
      <c r="E188" s="2"/>
      <c r="F188" s="78">
        <v>181</v>
      </c>
      <c r="G188" s="110" t="str">
        <f t="array" ref="G188">IF(ISNUMBER(AC188),INDEX('All Player Data Store'!$C$7:$C$594,SMALL(IF('All Player Data Store'!$Y$7:$Y$594=AC188,ROW('All Player Data Store'!$Y$7:$Y$594)-ROW('All Player Data Store'!$Y$7)+1),COUNTIF($AC$8:AC188,AC188))),"")</f>
        <v>Dave Symes</v>
      </c>
      <c r="H188" s="68" t="str">
        <f t="array" ref="H188">IF(ISNUMBER(AC188),INDEX('All Player Data Store'!$D$7:$D$594,SMALL(IF('All Player Data Store'!$Y$7:$Y$594=AC188,ROW('All Player Data Store'!$Y$7:$Y$594)-ROW('All Player Data Store'!$Y$7)+1),COUNTIF($AC$8:AC188,AC188))),"")</f>
        <v>Par</v>
      </c>
      <c r="I188" s="69">
        <f t="array" ref="I188">IF(ISNUMBER(AC188),INDEX('All Player Data Store'!$E$7:$E$594,SMALL(IF('All Player Data Store'!$Y$7:$Y$594=AC188,ROW('All Player Data Store'!$Y$7:$Y$594)-ROW('All Player Data Store'!$Y$7)+1),COUNTIF($AC$8:AC188,AC188))),"")</f>
        <v>1</v>
      </c>
      <c r="J188" s="70" t="str">
        <f t="array" ref="J188">IF(ISNUMBER(AC188),INDEX('All Player Data Store'!$F$7:$F$594,SMALL(IF('All Player Data Store'!$Y$7:$Y$594=AC188,ROW('All Player Data Store'!$Y$7:$Y$594)-ROW('All Player Data Store'!$Y$7)+1),COUNTIF($AC$8:AC188,AC188))),"")</f>
        <v/>
      </c>
      <c r="K188" s="70">
        <f t="array" ref="K188">IF(ISNUMBER(AC188),INDEX('All Player Data Store'!$G$7:$G$594,SMALL(IF('All Player Data Store'!$Y$7:$Y$594=AC188,ROW('All Player Data Store'!$Y$7:$Y$594)-ROW('All Player Data Store'!$Y$7)+1),COUNTIF($AC$8:AC188,AC188))),"")</f>
        <v>1</v>
      </c>
      <c r="L188" s="70" t="str">
        <f t="array" ref="L188">IF(ISNUMBER(AC188),INDEX('All Player Data Store'!$H$7:$H$594,SMALL(IF('All Player Data Store'!$Y$7:$Y$594=AC188,ROW('All Player Data Store'!$Y$7:$Y$594)-ROW('All Player Data Store'!$Y$7)+1),COUNTIF($AC$8:AC188,AC188))),"")</f>
        <v/>
      </c>
      <c r="M188" s="72">
        <f t="array" ref="M188">IF(ISNUMBER(AC188),INDEX('All Player Data Store'!$I$7:$I$594,SMALL(IF('All Player Data Store'!$Y$7:$Y$594=AC188,ROW('All Player Data Store'!$Y$7:$Y$594)-ROW('All Player Data Store'!$Y$7)+1),COUNTIF($AC$8:AC188,AC188))),"")</f>
        <v>4</v>
      </c>
      <c r="N188" s="114" t="str">
        <f t="array" ref="N188">IF(ISNUMBER(AC188),INDEX('All Player Data Store'!$J$7:$J$594,SMALL(IF('All Player Data Store'!$Y$7:$Y$594=AC188,ROW('All Player Data Store'!$Y$7:$Y$594)-ROW('All Player Data Store'!$Y$7)+1),COUNTIF($AC$8:AC188,AC188))),"")</f>
        <v/>
      </c>
      <c r="O188" s="108" t="str">
        <f t="array" ref="O188">IF(ISNUMBER(AC188),INDEX('All Player Data Store'!$K$7:$K$594,SMALL(IF('All Player Data Store'!$Y$7:$Y$594=AC188,ROW('All Player Data Store'!$Y$7:$Y$594)-ROW('All Player Data Store'!$Y$7)+1),COUNTIF($AC$8:AC188,AC188))),"")</f>
        <v/>
      </c>
      <c r="P188" s="108" t="str">
        <f t="array" ref="P188">IF(ISNUMBER(AC188),INDEX('All Player Data Store'!$L$7:$L$594,SMALL(IF('All Player Data Store'!$Y$7:$Y$594=AC188,ROW('All Player Data Store'!$Y$7:$Y$594)-ROW('All Player Data Store'!$Y$7)+1),COUNTIF($AC$8:AC188,AC188))),"")</f>
        <v/>
      </c>
      <c r="Q188" s="108" t="str">
        <f t="array" ref="Q188">IF(ISNUMBER(AC188),INDEX('All Player Data Store'!$M$7:$M$594,SMALL(IF('All Player Data Store'!$Y$7:$Y$594=AC188,ROW('All Player Data Store'!$Y$7:$Y$594)-ROW('All Player Data Store'!$Y$7)+1),COUNTIF($AC$8:AC188,AC188))),"")</f>
        <v/>
      </c>
      <c r="R188" s="108" t="str">
        <f t="array" ref="R188">IF(ISNUMBER(AC188),INDEX('All Player Data Store'!$N$7:$N$594,SMALL(IF('All Player Data Store'!$Y$7:$Y$594=AC188,ROW('All Player Data Store'!$Y$7:$Y$594)-ROW('All Player Data Store'!$Y$7)+1),COUNTIF($AC$8:AC188,AC188))),"")</f>
        <v/>
      </c>
      <c r="S188" s="108" t="str">
        <f t="array" ref="S188">IF(ISNUMBER(AC188),INDEX('All Player Data Store'!$O$7:$O$594,SMALL(IF('All Player Data Store'!$Y$7:$Y$594=AC188,ROW('All Player Data Store'!$Y$7:$Y$594)-ROW('All Player Data Store'!$Y$7)+1),COUNTIF($AC$8:AC188,AC188))),"")</f>
        <v/>
      </c>
      <c r="T188" s="108" t="str">
        <f t="array" ref="T188">IF(ISNUMBER(AC188),INDEX('All Player Data Store'!$P$7:$P$594,SMALL(IF('All Player Data Store'!$Y$7:$Y$594=AC188,ROW('All Player Data Store'!$Y$7:$Y$594)-ROW('All Player Data Store'!$Y$7)+1),COUNTIF($AC$8:AC188,AC188))),"")</f>
        <v/>
      </c>
      <c r="U188" s="108" t="str">
        <f t="array" ref="U188">IF(ISNUMBER(AC188),INDEX('All Player Data Store'!$Q$7:$Q$594,SMALL(IF('All Player Data Store'!$Y$7:$Y$594=AC188,ROW('All Player Data Store'!$Y$7:$Y$594)-ROW('All Player Data Store'!$Y$7)+1),COUNTIF($AC$8:AC188,AC188))),"")</f>
        <v/>
      </c>
      <c r="V188" s="108" t="str">
        <f t="array" ref="V188">IF(ISNUMBER(AC188),INDEX('All Player Data Store'!$R$7:$R$594,SMALL(IF('All Player Data Store'!$Y$7:$Y$594=AC188,ROW('All Player Data Store'!$Y$7:$Y$594)-ROW('All Player Data Store'!$Y$7)+1),COUNTIF($AC$8:AC188,AC188))),"")</f>
        <v/>
      </c>
      <c r="W188" s="108" t="str">
        <f t="array" ref="W188">IF(ISNUMBER(AC188),INDEX('All Player Data Store'!$S$7:$S$594,SMALL(IF('All Player Data Store'!$Y$7:$Y$594=AC188,ROW('All Player Data Store'!$Y$7:$Y$594)-ROW('All Player Data Store'!$Y$7)+1),COUNTIF($AC$8:AC188,AC188))),"")</f>
        <v/>
      </c>
      <c r="X188" s="108" t="str">
        <f t="array" ref="X188">IF(ISNUMBER(AC188),INDEX('All Player Data Store'!$T$7:$T$594,SMALL(IF('All Player Data Store'!$Y$7:$Y$594=AC188,ROW('All Player Data Store'!$Y$7:$Y$594)-ROW('All Player Data Store'!$Y$7)+1),COUNTIF($AC$8:AC188,AC188))),"")</f>
        <v/>
      </c>
      <c r="Y188" s="108" t="str">
        <f t="array" ref="Y188">IF(ISNUMBER(AC188),INDEX('All Player Data Store'!$U$7:$U$594,SMALL(IF('All Player Data Store'!$Y$7:$Y$594=AC188,ROW('All Player Data Store'!$Y$7:$Y$594)-ROW('All Player Data Store'!$Y$7)+1),COUNTIF($AC$8:AC188,AC188))),"")</f>
        <v/>
      </c>
      <c r="Z188" s="108">
        <f t="array" ref="Z188">IF(ISNUMBER(AC188),INDEX('All Player Data Store'!$V$7:$V$594,SMALL(IF('All Player Data Store'!$Y$7:$Y$594=AC188,ROW('All Player Data Store'!$Y$7:$Y$594)-ROW('All Player Data Store'!$Y$7)+1),COUNTIF($AC$8:AC188,AC188))),"")</f>
        <v>16.940000000000001</v>
      </c>
      <c r="AA188" s="112">
        <f t="array" ref="AA188">IF(ISNUMBER(AC188),INDEX('All Player Data Store'!$W$7:$W$594,SMALL(IF('All Player Data Store'!$Y$7:$Y$594=AC188,ROW('All Player Data Store'!$Y$7:$Y$594)-ROW('All Player Data Store'!$Y$7)+1),COUNTIF($AC$8:AC188,AC188))),"")</f>
        <v>1</v>
      </c>
      <c r="AB188" s="108">
        <f t="array" ref="AB188">IF(ISNUMBER(AC188),INDEX('All Player Data Store'!$X$7:$X$594,SMALL(IF('All Player Data Store'!$Y$7:$Y$594=AC188,ROW('All Player Data Store'!$Y$7:$Y$594)-ROW('All Player Data Store'!$Y$7)+1),COUNTIF($AC$8:AC188,AC188))),"")</f>
        <v>16.940000000000001</v>
      </c>
      <c r="AC188" s="115">
        <f>IF(ISERROR(IF(ISERROR(LARGE('All Player Data Store'!$Y$7:$Y$594,181)),"",(LARGE('All Player Data Store'!$Y$7:$Y$594,181)))),"",(IF(ISERROR(LARGE('All Player Data Store'!$Y$7:$Y$594,181)),"",(LARGE('All Player Data Store'!$Y$7:$Y$594,181)))))</f>
        <v>16.940000000000001</v>
      </c>
      <c r="AD188" s="106">
        <f t="shared" si="16"/>
        <v>3</v>
      </c>
      <c r="AE188" s="107" t="str">
        <f t="array" ref="AE188">IF(ISNUMBER(AC188),INDEX('All Player Data Store'!$J$8:$J$594,SMALL(IF('All Player Data Store'!$Y$7:$Y$594=AC188,ROW('All Player Data Store'!$Y$7:$Y$594)-ROW('All Player Data Store'!$Y$7)+1),COUNTIF($AC$8:AC188,AC188))),"")</f>
        <v/>
      </c>
      <c r="AF188" s="108" t="str">
        <f t="shared" si="3"/>
        <v/>
      </c>
      <c r="AG188" s="108" t="str">
        <f t="array" ref="AG188">IF(ISNUMBER(AC188),INDEX('All Player Data Store'!$K$8:$K$594,SMALL(IF('All Player Data Store'!$Y$7:$Y$594=AC188,ROW('All Player Data Store'!$Y$7:$Y$594)-ROW('All Player Data Store'!$Y$7)+1),COUNTIF($AC$8:AC188,AC188))),"")</f>
        <v/>
      </c>
      <c r="AH188" s="108" t="str">
        <f t="shared" si="4"/>
        <v/>
      </c>
      <c r="AI188" s="108" t="str">
        <f t="array" ref="AI188">IF(ISNUMBER(AC188),INDEX('All Player Data Store'!$L$8:$L$594,SMALL(IF('All Player Data Store'!$Y$7:$Y$594=AC188,ROW('All Player Data Store'!$Y$7:$Y$594)-ROW('All Player Data Store'!$Y$7)+1),COUNTIF($AC$8:AC188,AC188))),"")</f>
        <v/>
      </c>
      <c r="AJ188" s="108" t="str">
        <f t="shared" si="5"/>
        <v/>
      </c>
      <c r="AK188" s="108" t="str">
        <f t="array" ref="AK188">IF(ISNUMBER(AC188),INDEX('All Player Data Store'!$M$8:$M$594,SMALL(IF('All Player Data Store'!$Y$7:$Y$594=AC188,ROW('All Player Data Store'!$Y$7:$Y$594)-ROW('All Player Data Store'!$Y$7)+1),COUNTIF($AC$8:AC188,AC188))),"")</f>
        <v/>
      </c>
      <c r="AL188" s="108" t="str">
        <f t="shared" si="6"/>
        <v/>
      </c>
      <c r="AM188" s="108" t="str">
        <f t="array" ref="AM188">IF(ISNUMBER(AC188),INDEX('All Player Data Store'!$N$8:$N$594,SMALL(IF('All Player Data Store'!$Y$7:$Y$594=AC188,ROW('All Player Data Store'!$Y$7:$Y$594)-ROW('All Player Data Store'!$Y$7)+1),COUNTIF($AC$8:AC188,AC188))),"")</f>
        <v/>
      </c>
      <c r="AN188" s="108" t="str">
        <f t="shared" si="7"/>
        <v/>
      </c>
      <c r="AO188" s="108" t="str">
        <f t="array" ref="AO188">IF(ISNUMBER(AC188),INDEX('All Player Data Store'!$O$8:$O$594,SMALL(IF('All Player Data Store'!$Y$7:$Y$594=AC188,ROW('All Player Data Store'!$Y$7:$Y$594)-ROW('All Player Data Store'!$Y$7)+1),COUNTIF($AC$8:AC188,AC188))),"")</f>
        <v/>
      </c>
      <c r="AP188" s="108" t="str">
        <f t="shared" si="8"/>
        <v/>
      </c>
      <c r="AQ188" s="108" t="str">
        <f t="array" ref="AQ188">IF(ISNUMBER(AC188),INDEX('All Player Data Store'!$P$8:$P$594,SMALL(IF('All Player Data Store'!$Y$7:$Y$594=AC188,ROW('All Player Data Store'!$Y$7:$Y$594)-ROW('All Player Data Store'!$Y$7)+1),COUNTIF($AC$8:AC188,AC188))),"")</f>
        <v/>
      </c>
      <c r="AR188" s="108" t="str">
        <f t="shared" si="9"/>
        <v/>
      </c>
      <c r="AS188" s="108" t="str">
        <f t="array" ref="AS188">IF(ISNUMBER(AC188),INDEX('All Player Data Store'!$Q$8:$Q$594,SMALL(IF('All Player Data Store'!$Y$7:$Y$594=AC188,ROW('All Player Data Store'!$Y$7:$Y$594)-ROW('All Player Data Store'!$Y$7)+1),COUNTIF($AC$8:AC188,AC188))),"")</f>
        <v/>
      </c>
      <c r="AT188" s="108" t="str">
        <f t="shared" si="10"/>
        <v/>
      </c>
      <c r="AU188" s="108" t="str">
        <f t="array" ref="AU188">IF(ISNUMBER(AC188),INDEX('All Player Data Store'!$R$8:$R$594,SMALL(IF('All Player Data Store'!$Y$7:$Y$594=AC188,ROW('All Player Data Store'!$Y$7:$Y$594)-ROW('All Player Data Store'!$Y$7)+1),COUNTIF($AC$8:AC188,AC188))),"")</f>
        <v/>
      </c>
      <c r="AV188" s="108" t="str">
        <f t="shared" si="11"/>
        <v/>
      </c>
      <c r="AW188" s="108" t="str">
        <f t="array" ref="AW188">IF(ISNUMBER(AC188),INDEX('All Player Data Store'!$S$8:$S$594,SMALL(IF('All Player Data Store'!$Y$7:$Y$594=AC188,ROW('All Player Data Store'!$Y$7:$Y$594)-ROW('All Player Data Store'!$Y$7)+1),COUNTIF($AC$8:AC188,AC188))),"")</f>
        <v/>
      </c>
      <c r="AX188" s="108" t="str">
        <f t="shared" si="12"/>
        <v/>
      </c>
      <c r="AY188" s="108" t="str">
        <f t="array" ref="AY188">IF(ISNUMBER(AC188),INDEX('All Player Data Store'!$T$8:$T$594,SMALL(IF('All Player Data Store'!$Y$7:$Y$594=AC188,ROW('All Player Data Store'!$Y$7:$Y$594)-ROW('All Player Data Store'!$Y$7)+1),COUNTIF($AC$8:AC188,AC188))),"")</f>
        <v/>
      </c>
      <c r="AZ188" s="108" t="str">
        <f t="shared" si="13"/>
        <v/>
      </c>
      <c r="BA188" s="108" t="str">
        <f t="array" ref="BA188">IF(ISNUMBER(AC188),INDEX('All Player Data Store'!$U$8:$U$594,SMALL(IF('All Player Data Store'!$Y$7:$Y$594=AC188,ROW('All Player Data Store'!$Y$7:$Y$594)-ROW('All Player Data Store'!$Y$7)+1),COUNTIF($AC$8:AC188,AC188))),"")</f>
        <v/>
      </c>
      <c r="BB188" s="108" t="str">
        <f t="shared" si="14"/>
        <v/>
      </c>
      <c r="BC188" s="108" t="str">
        <f t="array" ref="BC188">IF(ISNUMBER(AC188),INDEX('All Player Data Store'!$V$8:$V$594,SMALL(IF('All Player Data Store'!$Y$7:$Y$594=AC188,ROW('All Player Data Store'!$Y$7:$Y$594)-ROW('All Player Data Store'!$Y$7)+1),COUNTIF($AC$8:AC188,AC188))),"")</f>
        <v>0*4(1)</v>
      </c>
      <c r="BD188" s="108">
        <f t="shared" si="15"/>
        <v>16.940000000000001</v>
      </c>
      <c r="BE188" s="1"/>
    </row>
    <row r="189" spans="2:57" ht="12" customHeight="1" x14ac:dyDescent="0.2">
      <c r="B189" s="98" t="str">
        <f t="shared" si="0"/>
        <v>N</v>
      </c>
      <c r="C189" s="1"/>
      <c r="D189" s="68">
        <f t="shared" si="1"/>
        <v>182</v>
      </c>
      <c r="E189" s="2"/>
      <c r="F189" s="78">
        <v>182</v>
      </c>
      <c r="G189" s="110" t="str">
        <f t="array" ref="G189">IF(ISNUMBER(AC189),INDEX('All Player Data Store'!$C$7:$C$594,SMALL(IF('All Player Data Store'!$Y$7:$Y$594=AC189,ROW('All Player Data Store'!$Y$7:$Y$594)-ROW('All Player Data Store'!$Y$7)+1),COUNTIF($AC$8:AC189,AC189))),"")</f>
        <v>Matt Payne</v>
      </c>
      <c r="H189" s="68" t="str">
        <f t="array" ref="H189">IF(ISNUMBER(AC189),INDEX('All Player Data Store'!$D$7:$D$594,SMALL(IF('All Player Data Store'!$Y$7:$Y$594=AC189,ROW('All Player Data Store'!$Y$7:$Y$594)-ROW('All Player Data Store'!$Y$7)+1),COUNTIF($AC$8:AC189,AC189))),"")</f>
        <v>Dor</v>
      </c>
      <c r="I189" s="69">
        <f t="array" ref="I189">IF(ISNUMBER(AC189),INDEX('All Player Data Store'!$E$7:$E$594,SMALL(IF('All Player Data Store'!$Y$7:$Y$594=AC189,ROW('All Player Data Store'!$Y$7:$Y$594)-ROW('All Player Data Store'!$Y$7)+1),COUNTIF($AC$8:AC189,AC189))),"")</f>
        <v>1</v>
      </c>
      <c r="J189" s="70" t="str">
        <f t="array" ref="J189">IF(ISNUMBER(AC189),INDEX('All Player Data Store'!$F$7:$F$594,SMALL(IF('All Player Data Store'!$Y$7:$Y$594=AC189,ROW('All Player Data Store'!$Y$7:$Y$594)-ROW('All Player Data Store'!$Y$7)+1),COUNTIF($AC$8:AC189,AC189))),"")</f>
        <v/>
      </c>
      <c r="K189" s="70">
        <f t="array" ref="K189">IF(ISNUMBER(AC189),INDEX('All Player Data Store'!$G$7:$G$594,SMALL(IF('All Player Data Store'!$Y$7:$Y$594=AC189,ROW('All Player Data Store'!$Y$7:$Y$594)-ROW('All Player Data Store'!$Y$7)+1),COUNTIF($AC$8:AC189,AC189))),"")</f>
        <v>1</v>
      </c>
      <c r="L189" s="70" t="str">
        <f t="array" ref="L189">IF(ISNUMBER(AC189),INDEX('All Player Data Store'!$H$7:$H$594,SMALL(IF('All Player Data Store'!$Y$7:$Y$594=AC189,ROW('All Player Data Store'!$Y$7:$Y$594)-ROW('All Player Data Store'!$Y$7)+1),COUNTIF($AC$8:AC189,AC189))),"")</f>
        <v/>
      </c>
      <c r="M189" s="72">
        <f t="array" ref="M189">IF(ISNUMBER(AC189),INDEX('All Player Data Store'!$I$7:$I$594,SMALL(IF('All Player Data Store'!$Y$7:$Y$594=AC189,ROW('All Player Data Store'!$Y$7:$Y$594)-ROW('All Player Data Store'!$Y$7)+1),COUNTIF($AC$8:AC189,AC189))),"")</f>
        <v>4</v>
      </c>
      <c r="N189" s="114" t="str">
        <f t="array" ref="N189">IF(ISNUMBER(AC189),INDEX('All Player Data Store'!$J$7:$J$594,SMALL(IF('All Player Data Store'!$Y$7:$Y$594=AC189,ROW('All Player Data Store'!$Y$7:$Y$594)-ROW('All Player Data Store'!$Y$7)+1),COUNTIF($AC$8:AC189,AC189))),"")</f>
        <v/>
      </c>
      <c r="O189" s="108" t="str">
        <f t="array" ref="O189">IF(ISNUMBER(AC189),INDEX('All Player Data Store'!$K$7:$K$594,SMALL(IF('All Player Data Store'!$Y$7:$Y$594=AC189,ROW('All Player Data Store'!$Y$7:$Y$594)-ROW('All Player Data Store'!$Y$7)+1),COUNTIF($AC$8:AC189,AC189))),"")</f>
        <v/>
      </c>
      <c r="P189" s="108" t="str">
        <f t="array" ref="P189">IF(ISNUMBER(AC189),INDEX('All Player Data Store'!$L$7:$L$594,SMALL(IF('All Player Data Store'!$Y$7:$Y$594=AC189,ROW('All Player Data Store'!$Y$7:$Y$594)-ROW('All Player Data Store'!$Y$7)+1),COUNTIF($AC$8:AC189,AC189))),"")</f>
        <v/>
      </c>
      <c r="Q189" s="108" t="str">
        <f t="array" ref="Q189">IF(ISNUMBER(AC189),INDEX('All Player Data Store'!$M$7:$M$594,SMALL(IF('All Player Data Store'!$Y$7:$Y$594=AC189,ROW('All Player Data Store'!$Y$7:$Y$594)-ROW('All Player Data Store'!$Y$7)+1),COUNTIF($AC$8:AC189,AC189))),"")</f>
        <v/>
      </c>
      <c r="R189" s="108" t="str">
        <f t="array" ref="R189">IF(ISNUMBER(AC189),INDEX('All Player Data Store'!$N$7:$N$594,SMALL(IF('All Player Data Store'!$Y$7:$Y$594=AC189,ROW('All Player Data Store'!$Y$7:$Y$594)-ROW('All Player Data Store'!$Y$7)+1),COUNTIF($AC$8:AC189,AC189))),"")</f>
        <v/>
      </c>
      <c r="S189" s="108" t="str">
        <f t="array" ref="S189">IF(ISNUMBER(AC189),INDEX('All Player Data Store'!$O$7:$O$594,SMALL(IF('All Player Data Store'!$Y$7:$Y$594=AC189,ROW('All Player Data Store'!$Y$7:$Y$594)-ROW('All Player Data Store'!$Y$7)+1),COUNTIF($AC$8:AC189,AC189))),"")</f>
        <v/>
      </c>
      <c r="T189" s="108" t="str">
        <f t="array" ref="T189">IF(ISNUMBER(AC189),INDEX('All Player Data Store'!$P$7:$P$594,SMALL(IF('All Player Data Store'!$Y$7:$Y$594=AC189,ROW('All Player Data Store'!$Y$7:$Y$594)-ROW('All Player Data Store'!$Y$7)+1),COUNTIF($AC$8:AC189,AC189))),"")</f>
        <v/>
      </c>
      <c r="U189" s="108" t="str">
        <f t="array" ref="U189">IF(ISNUMBER(AC189),INDEX('All Player Data Store'!$Q$7:$Q$594,SMALL(IF('All Player Data Store'!$Y$7:$Y$594=AC189,ROW('All Player Data Store'!$Y$7:$Y$594)-ROW('All Player Data Store'!$Y$7)+1),COUNTIF($AC$8:AC189,AC189))),"")</f>
        <v/>
      </c>
      <c r="V189" s="108" t="str">
        <f t="array" ref="V189">IF(ISNUMBER(AC189),INDEX('All Player Data Store'!$R$7:$R$594,SMALL(IF('All Player Data Store'!$Y$7:$Y$594=AC189,ROW('All Player Data Store'!$Y$7:$Y$594)-ROW('All Player Data Store'!$Y$7)+1),COUNTIF($AC$8:AC189,AC189))),"")</f>
        <v/>
      </c>
      <c r="W189" s="108" t="str">
        <f t="array" ref="W189">IF(ISNUMBER(AC189),INDEX('All Player Data Store'!$S$7:$S$594,SMALL(IF('All Player Data Store'!$Y$7:$Y$594=AC189,ROW('All Player Data Store'!$Y$7:$Y$594)-ROW('All Player Data Store'!$Y$7)+1),COUNTIF($AC$8:AC189,AC189))),"")</f>
        <v/>
      </c>
      <c r="X189" s="108" t="str">
        <f t="array" ref="X189">IF(ISNUMBER(AC189),INDEX('All Player Data Store'!$T$7:$T$594,SMALL(IF('All Player Data Store'!$Y$7:$Y$594=AC189,ROW('All Player Data Store'!$Y$7:$Y$594)-ROW('All Player Data Store'!$Y$7)+1),COUNTIF($AC$8:AC189,AC189))),"")</f>
        <v/>
      </c>
      <c r="Y189" s="108" t="str">
        <f t="array" ref="Y189">IF(ISNUMBER(AC189),INDEX('All Player Data Store'!$U$7:$U$594,SMALL(IF('All Player Data Store'!$Y$7:$Y$594=AC189,ROW('All Player Data Store'!$Y$7:$Y$594)-ROW('All Player Data Store'!$Y$7)+1),COUNTIF($AC$8:AC189,AC189))),"")</f>
        <v/>
      </c>
      <c r="Z189" s="108">
        <f t="array" ref="Z189">IF(ISNUMBER(AC189),INDEX('All Player Data Store'!$V$7:$V$594,SMALL(IF('All Player Data Store'!$Y$7:$Y$594=AC189,ROW('All Player Data Store'!$Y$7:$Y$594)-ROW('All Player Data Store'!$Y$7)+1),COUNTIF($AC$8:AC189,AC189))),"")</f>
        <v>16.829999999999998</v>
      </c>
      <c r="AA189" s="112">
        <f t="array" ref="AA189">IF(ISNUMBER(AC189),INDEX('All Player Data Store'!$W$7:$W$594,SMALL(IF('All Player Data Store'!$Y$7:$Y$594=AC189,ROW('All Player Data Store'!$Y$7:$Y$594)-ROW('All Player Data Store'!$Y$7)+1),COUNTIF($AC$8:AC189,AC189))),"")</f>
        <v>1</v>
      </c>
      <c r="AB189" s="108">
        <f t="array" ref="AB189">IF(ISNUMBER(AC189),INDEX('All Player Data Store'!$X$7:$X$594,SMALL(IF('All Player Data Store'!$Y$7:$Y$594=AC189,ROW('All Player Data Store'!$Y$7:$Y$594)-ROW('All Player Data Store'!$Y$7)+1),COUNTIF($AC$8:AC189,AC189))),"")</f>
        <v>16.829999999999998</v>
      </c>
      <c r="AC189" s="115">
        <f>IF(ISERROR(IF(ISERROR(LARGE('All Player Data Store'!$Y$7:$Y$594,182)),"",(LARGE('All Player Data Store'!$Y$7:$Y$594,182)))),"",(IF(ISERROR(LARGE('All Player Data Store'!$Y$7:$Y$594,182)),"",(LARGE('All Player Data Store'!$Y$7:$Y$594,182)))))</f>
        <v>16.829999999999998</v>
      </c>
      <c r="AD189" s="106">
        <f t="shared" si="16"/>
        <v>3</v>
      </c>
      <c r="AE189" s="107" t="str">
        <f t="array" ref="AE189">IF(ISNUMBER(AC189),INDEX('All Player Data Store'!$J$8:$J$594,SMALL(IF('All Player Data Store'!$Y$7:$Y$594=AC189,ROW('All Player Data Store'!$Y$7:$Y$594)-ROW('All Player Data Store'!$Y$7)+1),COUNTIF($AC$8:AC189,AC189))),"")</f>
        <v/>
      </c>
      <c r="AF189" s="108" t="str">
        <f t="shared" si="3"/>
        <v/>
      </c>
      <c r="AG189" s="108" t="str">
        <f t="array" ref="AG189">IF(ISNUMBER(AC189),INDEX('All Player Data Store'!$K$8:$K$594,SMALL(IF('All Player Data Store'!$Y$7:$Y$594=AC189,ROW('All Player Data Store'!$Y$7:$Y$594)-ROW('All Player Data Store'!$Y$7)+1),COUNTIF($AC$8:AC189,AC189))),"")</f>
        <v/>
      </c>
      <c r="AH189" s="108" t="str">
        <f t="shared" si="4"/>
        <v/>
      </c>
      <c r="AI189" s="108" t="str">
        <f t="array" ref="AI189">IF(ISNUMBER(AC189),INDEX('All Player Data Store'!$L$8:$L$594,SMALL(IF('All Player Data Store'!$Y$7:$Y$594=AC189,ROW('All Player Data Store'!$Y$7:$Y$594)-ROW('All Player Data Store'!$Y$7)+1),COUNTIF($AC$8:AC189,AC189))),"")</f>
        <v/>
      </c>
      <c r="AJ189" s="108" t="str">
        <f t="shared" si="5"/>
        <v/>
      </c>
      <c r="AK189" s="108" t="str">
        <f t="array" ref="AK189">IF(ISNUMBER(AC189),INDEX('All Player Data Store'!$M$8:$M$594,SMALL(IF('All Player Data Store'!$Y$7:$Y$594=AC189,ROW('All Player Data Store'!$Y$7:$Y$594)-ROW('All Player Data Store'!$Y$7)+1),COUNTIF($AC$8:AC189,AC189))),"")</f>
        <v/>
      </c>
      <c r="AL189" s="108" t="str">
        <f t="shared" si="6"/>
        <v/>
      </c>
      <c r="AM189" s="108" t="str">
        <f t="array" ref="AM189">IF(ISNUMBER(AC189),INDEX('All Player Data Store'!$N$8:$N$594,SMALL(IF('All Player Data Store'!$Y$7:$Y$594=AC189,ROW('All Player Data Store'!$Y$7:$Y$594)-ROW('All Player Data Store'!$Y$7)+1),COUNTIF($AC$8:AC189,AC189))),"")</f>
        <v/>
      </c>
      <c r="AN189" s="108" t="str">
        <f t="shared" si="7"/>
        <v/>
      </c>
      <c r="AO189" s="108" t="str">
        <f t="array" ref="AO189">IF(ISNUMBER(AC189),INDEX('All Player Data Store'!$O$8:$O$594,SMALL(IF('All Player Data Store'!$Y$7:$Y$594=AC189,ROW('All Player Data Store'!$Y$7:$Y$594)-ROW('All Player Data Store'!$Y$7)+1),COUNTIF($AC$8:AC189,AC189))),"")</f>
        <v/>
      </c>
      <c r="AP189" s="108" t="str">
        <f t="shared" si="8"/>
        <v/>
      </c>
      <c r="AQ189" s="108" t="str">
        <f t="array" ref="AQ189">IF(ISNUMBER(AC189),INDEX('All Player Data Store'!$P$8:$P$594,SMALL(IF('All Player Data Store'!$Y$7:$Y$594=AC189,ROW('All Player Data Store'!$Y$7:$Y$594)-ROW('All Player Data Store'!$Y$7)+1),COUNTIF($AC$8:AC189,AC189))),"")</f>
        <v/>
      </c>
      <c r="AR189" s="108" t="str">
        <f t="shared" si="9"/>
        <v/>
      </c>
      <c r="AS189" s="108" t="str">
        <f t="array" ref="AS189">IF(ISNUMBER(AC189),INDEX('All Player Data Store'!$Q$8:$Q$594,SMALL(IF('All Player Data Store'!$Y$7:$Y$594=AC189,ROW('All Player Data Store'!$Y$7:$Y$594)-ROW('All Player Data Store'!$Y$7)+1),COUNTIF($AC$8:AC189,AC189))),"")</f>
        <v/>
      </c>
      <c r="AT189" s="108" t="str">
        <f t="shared" si="10"/>
        <v/>
      </c>
      <c r="AU189" s="108" t="str">
        <f t="array" ref="AU189">IF(ISNUMBER(AC189),INDEX('All Player Data Store'!$R$8:$R$594,SMALL(IF('All Player Data Store'!$Y$7:$Y$594=AC189,ROW('All Player Data Store'!$Y$7:$Y$594)-ROW('All Player Data Store'!$Y$7)+1),COUNTIF($AC$8:AC189,AC189))),"")</f>
        <v/>
      </c>
      <c r="AV189" s="108" t="str">
        <f t="shared" si="11"/>
        <v/>
      </c>
      <c r="AW189" s="108" t="str">
        <f t="array" ref="AW189">IF(ISNUMBER(AC189),INDEX('All Player Data Store'!$S$8:$S$594,SMALL(IF('All Player Data Store'!$Y$7:$Y$594=AC189,ROW('All Player Data Store'!$Y$7:$Y$594)-ROW('All Player Data Store'!$Y$7)+1),COUNTIF($AC$8:AC189,AC189))),"")</f>
        <v/>
      </c>
      <c r="AX189" s="108" t="str">
        <f t="shared" si="12"/>
        <v/>
      </c>
      <c r="AY189" s="108" t="str">
        <f t="array" ref="AY189">IF(ISNUMBER(AC189),INDEX('All Player Data Store'!$T$8:$T$594,SMALL(IF('All Player Data Store'!$Y$7:$Y$594=AC189,ROW('All Player Data Store'!$Y$7:$Y$594)-ROW('All Player Data Store'!$Y$7)+1),COUNTIF($AC$8:AC189,AC189))),"")</f>
        <v/>
      </c>
      <c r="AZ189" s="108" t="str">
        <f t="shared" si="13"/>
        <v/>
      </c>
      <c r="BA189" s="108" t="str">
        <f t="array" ref="BA189">IF(ISNUMBER(AC189),INDEX('All Player Data Store'!$U$8:$U$594,SMALL(IF('All Player Data Store'!$Y$7:$Y$594=AC189,ROW('All Player Data Store'!$Y$7:$Y$594)-ROW('All Player Data Store'!$Y$7)+1),COUNTIF($AC$8:AC189,AC189))),"")</f>
        <v/>
      </c>
      <c r="BB189" s="108" t="str">
        <f t="shared" si="14"/>
        <v/>
      </c>
      <c r="BC189" s="108" t="str">
        <f t="array" ref="BC189">IF(ISNUMBER(AC189),INDEX('All Player Data Store'!$V$8:$V$594,SMALL(IF('All Player Data Store'!$Y$7:$Y$594=AC189,ROW('All Player Data Store'!$Y$7:$Y$594)-ROW('All Player Data Store'!$Y$7)+1),COUNTIF($AC$8:AC189,AC189))),"")</f>
        <v>0*4(1)</v>
      </c>
      <c r="BD189" s="108">
        <f t="shared" si="15"/>
        <v>16.829999999999998</v>
      </c>
      <c r="BE189" s="1"/>
    </row>
    <row r="190" spans="2:57" ht="12" customHeight="1" x14ac:dyDescent="0.2">
      <c r="B190" s="98" t="str">
        <f t="shared" si="0"/>
        <v>N</v>
      </c>
      <c r="C190" s="1"/>
      <c r="D190" s="68">
        <f t="shared" si="1"/>
        <v>183</v>
      </c>
      <c r="E190" s="2"/>
      <c r="F190" s="78">
        <v>183</v>
      </c>
      <c r="G190" s="110" t="str">
        <f t="array" ref="G190">IF(ISNUMBER(AC190),INDEX('All Player Data Store'!$C$7:$C$594,SMALL(IF('All Player Data Store'!$Y$7:$Y$594=AC190,ROW('All Player Data Store'!$Y$7:$Y$594)-ROW('All Player Data Store'!$Y$7)+1),COUNTIF($AC$8:AC190,AC190))),"")</f>
        <v>Dave Roberts</v>
      </c>
      <c r="H190" s="68" t="str">
        <f t="array" ref="H190">IF(ISNUMBER(AC190),INDEX('All Player Data Store'!$D$7:$D$594,SMALL(IF('All Player Data Store'!$Y$7:$Y$594=AC190,ROW('All Player Data Store'!$Y$7:$Y$594)-ROW('All Player Data Store'!$Y$7)+1),COUNTIF($AC$8:AC190,AC190))),"")</f>
        <v>Aly</v>
      </c>
      <c r="I190" s="69">
        <f t="array" ref="I190">IF(ISNUMBER(AC190),INDEX('All Player Data Store'!$E$7:$E$594,SMALL(IF('All Player Data Store'!$Y$7:$Y$594=AC190,ROW('All Player Data Store'!$Y$7:$Y$594)-ROW('All Player Data Store'!$Y$7)+1),COUNTIF($AC$8:AC190,AC190))),"")</f>
        <v>2</v>
      </c>
      <c r="J190" s="70" t="str">
        <f t="array" ref="J190">IF(ISNUMBER(AC190),INDEX('All Player Data Store'!$F$7:$F$594,SMALL(IF('All Player Data Store'!$Y$7:$Y$594=AC190,ROW('All Player Data Store'!$Y$7:$Y$594)-ROW('All Player Data Store'!$Y$7)+1),COUNTIF($AC$8:AC190,AC190))),"")</f>
        <v/>
      </c>
      <c r="K190" s="70">
        <f t="array" ref="K190">IF(ISNUMBER(AC190),INDEX('All Player Data Store'!$G$7:$G$594,SMALL(IF('All Player Data Store'!$Y$7:$Y$594=AC190,ROW('All Player Data Store'!$Y$7:$Y$594)-ROW('All Player Data Store'!$Y$7)+1),COUNTIF($AC$8:AC190,AC190))),"")</f>
        <v>2</v>
      </c>
      <c r="L190" s="70" t="str">
        <f t="array" ref="L190">IF(ISNUMBER(AC190),INDEX('All Player Data Store'!$H$7:$H$594,SMALL(IF('All Player Data Store'!$Y$7:$Y$594=AC190,ROW('All Player Data Store'!$Y$7:$Y$594)-ROW('All Player Data Store'!$Y$7)+1),COUNTIF($AC$8:AC190,AC190))),"")</f>
        <v/>
      </c>
      <c r="M190" s="72">
        <f t="array" ref="M190">IF(ISNUMBER(AC190),INDEX('All Player Data Store'!$I$7:$I$594,SMALL(IF('All Player Data Store'!$Y$7:$Y$594=AC190,ROW('All Player Data Store'!$Y$7:$Y$594)-ROW('All Player Data Store'!$Y$7)+1),COUNTIF($AC$8:AC190,AC190))),"")</f>
        <v>8</v>
      </c>
      <c r="N190" s="114">
        <f t="array" ref="N190">IF(ISNUMBER(AC190),INDEX('All Player Data Store'!$J$7:$J$594,SMALL(IF('All Player Data Store'!$Y$7:$Y$594=AC190,ROW('All Player Data Store'!$Y$7:$Y$594)-ROW('All Player Data Store'!$Y$7)+1),COUNTIF($AC$8:AC190,AC190))),"")</f>
        <v>15.28</v>
      </c>
      <c r="O190" s="108" t="str">
        <f t="array" ref="O190">IF(ISNUMBER(AC190),INDEX('All Player Data Store'!$K$7:$K$594,SMALL(IF('All Player Data Store'!$Y$7:$Y$594=AC190,ROW('All Player Data Store'!$Y$7:$Y$594)-ROW('All Player Data Store'!$Y$7)+1),COUNTIF($AC$8:AC190,AC190))),"")</f>
        <v/>
      </c>
      <c r="P190" s="108" t="str">
        <f t="array" ref="P190">IF(ISNUMBER(AC190),INDEX('All Player Data Store'!$L$7:$L$594,SMALL(IF('All Player Data Store'!$Y$7:$Y$594=AC190,ROW('All Player Data Store'!$Y$7:$Y$594)-ROW('All Player Data Store'!$Y$7)+1),COUNTIF($AC$8:AC190,AC190))),"")</f>
        <v/>
      </c>
      <c r="Q190" s="108">
        <f t="array" ref="Q190">IF(ISNUMBER(AC190),INDEX('All Player Data Store'!$M$7:$M$594,SMALL(IF('All Player Data Store'!$Y$7:$Y$594=AC190,ROW('All Player Data Store'!$Y$7:$Y$594)-ROW('All Player Data Store'!$Y$7)+1),COUNTIF($AC$8:AC190,AC190))),"")</f>
        <v>16.46</v>
      </c>
      <c r="R190" s="108" t="str">
        <f t="array" ref="R190">IF(ISNUMBER(AC190),INDEX('All Player Data Store'!$N$7:$N$594,SMALL(IF('All Player Data Store'!$Y$7:$Y$594=AC190,ROW('All Player Data Store'!$Y$7:$Y$594)-ROW('All Player Data Store'!$Y$7)+1),COUNTIF($AC$8:AC190,AC190))),"")</f>
        <v/>
      </c>
      <c r="S190" s="108" t="str">
        <f t="array" ref="S190">IF(ISNUMBER(AC190),INDEX('All Player Data Store'!$O$7:$O$594,SMALL(IF('All Player Data Store'!$Y$7:$Y$594=AC190,ROW('All Player Data Store'!$Y$7:$Y$594)-ROW('All Player Data Store'!$Y$7)+1),COUNTIF($AC$8:AC190,AC190))),"")</f>
        <v/>
      </c>
      <c r="T190" s="108" t="str">
        <f t="array" ref="T190">IF(ISNUMBER(AC190),INDEX('All Player Data Store'!$P$7:$P$594,SMALL(IF('All Player Data Store'!$Y$7:$Y$594=AC190,ROW('All Player Data Store'!$Y$7:$Y$594)-ROW('All Player Data Store'!$Y$7)+1),COUNTIF($AC$8:AC190,AC190))),"")</f>
        <v/>
      </c>
      <c r="U190" s="108" t="str">
        <f t="array" ref="U190">IF(ISNUMBER(AC190),INDEX('All Player Data Store'!$Q$7:$Q$594,SMALL(IF('All Player Data Store'!$Y$7:$Y$594=AC190,ROW('All Player Data Store'!$Y$7:$Y$594)-ROW('All Player Data Store'!$Y$7)+1),COUNTIF($AC$8:AC190,AC190))),"")</f>
        <v/>
      </c>
      <c r="V190" s="108" t="str">
        <f t="array" ref="V190">IF(ISNUMBER(AC190),INDEX('All Player Data Store'!$R$7:$R$594,SMALL(IF('All Player Data Store'!$Y$7:$Y$594=AC190,ROW('All Player Data Store'!$Y$7:$Y$594)-ROW('All Player Data Store'!$Y$7)+1),COUNTIF($AC$8:AC190,AC190))),"")</f>
        <v/>
      </c>
      <c r="W190" s="108" t="str">
        <f t="array" ref="W190">IF(ISNUMBER(AC190),INDEX('All Player Data Store'!$S$7:$S$594,SMALL(IF('All Player Data Store'!$Y$7:$Y$594=AC190,ROW('All Player Data Store'!$Y$7:$Y$594)-ROW('All Player Data Store'!$Y$7)+1),COUNTIF($AC$8:AC190,AC190))),"")</f>
        <v/>
      </c>
      <c r="X190" s="108" t="str">
        <f t="array" ref="X190">IF(ISNUMBER(AC190),INDEX('All Player Data Store'!$T$7:$T$594,SMALL(IF('All Player Data Store'!$Y$7:$Y$594=AC190,ROW('All Player Data Store'!$Y$7:$Y$594)-ROW('All Player Data Store'!$Y$7)+1),COUNTIF($AC$8:AC190,AC190))),"")</f>
        <v/>
      </c>
      <c r="Y190" s="108" t="str">
        <f t="array" ref="Y190">IF(ISNUMBER(AC190),INDEX('All Player Data Store'!$U$7:$U$594,SMALL(IF('All Player Data Store'!$Y$7:$Y$594=AC190,ROW('All Player Data Store'!$Y$7:$Y$594)-ROW('All Player Data Store'!$Y$7)+1),COUNTIF($AC$8:AC190,AC190))),"")</f>
        <v/>
      </c>
      <c r="Z190" s="108" t="str">
        <f t="array" ref="Z190">IF(ISNUMBER(AC190),INDEX('All Player Data Store'!$V$7:$V$594,SMALL(IF('All Player Data Store'!$Y$7:$Y$594=AC190,ROW('All Player Data Store'!$Y$7:$Y$594)-ROW('All Player Data Store'!$Y$7)+1),COUNTIF($AC$8:AC190,AC190))),"")</f>
        <v/>
      </c>
      <c r="AA190" s="112" t="str">
        <f t="array" ref="AA190">IF(ISNUMBER(AC190),INDEX('All Player Data Store'!$W$7:$W$594,SMALL(IF('All Player Data Store'!$Y$7:$Y$594=AC190,ROW('All Player Data Store'!$Y$7:$Y$594)-ROW('All Player Data Store'!$Y$7)+1),COUNTIF($AC$8:AC190,AC190))),"")</f>
        <v/>
      </c>
      <c r="AB190" s="108">
        <f t="array" ref="AB190">IF(ISNUMBER(AC190),INDEX('All Player Data Store'!$X$7:$X$594,SMALL(IF('All Player Data Store'!$Y$7:$Y$594=AC190,ROW('All Player Data Store'!$Y$7:$Y$594)-ROW('All Player Data Store'!$Y$7)+1),COUNTIF($AC$8:AC190,AC190))),"")</f>
        <v>15.870000000000001</v>
      </c>
      <c r="AC190" s="115">
        <f>IF(ISERROR(IF(ISERROR(LARGE('All Player Data Store'!$Y$7:$Y$594,183)),"",(LARGE('All Player Data Store'!$Y$7:$Y$594,183)))),"",(IF(ISERROR(LARGE('All Player Data Store'!$Y$7:$Y$594,183)),"",(LARGE('All Player Data Store'!$Y$7:$Y$594,183)))))</f>
        <v>15.870000000000001</v>
      </c>
      <c r="AD190" s="106">
        <f t="shared" si="16"/>
        <v>3</v>
      </c>
      <c r="AE190" s="107" t="str">
        <f t="array" ref="AE190">IF(ISNUMBER(AC190),INDEX('All Player Data Store'!$J$8:$J$594,SMALL(IF('All Player Data Store'!$Y$7:$Y$594=AC190,ROW('All Player Data Store'!$Y$7:$Y$594)-ROW('All Player Data Store'!$Y$7)+1),COUNTIF($AC$8:AC190,AC190))),"")</f>
        <v>0*4</v>
      </c>
      <c r="AF190" s="108">
        <f t="shared" si="3"/>
        <v>15.28</v>
      </c>
      <c r="AG190" s="108" t="str">
        <f t="array" ref="AG190">IF(ISNUMBER(AC190),INDEX('All Player Data Store'!$K$8:$K$594,SMALL(IF('All Player Data Store'!$Y$7:$Y$594=AC190,ROW('All Player Data Store'!$Y$7:$Y$594)-ROW('All Player Data Store'!$Y$7)+1),COUNTIF($AC$8:AC190,AC190))),"")</f>
        <v/>
      </c>
      <c r="AH190" s="108" t="str">
        <f t="shared" si="4"/>
        <v/>
      </c>
      <c r="AI190" s="108" t="str">
        <f t="array" ref="AI190">IF(ISNUMBER(AC190),INDEX('All Player Data Store'!$L$8:$L$594,SMALL(IF('All Player Data Store'!$Y$7:$Y$594=AC190,ROW('All Player Data Store'!$Y$7:$Y$594)-ROW('All Player Data Store'!$Y$7)+1),COUNTIF($AC$8:AC190,AC190))),"")</f>
        <v/>
      </c>
      <c r="AJ190" s="108" t="str">
        <f t="shared" si="5"/>
        <v/>
      </c>
      <c r="AK190" s="108" t="str">
        <f t="array" ref="AK190">IF(ISNUMBER(AC190),INDEX('All Player Data Store'!$M$8:$M$594,SMALL(IF('All Player Data Store'!$Y$7:$Y$594=AC190,ROW('All Player Data Store'!$Y$7:$Y$594)-ROW('All Player Data Store'!$Y$7)+1),COUNTIF($AC$8:AC190,AC190))),"")</f>
        <v>0*4</v>
      </c>
      <c r="AL190" s="108">
        <f t="shared" si="6"/>
        <v>16.46</v>
      </c>
      <c r="AM190" s="108" t="str">
        <f t="array" ref="AM190">IF(ISNUMBER(AC190),INDEX('All Player Data Store'!$N$8:$N$594,SMALL(IF('All Player Data Store'!$Y$7:$Y$594=AC190,ROW('All Player Data Store'!$Y$7:$Y$594)-ROW('All Player Data Store'!$Y$7)+1),COUNTIF($AC$8:AC190,AC190))),"")</f>
        <v/>
      </c>
      <c r="AN190" s="108" t="str">
        <f t="shared" si="7"/>
        <v/>
      </c>
      <c r="AO190" s="108" t="str">
        <f t="array" ref="AO190">IF(ISNUMBER(AC190),INDEX('All Player Data Store'!$O$8:$O$594,SMALL(IF('All Player Data Store'!$Y$7:$Y$594=AC190,ROW('All Player Data Store'!$Y$7:$Y$594)-ROW('All Player Data Store'!$Y$7)+1),COUNTIF($AC$8:AC190,AC190))),"")</f>
        <v/>
      </c>
      <c r="AP190" s="108" t="str">
        <f t="shared" si="8"/>
        <v/>
      </c>
      <c r="AQ190" s="108" t="str">
        <f t="array" ref="AQ190">IF(ISNUMBER(AC190),INDEX('All Player Data Store'!$P$8:$P$594,SMALL(IF('All Player Data Store'!$Y$7:$Y$594=AC190,ROW('All Player Data Store'!$Y$7:$Y$594)-ROW('All Player Data Store'!$Y$7)+1),COUNTIF($AC$8:AC190,AC190))),"")</f>
        <v/>
      </c>
      <c r="AR190" s="108" t="str">
        <f t="shared" si="9"/>
        <v/>
      </c>
      <c r="AS190" s="108" t="str">
        <f t="array" ref="AS190">IF(ISNUMBER(AC190),INDEX('All Player Data Store'!$Q$8:$Q$594,SMALL(IF('All Player Data Store'!$Y$7:$Y$594=AC190,ROW('All Player Data Store'!$Y$7:$Y$594)-ROW('All Player Data Store'!$Y$7)+1),COUNTIF($AC$8:AC190,AC190))),"")</f>
        <v/>
      </c>
      <c r="AT190" s="108" t="str">
        <f t="shared" si="10"/>
        <v/>
      </c>
      <c r="AU190" s="108" t="str">
        <f t="array" ref="AU190">IF(ISNUMBER(AC190),INDEX('All Player Data Store'!$R$8:$R$594,SMALL(IF('All Player Data Store'!$Y$7:$Y$594=AC190,ROW('All Player Data Store'!$Y$7:$Y$594)-ROW('All Player Data Store'!$Y$7)+1),COUNTIF($AC$8:AC190,AC190))),"")</f>
        <v/>
      </c>
      <c r="AV190" s="108" t="str">
        <f t="shared" si="11"/>
        <v/>
      </c>
      <c r="AW190" s="108" t="str">
        <f t="array" ref="AW190">IF(ISNUMBER(AC190),INDEX('All Player Data Store'!$S$8:$S$594,SMALL(IF('All Player Data Store'!$Y$7:$Y$594=AC190,ROW('All Player Data Store'!$Y$7:$Y$594)-ROW('All Player Data Store'!$Y$7)+1),COUNTIF($AC$8:AC190,AC190))),"")</f>
        <v/>
      </c>
      <c r="AX190" s="108" t="str">
        <f t="shared" si="12"/>
        <v/>
      </c>
      <c r="AY190" s="108" t="str">
        <f t="array" ref="AY190">IF(ISNUMBER(AC190),INDEX('All Player Data Store'!$T$8:$T$594,SMALL(IF('All Player Data Store'!$Y$7:$Y$594=AC190,ROW('All Player Data Store'!$Y$7:$Y$594)-ROW('All Player Data Store'!$Y$7)+1),COUNTIF($AC$8:AC190,AC190))),"")</f>
        <v/>
      </c>
      <c r="AZ190" s="108" t="str">
        <f t="shared" si="13"/>
        <v/>
      </c>
      <c r="BA190" s="108" t="str">
        <f t="array" ref="BA190">IF(ISNUMBER(AC190),INDEX('All Player Data Store'!$U$8:$U$594,SMALL(IF('All Player Data Store'!$Y$7:$Y$594=AC190,ROW('All Player Data Store'!$Y$7:$Y$594)-ROW('All Player Data Store'!$Y$7)+1),COUNTIF($AC$8:AC190,AC190))),"")</f>
        <v/>
      </c>
      <c r="BB190" s="108" t="str">
        <f t="shared" si="14"/>
        <v/>
      </c>
      <c r="BC190" s="108" t="str">
        <f t="array" ref="BC190">IF(ISNUMBER(AC190),INDEX('All Player Data Store'!$V$8:$V$594,SMALL(IF('All Player Data Store'!$Y$7:$Y$594=AC190,ROW('All Player Data Store'!$Y$7:$Y$594)-ROW('All Player Data Store'!$Y$7)+1),COUNTIF($AC$8:AC190,AC190))),"")</f>
        <v/>
      </c>
      <c r="BD190" s="108" t="str">
        <f t="shared" si="15"/>
        <v/>
      </c>
      <c r="BE190" s="1"/>
    </row>
    <row r="191" spans="2:57" ht="12" customHeight="1" x14ac:dyDescent="0.2">
      <c r="B191" s="98" t="str">
        <f t="shared" si="0"/>
        <v>N</v>
      </c>
      <c r="C191" s="1"/>
      <c r="D191" s="68">
        <f t="shared" si="1"/>
        <v>184</v>
      </c>
      <c r="E191" s="2"/>
      <c r="F191" s="78">
        <v>184</v>
      </c>
      <c r="G191" s="110" t="str">
        <f t="array" ref="G191">IF(ISNUMBER(AC191),INDEX('All Player Data Store'!$C$7:$C$594,SMALL(IF('All Player Data Store'!$Y$7:$Y$594=AC191,ROW('All Player Data Store'!$Y$7:$Y$594)-ROW('All Player Data Store'!$Y$7)+1),COUNTIF($AC$8:AC191,AC191))),"")</f>
        <v>John Lamb</v>
      </c>
      <c r="H191" s="68" t="str">
        <f t="array" ref="H191">IF(ISNUMBER(AC191),INDEX('All Player Data Store'!$D$7:$D$594,SMALL(IF('All Player Data Store'!$Y$7:$Y$594=AC191,ROW('All Player Data Store'!$Y$7:$Y$594)-ROW('All Player Data Store'!$Y$7)+1),COUNTIF($AC$8:AC191,AC191))),"")</f>
        <v>Chr</v>
      </c>
      <c r="I191" s="69">
        <f t="array" ref="I191">IF(ISNUMBER(AC191),INDEX('All Player Data Store'!$E$7:$E$594,SMALL(IF('All Player Data Store'!$Y$7:$Y$594=AC191,ROW('All Player Data Store'!$Y$7:$Y$594)-ROW('All Player Data Store'!$Y$7)+1),COUNTIF($AC$8:AC191,AC191))),"")</f>
        <v>1</v>
      </c>
      <c r="J191" s="70" t="str">
        <f t="array" ref="J191">IF(ISNUMBER(AC191),INDEX('All Player Data Store'!$F$7:$F$594,SMALL(IF('All Player Data Store'!$Y$7:$Y$594=AC191,ROW('All Player Data Store'!$Y$7:$Y$594)-ROW('All Player Data Store'!$Y$7)+1),COUNTIF($AC$8:AC191,AC191))),"")</f>
        <v/>
      </c>
      <c r="K191" s="70">
        <f t="array" ref="K191">IF(ISNUMBER(AC191),INDEX('All Player Data Store'!$G$7:$G$594,SMALL(IF('All Player Data Store'!$Y$7:$Y$594=AC191,ROW('All Player Data Store'!$Y$7:$Y$594)-ROW('All Player Data Store'!$Y$7)+1),COUNTIF($AC$8:AC191,AC191))),"")</f>
        <v>1</v>
      </c>
      <c r="L191" s="70" t="str">
        <f t="array" ref="L191">IF(ISNUMBER(AC191),INDEX('All Player Data Store'!$H$7:$H$594,SMALL(IF('All Player Data Store'!$Y$7:$Y$594=AC191,ROW('All Player Data Store'!$Y$7:$Y$594)-ROW('All Player Data Store'!$Y$7)+1),COUNTIF($AC$8:AC191,AC191))),"")</f>
        <v/>
      </c>
      <c r="M191" s="72">
        <f t="array" ref="M191">IF(ISNUMBER(AC191),INDEX('All Player Data Store'!$I$7:$I$594,SMALL(IF('All Player Data Store'!$Y$7:$Y$594=AC191,ROW('All Player Data Store'!$Y$7:$Y$594)-ROW('All Player Data Store'!$Y$7)+1),COUNTIF($AC$8:AC191,AC191))),"")</f>
        <v>4</v>
      </c>
      <c r="N191" s="114" t="str">
        <f t="array" ref="N191">IF(ISNUMBER(AC191),INDEX('All Player Data Store'!$J$7:$J$594,SMALL(IF('All Player Data Store'!$Y$7:$Y$594=AC191,ROW('All Player Data Store'!$Y$7:$Y$594)-ROW('All Player Data Store'!$Y$7)+1),COUNTIF($AC$8:AC191,AC191))),"")</f>
        <v/>
      </c>
      <c r="O191" s="108" t="str">
        <f t="array" ref="O191">IF(ISNUMBER(AC191),INDEX('All Player Data Store'!$K$7:$K$594,SMALL(IF('All Player Data Store'!$Y$7:$Y$594=AC191,ROW('All Player Data Store'!$Y$7:$Y$594)-ROW('All Player Data Store'!$Y$7)+1),COUNTIF($AC$8:AC191,AC191))),"")</f>
        <v/>
      </c>
      <c r="P191" s="108" t="str">
        <f t="array" ref="P191">IF(ISNUMBER(AC191),INDEX('All Player Data Store'!$L$7:$L$594,SMALL(IF('All Player Data Store'!$Y$7:$Y$594=AC191,ROW('All Player Data Store'!$Y$7:$Y$594)-ROW('All Player Data Store'!$Y$7)+1),COUNTIF($AC$8:AC191,AC191))),"")</f>
        <v/>
      </c>
      <c r="Q191" s="108" t="str">
        <f t="array" ref="Q191">IF(ISNUMBER(AC191),INDEX('All Player Data Store'!$M$7:$M$594,SMALL(IF('All Player Data Store'!$Y$7:$Y$594=AC191,ROW('All Player Data Store'!$Y$7:$Y$594)-ROW('All Player Data Store'!$Y$7)+1),COUNTIF($AC$8:AC191,AC191))),"")</f>
        <v/>
      </c>
      <c r="R191" s="108" t="str">
        <f t="array" ref="R191">IF(ISNUMBER(AC191),INDEX('All Player Data Store'!$N$7:$N$594,SMALL(IF('All Player Data Store'!$Y$7:$Y$594=AC191,ROW('All Player Data Store'!$Y$7:$Y$594)-ROW('All Player Data Store'!$Y$7)+1),COUNTIF($AC$8:AC191,AC191))),"")</f>
        <v/>
      </c>
      <c r="S191" s="108" t="str">
        <f t="array" ref="S191">IF(ISNUMBER(AC191),INDEX('All Player Data Store'!$O$7:$O$594,SMALL(IF('All Player Data Store'!$Y$7:$Y$594=AC191,ROW('All Player Data Store'!$Y$7:$Y$594)-ROW('All Player Data Store'!$Y$7)+1),COUNTIF($AC$8:AC191,AC191))),"")</f>
        <v/>
      </c>
      <c r="T191" s="108" t="str">
        <f t="array" ref="T191">IF(ISNUMBER(AC191),INDEX('All Player Data Store'!$P$7:$P$594,SMALL(IF('All Player Data Store'!$Y$7:$Y$594=AC191,ROW('All Player Data Store'!$Y$7:$Y$594)-ROW('All Player Data Store'!$Y$7)+1),COUNTIF($AC$8:AC191,AC191))),"")</f>
        <v/>
      </c>
      <c r="U191" s="108" t="str">
        <f t="array" ref="U191">IF(ISNUMBER(AC191),INDEX('All Player Data Store'!$Q$7:$Q$594,SMALL(IF('All Player Data Store'!$Y$7:$Y$594=AC191,ROW('All Player Data Store'!$Y$7:$Y$594)-ROW('All Player Data Store'!$Y$7)+1),COUNTIF($AC$8:AC191,AC191))),"")</f>
        <v/>
      </c>
      <c r="V191" s="108" t="str">
        <f t="array" ref="V191">IF(ISNUMBER(AC191),INDEX('All Player Data Store'!$R$7:$R$594,SMALL(IF('All Player Data Store'!$Y$7:$Y$594=AC191,ROW('All Player Data Store'!$Y$7:$Y$594)-ROW('All Player Data Store'!$Y$7)+1),COUNTIF($AC$8:AC191,AC191))),"")</f>
        <v/>
      </c>
      <c r="W191" s="108" t="str">
        <f t="array" ref="W191">IF(ISNUMBER(AC191),INDEX('All Player Data Store'!$S$7:$S$594,SMALL(IF('All Player Data Store'!$Y$7:$Y$594=AC191,ROW('All Player Data Store'!$Y$7:$Y$594)-ROW('All Player Data Store'!$Y$7)+1),COUNTIF($AC$8:AC191,AC191))),"")</f>
        <v/>
      </c>
      <c r="X191" s="108">
        <f t="array" ref="X191">IF(ISNUMBER(AC191),INDEX('All Player Data Store'!$T$7:$T$594,SMALL(IF('All Player Data Store'!$Y$7:$Y$594=AC191,ROW('All Player Data Store'!$Y$7:$Y$594)-ROW('All Player Data Store'!$Y$7)+1),COUNTIF($AC$8:AC191,AC191))),"")</f>
        <v>15.54</v>
      </c>
      <c r="Y191" s="108" t="str">
        <f t="array" ref="Y191">IF(ISNUMBER(AC191),INDEX('All Player Data Store'!$U$7:$U$594,SMALL(IF('All Player Data Store'!$Y$7:$Y$594=AC191,ROW('All Player Data Store'!$Y$7:$Y$594)-ROW('All Player Data Store'!$Y$7)+1),COUNTIF($AC$8:AC191,AC191))),"")</f>
        <v/>
      </c>
      <c r="Z191" s="108" t="str">
        <f t="array" ref="Z191">IF(ISNUMBER(AC191),INDEX('All Player Data Store'!$V$7:$V$594,SMALL(IF('All Player Data Store'!$Y$7:$Y$594=AC191,ROW('All Player Data Store'!$Y$7:$Y$594)-ROW('All Player Data Store'!$Y$7)+1),COUNTIF($AC$8:AC191,AC191))),"")</f>
        <v/>
      </c>
      <c r="AA191" s="112" t="str">
        <f t="array" ref="AA191">IF(ISNUMBER(AC191),INDEX('All Player Data Store'!$W$7:$W$594,SMALL(IF('All Player Data Store'!$Y$7:$Y$594=AC191,ROW('All Player Data Store'!$Y$7:$Y$594)-ROW('All Player Data Store'!$Y$7)+1),COUNTIF($AC$8:AC191,AC191))),"")</f>
        <v/>
      </c>
      <c r="AB191" s="108">
        <f t="array" ref="AB191">IF(ISNUMBER(AC191),INDEX('All Player Data Store'!$X$7:$X$594,SMALL(IF('All Player Data Store'!$Y$7:$Y$594=AC191,ROW('All Player Data Store'!$Y$7:$Y$594)-ROW('All Player Data Store'!$Y$7)+1),COUNTIF($AC$8:AC191,AC191))),"")</f>
        <v>15.54</v>
      </c>
      <c r="AC191" s="115">
        <f>IF(ISERROR(IF(ISERROR(LARGE('All Player Data Store'!$Y$7:$Y$594,184)),"",(LARGE('All Player Data Store'!$Y$7:$Y$594,184)))),"",(IF(ISERROR(LARGE('All Player Data Store'!$Y$7:$Y$594,184)),"",(LARGE('All Player Data Store'!$Y$7:$Y$594,184)))))</f>
        <v>15.54</v>
      </c>
      <c r="AD191" s="106">
        <f t="shared" si="16"/>
        <v>3</v>
      </c>
      <c r="AE191" s="107" t="str">
        <f t="array" ref="AE191">IF(ISNUMBER(AC191),INDEX('All Player Data Store'!$J$8:$J$594,SMALL(IF('All Player Data Store'!$Y$7:$Y$594=AC191,ROW('All Player Data Store'!$Y$7:$Y$594)-ROW('All Player Data Store'!$Y$7)+1),COUNTIF($AC$8:AC191,AC191))),"")</f>
        <v/>
      </c>
      <c r="AF191" s="108" t="str">
        <f t="shared" si="3"/>
        <v/>
      </c>
      <c r="AG191" s="108" t="str">
        <f t="array" ref="AG191">IF(ISNUMBER(AC191),INDEX('All Player Data Store'!$K$8:$K$594,SMALL(IF('All Player Data Store'!$Y$7:$Y$594=AC191,ROW('All Player Data Store'!$Y$7:$Y$594)-ROW('All Player Data Store'!$Y$7)+1),COUNTIF($AC$8:AC191,AC191))),"")</f>
        <v/>
      </c>
      <c r="AH191" s="108" t="str">
        <f t="shared" si="4"/>
        <v/>
      </c>
      <c r="AI191" s="108" t="str">
        <f t="array" ref="AI191">IF(ISNUMBER(AC191),INDEX('All Player Data Store'!$L$8:$L$594,SMALL(IF('All Player Data Store'!$Y$7:$Y$594=AC191,ROW('All Player Data Store'!$Y$7:$Y$594)-ROW('All Player Data Store'!$Y$7)+1),COUNTIF($AC$8:AC191,AC191))),"")</f>
        <v/>
      </c>
      <c r="AJ191" s="108" t="str">
        <f t="shared" si="5"/>
        <v/>
      </c>
      <c r="AK191" s="108" t="str">
        <f t="array" ref="AK191">IF(ISNUMBER(AC191),INDEX('All Player Data Store'!$M$8:$M$594,SMALL(IF('All Player Data Store'!$Y$7:$Y$594=AC191,ROW('All Player Data Store'!$Y$7:$Y$594)-ROW('All Player Data Store'!$Y$7)+1),COUNTIF($AC$8:AC191,AC191))),"")</f>
        <v/>
      </c>
      <c r="AL191" s="108" t="str">
        <f t="shared" si="6"/>
        <v/>
      </c>
      <c r="AM191" s="108" t="str">
        <f t="array" ref="AM191">IF(ISNUMBER(AC191),INDEX('All Player Data Store'!$N$8:$N$594,SMALL(IF('All Player Data Store'!$Y$7:$Y$594=AC191,ROW('All Player Data Store'!$Y$7:$Y$594)-ROW('All Player Data Store'!$Y$7)+1),COUNTIF($AC$8:AC191,AC191))),"")</f>
        <v/>
      </c>
      <c r="AN191" s="108" t="str">
        <f t="shared" si="7"/>
        <v/>
      </c>
      <c r="AO191" s="108" t="str">
        <f t="array" ref="AO191">IF(ISNUMBER(AC191),INDEX('All Player Data Store'!$O$8:$O$594,SMALL(IF('All Player Data Store'!$Y$7:$Y$594=AC191,ROW('All Player Data Store'!$Y$7:$Y$594)-ROW('All Player Data Store'!$Y$7)+1),COUNTIF($AC$8:AC191,AC191))),"")</f>
        <v/>
      </c>
      <c r="AP191" s="108" t="str">
        <f t="shared" si="8"/>
        <v/>
      </c>
      <c r="AQ191" s="108" t="str">
        <f t="array" ref="AQ191">IF(ISNUMBER(AC191),INDEX('All Player Data Store'!$P$8:$P$594,SMALL(IF('All Player Data Store'!$Y$7:$Y$594=AC191,ROW('All Player Data Store'!$Y$7:$Y$594)-ROW('All Player Data Store'!$Y$7)+1),COUNTIF($AC$8:AC191,AC191))),"")</f>
        <v/>
      </c>
      <c r="AR191" s="108" t="str">
        <f t="shared" si="9"/>
        <v/>
      </c>
      <c r="AS191" s="108" t="str">
        <f t="array" ref="AS191">IF(ISNUMBER(AC191),INDEX('All Player Data Store'!$Q$8:$Q$594,SMALL(IF('All Player Data Store'!$Y$7:$Y$594=AC191,ROW('All Player Data Store'!$Y$7:$Y$594)-ROW('All Player Data Store'!$Y$7)+1),COUNTIF($AC$8:AC191,AC191))),"")</f>
        <v/>
      </c>
      <c r="AT191" s="108" t="str">
        <f t="shared" si="10"/>
        <v/>
      </c>
      <c r="AU191" s="108" t="str">
        <f t="array" ref="AU191">IF(ISNUMBER(AC191),INDEX('All Player Data Store'!$R$8:$R$594,SMALL(IF('All Player Data Store'!$Y$7:$Y$594=AC191,ROW('All Player Data Store'!$Y$7:$Y$594)-ROW('All Player Data Store'!$Y$7)+1),COUNTIF($AC$8:AC191,AC191))),"")</f>
        <v/>
      </c>
      <c r="AV191" s="108" t="str">
        <f t="shared" si="11"/>
        <v/>
      </c>
      <c r="AW191" s="108" t="str">
        <f t="array" ref="AW191">IF(ISNUMBER(AC191),INDEX('All Player Data Store'!$S$8:$S$594,SMALL(IF('All Player Data Store'!$Y$7:$Y$594=AC191,ROW('All Player Data Store'!$Y$7:$Y$594)-ROW('All Player Data Store'!$Y$7)+1),COUNTIF($AC$8:AC191,AC191))),"")</f>
        <v/>
      </c>
      <c r="AX191" s="108" t="str">
        <f t="shared" si="12"/>
        <v/>
      </c>
      <c r="AY191" s="108" t="str">
        <f t="array" ref="AY191">IF(ISNUMBER(AC191),INDEX('All Player Data Store'!$T$8:$T$594,SMALL(IF('All Player Data Store'!$Y$7:$Y$594=AC191,ROW('All Player Data Store'!$Y$7:$Y$594)-ROW('All Player Data Store'!$Y$7)+1),COUNTIF($AC$8:AC191,AC191))),"")</f>
        <v>0*4</v>
      </c>
      <c r="AZ191" s="108">
        <f t="shared" si="13"/>
        <v>15.54</v>
      </c>
      <c r="BA191" s="108" t="str">
        <f t="array" ref="BA191">IF(ISNUMBER(AC191),INDEX('All Player Data Store'!$U$8:$U$594,SMALL(IF('All Player Data Store'!$Y$7:$Y$594=AC191,ROW('All Player Data Store'!$Y$7:$Y$594)-ROW('All Player Data Store'!$Y$7)+1),COUNTIF($AC$8:AC191,AC191))),"")</f>
        <v/>
      </c>
      <c r="BB191" s="108" t="str">
        <f t="shared" si="14"/>
        <v/>
      </c>
      <c r="BC191" s="108" t="str">
        <f t="array" ref="BC191">IF(ISNUMBER(AC191),INDEX('All Player Data Store'!$V$8:$V$594,SMALL(IF('All Player Data Store'!$Y$7:$Y$594=AC191,ROW('All Player Data Store'!$Y$7:$Y$594)-ROW('All Player Data Store'!$Y$7)+1),COUNTIF($AC$8:AC191,AC191))),"")</f>
        <v/>
      </c>
      <c r="BD191" s="108" t="str">
        <f t="shared" si="15"/>
        <v/>
      </c>
      <c r="BE191" s="1"/>
    </row>
    <row r="192" spans="2:57" ht="12" customHeight="1" x14ac:dyDescent="0.2">
      <c r="B192" s="98" t="str">
        <f t="shared" si="0"/>
        <v>N</v>
      </c>
      <c r="C192" s="1"/>
      <c r="D192" s="68">
        <f t="shared" si="1"/>
        <v>185</v>
      </c>
      <c r="E192" s="2"/>
      <c r="F192" s="78">
        <v>185</v>
      </c>
      <c r="G192" s="110" t="str">
        <f t="array" ref="G192">IF(ISNUMBER(AC192),INDEX('All Player Data Store'!$C$7:$C$594,SMALL(IF('All Player Data Store'!$Y$7:$Y$594=AC192,ROW('All Player Data Store'!$Y$7:$Y$594)-ROW('All Player Data Store'!$Y$7)+1),COUNTIF($AC$8:AC192,AC192))),"")</f>
        <v>Jack Bellingham</v>
      </c>
      <c r="H192" s="68" t="str">
        <f t="array" ref="H192">IF(ISNUMBER(AC192),INDEX('All Player Data Store'!$D$7:$D$594,SMALL(IF('All Player Data Store'!$Y$7:$Y$594=AC192,ROW('All Player Data Store'!$Y$7:$Y$594)-ROW('All Player Data Store'!$Y$7)+1),COUNTIF($AC$8:AC192,AC192))),"")</f>
        <v>Wey</v>
      </c>
      <c r="I192" s="69">
        <f t="array" ref="I192">IF(ISNUMBER(AC192),INDEX('All Player Data Store'!$E$7:$E$594,SMALL(IF('All Player Data Store'!$Y$7:$Y$594=AC192,ROW('All Player Data Store'!$Y$7:$Y$594)-ROW('All Player Data Store'!$Y$7)+1),COUNTIF($AC$8:AC192,AC192))),"")</f>
        <v>3</v>
      </c>
      <c r="J192" s="70" t="str">
        <f t="array" ref="J192">IF(ISNUMBER(AC192),INDEX('All Player Data Store'!$F$7:$F$594,SMALL(IF('All Player Data Store'!$Y$7:$Y$594=AC192,ROW('All Player Data Store'!$Y$7:$Y$594)-ROW('All Player Data Store'!$Y$7)+1),COUNTIF($AC$8:AC192,AC192))),"")</f>
        <v/>
      </c>
      <c r="K192" s="70">
        <f t="array" ref="K192">IF(ISNUMBER(AC192),INDEX('All Player Data Store'!$G$7:$G$594,SMALL(IF('All Player Data Store'!$Y$7:$Y$594=AC192,ROW('All Player Data Store'!$Y$7:$Y$594)-ROW('All Player Data Store'!$Y$7)+1),COUNTIF($AC$8:AC192,AC192))),"")</f>
        <v>3</v>
      </c>
      <c r="L192" s="70">
        <f t="array" ref="L192">IF(ISNUMBER(AC192),INDEX('All Player Data Store'!$H$7:$H$594,SMALL(IF('All Player Data Store'!$Y$7:$Y$594=AC192,ROW('All Player Data Store'!$Y$7:$Y$594)-ROW('All Player Data Store'!$Y$7)+1),COUNTIF($AC$8:AC192,AC192))),"")</f>
        <v>2</v>
      </c>
      <c r="M192" s="72">
        <f t="array" ref="M192">IF(ISNUMBER(AC192),INDEX('All Player Data Store'!$I$7:$I$594,SMALL(IF('All Player Data Store'!$Y$7:$Y$594=AC192,ROW('All Player Data Store'!$Y$7:$Y$594)-ROW('All Player Data Store'!$Y$7)+1),COUNTIF($AC$8:AC192,AC192))),"")</f>
        <v>12</v>
      </c>
      <c r="N192" s="114" t="str">
        <f t="array" ref="N192">IF(ISNUMBER(AC192),INDEX('All Player Data Store'!$J$7:$J$594,SMALL(IF('All Player Data Store'!$Y$7:$Y$594=AC192,ROW('All Player Data Store'!$Y$7:$Y$594)-ROW('All Player Data Store'!$Y$7)+1),COUNTIF($AC$8:AC192,AC192))),"")</f>
        <v/>
      </c>
      <c r="O192" s="108">
        <f t="array" ref="O192">IF(ISNUMBER(AC192),INDEX('All Player Data Store'!$K$7:$K$594,SMALL(IF('All Player Data Store'!$Y$7:$Y$594=AC192,ROW('All Player Data Store'!$Y$7:$Y$594)-ROW('All Player Data Store'!$Y$7)+1),COUNTIF($AC$8:AC192,AC192))),"")</f>
        <v>15.43</v>
      </c>
      <c r="P192" s="108" t="str">
        <f t="array" ref="P192">IF(ISNUMBER(AC192),INDEX('All Player Data Store'!$L$7:$L$594,SMALL(IF('All Player Data Store'!$Y$7:$Y$594=AC192,ROW('All Player Data Store'!$Y$7:$Y$594)-ROW('All Player Data Store'!$Y$7)+1),COUNTIF($AC$8:AC192,AC192))),"")</f>
        <v/>
      </c>
      <c r="Q192" s="108" t="str">
        <f t="array" ref="Q192">IF(ISNUMBER(AC192),INDEX('All Player Data Store'!$M$7:$M$594,SMALL(IF('All Player Data Store'!$Y$7:$Y$594=AC192,ROW('All Player Data Store'!$Y$7:$Y$594)-ROW('All Player Data Store'!$Y$7)+1),COUNTIF($AC$8:AC192,AC192))),"")</f>
        <v/>
      </c>
      <c r="R192" s="108" t="str">
        <f t="array" ref="R192">IF(ISNUMBER(AC192),INDEX('All Player Data Store'!$N$7:$N$594,SMALL(IF('All Player Data Store'!$Y$7:$Y$594=AC192,ROW('All Player Data Store'!$Y$7:$Y$594)-ROW('All Player Data Store'!$Y$7)+1),COUNTIF($AC$8:AC192,AC192))),"")</f>
        <v/>
      </c>
      <c r="S192" s="108" t="str">
        <f t="array" ref="S192">IF(ISNUMBER(AC192),INDEX('All Player Data Store'!$O$7:$O$594,SMALL(IF('All Player Data Store'!$Y$7:$Y$594=AC192,ROW('All Player Data Store'!$Y$7:$Y$594)-ROW('All Player Data Store'!$Y$7)+1),COUNTIF($AC$8:AC192,AC192))),"")</f>
        <v/>
      </c>
      <c r="T192" s="108" t="str">
        <f t="array" ref="T192">IF(ISNUMBER(AC192),INDEX('All Player Data Store'!$P$7:$P$594,SMALL(IF('All Player Data Store'!$Y$7:$Y$594=AC192,ROW('All Player Data Store'!$Y$7:$Y$594)-ROW('All Player Data Store'!$Y$7)+1),COUNTIF($AC$8:AC192,AC192))),"")</f>
        <v/>
      </c>
      <c r="U192" s="108" t="str">
        <f t="array" ref="U192">IF(ISNUMBER(AC192),INDEX('All Player Data Store'!$Q$7:$Q$594,SMALL(IF('All Player Data Store'!$Y$7:$Y$594=AC192,ROW('All Player Data Store'!$Y$7:$Y$594)-ROW('All Player Data Store'!$Y$7)+1),COUNTIF($AC$8:AC192,AC192))),"")</f>
        <v/>
      </c>
      <c r="V192" s="108" t="str">
        <f t="array" ref="V192">IF(ISNUMBER(AC192),INDEX('All Player Data Store'!$R$7:$R$594,SMALL(IF('All Player Data Store'!$Y$7:$Y$594=AC192,ROW('All Player Data Store'!$Y$7:$Y$594)-ROW('All Player Data Store'!$Y$7)+1),COUNTIF($AC$8:AC192,AC192))),"")</f>
        <v/>
      </c>
      <c r="W192" s="108" t="str">
        <f t="array" ref="W192">IF(ISNUMBER(AC192),INDEX('All Player Data Store'!$S$7:$S$594,SMALL(IF('All Player Data Store'!$Y$7:$Y$594=AC192,ROW('All Player Data Store'!$Y$7:$Y$594)-ROW('All Player Data Store'!$Y$7)+1),COUNTIF($AC$8:AC192,AC192))),"")</f>
        <v/>
      </c>
      <c r="X192" s="108">
        <f t="array" ref="X192">IF(ISNUMBER(AC192),INDEX('All Player Data Store'!$T$7:$T$594,SMALL(IF('All Player Data Store'!$Y$7:$Y$594=AC192,ROW('All Player Data Store'!$Y$7:$Y$594)-ROW('All Player Data Store'!$Y$7)+1),COUNTIF($AC$8:AC192,AC192))),"")</f>
        <v>14.67</v>
      </c>
      <c r="Y192" s="108" t="str">
        <f t="array" ref="Y192">IF(ISNUMBER(AC192),INDEX('All Player Data Store'!$U$7:$U$594,SMALL(IF('All Player Data Store'!$Y$7:$Y$594=AC192,ROW('All Player Data Store'!$Y$7:$Y$594)-ROW('All Player Data Store'!$Y$7)+1),COUNTIF($AC$8:AC192,AC192))),"")</f>
        <v/>
      </c>
      <c r="Z192" s="108">
        <f t="array" ref="Z192">IF(ISNUMBER(AC192),INDEX('All Player Data Store'!$V$7:$V$594,SMALL(IF('All Player Data Store'!$Y$7:$Y$594=AC192,ROW('All Player Data Store'!$Y$7:$Y$594)-ROW('All Player Data Store'!$Y$7)+1),COUNTIF($AC$8:AC192,AC192))),"")</f>
        <v>15.7</v>
      </c>
      <c r="AA192" s="112" t="str">
        <f t="array" ref="AA192">IF(ISNUMBER(AC192),INDEX('All Player Data Store'!$W$7:$W$594,SMALL(IF('All Player Data Store'!$Y$7:$Y$594=AC192,ROW('All Player Data Store'!$Y$7:$Y$594)-ROW('All Player Data Store'!$Y$7)+1),COUNTIF($AC$8:AC192,AC192))),"")</f>
        <v/>
      </c>
      <c r="AB192" s="108">
        <f t="array" ref="AB192">IF(ISNUMBER(AC192),INDEX('All Player Data Store'!$X$7:$X$594,SMALL(IF('All Player Data Store'!$Y$7:$Y$594=AC192,ROW('All Player Data Store'!$Y$7:$Y$594)-ROW('All Player Data Store'!$Y$7)+1),COUNTIF($AC$8:AC192,AC192))),"")</f>
        <v>15.266666666666666</v>
      </c>
      <c r="AC192" s="115">
        <f>IF(ISERROR(IF(ISERROR(LARGE('All Player Data Store'!$Y$7:$Y$594,185)),"",(LARGE('All Player Data Store'!$Y$7:$Y$594,185)))),"",(IF(ISERROR(LARGE('All Player Data Store'!$Y$7:$Y$594,185)),"",(LARGE('All Player Data Store'!$Y$7:$Y$594,185)))))</f>
        <v>15.266666666666666</v>
      </c>
      <c r="AD192" s="106">
        <f t="shared" si="16"/>
        <v>3</v>
      </c>
      <c r="AE192" s="107" t="str">
        <f t="array" ref="AE192">IF(ISNUMBER(AC192),INDEX('All Player Data Store'!$J$8:$J$594,SMALL(IF('All Player Data Store'!$Y$7:$Y$594=AC192,ROW('All Player Data Store'!$Y$7:$Y$594)-ROW('All Player Data Store'!$Y$7)+1),COUNTIF($AC$8:AC192,AC192))),"")</f>
        <v/>
      </c>
      <c r="AF192" s="108" t="str">
        <f t="shared" si="3"/>
        <v/>
      </c>
      <c r="AG192" s="108" t="str">
        <f t="array" ref="AG192">IF(ISNUMBER(AC192),INDEX('All Player Data Store'!$K$8:$K$594,SMALL(IF('All Player Data Store'!$Y$7:$Y$594=AC192,ROW('All Player Data Store'!$Y$7:$Y$594)-ROW('All Player Data Store'!$Y$7)+1),COUNTIF($AC$8:AC192,AC192))),"")</f>
        <v>2*4</v>
      </c>
      <c r="AH192" s="108">
        <f t="shared" si="4"/>
        <v>15.43</v>
      </c>
      <c r="AI192" s="108" t="str">
        <f t="array" ref="AI192">IF(ISNUMBER(AC192),INDEX('All Player Data Store'!$L$8:$L$594,SMALL(IF('All Player Data Store'!$Y$7:$Y$594=AC192,ROW('All Player Data Store'!$Y$7:$Y$594)-ROW('All Player Data Store'!$Y$7)+1),COUNTIF($AC$8:AC192,AC192))),"")</f>
        <v/>
      </c>
      <c r="AJ192" s="108" t="str">
        <f t="shared" si="5"/>
        <v/>
      </c>
      <c r="AK192" s="108" t="str">
        <f t="array" ref="AK192">IF(ISNUMBER(AC192),INDEX('All Player Data Store'!$M$8:$M$594,SMALL(IF('All Player Data Store'!$Y$7:$Y$594=AC192,ROW('All Player Data Store'!$Y$7:$Y$594)-ROW('All Player Data Store'!$Y$7)+1),COUNTIF($AC$8:AC192,AC192))),"")</f>
        <v/>
      </c>
      <c r="AL192" s="108" t="str">
        <f t="shared" si="6"/>
        <v/>
      </c>
      <c r="AM192" s="108" t="str">
        <f t="array" ref="AM192">IF(ISNUMBER(AC192),INDEX('All Player Data Store'!$N$8:$N$594,SMALL(IF('All Player Data Store'!$Y$7:$Y$594=AC192,ROW('All Player Data Store'!$Y$7:$Y$594)-ROW('All Player Data Store'!$Y$7)+1),COUNTIF($AC$8:AC192,AC192))),"")</f>
        <v/>
      </c>
      <c r="AN192" s="108" t="str">
        <f t="shared" si="7"/>
        <v/>
      </c>
      <c r="AO192" s="108" t="str">
        <f t="array" ref="AO192">IF(ISNUMBER(AC192),INDEX('All Player Data Store'!$O$8:$O$594,SMALL(IF('All Player Data Store'!$Y$7:$Y$594=AC192,ROW('All Player Data Store'!$Y$7:$Y$594)-ROW('All Player Data Store'!$Y$7)+1),COUNTIF($AC$8:AC192,AC192))),"")</f>
        <v/>
      </c>
      <c r="AP192" s="108" t="str">
        <f t="shared" si="8"/>
        <v/>
      </c>
      <c r="AQ192" s="108" t="str">
        <f t="array" ref="AQ192">IF(ISNUMBER(AC192),INDEX('All Player Data Store'!$P$8:$P$594,SMALL(IF('All Player Data Store'!$Y$7:$Y$594=AC192,ROW('All Player Data Store'!$Y$7:$Y$594)-ROW('All Player Data Store'!$Y$7)+1),COUNTIF($AC$8:AC192,AC192))),"")</f>
        <v/>
      </c>
      <c r="AR192" s="108" t="str">
        <f t="shared" si="9"/>
        <v/>
      </c>
      <c r="AS192" s="108" t="str">
        <f t="array" ref="AS192">IF(ISNUMBER(AC192),INDEX('All Player Data Store'!$Q$8:$Q$594,SMALL(IF('All Player Data Store'!$Y$7:$Y$594=AC192,ROW('All Player Data Store'!$Y$7:$Y$594)-ROW('All Player Data Store'!$Y$7)+1),COUNTIF($AC$8:AC192,AC192))),"")</f>
        <v/>
      </c>
      <c r="AT192" s="108" t="str">
        <f t="shared" si="10"/>
        <v/>
      </c>
      <c r="AU192" s="108" t="str">
        <f t="array" ref="AU192">IF(ISNUMBER(AC192),INDEX('All Player Data Store'!$R$8:$R$594,SMALL(IF('All Player Data Store'!$Y$7:$Y$594=AC192,ROW('All Player Data Store'!$Y$7:$Y$594)-ROW('All Player Data Store'!$Y$7)+1),COUNTIF($AC$8:AC192,AC192))),"")</f>
        <v/>
      </c>
      <c r="AV192" s="108" t="str">
        <f t="shared" si="11"/>
        <v/>
      </c>
      <c r="AW192" s="108" t="str">
        <f t="array" ref="AW192">IF(ISNUMBER(AC192),INDEX('All Player Data Store'!$S$8:$S$594,SMALL(IF('All Player Data Store'!$Y$7:$Y$594=AC192,ROW('All Player Data Store'!$Y$7:$Y$594)-ROW('All Player Data Store'!$Y$7)+1),COUNTIF($AC$8:AC192,AC192))),"")</f>
        <v/>
      </c>
      <c r="AX192" s="108" t="str">
        <f t="shared" si="12"/>
        <v/>
      </c>
      <c r="AY192" s="108" t="str">
        <f t="array" ref="AY192">IF(ISNUMBER(AC192),INDEX('All Player Data Store'!$T$8:$T$594,SMALL(IF('All Player Data Store'!$Y$7:$Y$594=AC192,ROW('All Player Data Store'!$Y$7:$Y$594)-ROW('All Player Data Store'!$Y$7)+1),COUNTIF($AC$8:AC192,AC192))),"")</f>
        <v>0*4</v>
      </c>
      <c r="AZ192" s="108">
        <f t="shared" si="13"/>
        <v>14.67</v>
      </c>
      <c r="BA192" s="108" t="str">
        <f t="array" ref="BA192">IF(ISNUMBER(AC192),INDEX('All Player Data Store'!$U$8:$U$594,SMALL(IF('All Player Data Store'!$Y$7:$Y$594=AC192,ROW('All Player Data Store'!$Y$7:$Y$594)-ROW('All Player Data Store'!$Y$7)+1),COUNTIF($AC$8:AC192,AC192))),"")</f>
        <v/>
      </c>
      <c r="BB192" s="108" t="str">
        <f t="shared" si="14"/>
        <v/>
      </c>
      <c r="BC192" s="108" t="str">
        <f t="array" ref="BC192">IF(ISNUMBER(AC192),INDEX('All Player Data Store'!$V$8:$V$594,SMALL(IF('All Player Data Store'!$Y$7:$Y$594=AC192,ROW('All Player Data Store'!$Y$7:$Y$594)-ROW('All Player Data Store'!$Y$7)+1),COUNTIF($AC$8:AC192,AC192))),"")</f>
        <v>0*4</v>
      </c>
      <c r="BD192" s="108">
        <f t="shared" si="15"/>
        <v>15.7</v>
      </c>
      <c r="BE192" s="1"/>
    </row>
    <row r="193" spans="2:57" ht="12" customHeight="1" x14ac:dyDescent="0.2">
      <c r="B193" s="98" t="str">
        <f t="shared" si="0"/>
        <v>N</v>
      </c>
      <c r="C193" s="1"/>
      <c r="D193" s="68">
        <f t="shared" si="1"/>
        <v>186</v>
      </c>
      <c r="E193" s="2"/>
      <c r="F193" s="78">
        <v>186</v>
      </c>
      <c r="G193" s="110" t="str">
        <f t="array" ref="G193">IF(ISNUMBER(AC193),INDEX('All Player Data Store'!$C$7:$C$594,SMALL(IF('All Player Data Store'!$Y$7:$Y$594=AC193,ROW('All Player Data Store'!$Y$7:$Y$594)-ROW('All Player Data Store'!$Y$7)+1),COUNTIF($AC$8:AC193,AC193))),"")</f>
        <v>Jay Hibbert</v>
      </c>
      <c r="H193" s="68" t="str">
        <f t="array" ref="H193">IF(ISNUMBER(AC193),INDEX('All Player Data Store'!$D$7:$D$594,SMALL(IF('All Player Data Store'!$Y$7:$Y$594=AC193,ROW('All Player Data Store'!$Y$7:$Y$594)-ROW('All Player Data Store'!$Y$7)+1),COUNTIF($AC$8:AC193,AC193))),"")</f>
        <v>Bou</v>
      </c>
      <c r="I193" s="69">
        <f t="array" ref="I193">IF(ISNUMBER(AC193),INDEX('All Player Data Store'!$E$7:$E$594,SMALL(IF('All Player Data Store'!$Y$7:$Y$594=AC193,ROW('All Player Data Store'!$Y$7:$Y$594)-ROW('All Player Data Store'!$Y$7)+1),COUNTIF($AC$8:AC193,AC193))),"")</f>
        <v>1</v>
      </c>
      <c r="J193" s="70" t="str">
        <f t="array" ref="J193">IF(ISNUMBER(AC193),INDEX('All Player Data Store'!$F$7:$F$594,SMALL(IF('All Player Data Store'!$Y$7:$Y$594=AC193,ROW('All Player Data Store'!$Y$7:$Y$594)-ROW('All Player Data Store'!$Y$7)+1),COUNTIF($AC$8:AC193,AC193))),"")</f>
        <v/>
      </c>
      <c r="K193" s="70">
        <f t="array" ref="K193">IF(ISNUMBER(AC193),INDEX('All Player Data Store'!$G$7:$G$594,SMALL(IF('All Player Data Store'!$Y$7:$Y$594=AC193,ROW('All Player Data Store'!$Y$7:$Y$594)-ROW('All Player Data Store'!$Y$7)+1),COUNTIF($AC$8:AC193,AC193))),"")</f>
        <v>1</v>
      </c>
      <c r="L193" s="70" t="str">
        <f t="array" ref="L193">IF(ISNUMBER(AC193),INDEX('All Player Data Store'!$H$7:$H$594,SMALL(IF('All Player Data Store'!$Y$7:$Y$594=AC193,ROW('All Player Data Store'!$Y$7:$Y$594)-ROW('All Player Data Store'!$Y$7)+1),COUNTIF($AC$8:AC193,AC193))),"")</f>
        <v/>
      </c>
      <c r="M193" s="72">
        <f t="array" ref="M193">IF(ISNUMBER(AC193),INDEX('All Player Data Store'!$I$7:$I$594,SMALL(IF('All Player Data Store'!$Y$7:$Y$594=AC193,ROW('All Player Data Store'!$Y$7:$Y$594)-ROW('All Player Data Store'!$Y$7)+1),COUNTIF($AC$8:AC193,AC193))),"")</f>
        <v>4</v>
      </c>
      <c r="N193" s="114" t="str">
        <f t="array" ref="N193">IF(ISNUMBER(AC193),INDEX('All Player Data Store'!$J$7:$J$594,SMALL(IF('All Player Data Store'!$Y$7:$Y$594=AC193,ROW('All Player Data Store'!$Y$7:$Y$594)-ROW('All Player Data Store'!$Y$7)+1),COUNTIF($AC$8:AC193,AC193))),"")</f>
        <v/>
      </c>
      <c r="O193" s="108" t="str">
        <f t="array" ref="O193">IF(ISNUMBER(AC193),INDEX('All Player Data Store'!$K$7:$K$594,SMALL(IF('All Player Data Store'!$Y$7:$Y$594=AC193,ROW('All Player Data Store'!$Y$7:$Y$594)-ROW('All Player Data Store'!$Y$7)+1),COUNTIF($AC$8:AC193,AC193))),"")</f>
        <v/>
      </c>
      <c r="P193" s="108" t="str">
        <f t="array" ref="P193">IF(ISNUMBER(AC193),INDEX('All Player Data Store'!$L$7:$L$594,SMALL(IF('All Player Data Store'!$Y$7:$Y$594=AC193,ROW('All Player Data Store'!$Y$7:$Y$594)-ROW('All Player Data Store'!$Y$7)+1),COUNTIF($AC$8:AC193,AC193))),"")</f>
        <v/>
      </c>
      <c r="Q193" s="108" t="str">
        <f t="array" ref="Q193">IF(ISNUMBER(AC193),INDEX('All Player Data Store'!$M$7:$M$594,SMALL(IF('All Player Data Store'!$Y$7:$Y$594=AC193,ROW('All Player Data Store'!$Y$7:$Y$594)-ROW('All Player Data Store'!$Y$7)+1),COUNTIF($AC$8:AC193,AC193))),"")</f>
        <v/>
      </c>
      <c r="R193" s="108" t="str">
        <f t="array" ref="R193">IF(ISNUMBER(AC193),INDEX('All Player Data Store'!$N$7:$N$594,SMALL(IF('All Player Data Store'!$Y$7:$Y$594=AC193,ROW('All Player Data Store'!$Y$7:$Y$594)-ROW('All Player Data Store'!$Y$7)+1),COUNTIF($AC$8:AC193,AC193))),"")</f>
        <v/>
      </c>
      <c r="S193" s="108">
        <f t="array" ref="S193">IF(ISNUMBER(AC193),INDEX('All Player Data Store'!$O$7:$O$594,SMALL(IF('All Player Data Store'!$Y$7:$Y$594=AC193,ROW('All Player Data Store'!$Y$7:$Y$594)-ROW('All Player Data Store'!$Y$7)+1),COUNTIF($AC$8:AC193,AC193))),"")</f>
        <v>14.65</v>
      </c>
      <c r="T193" s="108" t="str">
        <f t="array" ref="T193">IF(ISNUMBER(AC193),INDEX('All Player Data Store'!$P$7:$P$594,SMALL(IF('All Player Data Store'!$Y$7:$Y$594=AC193,ROW('All Player Data Store'!$Y$7:$Y$594)-ROW('All Player Data Store'!$Y$7)+1),COUNTIF($AC$8:AC193,AC193))),"")</f>
        <v/>
      </c>
      <c r="U193" s="108" t="str">
        <f t="array" ref="U193">IF(ISNUMBER(AC193),INDEX('All Player Data Store'!$Q$7:$Q$594,SMALL(IF('All Player Data Store'!$Y$7:$Y$594=AC193,ROW('All Player Data Store'!$Y$7:$Y$594)-ROW('All Player Data Store'!$Y$7)+1),COUNTIF($AC$8:AC193,AC193))),"")</f>
        <v/>
      </c>
      <c r="V193" s="108" t="str">
        <f t="array" ref="V193">IF(ISNUMBER(AC193),INDEX('All Player Data Store'!$R$7:$R$594,SMALL(IF('All Player Data Store'!$Y$7:$Y$594=AC193,ROW('All Player Data Store'!$Y$7:$Y$594)-ROW('All Player Data Store'!$Y$7)+1),COUNTIF($AC$8:AC193,AC193))),"")</f>
        <v/>
      </c>
      <c r="W193" s="108" t="str">
        <f t="array" ref="W193">IF(ISNUMBER(AC193),INDEX('All Player Data Store'!$S$7:$S$594,SMALL(IF('All Player Data Store'!$Y$7:$Y$594=AC193,ROW('All Player Data Store'!$Y$7:$Y$594)-ROW('All Player Data Store'!$Y$7)+1),COUNTIF($AC$8:AC193,AC193))),"")</f>
        <v/>
      </c>
      <c r="X193" s="108" t="str">
        <f t="array" ref="X193">IF(ISNUMBER(AC193),INDEX('All Player Data Store'!$T$7:$T$594,SMALL(IF('All Player Data Store'!$Y$7:$Y$594=AC193,ROW('All Player Data Store'!$Y$7:$Y$594)-ROW('All Player Data Store'!$Y$7)+1),COUNTIF($AC$8:AC193,AC193))),"")</f>
        <v/>
      </c>
      <c r="Y193" s="108" t="str">
        <f t="array" ref="Y193">IF(ISNUMBER(AC193),INDEX('All Player Data Store'!$U$7:$U$594,SMALL(IF('All Player Data Store'!$Y$7:$Y$594=AC193,ROW('All Player Data Store'!$Y$7:$Y$594)-ROW('All Player Data Store'!$Y$7)+1),COUNTIF($AC$8:AC193,AC193))),"")</f>
        <v/>
      </c>
      <c r="Z193" s="108" t="str">
        <f t="array" ref="Z193">IF(ISNUMBER(AC193),INDEX('All Player Data Store'!$V$7:$V$594,SMALL(IF('All Player Data Store'!$Y$7:$Y$594=AC193,ROW('All Player Data Store'!$Y$7:$Y$594)-ROW('All Player Data Store'!$Y$7)+1),COUNTIF($AC$8:AC193,AC193))),"")</f>
        <v/>
      </c>
      <c r="AA193" s="112" t="str">
        <f t="array" ref="AA193">IF(ISNUMBER(AC193),INDEX('All Player Data Store'!$W$7:$W$594,SMALL(IF('All Player Data Store'!$Y$7:$Y$594=AC193,ROW('All Player Data Store'!$Y$7:$Y$594)-ROW('All Player Data Store'!$Y$7)+1),COUNTIF($AC$8:AC193,AC193))),"")</f>
        <v/>
      </c>
      <c r="AB193" s="108">
        <f t="array" ref="AB193">IF(ISNUMBER(AC193),INDEX('All Player Data Store'!$X$7:$X$594,SMALL(IF('All Player Data Store'!$Y$7:$Y$594=AC193,ROW('All Player Data Store'!$Y$7:$Y$594)-ROW('All Player Data Store'!$Y$7)+1),COUNTIF($AC$8:AC193,AC193))),"")</f>
        <v>14.65</v>
      </c>
      <c r="AC193" s="115">
        <f>IF(ISERROR(IF(ISERROR(LARGE('All Player Data Store'!$Y$7:$Y$594,186)),"",(LARGE('All Player Data Store'!$Y$7:$Y$594,186)))),"",(IF(ISERROR(LARGE('All Player Data Store'!$Y$7:$Y$594,186)),"",(LARGE('All Player Data Store'!$Y$7:$Y$594,186)))))</f>
        <v>14.65</v>
      </c>
      <c r="AD193" s="106">
        <f t="shared" si="16"/>
        <v>3</v>
      </c>
      <c r="AE193" s="107" t="str">
        <f t="array" ref="AE193">IF(ISNUMBER(AC193),INDEX('All Player Data Store'!$J$8:$J$594,SMALL(IF('All Player Data Store'!$Y$7:$Y$594=AC193,ROW('All Player Data Store'!$Y$7:$Y$594)-ROW('All Player Data Store'!$Y$7)+1),COUNTIF($AC$8:AC193,AC193))),"")</f>
        <v/>
      </c>
      <c r="AF193" s="108" t="str">
        <f t="shared" si="3"/>
        <v/>
      </c>
      <c r="AG193" s="108" t="str">
        <f t="array" ref="AG193">IF(ISNUMBER(AC193),INDEX('All Player Data Store'!$K$8:$K$594,SMALL(IF('All Player Data Store'!$Y$7:$Y$594=AC193,ROW('All Player Data Store'!$Y$7:$Y$594)-ROW('All Player Data Store'!$Y$7)+1),COUNTIF($AC$8:AC193,AC193))),"")</f>
        <v/>
      </c>
      <c r="AH193" s="108" t="str">
        <f t="shared" si="4"/>
        <v/>
      </c>
      <c r="AI193" s="108" t="str">
        <f t="array" ref="AI193">IF(ISNUMBER(AC193),INDEX('All Player Data Store'!$L$8:$L$594,SMALL(IF('All Player Data Store'!$Y$7:$Y$594=AC193,ROW('All Player Data Store'!$Y$7:$Y$594)-ROW('All Player Data Store'!$Y$7)+1),COUNTIF($AC$8:AC193,AC193))),"")</f>
        <v/>
      </c>
      <c r="AJ193" s="108" t="str">
        <f t="shared" si="5"/>
        <v/>
      </c>
      <c r="AK193" s="108" t="str">
        <f t="array" ref="AK193">IF(ISNUMBER(AC193),INDEX('All Player Data Store'!$M$8:$M$594,SMALL(IF('All Player Data Store'!$Y$7:$Y$594=AC193,ROW('All Player Data Store'!$Y$7:$Y$594)-ROW('All Player Data Store'!$Y$7)+1),COUNTIF($AC$8:AC193,AC193))),"")</f>
        <v/>
      </c>
      <c r="AL193" s="108" t="str">
        <f t="shared" si="6"/>
        <v/>
      </c>
      <c r="AM193" s="108" t="str">
        <f t="array" ref="AM193">IF(ISNUMBER(AC193),INDEX('All Player Data Store'!$N$8:$N$594,SMALL(IF('All Player Data Store'!$Y$7:$Y$594=AC193,ROW('All Player Data Store'!$Y$7:$Y$594)-ROW('All Player Data Store'!$Y$7)+1),COUNTIF($AC$8:AC193,AC193))),"")</f>
        <v/>
      </c>
      <c r="AN193" s="108" t="str">
        <f t="shared" si="7"/>
        <v/>
      </c>
      <c r="AO193" s="108" t="str">
        <f t="array" ref="AO193">IF(ISNUMBER(AC193),INDEX('All Player Data Store'!$O$8:$O$594,SMALL(IF('All Player Data Store'!$Y$7:$Y$594=AC193,ROW('All Player Data Store'!$Y$7:$Y$594)-ROW('All Player Data Store'!$Y$7)+1),COUNTIF($AC$8:AC193,AC193))),"")</f>
        <v>0*4</v>
      </c>
      <c r="AP193" s="108">
        <f t="shared" si="8"/>
        <v>14.65</v>
      </c>
      <c r="AQ193" s="108" t="str">
        <f t="array" ref="AQ193">IF(ISNUMBER(AC193),INDEX('All Player Data Store'!$P$8:$P$594,SMALL(IF('All Player Data Store'!$Y$7:$Y$594=AC193,ROW('All Player Data Store'!$Y$7:$Y$594)-ROW('All Player Data Store'!$Y$7)+1),COUNTIF($AC$8:AC193,AC193))),"")</f>
        <v/>
      </c>
      <c r="AR193" s="108" t="str">
        <f t="shared" si="9"/>
        <v/>
      </c>
      <c r="AS193" s="108" t="str">
        <f t="array" ref="AS193">IF(ISNUMBER(AC193),INDEX('All Player Data Store'!$Q$8:$Q$594,SMALL(IF('All Player Data Store'!$Y$7:$Y$594=AC193,ROW('All Player Data Store'!$Y$7:$Y$594)-ROW('All Player Data Store'!$Y$7)+1),COUNTIF($AC$8:AC193,AC193))),"")</f>
        <v/>
      </c>
      <c r="AT193" s="108" t="str">
        <f t="shared" si="10"/>
        <v/>
      </c>
      <c r="AU193" s="108" t="str">
        <f t="array" ref="AU193">IF(ISNUMBER(AC193),INDEX('All Player Data Store'!$R$8:$R$594,SMALL(IF('All Player Data Store'!$Y$7:$Y$594=AC193,ROW('All Player Data Store'!$Y$7:$Y$594)-ROW('All Player Data Store'!$Y$7)+1),COUNTIF($AC$8:AC193,AC193))),"")</f>
        <v/>
      </c>
      <c r="AV193" s="108" t="str">
        <f t="shared" si="11"/>
        <v/>
      </c>
      <c r="AW193" s="108" t="str">
        <f t="array" ref="AW193">IF(ISNUMBER(AC193),INDEX('All Player Data Store'!$S$8:$S$594,SMALL(IF('All Player Data Store'!$Y$7:$Y$594=AC193,ROW('All Player Data Store'!$Y$7:$Y$594)-ROW('All Player Data Store'!$Y$7)+1),COUNTIF($AC$8:AC193,AC193))),"")</f>
        <v/>
      </c>
      <c r="AX193" s="108" t="str">
        <f t="shared" si="12"/>
        <v/>
      </c>
      <c r="AY193" s="108" t="str">
        <f t="array" ref="AY193">IF(ISNUMBER(AC193),INDEX('All Player Data Store'!$T$8:$T$594,SMALL(IF('All Player Data Store'!$Y$7:$Y$594=AC193,ROW('All Player Data Store'!$Y$7:$Y$594)-ROW('All Player Data Store'!$Y$7)+1),COUNTIF($AC$8:AC193,AC193))),"")</f>
        <v/>
      </c>
      <c r="AZ193" s="108" t="str">
        <f t="shared" si="13"/>
        <v/>
      </c>
      <c r="BA193" s="108" t="str">
        <f t="array" ref="BA193">IF(ISNUMBER(AC193),INDEX('All Player Data Store'!$U$8:$U$594,SMALL(IF('All Player Data Store'!$Y$7:$Y$594=AC193,ROW('All Player Data Store'!$Y$7:$Y$594)-ROW('All Player Data Store'!$Y$7)+1),COUNTIF($AC$8:AC193,AC193))),"")</f>
        <v/>
      </c>
      <c r="BB193" s="108" t="str">
        <f t="shared" si="14"/>
        <v/>
      </c>
      <c r="BC193" s="108" t="str">
        <f t="array" ref="BC193">IF(ISNUMBER(AC193),INDEX('All Player Data Store'!$V$8:$V$594,SMALL(IF('All Player Data Store'!$Y$7:$Y$594=AC193,ROW('All Player Data Store'!$Y$7:$Y$594)-ROW('All Player Data Store'!$Y$7)+1),COUNTIF($AC$8:AC193,AC193))),"")</f>
        <v/>
      </c>
      <c r="BD193" s="108" t="str">
        <f t="shared" si="15"/>
        <v/>
      </c>
      <c r="BE193" s="1"/>
    </row>
    <row r="194" spans="2:57" ht="12" customHeight="1" x14ac:dyDescent="0.2">
      <c r="B194" s="98" t="str">
        <f t="shared" si="0"/>
        <v>N</v>
      </c>
      <c r="C194" s="1"/>
      <c r="D194" s="68">
        <f t="shared" si="1"/>
        <v>187</v>
      </c>
      <c r="E194" s="2"/>
      <c r="F194" s="78">
        <v>187</v>
      </c>
      <c r="G194" s="110" t="str">
        <f t="array" ref="G194">IF(ISNUMBER(AC194),INDEX('All Player Data Store'!$C$7:$C$594,SMALL(IF('All Player Data Store'!$Y$7:$Y$594=AC194,ROW('All Player Data Store'!$Y$7:$Y$594)-ROW('All Player Data Store'!$Y$7)+1),COUNTIF($AC$8:AC194,AC194))),"")</f>
        <v>Andy Miller</v>
      </c>
      <c r="H194" s="68" t="str">
        <f t="array" ref="H194">IF(ISNUMBER(AC194),INDEX('All Player Data Store'!$D$7:$D$594,SMALL(IF('All Player Data Store'!$Y$7:$Y$594=AC194,ROW('All Player Data Store'!$Y$7:$Y$594)-ROW('All Player Data Store'!$Y$7)+1),COUNTIF($AC$8:AC194,AC194))),"")</f>
        <v>Bou</v>
      </c>
      <c r="I194" s="69">
        <f t="array" ref="I194">IF(ISNUMBER(AC194),INDEX('All Player Data Store'!$E$7:$E$594,SMALL(IF('All Player Data Store'!$Y$7:$Y$594=AC194,ROW('All Player Data Store'!$Y$7:$Y$594)-ROW('All Player Data Store'!$Y$7)+1),COUNTIF($AC$8:AC194,AC194))),"")</f>
        <v>5</v>
      </c>
      <c r="J194" s="70" t="str">
        <f t="array" ref="J194">IF(ISNUMBER(AC194),INDEX('All Player Data Store'!$F$7:$F$594,SMALL(IF('All Player Data Store'!$Y$7:$Y$594=AC194,ROW('All Player Data Store'!$Y$7:$Y$594)-ROW('All Player Data Store'!$Y$7)+1),COUNTIF($AC$8:AC194,AC194))),"")</f>
        <v/>
      </c>
      <c r="K194" s="70">
        <f t="array" ref="K194">IF(ISNUMBER(AC194),INDEX('All Player Data Store'!$G$7:$G$594,SMALL(IF('All Player Data Store'!$Y$7:$Y$594=AC194,ROW('All Player Data Store'!$Y$7:$Y$594)-ROW('All Player Data Store'!$Y$7)+1),COUNTIF($AC$8:AC194,AC194))),"")</f>
        <v>5</v>
      </c>
      <c r="L194" s="70" t="str">
        <f t="array" ref="L194">IF(ISNUMBER(AC194),INDEX('All Player Data Store'!$H$7:$H$594,SMALL(IF('All Player Data Store'!$Y$7:$Y$594=AC194,ROW('All Player Data Store'!$Y$7:$Y$594)-ROW('All Player Data Store'!$Y$7)+1),COUNTIF($AC$8:AC194,AC194))),"")</f>
        <v/>
      </c>
      <c r="M194" s="72">
        <f t="array" ref="M194">IF(ISNUMBER(AC194),INDEX('All Player Data Store'!$I$7:$I$594,SMALL(IF('All Player Data Store'!$Y$7:$Y$594=AC194,ROW('All Player Data Store'!$Y$7:$Y$594)-ROW('All Player Data Store'!$Y$7)+1),COUNTIF($AC$8:AC194,AC194))),"")</f>
        <v>20</v>
      </c>
      <c r="N194" s="114">
        <f t="array" ref="N194">IF(ISNUMBER(AC194),INDEX('All Player Data Store'!$J$7:$J$594,SMALL(IF('All Player Data Store'!$Y$7:$Y$594=AC194,ROW('All Player Data Store'!$Y$7:$Y$594)-ROW('All Player Data Store'!$Y$7)+1),COUNTIF($AC$8:AC194,AC194))),"")</f>
        <v>13.9</v>
      </c>
      <c r="O194" s="108" t="str">
        <f t="array" ref="O194">IF(ISNUMBER(AC194),INDEX('All Player Data Store'!$K$7:$K$594,SMALL(IF('All Player Data Store'!$Y$7:$Y$594=AC194,ROW('All Player Data Store'!$Y$7:$Y$594)-ROW('All Player Data Store'!$Y$7)+1),COUNTIF($AC$8:AC194,AC194))),"")</f>
        <v/>
      </c>
      <c r="P194" s="108">
        <f t="array" ref="P194">IF(ISNUMBER(AC194),INDEX('All Player Data Store'!$L$7:$L$594,SMALL(IF('All Player Data Store'!$Y$7:$Y$594=AC194,ROW('All Player Data Store'!$Y$7:$Y$594)-ROW('All Player Data Store'!$Y$7)+1),COUNTIF($AC$8:AC194,AC194))),"")</f>
        <v>15.11</v>
      </c>
      <c r="Q194" s="108" t="str">
        <f t="array" ref="Q194">IF(ISNUMBER(AC194),INDEX('All Player Data Store'!$M$7:$M$594,SMALL(IF('All Player Data Store'!$Y$7:$Y$594=AC194,ROW('All Player Data Store'!$Y$7:$Y$594)-ROW('All Player Data Store'!$Y$7)+1),COUNTIF($AC$8:AC194,AC194))),"")</f>
        <v/>
      </c>
      <c r="R194" s="108" t="str">
        <f t="array" ref="R194">IF(ISNUMBER(AC194),INDEX('All Player Data Store'!$N$7:$N$594,SMALL(IF('All Player Data Store'!$Y$7:$Y$594=AC194,ROW('All Player Data Store'!$Y$7:$Y$594)-ROW('All Player Data Store'!$Y$7)+1),COUNTIF($AC$8:AC194,AC194))),"")</f>
        <v/>
      </c>
      <c r="S194" s="108" t="str">
        <f t="array" ref="S194">IF(ISNUMBER(AC194),INDEX('All Player Data Store'!$O$7:$O$594,SMALL(IF('All Player Data Store'!$Y$7:$Y$594=AC194,ROW('All Player Data Store'!$Y$7:$Y$594)-ROW('All Player Data Store'!$Y$7)+1),COUNTIF($AC$8:AC194,AC194))),"")</f>
        <v/>
      </c>
      <c r="T194" s="108">
        <f t="array" ref="T194">IF(ISNUMBER(AC194),INDEX('All Player Data Store'!$P$7:$P$594,SMALL(IF('All Player Data Store'!$Y$7:$Y$594=AC194,ROW('All Player Data Store'!$Y$7:$Y$594)-ROW('All Player Data Store'!$Y$7)+1),COUNTIF($AC$8:AC194,AC194))),"")</f>
        <v>15.55</v>
      </c>
      <c r="U194" s="108">
        <f t="array" ref="U194">IF(ISNUMBER(AC194),INDEX('All Player Data Store'!$Q$7:$Q$594,SMALL(IF('All Player Data Store'!$Y$7:$Y$594=AC194,ROW('All Player Data Store'!$Y$7:$Y$594)-ROW('All Player Data Store'!$Y$7)+1),COUNTIF($AC$8:AC194,AC194))),"")</f>
        <v>11.82</v>
      </c>
      <c r="V194" s="108">
        <f t="array" ref="V194">IF(ISNUMBER(AC194),INDEX('All Player Data Store'!$R$7:$R$594,SMALL(IF('All Player Data Store'!$Y$7:$Y$594=AC194,ROW('All Player Data Store'!$Y$7:$Y$594)-ROW('All Player Data Store'!$Y$7)+1),COUNTIF($AC$8:AC194,AC194))),"")</f>
        <v>13.11</v>
      </c>
      <c r="W194" s="108" t="str">
        <f t="array" ref="W194">IF(ISNUMBER(AC194),INDEX('All Player Data Store'!$S$7:$S$594,SMALL(IF('All Player Data Store'!$Y$7:$Y$594=AC194,ROW('All Player Data Store'!$Y$7:$Y$594)-ROW('All Player Data Store'!$Y$7)+1),COUNTIF($AC$8:AC194,AC194))),"")</f>
        <v/>
      </c>
      <c r="X194" s="108" t="str">
        <f t="array" ref="X194">IF(ISNUMBER(AC194),INDEX('All Player Data Store'!$T$7:$T$594,SMALL(IF('All Player Data Store'!$Y$7:$Y$594=AC194,ROW('All Player Data Store'!$Y$7:$Y$594)-ROW('All Player Data Store'!$Y$7)+1),COUNTIF($AC$8:AC194,AC194))),"")</f>
        <v/>
      </c>
      <c r="Y194" s="108" t="str">
        <f t="array" ref="Y194">IF(ISNUMBER(AC194),INDEX('All Player Data Store'!$U$7:$U$594,SMALL(IF('All Player Data Store'!$Y$7:$Y$594=AC194,ROW('All Player Data Store'!$Y$7:$Y$594)-ROW('All Player Data Store'!$Y$7)+1),COUNTIF($AC$8:AC194,AC194))),"")</f>
        <v/>
      </c>
      <c r="Z194" s="108" t="str">
        <f t="array" ref="Z194">IF(ISNUMBER(AC194),INDEX('All Player Data Store'!$V$7:$V$594,SMALL(IF('All Player Data Store'!$Y$7:$Y$594=AC194,ROW('All Player Data Store'!$Y$7:$Y$594)-ROW('All Player Data Store'!$Y$7)+1),COUNTIF($AC$8:AC194,AC194))),"")</f>
        <v/>
      </c>
      <c r="AA194" s="112" t="str">
        <f t="array" ref="AA194">IF(ISNUMBER(AC194),INDEX('All Player Data Store'!$W$7:$W$594,SMALL(IF('All Player Data Store'!$Y$7:$Y$594=AC194,ROW('All Player Data Store'!$Y$7:$Y$594)-ROW('All Player Data Store'!$Y$7)+1),COUNTIF($AC$8:AC194,AC194))),"")</f>
        <v/>
      </c>
      <c r="AB194" s="108">
        <f t="array" ref="AB194">IF(ISNUMBER(AC194),INDEX('All Player Data Store'!$X$7:$X$594,SMALL(IF('All Player Data Store'!$Y$7:$Y$594=AC194,ROW('All Player Data Store'!$Y$7:$Y$594)-ROW('All Player Data Store'!$Y$7)+1),COUNTIF($AC$8:AC194,AC194))),"")</f>
        <v>13.898000000000001</v>
      </c>
      <c r="AC194" s="115">
        <f>IF(ISERROR(IF(ISERROR(LARGE('All Player Data Store'!$Y$7:$Y$594,187)),"",(LARGE('All Player Data Store'!$Y$7:$Y$594,187)))),"",(IF(ISERROR(LARGE('All Player Data Store'!$Y$7:$Y$594,187)),"",(LARGE('All Player Data Store'!$Y$7:$Y$594,187)))))</f>
        <v>13.898000000000001</v>
      </c>
      <c r="AD194" s="106">
        <f t="shared" si="16"/>
        <v>3</v>
      </c>
      <c r="AE194" s="107" t="str">
        <f t="array" ref="AE194">IF(ISNUMBER(AC194),INDEX('All Player Data Store'!$J$8:$J$594,SMALL(IF('All Player Data Store'!$Y$7:$Y$594=AC194,ROW('All Player Data Store'!$Y$7:$Y$594)-ROW('All Player Data Store'!$Y$7)+1),COUNTIF($AC$8:AC194,AC194))),"")</f>
        <v>0*4</v>
      </c>
      <c r="AF194" s="108">
        <f t="shared" si="3"/>
        <v>13.9</v>
      </c>
      <c r="AG194" s="108" t="str">
        <f t="array" ref="AG194">IF(ISNUMBER(AC194),INDEX('All Player Data Store'!$K$8:$K$594,SMALL(IF('All Player Data Store'!$Y$7:$Y$594=AC194,ROW('All Player Data Store'!$Y$7:$Y$594)-ROW('All Player Data Store'!$Y$7)+1),COUNTIF($AC$8:AC194,AC194))),"")</f>
        <v/>
      </c>
      <c r="AH194" s="108" t="str">
        <f t="shared" si="4"/>
        <v/>
      </c>
      <c r="AI194" s="108" t="str">
        <f t="array" ref="AI194">IF(ISNUMBER(AC194),INDEX('All Player Data Store'!$L$8:$L$594,SMALL(IF('All Player Data Store'!$Y$7:$Y$594=AC194,ROW('All Player Data Store'!$Y$7:$Y$594)-ROW('All Player Data Store'!$Y$7)+1),COUNTIF($AC$8:AC194,AC194))),"")</f>
        <v>0*4</v>
      </c>
      <c r="AJ194" s="108">
        <f t="shared" si="5"/>
        <v>15.11</v>
      </c>
      <c r="AK194" s="108" t="str">
        <f t="array" ref="AK194">IF(ISNUMBER(AC194),INDEX('All Player Data Store'!$M$8:$M$594,SMALL(IF('All Player Data Store'!$Y$7:$Y$594=AC194,ROW('All Player Data Store'!$Y$7:$Y$594)-ROW('All Player Data Store'!$Y$7)+1),COUNTIF($AC$8:AC194,AC194))),"")</f>
        <v/>
      </c>
      <c r="AL194" s="108" t="str">
        <f t="shared" si="6"/>
        <v/>
      </c>
      <c r="AM194" s="108" t="str">
        <f t="array" ref="AM194">IF(ISNUMBER(AC194),INDEX('All Player Data Store'!$N$8:$N$594,SMALL(IF('All Player Data Store'!$Y$7:$Y$594=AC194,ROW('All Player Data Store'!$Y$7:$Y$594)-ROW('All Player Data Store'!$Y$7)+1),COUNTIF($AC$8:AC194,AC194))),"")</f>
        <v/>
      </c>
      <c r="AN194" s="108" t="str">
        <f t="shared" si="7"/>
        <v/>
      </c>
      <c r="AO194" s="108" t="str">
        <f t="array" ref="AO194">IF(ISNUMBER(AC194),INDEX('All Player Data Store'!$O$8:$O$594,SMALL(IF('All Player Data Store'!$Y$7:$Y$594=AC194,ROW('All Player Data Store'!$Y$7:$Y$594)-ROW('All Player Data Store'!$Y$7)+1),COUNTIF($AC$8:AC194,AC194))),"")</f>
        <v/>
      </c>
      <c r="AP194" s="108" t="str">
        <f t="shared" si="8"/>
        <v/>
      </c>
      <c r="AQ194" s="108" t="str">
        <f t="array" ref="AQ194">IF(ISNUMBER(AC194),INDEX('All Player Data Store'!$P$8:$P$594,SMALL(IF('All Player Data Store'!$Y$7:$Y$594=AC194,ROW('All Player Data Store'!$Y$7:$Y$594)-ROW('All Player Data Store'!$Y$7)+1),COUNTIF($AC$8:AC194,AC194))),"")</f>
        <v>0*4</v>
      </c>
      <c r="AR194" s="108">
        <f t="shared" si="9"/>
        <v>15.55</v>
      </c>
      <c r="AS194" s="108" t="str">
        <f t="array" ref="AS194">IF(ISNUMBER(AC194),INDEX('All Player Data Store'!$Q$8:$Q$594,SMALL(IF('All Player Data Store'!$Y$7:$Y$594=AC194,ROW('All Player Data Store'!$Y$7:$Y$594)-ROW('All Player Data Store'!$Y$7)+1),COUNTIF($AC$8:AC194,AC194))),"")</f>
        <v>0*4</v>
      </c>
      <c r="AT194" s="108">
        <f t="shared" si="10"/>
        <v>11.82</v>
      </c>
      <c r="AU194" s="108" t="str">
        <f t="array" ref="AU194">IF(ISNUMBER(AC194),INDEX('All Player Data Store'!$R$8:$R$594,SMALL(IF('All Player Data Store'!$Y$7:$Y$594=AC194,ROW('All Player Data Store'!$Y$7:$Y$594)-ROW('All Player Data Store'!$Y$7)+1),COUNTIF($AC$8:AC194,AC194))),"")</f>
        <v>0*4</v>
      </c>
      <c r="AV194" s="108">
        <f t="shared" si="11"/>
        <v>13.11</v>
      </c>
      <c r="AW194" s="108" t="str">
        <f t="array" ref="AW194">IF(ISNUMBER(AC194),INDEX('All Player Data Store'!$S$8:$S$594,SMALL(IF('All Player Data Store'!$Y$7:$Y$594=AC194,ROW('All Player Data Store'!$Y$7:$Y$594)-ROW('All Player Data Store'!$Y$7)+1),COUNTIF($AC$8:AC194,AC194))),"")</f>
        <v/>
      </c>
      <c r="AX194" s="108" t="str">
        <f t="shared" si="12"/>
        <v/>
      </c>
      <c r="AY194" s="108" t="str">
        <f t="array" ref="AY194">IF(ISNUMBER(AC194),INDEX('All Player Data Store'!$T$8:$T$594,SMALL(IF('All Player Data Store'!$Y$7:$Y$594=AC194,ROW('All Player Data Store'!$Y$7:$Y$594)-ROW('All Player Data Store'!$Y$7)+1),COUNTIF($AC$8:AC194,AC194))),"")</f>
        <v/>
      </c>
      <c r="AZ194" s="108" t="str">
        <f t="shared" si="13"/>
        <v/>
      </c>
      <c r="BA194" s="108" t="str">
        <f t="array" ref="BA194">IF(ISNUMBER(AC194),INDEX('All Player Data Store'!$U$8:$U$594,SMALL(IF('All Player Data Store'!$Y$7:$Y$594=AC194,ROW('All Player Data Store'!$Y$7:$Y$594)-ROW('All Player Data Store'!$Y$7)+1),COUNTIF($AC$8:AC194,AC194))),"")</f>
        <v/>
      </c>
      <c r="BB194" s="108" t="str">
        <f t="shared" si="14"/>
        <v/>
      </c>
      <c r="BC194" s="108" t="str">
        <f t="array" ref="BC194">IF(ISNUMBER(AC194),INDEX('All Player Data Store'!$V$8:$V$594,SMALL(IF('All Player Data Store'!$Y$7:$Y$594=AC194,ROW('All Player Data Store'!$Y$7:$Y$594)-ROW('All Player Data Store'!$Y$7)+1),COUNTIF($AC$8:AC194,AC194))),"")</f>
        <v/>
      </c>
      <c r="BD194" s="108" t="str">
        <f t="shared" si="15"/>
        <v/>
      </c>
      <c r="BE194" s="1"/>
    </row>
    <row r="195" spans="2:57" ht="12" customHeight="1" x14ac:dyDescent="0.2">
      <c r="B195" s="98" t="str">
        <f t="shared" si="0"/>
        <v/>
      </c>
      <c r="C195" s="1"/>
      <c r="D195" s="68" t="str">
        <f t="shared" si="1"/>
        <v/>
      </c>
      <c r="E195" s="2"/>
      <c r="F195" s="78">
        <v>188</v>
      </c>
      <c r="G195" s="110" t="str">
        <f t="array" ref="G195">IF(ISNUMBER(AC195),INDEX('All Player Data Store'!$C$7:$C$594,SMALL(IF('All Player Data Store'!$Y$7:$Y$594=AC195,ROW('All Player Data Store'!$Y$7:$Y$594)-ROW('All Player Data Store'!$Y$7)+1),COUNTIF($AC$8:AC195,AC195))),"")</f>
        <v/>
      </c>
      <c r="H195" s="68" t="str">
        <f t="array" ref="H195">IF(ISNUMBER(AC195),INDEX('All Player Data Store'!$D$7:$D$594,SMALL(IF('All Player Data Store'!$Y$7:$Y$594=AC195,ROW('All Player Data Store'!$Y$7:$Y$594)-ROW('All Player Data Store'!$Y$7)+1),COUNTIF($AC$8:AC195,AC195))),"")</f>
        <v/>
      </c>
      <c r="I195" s="69" t="str">
        <f t="array" ref="I195">IF(ISNUMBER(AC195),INDEX('All Player Data Store'!$E$7:$E$594,SMALL(IF('All Player Data Store'!$Y$7:$Y$594=AC195,ROW('All Player Data Store'!$Y$7:$Y$594)-ROW('All Player Data Store'!$Y$7)+1),COUNTIF($AC$8:AC195,AC195))),"")</f>
        <v/>
      </c>
      <c r="J195" s="70" t="str">
        <f t="array" ref="J195">IF(ISNUMBER(AC195),INDEX('All Player Data Store'!$F$7:$F$594,SMALL(IF('All Player Data Store'!$Y$7:$Y$594=AC195,ROW('All Player Data Store'!$Y$7:$Y$594)-ROW('All Player Data Store'!$Y$7)+1),COUNTIF($AC$8:AC195,AC195))),"")</f>
        <v/>
      </c>
      <c r="K195" s="70" t="str">
        <f t="array" ref="K195">IF(ISNUMBER(AC195),INDEX('All Player Data Store'!$G$7:$G$594,SMALL(IF('All Player Data Store'!$Y$7:$Y$594=AC195,ROW('All Player Data Store'!$Y$7:$Y$594)-ROW('All Player Data Store'!$Y$7)+1),COUNTIF($AC$8:AC195,AC195))),"")</f>
        <v/>
      </c>
      <c r="L195" s="70" t="str">
        <f t="array" ref="L195">IF(ISNUMBER(AC195),INDEX('All Player Data Store'!$H$7:$H$594,SMALL(IF('All Player Data Store'!$Y$7:$Y$594=AC195,ROW('All Player Data Store'!$Y$7:$Y$594)-ROW('All Player Data Store'!$Y$7)+1),COUNTIF($AC$8:AC195,AC195))),"")</f>
        <v/>
      </c>
      <c r="M195" s="72" t="str">
        <f t="array" ref="M195">IF(ISNUMBER(AC195),INDEX('All Player Data Store'!$I$7:$I$594,SMALL(IF('All Player Data Store'!$Y$7:$Y$594=AC195,ROW('All Player Data Store'!$Y$7:$Y$594)-ROW('All Player Data Store'!$Y$7)+1),COUNTIF($AC$8:AC195,AC195))),"")</f>
        <v/>
      </c>
      <c r="N195" s="114" t="str">
        <f t="array" ref="N195">IF(ISNUMBER(AC195),INDEX('All Player Data Store'!$J$7:$J$594,SMALL(IF('All Player Data Store'!$Y$7:$Y$594=AC195,ROW('All Player Data Store'!$Y$7:$Y$594)-ROW('All Player Data Store'!$Y$7)+1),COUNTIF($AC$8:AC195,AC195))),"")</f>
        <v/>
      </c>
      <c r="O195" s="108" t="str">
        <f t="array" ref="O195">IF(ISNUMBER(AC195),INDEX('All Player Data Store'!$K$7:$K$594,SMALL(IF('All Player Data Store'!$Y$7:$Y$594=AC195,ROW('All Player Data Store'!$Y$7:$Y$594)-ROW('All Player Data Store'!$Y$7)+1),COUNTIF($AC$8:AC195,AC195))),"")</f>
        <v/>
      </c>
      <c r="P195" s="108" t="str">
        <f t="array" ref="P195">IF(ISNUMBER(AC195),INDEX('All Player Data Store'!$L$7:$L$594,SMALL(IF('All Player Data Store'!$Y$7:$Y$594=AC195,ROW('All Player Data Store'!$Y$7:$Y$594)-ROW('All Player Data Store'!$Y$7)+1),COUNTIF($AC$8:AC195,AC195))),"")</f>
        <v/>
      </c>
      <c r="Q195" s="108" t="str">
        <f t="array" ref="Q195">IF(ISNUMBER(AC195),INDEX('All Player Data Store'!$M$7:$M$594,SMALL(IF('All Player Data Store'!$Y$7:$Y$594=AC195,ROW('All Player Data Store'!$Y$7:$Y$594)-ROW('All Player Data Store'!$Y$7)+1),COUNTIF($AC$8:AC195,AC195))),"")</f>
        <v/>
      </c>
      <c r="R195" s="108" t="str">
        <f t="array" ref="R195">IF(ISNUMBER(AC195),INDEX('All Player Data Store'!$N$7:$N$594,SMALL(IF('All Player Data Store'!$Y$7:$Y$594=AC195,ROW('All Player Data Store'!$Y$7:$Y$594)-ROW('All Player Data Store'!$Y$7)+1),COUNTIF($AC$8:AC195,AC195))),"")</f>
        <v/>
      </c>
      <c r="S195" s="108" t="str">
        <f t="array" ref="S195">IF(ISNUMBER(AC195),INDEX('All Player Data Store'!$O$7:$O$594,SMALL(IF('All Player Data Store'!$Y$7:$Y$594=AC195,ROW('All Player Data Store'!$Y$7:$Y$594)-ROW('All Player Data Store'!$Y$7)+1),COUNTIF($AC$8:AC195,AC195))),"")</f>
        <v/>
      </c>
      <c r="T195" s="108" t="str">
        <f t="array" ref="T195">IF(ISNUMBER(AC195),INDEX('All Player Data Store'!$P$7:$P$594,SMALL(IF('All Player Data Store'!$Y$7:$Y$594=AC195,ROW('All Player Data Store'!$Y$7:$Y$594)-ROW('All Player Data Store'!$Y$7)+1),COUNTIF($AC$8:AC195,AC195))),"")</f>
        <v/>
      </c>
      <c r="U195" s="108" t="str">
        <f t="array" ref="U195">IF(ISNUMBER(AC195),INDEX('All Player Data Store'!$Q$7:$Q$594,SMALL(IF('All Player Data Store'!$Y$7:$Y$594=AC195,ROW('All Player Data Store'!$Y$7:$Y$594)-ROW('All Player Data Store'!$Y$7)+1),COUNTIF($AC$8:AC195,AC195))),"")</f>
        <v/>
      </c>
      <c r="V195" s="108" t="str">
        <f t="array" ref="V195">IF(ISNUMBER(AC195),INDEX('All Player Data Store'!$R$7:$R$594,SMALL(IF('All Player Data Store'!$Y$7:$Y$594=AC195,ROW('All Player Data Store'!$Y$7:$Y$594)-ROW('All Player Data Store'!$Y$7)+1),COUNTIF($AC$8:AC195,AC195))),"")</f>
        <v/>
      </c>
      <c r="W195" s="108" t="str">
        <f t="array" ref="W195">IF(ISNUMBER(AC195),INDEX('All Player Data Store'!$S$7:$S$594,SMALL(IF('All Player Data Store'!$Y$7:$Y$594=AC195,ROW('All Player Data Store'!$Y$7:$Y$594)-ROW('All Player Data Store'!$Y$7)+1),COUNTIF($AC$8:AC195,AC195))),"")</f>
        <v/>
      </c>
      <c r="X195" s="108" t="str">
        <f t="array" ref="X195">IF(ISNUMBER(AC195),INDEX('All Player Data Store'!$T$7:$T$594,SMALL(IF('All Player Data Store'!$Y$7:$Y$594=AC195,ROW('All Player Data Store'!$Y$7:$Y$594)-ROW('All Player Data Store'!$Y$7)+1),COUNTIF($AC$8:AC195,AC195))),"")</f>
        <v/>
      </c>
      <c r="Y195" s="108" t="str">
        <f t="array" ref="Y195">IF(ISNUMBER(AC195),INDEX('All Player Data Store'!$U$7:$U$594,SMALL(IF('All Player Data Store'!$Y$7:$Y$594=AC195,ROW('All Player Data Store'!$Y$7:$Y$594)-ROW('All Player Data Store'!$Y$7)+1),COUNTIF($AC$8:AC195,AC195))),"")</f>
        <v/>
      </c>
      <c r="Z195" s="108" t="str">
        <f t="array" ref="Z195">IF(ISNUMBER(AC195),INDEX('All Player Data Store'!$V$7:$V$594,SMALL(IF('All Player Data Store'!$Y$7:$Y$594=AC195,ROW('All Player Data Store'!$Y$7:$Y$594)-ROW('All Player Data Store'!$Y$7)+1),COUNTIF($AC$8:AC195,AC195))),"")</f>
        <v/>
      </c>
      <c r="AA195" s="112" t="str">
        <f t="array" ref="AA195">IF(ISNUMBER(AC195),INDEX('All Player Data Store'!$W$7:$W$594,SMALL(IF('All Player Data Store'!$Y$7:$Y$594=AC195,ROW('All Player Data Store'!$Y$7:$Y$594)-ROW('All Player Data Store'!$Y$7)+1),COUNTIF($AC$8:AC195,AC195))),"")</f>
        <v/>
      </c>
      <c r="AB195" s="108" t="str">
        <f t="array" ref="AB195">IF(ISNUMBER(AC195),INDEX('All Player Data Store'!$X$7:$X$594,SMALL(IF('All Player Data Store'!$Y$7:$Y$594=AC195,ROW('All Player Data Store'!$Y$7:$Y$594)-ROW('All Player Data Store'!$Y$7)+1),COUNTIF($AC$8:AC195,AC195))),"")</f>
        <v/>
      </c>
      <c r="AC195" s="115" t="str">
        <f>IF(ISERROR(IF(ISERROR(LARGE('All Player Data Store'!$Y$7:$Y$594,188)),"",(LARGE('All Player Data Store'!$Y$7:$Y$594,188)))),"",(IF(ISERROR(LARGE('All Player Data Store'!$Y$7:$Y$594,188)),"",(LARGE('All Player Data Store'!$Y$7:$Y$594,188)))))</f>
        <v/>
      </c>
      <c r="AD195" s="106">
        <f t="shared" si="16"/>
        <v>1</v>
      </c>
      <c r="AE195" s="107" t="str">
        <f t="array" ref="AE195">IF(ISNUMBER(AC195),INDEX('All Player Data Store'!$J$8:$J$594,SMALL(IF('All Player Data Store'!$Y$7:$Y$594=AC195,ROW('All Player Data Store'!$Y$7:$Y$594)-ROW('All Player Data Store'!$Y$7)+1),COUNTIF($AC$8:AC195,AC195))),"")</f>
        <v/>
      </c>
      <c r="AF195" s="108" t="str">
        <f t="shared" si="3"/>
        <v/>
      </c>
      <c r="AG195" s="108" t="str">
        <f t="array" ref="AG195">IF(ISNUMBER(AC195),INDEX('All Player Data Store'!$K$8:$K$594,SMALL(IF('All Player Data Store'!$Y$7:$Y$594=AC195,ROW('All Player Data Store'!$Y$7:$Y$594)-ROW('All Player Data Store'!$Y$7)+1),COUNTIF($AC$8:AC195,AC195))),"")</f>
        <v/>
      </c>
      <c r="AH195" s="108" t="str">
        <f t="shared" si="4"/>
        <v/>
      </c>
      <c r="AI195" s="108" t="str">
        <f t="array" ref="AI195">IF(ISNUMBER(AC195),INDEX('All Player Data Store'!$L$8:$L$594,SMALL(IF('All Player Data Store'!$Y$7:$Y$594=AC195,ROW('All Player Data Store'!$Y$7:$Y$594)-ROW('All Player Data Store'!$Y$7)+1),COUNTIF($AC$8:AC195,AC195))),"")</f>
        <v/>
      </c>
      <c r="AJ195" s="108" t="str">
        <f t="shared" si="5"/>
        <v/>
      </c>
      <c r="AK195" s="108" t="str">
        <f t="array" ref="AK195">IF(ISNUMBER(AC195),INDEX('All Player Data Store'!$M$8:$M$594,SMALL(IF('All Player Data Store'!$Y$7:$Y$594=AC195,ROW('All Player Data Store'!$Y$7:$Y$594)-ROW('All Player Data Store'!$Y$7)+1),COUNTIF($AC$8:AC195,AC195))),"")</f>
        <v/>
      </c>
      <c r="AL195" s="108" t="str">
        <f t="shared" si="6"/>
        <v/>
      </c>
      <c r="AM195" s="108" t="str">
        <f t="array" ref="AM195">IF(ISNUMBER(AC195),INDEX('All Player Data Store'!$N$8:$N$594,SMALL(IF('All Player Data Store'!$Y$7:$Y$594=AC195,ROW('All Player Data Store'!$Y$7:$Y$594)-ROW('All Player Data Store'!$Y$7)+1),COUNTIF($AC$8:AC195,AC195))),"")</f>
        <v/>
      </c>
      <c r="AN195" s="108" t="str">
        <f t="shared" si="7"/>
        <v/>
      </c>
      <c r="AO195" s="108" t="str">
        <f t="array" ref="AO195">IF(ISNUMBER(AC195),INDEX('All Player Data Store'!$O$8:$O$594,SMALL(IF('All Player Data Store'!$Y$7:$Y$594=AC195,ROW('All Player Data Store'!$Y$7:$Y$594)-ROW('All Player Data Store'!$Y$7)+1),COUNTIF($AC$8:AC195,AC195))),"")</f>
        <v/>
      </c>
      <c r="AP195" s="108" t="str">
        <f t="shared" si="8"/>
        <v/>
      </c>
      <c r="AQ195" s="108" t="str">
        <f t="array" ref="AQ195">IF(ISNUMBER(AC195),INDEX('All Player Data Store'!$P$8:$P$594,SMALL(IF('All Player Data Store'!$Y$7:$Y$594=AC195,ROW('All Player Data Store'!$Y$7:$Y$594)-ROW('All Player Data Store'!$Y$7)+1),COUNTIF($AC$8:AC195,AC195))),"")</f>
        <v/>
      </c>
      <c r="AR195" s="108" t="str">
        <f t="shared" si="9"/>
        <v/>
      </c>
      <c r="AS195" s="108" t="str">
        <f t="array" ref="AS195">IF(ISNUMBER(AC195),INDEX('All Player Data Store'!$Q$8:$Q$594,SMALL(IF('All Player Data Store'!$Y$7:$Y$594=AC195,ROW('All Player Data Store'!$Y$7:$Y$594)-ROW('All Player Data Store'!$Y$7)+1),COUNTIF($AC$8:AC195,AC195))),"")</f>
        <v/>
      </c>
      <c r="AT195" s="108" t="str">
        <f t="shared" si="10"/>
        <v/>
      </c>
      <c r="AU195" s="108" t="str">
        <f t="array" ref="AU195">IF(ISNUMBER(AC195),INDEX('All Player Data Store'!$R$8:$R$594,SMALL(IF('All Player Data Store'!$Y$7:$Y$594=AC195,ROW('All Player Data Store'!$Y$7:$Y$594)-ROW('All Player Data Store'!$Y$7)+1),COUNTIF($AC$8:AC195,AC195))),"")</f>
        <v/>
      </c>
      <c r="AV195" s="108" t="str">
        <f t="shared" si="11"/>
        <v/>
      </c>
      <c r="AW195" s="108" t="str">
        <f t="array" ref="AW195">IF(ISNUMBER(AC195),INDEX('All Player Data Store'!$S$8:$S$594,SMALL(IF('All Player Data Store'!$Y$7:$Y$594=AC195,ROW('All Player Data Store'!$Y$7:$Y$594)-ROW('All Player Data Store'!$Y$7)+1),COUNTIF($AC$8:AC195,AC195))),"")</f>
        <v/>
      </c>
      <c r="AX195" s="108" t="str">
        <f t="shared" si="12"/>
        <v/>
      </c>
      <c r="AY195" s="108" t="str">
        <f t="array" ref="AY195">IF(ISNUMBER(AC195),INDEX('All Player Data Store'!$T$8:$T$594,SMALL(IF('All Player Data Store'!$Y$7:$Y$594=AC195,ROW('All Player Data Store'!$Y$7:$Y$594)-ROW('All Player Data Store'!$Y$7)+1),COUNTIF($AC$8:AC195,AC195))),"")</f>
        <v/>
      </c>
      <c r="AZ195" s="108" t="str">
        <f t="shared" si="13"/>
        <v/>
      </c>
      <c r="BA195" s="108" t="str">
        <f t="array" ref="BA195">IF(ISNUMBER(AC195),INDEX('All Player Data Store'!$U$8:$U$594,SMALL(IF('All Player Data Store'!$Y$7:$Y$594=AC195,ROW('All Player Data Store'!$Y$7:$Y$594)-ROW('All Player Data Store'!$Y$7)+1),COUNTIF($AC$8:AC195,AC195))),"")</f>
        <v/>
      </c>
      <c r="BB195" s="108" t="str">
        <f t="shared" si="14"/>
        <v/>
      </c>
      <c r="BC195" s="108" t="str">
        <f t="array" ref="BC195">IF(ISNUMBER(AC195),INDEX('All Player Data Store'!$V$8:$V$594,SMALL(IF('All Player Data Store'!$Y$7:$Y$594=AC195,ROW('All Player Data Store'!$Y$7:$Y$594)-ROW('All Player Data Store'!$Y$7)+1),COUNTIF($AC$8:AC195,AC195))),"")</f>
        <v/>
      </c>
      <c r="BD195" s="108" t="str">
        <f t="shared" si="15"/>
        <v/>
      </c>
      <c r="BE195" s="1"/>
    </row>
    <row r="196" spans="2:57" ht="12" customHeight="1" x14ac:dyDescent="0.2">
      <c r="B196" s="98" t="str">
        <f t="shared" si="0"/>
        <v/>
      </c>
      <c r="C196" s="1"/>
      <c r="D196" s="68" t="str">
        <f t="shared" si="1"/>
        <v/>
      </c>
      <c r="E196" s="2"/>
      <c r="F196" s="78">
        <v>189</v>
      </c>
      <c r="G196" s="110" t="str">
        <f t="array" ref="G196">IF(ISNUMBER(AC196),INDEX('All Player Data Store'!$C$7:$C$594,SMALL(IF('All Player Data Store'!$Y$7:$Y$594=AC196,ROW('All Player Data Store'!$Y$7:$Y$594)-ROW('All Player Data Store'!$Y$7)+1),COUNTIF($AC$8:AC196,AC196))),"")</f>
        <v/>
      </c>
      <c r="H196" s="68" t="str">
        <f t="array" ref="H196">IF(ISNUMBER(AC196),INDEX('All Player Data Store'!$D$7:$D$594,SMALL(IF('All Player Data Store'!$Y$7:$Y$594=AC196,ROW('All Player Data Store'!$Y$7:$Y$594)-ROW('All Player Data Store'!$Y$7)+1),COUNTIF($AC$8:AC196,AC196))),"")</f>
        <v/>
      </c>
      <c r="I196" s="69" t="str">
        <f t="array" ref="I196">IF(ISNUMBER(AC196),INDEX('All Player Data Store'!$E$7:$E$594,SMALL(IF('All Player Data Store'!$Y$7:$Y$594=AC196,ROW('All Player Data Store'!$Y$7:$Y$594)-ROW('All Player Data Store'!$Y$7)+1),COUNTIF($AC$8:AC196,AC196))),"")</f>
        <v/>
      </c>
      <c r="J196" s="70" t="str">
        <f t="array" ref="J196">IF(ISNUMBER(AC196),INDEX('All Player Data Store'!$F$7:$F$594,SMALL(IF('All Player Data Store'!$Y$7:$Y$594=AC196,ROW('All Player Data Store'!$Y$7:$Y$594)-ROW('All Player Data Store'!$Y$7)+1),COUNTIF($AC$8:AC196,AC196))),"")</f>
        <v/>
      </c>
      <c r="K196" s="70" t="str">
        <f t="array" ref="K196">IF(ISNUMBER(AC196),INDEX('All Player Data Store'!$G$7:$G$594,SMALL(IF('All Player Data Store'!$Y$7:$Y$594=AC196,ROW('All Player Data Store'!$Y$7:$Y$594)-ROW('All Player Data Store'!$Y$7)+1),COUNTIF($AC$8:AC196,AC196))),"")</f>
        <v/>
      </c>
      <c r="L196" s="70" t="str">
        <f t="array" ref="L196">IF(ISNUMBER(AC196),INDEX('All Player Data Store'!$H$7:$H$594,SMALL(IF('All Player Data Store'!$Y$7:$Y$594=AC196,ROW('All Player Data Store'!$Y$7:$Y$594)-ROW('All Player Data Store'!$Y$7)+1),COUNTIF($AC$8:AC196,AC196))),"")</f>
        <v/>
      </c>
      <c r="M196" s="72" t="str">
        <f t="array" ref="M196">IF(ISNUMBER(AC196),INDEX('All Player Data Store'!$I$7:$I$594,SMALL(IF('All Player Data Store'!$Y$7:$Y$594=AC196,ROW('All Player Data Store'!$Y$7:$Y$594)-ROW('All Player Data Store'!$Y$7)+1),COUNTIF($AC$8:AC196,AC196))),"")</f>
        <v/>
      </c>
      <c r="N196" s="114" t="str">
        <f t="array" ref="N196">IF(ISNUMBER(AC196),INDEX('All Player Data Store'!$J$7:$J$594,SMALL(IF('All Player Data Store'!$Y$7:$Y$594=AC196,ROW('All Player Data Store'!$Y$7:$Y$594)-ROW('All Player Data Store'!$Y$7)+1),COUNTIF($AC$8:AC196,AC196))),"")</f>
        <v/>
      </c>
      <c r="O196" s="108" t="str">
        <f t="array" ref="O196">IF(ISNUMBER(AC196),INDEX('All Player Data Store'!$K$7:$K$594,SMALL(IF('All Player Data Store'!$Y$7:$Y$594=AC196,ROW('All Player Data Store'!$Y$7:$Y$594)-ROW('All Player Data Store'!$Y$7)+1),COUNTIF($AC$8:AC196,AC196))),"")</f>
        <v/>
      </c>
      <c r="P196" s="108" t="str">
        <f t="array" ref="P196">IF(ISNUMBER(AC196),INDEX('All Player Data Store'!$L$7:$L$594,SMALL(IF('All Player Data Store'!$Y$7:$Y$594=AC196,ROW('All Player Data Store'!$Y$7:$Y$594)-ROW('All Player Data Store'!$Y$7)+1),COUNTIF($AC$8:AC196,AC196))),"")</f>
        <v/>
      </c>
      <c r="Q196" s="108" t="str">
        <f t="array" ref="Q196">IF(ISNUMBER(AC196),INDEX('All Player Data Store'!$M$7:$M$594,SMALL(IF('All Player Data Store'!$Y$7:$Y$594=AC196,ROW('All Player Data Store'!$Y$7:$Y$594)-ROW('All Player Data Store'!$Y$7)+1),COUNTIF($AC$8:AC196,AC196))),"")</f>
        <v/>
      </c>
      <c r="R196" s="108" t="str">
        <f t="array" ref="R196">IF(ISNUMBER(AC196),INDEX('All Player Data Store'!$N$7:$N$594,SMALL(IF('All Player Data Store'!$Y$7:$Y$594=AC196,ROW('All Player Data Store'!$Y$7:$Y$594)-ROW('All Player Data Store'!$Y$7)+1),COUNTIF($AC$8:AC196,AC196))),"")</f>
        <v/>
      </c>
      <c r="S196" s="108" t="str">
        <f t="array" ref="S196">IF(ISNUMBER(AC196),INDEX('All Player Data Store'!$O$7:$O$594,SMALL(IF('All Player Data Store'!$Y$7:$Y$594=AC196,ROW('All Player Data Store'!$Y$7:$Y$594)-ROW('All Player Data Store'!$Y$7)+1),COUNTIF($AC$8:AC196,AC196))),"")</f>
        <v/>
      </c>
      <c r="T196" s="108" t="str">
        <f t="array" ref="T196">IF(ISNUMBER(AC196),INDEX('All Player Data Store'!$P$7:$P$594,SMALL(IF('All Player Data Store'!$Y$7:$Y$594=AC196,ROW('All Player Data Store'!$Y$7:$Y$594)-ROW('All Player Data Store'!$Y$7)+1),COUNTIF($AC$8:AC196,AC196))),"")</f>
        <v/>
      </c>
      <c r="U196" s="108" t="str">
        <f t="array" ref="U196">IF(ISNUMBER(AC196),INDEX('All Player Data Store'!$Q$7:$Q$594,SMALL(IF('All Player Data Store'!$Y$7:$Y$594=AC196,ROW('All Player Data Store'!$Y$7:$Y$594)-ROW('All Player Data Store'!$Y$7)+1),COUNTIF($AC$8:AC196,AC196))),"")</f>
        <v/>
      </c>
      <c r="V196" s="108" t="str">
        <f t="array" ref="V196">IF(ISNUMBER(AC196),INDEX('All Player Data Store'!$R$7:$R$594,SMALL(IF('All Player Data Store'!$Y$7:$Y$594=AC196,ROW('All Player Data Store'!$Y$7:$Y$594)-ROW('All Player Data Store'!$Y$7)+1),COUNTIF($AC$8:AC196,AC196))),"")</f>
        <v/>
      </c>
      <c r="W196" s="108" t="str">
        <f t="array" ref="W196">IF(ISNUMBER(AC196),INDEX('All Player Data Store'!$S$7:$S$594,SMALL(IF('All Player Data Store'!$Y$7:$Y$594=AC196,ROW('All Player Data Store'!$Y$7:$Y$594)-ROW('All Player Data Store'!$Y$7)+1),COUNTIF($AC$8:AC196,AC196))),"")</f>
        <v/>
      </c>
      <c r="X196" s="108" t="str">
        <f t="array" ref="X196">IF(ISNUMBER(AC196),INDEX('All Player Data Store'!$T$7:$T$594,SMALL(IF('All Player Data Store'!$Y$7:$Y$594=AC196,ROW('All Player Data Store'!$Y$7:$Y$594)-ROW('All Player Data Store'!$Y$7)+1),COUNTIF($AC$8:AC196,AC196))),"")</f>
        <v/>
      </c>
      <c r="Y196" s="108" t="str">
        <f t="array" ref="Y196">IF(ISNUMBER(AC196),INDEX('All Player Data Store'!$U$7:$U$594,SMALL(IF('All Player Data Store'!$Y$7:$Y$594=AC196,ROW('All Player Data Store'!$Y$7:$Y$594)-ROW('All Player Data Store'!$Y$7)+1),COUNTIF($AC$8:AC196,AC196))),"")</f>
        <v/>
      </c>
      <c r="Z196" s="108" t="str">
        <f t="array" ref="Z196">IF(ISNUMBER(AC196),INDEX('All Player Data Store'!$V$7:$V$594,SMALL(IF('All Player Data Store'!$Y$7:$Y$594=AC196,ROW('All Player Data Store'!$Y$7:$Y$594)-ROW('All Player Data Store'!$Y$7)+1),COUNTIF($AC$8:AC196,AC196))),"")</f>
        <v/>
      </c>
      <c r="AA196" s="112" t="str">
        <f t="array" ref="AA196">IF(ISNUMBER(AC196),INDEX('All Player Data Store'!$W$7:$W$594,SMALL(IF('All Player Data Store'!$Y$7:$Y$594=AC196,ROW('All Player Data Store'!$Y$7:$Y$594)-ROW('All Player Data Store'!$Y$7)+1),COUNTIF($AC$8:AC196,AC196))),"")</f>
        <v/>
      </c>
      <c r="AB196" s="108" t="str">
        <f t="array" ref="AB196">IF(ISNUMBER(AC196),INDEX('All Player Data Store'!$X$7:$X$594,SMALL(IF('All Player Data Store'!$Y$7:$Y$594=AC196,ROW('All Player Data Store'!$Y$7:$Y$594)-ROW('All Player Data Store'!$Y$7)+1),COUNTIF($AC$8:AC196,AC196))),"")</f>
        <v/>
      </c>
      <c r="AC196" s="115" t="str">
        <f>IF(ISERROR(IF(ISERROR(LARGE('All Player Data Store'!$Y$7:$Y$594,189)),"",(LARGE('All Player Data Store'!$Y$7:$Y$594,189)))),"",(IF(ISERROR(LARGE('All Player Data Store'!$Y$7:$Y$594,189)),"",(LARGE('All Player Data Store'!$Y$7:$Y$594,189)))))</f>
        <v/>
      </c>
      <c r="AD196" s="106">
        <f t="shared" si="16"/>
        <v>1</v>
      </c>
      <c r="AE196" s="107" t="str">
        <f t="array" ref="AE196">IF(ISNUMBER(AC196),INDEX('All Player Data Store'!$J$8:$J$594,SMALL(IF('All Player Data Store'!$Y$7:$Y$594=AC196,ROW('All Player Data Store'!$Y$7:$Y$594)-ROW('All Player Data Store'!$Y$7)+1),COUNTIF($AC$8:AC196,AC196))),"")</f>
        <v/>
      </c>
      <c r="AF196" s="108" t="str">
        <f t="shared" si="3"/>
        <v/>
      </c>
      <c r="AG196" s="108" t="str">
        <f t="array" ref="AG196">IF(ISNUMBER(AC196),INDEX('All Player Data Store'!$K$8:$K$594,SMALL(IF('All Player Data Store'!$Y$7:$Y$594=AC196,ROW('All Player Data Store'!$Y$7:$Y$594)-ROW('All Player Data Store'!$Y$7)+1),COUNTIF($AC$8:AC196,AC196))),"")</f>
        <v/>
      </c>
      <c r="AH196" s="108" t="str">
        <f t="shared" si="4"/>
        <v/>
      </c>
      <c r="AI196" s="108" t="str">
        <f t="array" ref="AI196">IF(ISNUMBER(AC196),INDEX('All Player Data Store'!$L$8:$L$594,SMALL(IF('All Player Data Store'!$Y$7:$Y$594=AC196,ROW('All Player Data Store'!$Y$7:$Y$594)-ROW('All Player Data Store'!$Y$7)+1),COUNTIF($AC$8:AC196,AC196))),"")</f>
        <v/>
      </c>
      <c r="AJ196" s="108" t="str">
        <f t="shared" si="5"/>
        <v/>
      </c>
      <c r="AK196" s="108" t="str">
        <f t="array" ref="AK196">IF(ISNUMBER(AC196),INDEX('All Player Data Store'!$M$8:$M$594,SMALL(IF('All Player Data Store'!$Y$7:$Y$594=AC196,ROW('All Player Data Store'!$Y$7:$Y$594)-ROW('All Player Data Store'!$Y$7)+1),COUNTIF($AC$8:AC196,AC196))),"")</f>
        <v/>
      </c>
      <c r="AL196" s="108" t="str">
        <f t="shared" si="6"/>
        <v/>
      </c>
      <c r="AM196" s="108" t="str">
        <f t="array" ref="AM196">IF(ISNUMBER(AC196),INDEX('All Player Data Store'!$N$8:$N$594,SMALL(IF('All Player Data Store'!$Y$7:$Y$594=AC196,ROW('All Player Data Store'!$Y$7:$Y$594)-ROW('All Player Data Store'!$Y$7)+1),COUNTIF($AC$8:AC196,AC196))),"")</f>
        <v/>
      </c>
      <c r="AN196" s="108" t="str">
        <f t="shared" si="7"/>
        <v/>
      </c>
      <c r="AO196" s="108" t="str">
        <f t="array" ref="AO196">IF(ISNUMBER(AC196),INDEX('All Player Data Store'!$O$8:$O$594,SMALL(IF('All Player Data Store'!$Y$7:$Y$594=AC196,ROW('All Player Data Store'!$Y$7:$Y$594)-ROW('All Player Data Store'!$Y$7)+1),COUNTIF($AC$8:AC196,AC196))),"")</f>
        <v/>
      </c>
      <c r="AP196" s="108" t="str">
        <f t="shared" si="8"/>
        <v/>
      </c>
      <c r="AQ196" s="108" t="str">
        <f t="array" ref="AQ196">IF(ISNUMBER(AC196),INDEX('All Player Data Store'!$P$8:$P$594,SMALL(IF('All Player Data Store'!$Y$7:$Y$594=AC196,ROW('All Player Data Store'!$Y$7:$Y$594)-ROW('All Player Data Store'!$Y$7)+1),COUNTIF($AC$8:AC196,AC196))),"")</f>
        <v/>
      </c>
      <c r="AR196" s="108" t="str">
        <f t="shared" si="9"/>
        <v/>
      </c>
      <c r="AS196" s="108" t="str">
        <f t="array" ref="AS196">IF(ISNUMBER(AC196),INDEX('All Player Data Store'!$Q$8:$Q$594,SMALL(IF('All Player Data Store'!$Y$7:$Y$594=AC196,ROW('All Player Data Store'!$Y$7:$Y$594)-ROW('All Player Data Store'!$Y$7)+1),COUNTIF($AC$8:AC196,AC196))),"")</f>
        <v/>
      </c>
      <c r="AT196" s="108" t="str">
        <f t="shared" si="10"/>
        <v/>
      </c>
      <c r="AU196" s="108" t="str">
        <f t="array" ref="AU196">IF(ISNUMBER(AC196),INDEX('All Player Data Store'!$R$8:$R$594,SMALL(IF('All Player Data Store'!$Y$7:$Y$594=AC196,ROW('All Player Data Store'!$Y$7:$Y$594)-ROW('All Player Data Store'!$Y$7)+1),COUNTIF($AC$8:AC196,AC196))),"")</f>
        <v/>
      </c>
      <c r="AV196" s="108" t="str">
        <f t="shared" si="11"/>
        <v/>
      </c>
      <c r="AW196" s="108" t="str">
        <f t="array" ref="AW196">IF(ISNUMBER(AC196),INDEX('All Player Data Store'!$S$8:$S$594,SMALL(IF('All Player Data Store'!$Y$7:$Y$594=AC196,ROW('All Player Data Store'!$Y$7:$Y$594)-ROW('All Player Data Store'!$Y$7)+1),COUNTIF($AC$8:AC196,AC196))),"")</f>
        <v/>
      </c>
      <c r="AX196" s="108" t="str">
        <f t="shared" si="12"/>
        <v/>
      </c>
      <c r="AY196" s="108" t="str">
        <f t="array" ref="AY196">IF(ISNUMBER(AC196),INDEX('All Player Data Store'!$T$8:$T$594,SMALL(IF('All Player Data Store'!$Y$7:$Y$594=AC196,ROW('All Player Data Store'!$Y$7:$Y$594)-ROW('All Player Data Store'!$Y$7)+1),COUNTIF($AC$8:AC196,AC196))),"")</f>
        <v/>
      </c>
      <c r="AZ196" s="108" t="str">
        <f t="shared" si="13"/>
        <v/>
      </c>
      <c r="BA196" s="108" t="str">
        <f t="array" ref="BA196">IF(ISNUMBER(AC196),INDEX('All Player Data Store'!$U$8:$U$594,SMALL(IF('All Player Data Store'!$Y$7:$Y$594=AC196,ROW('All Player Data Store'!$Y$7:$Y$594)-ROW('All Player Data Store'!$Y$7)+1),COUNTIF($AC$8:AC196,AC196))),"")</f>
        <v/>
      </c>
      <c r="BB196" s="108" t="str">
        <f t="shared" si="14"/>
        <v/>
      </c>
      <c r="BC196" s="108" t="str">
        <f t="array" ref="BC196">IF(ISNUMBER(AC196),INDEX('All Player Data Store'!$V$8:$V$594,SMALL(IF('All Player Data Store'!$Y$7:$Y$594=AC196,ROW('All Player Data Store'!$Y$7:$Y$594)-ROW('All Player Data Store'!$Y$7)+1),COUNTIF($AC$8:AC196,AC196))),"")</f>
        <v/>
      </c>
      <c r="BD196" s="108" t="str">
        <f t="shared" si="15"/>
        <v/>
      </c>
      <c r="BE196" s="1"/>
    </row>
    <row r="197" spans="2:57" ht="12" customHeight="1" x14ac:dyDescent="0.2">
      <c r="B197" s="98" t="str">
        <f t="shared" si="0"/>
        <v/>
      </c>
      <c r="C197" s="1"/>
      <c r="D197" s="68" t="str">
        <f t="shared" si="1"/>
        <v/>
      </c>
      <c r="E197" s="2"/>
      <c r="F197" s="78">
        <v>190</v>
      </c>
      <c r="G197" s="110" t="str">
        <f t="array" ref="G197">IF(ISNUMBER(AC197),INDEX('All Player Data Store'!$C$7:$C$594,SMALL(IF('All Player Data Store'!$Y$7:$Y$594=AC197,ROW('All Player Data Store'!$Y$7:$Y$594)-ROW('All Player Data Store'!$Y$7)+1),COUNTIF($AC$8:AC197,AC197))),"")</f>
        <v/>
      </c>
      <c r="H197" s="68" t="str">
        <f t="array" ref="H197">IF(ISNUMBER(AC197),INDEX('All Player Data Store'!$D$7:$D$594,SMALL(IF('All Player Data Store'!$Y$7:$Y$594=AC197,ROW('All Player Data Store'!$Y$7:$Y$594)-ROW('All Player Data Store'!$Y$7)+1),COUNTIF($AC$8:AC197,AC197))),"")</f>
        <v/>
      </c>
      <c r="I197" s="69" t="str">
        <f t="array" ref="I197">IF(ISNUMBER(AC197),INDEX('All Player Data Store'!$E$7:$E$594,SMALL(IF('All Player Data Store'!$Y$7:$Y$594=AC197,ROW('All Player Data Store'!$Y$7:$Y$594)-ROW('All Player Data Store'!$Y$7)+1),COUNTIF($AC$8:AC197,AC197))),"")</f>
        <v/>
      </c>
      <c r="J197" s="70" t="str">
        <f t="array" ref="J197">IF(ISNUMBER(AC197),INDEX('All Player Data Store'!$F$7:$F$594,SMALL(IF('All Player Data Store'!$Y$7:$Y$594=AC197,ROW('All Player Data Store'!$Y$7:$Y$594)-ROW('All Player Data Store'!$Y$7)+1),COUNTIF($AC$8:AC197,AC197))),"")</f>
        <v/>
      </c>
      <c r="K197" s="70" t="str">
        <f t="array" ref="K197">IF(ISNUMBER(AC197),INDEX('All Player Data Store'!$G$7:$G$594,SMALL(IF('All Player Data Store'!$Y$7:$Y$594=AC197,ROW('All Player Data Store'!$Y$7:$Y$594)-ROW('All Player Data Store'!$Y$7)+1),COUNTIF($AC$8:AC197,AC197))),"")</f>
        <v/>
      </c>
      <c r="L197" s="70" t="str">
        <f t="array" ref="L197">IF(ISNUMBER(AC197),INDEX('All Player Data Store'!$H$7:$H$594,SMALL(IF('All Player Data Store'!$Y$7:$Y$594=AC197,ROW('All Player Data Store'!$Y$7:$Y$594)-ROW('All Player Data Store'!$Y$7)+1),COUNTIF($AC$8:AC197,AC197))),"")</f>
        <v/>
      </c>
      <c r="M197" s="72" t="str">
        <f t="array" ref="M197">IF(ISNUMBER(AC197),INDEX('All Player Data Store'!$I$7:$I$594,SMALL(IF('All Player Data Store'!$Y$7:$Y$594=AC197,ROW('All Player Data Store'!$Y$7:$Y$594)-ROW('All Player Data Store'!$Y$7)+1),COUNTIF($AC$8:AC197,AC197))),"")</f>
        <v/>
      </c>
      <c r="N197" s="114" t="str">
        <f t="array" ref="N197">IF(ISNUMBER(AC197),INDEX('All Player Data Store'!$J$7:$J$594,SMALL(IF('All Player Data Store'!$Y$7:$Y$594=AC197,ROW('All Player Data Store'!$Y$7:$Y$594)-ROW('All Player Data Store'!$Y$7)+1),COUNTIF($AC$8:AC197,AC197))),"")</f>
        <v/>
      </c>
      <c r="O197" s="108" t="str">
        <f t="array" ref="O197">IF(ISNUMBER(AC197),INDEX('All Player Data Store'!$K$7:$K$594,SMALL(IF('All Player Data Store'!$Y$7:$Y$594=AC197,ROW('All Player Data Store'!$Y$7:$Y$594)-ROW('All Player Data Store'!$Y$7)+1),COUNTIF($AC$8:AC197,AC197))),"")</f>
        <v/>
      </c>
      <c r="P197" s="108" t="str">
        <f t="array" ref="P197">IF(ISNUMBER(AC197),INDEX('All Player Data Store'!$L$7:$L$594,SMALL(IF('All Player Data Store'!$Y$7:$Y$594=AC197,ROW('All Player Data Store'!$Y$7:$Y$594)-ROW('All Player Data Store'!$Y$7)+1),COUNTIF($AC$8:AC197,AC197))),"")</f>
        <v/>
      </c>
      <c r="Q197" s="108" t="str">
        <f t="array" ref="Q197">IF(ISNUMBER(AC197),INDEX('All Player Data Store'!$M$7:$M$594,SMALL(IF('All Player Data Store'!$Y$7:$Y$594=AC197,ROW('All Player Data Store'!$Y$7:$Y$594)-ROW('All Player Data Store'!$Y$7)+1),COUNTIF($AC$8:AC197,AC197))),"")</f>
        <v/>
      </c>
      <c r="R197" s="108" t="str">
        <f t="array" ref="R197">IF(ISNUMBER(AC197),INDEX('All Player Data Store'!$N$7:$N$594,SMALL(IF('All Player Data Store'!$Y$7:$Y$594=AC197,ROW('All Player Data Store'!$Y$7:$Y$594)-ROW('All Player Data Store'!$Y$7)+1),COUNTIF($AC$8:AC197,AC197))),"")</f>
        <v/>
      </c>
      <c r="S197" s="108" t="str">
        <f t="array" ref="S197">IF(ISNUMBER(AC197),INDEX('All Player Data Store'!$O$7:$O$594,SMALL(IF('All Player Data Store'!$Y$7:$Y$594=AC197,ROW('All Player Data Store'!$Y$7:$Y$594)-ROW('All Player Data Store'!$Y$7)+1),COUNTIF($AC$8:AC197,AC197))),"")</f>
        <v/>
      </c>
      <c r="T197" s="108" t="str">
        <f t="array" ref="T197">IF(ISNUMBER(AC197),INDEX('All Player Data Store'!$P$7:$P$594,SMALL(IF('All Player Data Store'!$Y$7:$Y$594=AC197,ROW('All Player Data Store'!$Y$7:$Y$594)-ROW('All Player Data Store'!$Y$7)+1),COUNTIF($AC$8:AC197,AC197))),"")</f>
        <v/>
      </c>
      <c r="U197" s="108" t="str">
        <f t="array" ref="U197">IF(ISNUMBER(AC197),INDEX('All Player Data Store'!$Q$7:$Q$594,SMALL(IF('All Player Data Store'!$Y$7:$Y$594=AC197,ROW('All Player Data Store'!$Y$7:$Y$594)-ROW('All Player Data Store'!$Y$7)+1),COUNTIF($AC$8:AC197,AC197))),"")</f>
        <v/>
      </c>
      <c r="V197" s="108" t="str">
        <f t="array" ref="V197">IF(ISNUMBER(AC197),INDEX('All Player Data Store'!$R$7:$R$594,SMALL(IF('All Player Data Store'!$Y$7:$Y$594=AC197,ROW('All Player Data Store'!$Y$7:$Y$594)-ROW('All Player Data Store'!$Y$7)+1),COUNTIF($AC$8:AC197,AC197))),"")</f>
        <v/>
      </c>
      <c r="W197" s="108" t="str">
        <f t="array" ref="W197">IF(ISNUMBER(AC197),INDEX('All Player Data Store'!$S$7:$S$594,SMALL(IF('All Player Data Store'!$Y$7:$Y$594=AC197,ROW('All Player Data Store'!$Y$7:$Y$594)-ROW('All Player Data Store'!$Y$7)+1),COUNTIF($AC$8:AC197,AC197))),"")</f>
        <v/>
      </c>
      <c r="X197" s="108" t="str">
        <f t="array" ref="X197">IF(ISNUMBER(AC197),INDEX('All Player Data Store'!$T$7:$T$594,SMALL(IF('All Player Data Store'!$Y$7:$Y$594=AC197,ROW('All Player Data Store'!$Y$7:$Y$594)-ROW('All Player Data Store'!$Y$7)+1),COUNTIF($AC$8:AC197,AC197))),"")</f>
        <v/>
      </c>
      <c r="Y197" s="108" t="str">
        <f t="array" ref="Y197">IF(ISNUMBER(AC197),INDEX('All Player Data Store'!$U$7:$U$594,SMALL(IF('All Player Data Store'!$Y$7:$Y$594=AC197,ROW('All Player Data Store'!$Y$7:$Y$594)-ROW('All Player Data Store'!$Y$7)+1),COUNTIF($AC$8:AC197,AC197))),"")</f>
        <v/>
      </c>
      <c r="Z197" s="108" t="str">
        <f t="array" ref="Z197">IF(ISNUMBER(AC197),INDEX('All Player Data Store'!$V$7:$V$594,SMALL(IF('All Player Data Store'!$Y$7:$Y$594=AC197,ROW('All Player Data Store'!$Y$7:$Y$594)-ROW('All Player Data Store'!$Y$7)+1),COUNTIF($AC$8:AC197,AC197))),"")</f>
        <v/>
      </c>
      <c r="AA197" s="112" t="str">
        <f t="array" ref="AA197">IF(ISNUMBER(AC197),INDEX('All Player Data Store'!$W$7:$W$594,SMALL(IF('All Player Data Store'!$Y$7:$Y$594=AC197,ROW('All Player Data Store'!$Y$7:$Y$594)-ROW('All Player Data Store'!$Y$7)+1),COUNTIF($AC$8:AC197,AC197))),"")</f>
        <v/>
      </c>
      <c r="AB197" s="108" t="str">
        <f t="array" ref="AB197">IF(ISNUMBER(AC197),INDEX('All Player Data Store'!$X$7:$X$594,SMALL(IF('All Player Data Store'!$Y$7:$Y$594=AC197,ROW('All Player Data Store'!$Y$7:$Y$594)-ROW('All Player Data Store'!$Y$7)+1),COUNTIF($AC$8:AC197,AC197))),"")</f>
        <v/>
      </c>
      <c r="AC197" s="115" t="str">
        <f>IF(ISERROR(IF(ISERROR(LARGE('All Player Data Store'!$Y$7:$Y$594,190)),"",(LARGE('All Player Data Store'!$Y$7:$Y$594,190)))),"",(IF(ISERROR(LARGE('All Player Data Store'!$Y$7:$Y$594,190)),"",(LARGE('All Player Data Store'!$Y$7:$Y$594,190)))))</f>
        <v/>
      </c>
      <c r="AD197" s="106">
        <f t="shared" si="16"/>
        <v>1</v>
      </c>
      <c r="AE197" s="107" t="str">
        <f t="array" ref="AE197">IF(ISNUMBER(AC197),INDEX('All Player Data Store'!$J$8:$J$594,SMALL(IF('All Player Data Store'!$Y$7:$Y$594=AC197,ROW('All Player Data Store'!$Y$7:$Y$594)-ROW('All Player Data Store'!$Y$7)+1),COUNTIF($AC$8:AC197,AC197))),"")</f>
        <v/>
      </c>
      <c r="AF197" s="108" t="str">
        <f t="shared" si="3"/>
        <v/>
      </c>
      <c r="AG197" s="108" t="str">
        <f t="array" ref="AG197">IF(ISNUMBER(AC197),INDEX('All Player Data Store'!$K$8:$K$594,SMALL(IF('All Player Data Store'!$Y$7:$Y$594=AC197,ROW('All Player Data Store'!$Y$7:$Y$594)-ROW('All Player Data Store'!$Y$7)+1),COUNTIF($AC$8:AC197,AC197))),"")</f>
        <v/>
      </c>
      <c r="AH197" s="108" t="str">
        <f t="shared" si="4"/>
        <v/>
      </c>
      <c r="AI197" s="108" t="str">
        <f t="array" ref="AI197">IF(ISNUMBER(AC197),INDEX('All Player Data Store'!$L$8:$L$594,SMALL(IF('All Player Data Store'!$Y$7:$Y$594=AC197,ROW('All Player Data Store'!$Y$7:$Y$594)-ROW('All Player Data Store'!$Y$7)+1),COUNTIF($AC$8:AC197,AC197))),"")</f>
        <v/>
      </c>
      <c r="AJ197" s="108" t="str">
        <f t="shared" si="5"/>
        <v/>
      </c>
      <c r="AK197" s="108" t="str">
        <f t="array" ref="AK197">IF(ISNUMBER(AC197),INDEX('All Player Data Store'!$M$8:$M$594,SMALL(IF('All Player Data Store'!$Y$7:$Y$594=AC197,ROW('All Player Data Store'!$Y$7:$Y$594)-ROW('All Player Data Store'!$Y$7)+1),COUNTIF($AC$8:AC197,AC197))),"")</f>
        <v/>
      </c>
      <c r="AL197" s="108" t="str">
        <f t="shared" si="6"/>
        <v/>
      </c>
      <c r="AM197" s="108" t="str">
        <f t="array" ref="AM197">IF(ISNUMBER(AC197),INDEX('All Player Data Store'!$N$8:$N$594,SMALL(IF('All Player Data Store'!$Y$7:$Y$594=AC197,ROW('All Player Data Store'!$Y$7:$Y$594)-ROW('All Player Data Store'!$Y$7)+1),COUNTIF($AC$8:AC197,AC197))),"")</f>
        <v/>
      </c>
      <c r="AN197" s="108" t="str">
        <f t="shared" si="7"/>
        <v/>
      </c>
      <c r="AO197" s="108" t="str">
        <f t="array" ref="AO197">IF(ISNUMBER(AC197),INDEX('All Player Data Store'!$O$8:$O$594,SMALL(IF('All Player Data Store'!$Y$7:$Y$594=AC197,ROW('All Player Data Store'!$Y$7:$Y$594)-ROW('All Player Data Store'!$Y$7)+1),COUNTIF($AC$8:AC197,AC197))),"")</f>
        <v/>
      </c>
      <c r="AP197" s="108" t="str">
        <f t="shared" si="8"/>
        <v/>
      </c>
      <c r="AQ197" s="108" t="str">
        <f t="array" ref="AQ197">IF(ISNUMBER(AC197),INDEX('All Player Data Store'!$P$8:$P$594,SMALL(IF('All Player Data Store'!$Y$7:$Y$594=AC197,ROW('All Player Data Store'!$Y$7:$Y$594)-ROW('All Player Data Store'!$Y$7)+1),COUNTIF($AC$8:AC197,AC197))),"")</f>
        <v/>
      </c>
      <c r="AR197" s="108" t="str">
        <f t="shared" si="9"/>
        <v/>
      </c>
      <c r="AS197" s="108" t="str">
        <f t="array" ref="AS197">IF(ISNUMBER(AC197),INDEX('All Player Data Store'!$Q$8:$Q$594,SMALL(IF('All Player Data Store'!$Y$7:$Y$594=AC197,ROW('All Player Data Store'!$Y$7:$Y$594)-ROW('All Player Data Store'!$Y$7)+1),COUNTIF($AC$8:AC197,AC197))),"")</f>
        <v/>
      </c>
      <c r="AT197" s="108" t="str">
        <f t="shared" si="10"/>
        <v/>
      </c>
      <c r="AU197" s="108" t="str">
        <f t="array" ref="AU197">IF(ISNUMBER(AC197),INDEX('All Player Data Store'!$R$8:$R$594,SMALL(IF('All Player Data Store'!$Y$7:$Y$594=AC197,ROW('All Player Data Store'!$Y$7:$Y$594)-ROW('All Player Data Store'!$Y$7)+1),COUNTIF($AC$8:AC197,AC197))),"")</f>
        <v/>
      </c>
      <c r="AV197" s="108" t="str">
        <f t="shared" si="11"/>
        <v/>
      </c>
      <c r="AW197" s="108" t="str">
        <f t="array" ref="AW197">IF(ISNUMBER(AC197),INDEX('All Player Data Store'!$S$8:$S$594,SMALL(IF('All Player Data Store'!$Y$7:$Y$594=AC197,ROW('All Player Data Store'!$Y$7:$Y$594)-ROW('All Player Data Store'!$Y$7)+1),COUNTIF($AC$8:AC197,AC197))),"")</f>
        <v/>
      </c>
      <c r="AX197" s="108" t="str">
        <f t="shared" si="12"/>
        <v/>
      </c>
      <c r="AY197" s="108" t="str">
        <f t="array" ref="AY197">IF(ISNUMBER(AC197),INDEX('All Player Data Store'!$T$8:$T$594,SMALL(IF('All Player Data Store'!$Y$7:$Y$594=AC197,ROW('All Player Data Store'!$Y$7:$Y$594)-ROW('All Player Data Store'!$Y$7)+1),COUNTIF($AC$8:AC197,AC197))),"")</f>
        <v/>
      </c>
      <c r="AZ197" s="108" t="str">
        <f t="shared" si="13"/>
        <v/>
      </c>
      <c r="BA197" s="108" t="str">
        <f t="array" ref="BA197">IF(ISNUMBER(AC197),INDEX('All Player Data Store'!$U$8:$U$594,SMALL(IF('All Player Data Store'!$Y$7:$Y$594=AC197,ROW('All Player Data Store'!$Y$7:$Y$594)-ROW('All Player Data Store'!$Y$7)+1),COUNTIF($AC$8:AC197,AC197))),"")</f>
        <v/>
      </c>
      <c r="BB197" s="108" t="str">
        <f t="shared" si="14"/>
        <v/>
      </c>
      <c r="BC197" s="108" t="str">
        <f t="array" ref="BC197">IF(ISNUMBER(AC197),INDEX('All Player Data Store'!$V$8:$V$594,SMALL(IF('All Player Data Store'!$Y$7:$Y$594=AC197,ROW('All Player Data Store'!$Y$7:$Y$594)-ROW('All Player Data Store'!$Y$7)+1),COUNTIF($AC$8:AC197,AC197))),"")</f>
        <v/>
      </c>
      <c r="BD197" s="108" t="str">
        <f t="shared" si="15"/>
        <v/>
      </c>
      <c r="BE197" s="1"/>
    </row>
    <row r="198" spans="2:57" ht="12" customHeight="1" x14ac:dyDescent="0.2">
      <c r="B198" s="98" t="str">
        <f t="shared" si="0"/>
        <v/>
      </c>
      <c r="C198" s="1"/>
      <c r="D198" s="68" t="str">
        <f t="shared" si="1"/>
        <v/>
      </c>
      <c r="E198" s="2"/>
      <c r="F198" s="78">
        <v>191</v>
      </c>
      <c r="G198" s="110" t="str">
        <f t="array" ref="G198">IF(ISNUMBER(AC198),INDEX('All Player Data Store'!$C$7:$C$594,SMALL(IF('All Player Data Store'!$Y$7:$Y$594=AC198,ROW('All Player Data Store'!$Y$7:$Y$594)-ROW('All Player Data Store'!$Y$7)+1),COUNTIF($AC$8:AC198,AC198))),"")</f>
        <v/>
      </c>
      <c r="H198" s="68" t="str">
        <f t="array" ref="H198">IF(ISNUMBER(AC198),INDEX('All Player Data Store'!$D$7:$D$594,SMALL(IF('All Player Data Store'!$Y$7:$Y$594=AC198,ROW('All Player Data Store'!$Y$7:$Y$594)-ROW('All Player Data Store'!$Y$7)+1),COUNTIF($AC$8:AC198,AC198))),"")</f>
        <v/>
      </c>
      <c r="I198" s="69" t="str">
        <f t="array" ref="I198">IF(ISNUMBER(AC198),INDEX('All Player Data Store'!$E$7:$E$594,SMALL(IF('All Player Data Store'!$Y$7:$Y$594=AC198,ROW('All Player Data Store'!$Y$7:$Y$594)-ROW('All Player Data Store'!$Y$7)+1),COUNTIF($AC$8:AC198,AC198))),"")</f>
        <v/>
      </c>
      <c r="J198" s="70" t="str">
        <f t="array" ref="J198">IF(ISNUMBER(AC198),INDEX('All Player Data Store'!$F$7:$F$594,SMALL(IF('All Player Data Store'!$Y$7:$Y$594=AC198,ROW('All Player Data Store'!$Y$7:$Y$594)-ROW('All Player Data Store'!$Y$7)+1),COUNTIF($AC$8:AC198,AC198))),"")</f>
        <v/>
      </c>
      <c r="K198" s="70" t="str">
        <f t="array" ref="K198">IF(ISNUMBER(AC198),INDEX('All Player Data Store'!$G$7:$G$594,SMALL(IF('All Player Data Store'!$Y$7:$Y$594=AC198,ROW('All Player Data Store'!$Y$7:$Y$594)-ROW('All Player Data Store'!$Y$7)+1),COUNTIF($AC$8:AC198,AC198))),"")</f>
        <v/>
      </c>
      <c r="L198" s="70" t="str">
        <f t="array" ref="L198">IF(ISNUMBER(AC198),INDEX('All Player Data Store'!$H$7:$H$594,SMALL(IF('All Player Data Store'!$Y$7:$Y$594=AC198,ROW('All Player Data Store'!$Y$7:$Y$594)-ROW('All Player Data Store'!$Y$7)+1),COUNTIF($AC$8:AC198,AC198))),"")</f>
        <v/>
      </c>
      <c r="M198" s="72" t="str">
        <f t="array" ref="M198">IF(ISNUMBER(AC198),INDEX('All Player Data Store'!$I$7:$I$594,SMALL(IF('All Player Data Store'!$Y$7:$Y$594=AC198,ROW('All Player Data Store'!$Y$7:$Y$594)-ROW('All Player Data Store'!$Y$7)+1),COUNTIF($AC$8:AC198,AC198))),"")</f>
        <v/>
      </c>
      <c r="N198" s="114" t="str">
        <f t="array" ref="N198">IF(ISNUMBER(AC198),INDEX('All Player Data Store'!$J$7:$J$594,SMALL(IF('All Player Data Store'!$Y$7:$Y$594=AC198,ROW('All Player Data Store'!$Y$7:$Y$594)-ROW('All Player Data Store'!$Y$7)+1),COUNTIF($AC$8:AC198,AC198))),"")</f>
        <v/>
      </c>
      <c r="O198" s="108" t="str">
        <f t="array" ref="O198">IF(ISNUMBER(AC198),INDEX('All Player Data Store'!$K$7:$K$594,SMALL(IF('All Player Data Store'!$Y$7:$Y$594=AC198,ROW('All Player Data Store'!$Y$7:$Y$594)-ROW('All Player Data Store'!$Y$7)+1),COUNTIF($AC$8:AC198,AC198))),"")</f>
        <v/>
      </c>
      <c r="P198" s="108" t="str">
        <f t="array" ref="P198">IF(ISNUMBER(AC198),INDEX('All Player Data Store'!$L$7:$L$594,SMALL(IF('All Player Data Store'!$Y$7:$Y$594=AC198,ROW('All Player Data Store'!$Y$7:$Y$594)-ROW('All Player Data Store'!$Y$7)+1),COUNTIF($AC$8:AC198,AC198))),"")</f>
        <v/>
      </c>
      <c r="Q198" s="108" t="str">
        <f t="array" ref="Q198">IF(ISNUMBER(AC198),INDEX('All Player Data Store'!$M$7:$M$594,SMALL(IF('All Player Data Store'!$Y$7:$Y$594=AC198,ROW('All Player Data Store'!$Y$7:$Y$594)-ROW('All Player Data Store'!$Y$7)+1),COUNTIF($AC$8:AC198,AC198))),"")</f>
        <v/>
      </c>
      <c r="R198" s="108" t="str">
        <f t="array" ref="R198">IF(ISNUMBER(AC198),INDEX('All Player Data Store'!$N$7:$N$594,SMALL(IF('All Player Data Store'!$Y$7:$Y$594=AC198,ROW('All Player Data Store'!$Y$7:$Y$594)-ROW('All Player Data Store'!$Y$7)+1),COUNTIF($AC$8:AC198,AC198))),"")</f>
        <v/>
      </c>
      <c r="S198" s="108" t="str">
        <f t="array" ref="S198">IF(ISNUMBER(AC198),INDEX('All Player Data Store'!$O$7:$O$594,SMALL(IF('All Player Data Store'!$Y$7:$Y$594=AC198,ROW('All Player Data Store'!$Y$7:$Y$594)-ROW('All Player Data Store'!$Y$7)+1),COUNTIF($AC$8:AC198,AC198))),"")</f>
        <v/>
      </c>
      <c r="T198" s="108" t="str">
        <f t="array" ref="T198">IF(ISNUMBER(AC198),INDEX('All Player Data Store'!$P$7:$P$594,SMALL(IF('All Player Data Store'!$Y$7:$Y$594=AC198,ROW('All Player Data Store'!$Y$7:$Y$594)-ROW('All Player Data Store'!$Y$7)+1),COUNTIF($AC$8:AC198,AC198))),"")</f>
        <v/>
      </c>
      <c r="U198" s="108" t="str">
        <f t="array" ref="U198">IF(ISNUMBER(AC198),INDEX('All Player Data Store'!$Q$7:$Q$594,SMALL(IF('All Player Data Store'!$Y$7:$Y$594=AC198,ROW('All Player Data Store'!$Y$7:$Y$594)-ROW('All Player Data Store'!$Y$7)+1),COUNTIF($AC$8:AC198,AC198))),"")</f>
        <v/>
      </c>
      <c r="V198" s="108" t="str">
        <f t="array" ref="V198">IF(ISNUMBER(AC198),INDEX('All Player Data Store'!$R$7:$R$594,SMALL(IF('All Player Data Store'!$Y$7:$Y$594=AC198,ROW('All Player Data Store'!$Y$7:$Y$594)-ROW('All Player Data Store'!$Y$7)+1),COUNTIF($AC$8:AC198,AC198))),"")</f>
        <v/>
      </c>
      <c r="W198" s="108" t="str">
        <f t="array" ref="W198">IF(ISNUMBER(AC198),INDEX('All Player Data Store'!$S$7:$S$594,SMALL(IF('All Player Data Store'!$Y$7:$Y$594=AC198,ROW('All Player Data Store'!$Y$7:$Y$594)-ROW('All Player Data Store'!$Y$7)+1),COUNTIF($AC$8:AC198,AC198))),"")</f>
        <v/>
      </c>
      <c r="X198" s="108" t="str">
        <f t="array" ref="X198">IF(ISNUMBER(AC198),INDEX('All Player Data Store'!$T$7:$T$594,SMALL(IF('All Player Data Store'!$Y$7:$Y$594=AC198,ROW('All Player Data Store'!$Y$7:$Y$594)-ROW('All Player Data Store'!$Y$7)+1),COUNTIF($AC$8:AC198,AC198))),"")</f>
        <v/>
      </c>
      <c r="Y198" s="108" t="str">
        <f t="array" ref="Y198">IF(ISNUMBER(AC198),INDEX('All Player Data Store'!$U$7:$U$594,SMALL(IF('All Player Data Store'!$Y$7:$Y$594=AC198,ROW('All Player Data Store'!$Y$7:$Y$594)-ROW('All Player Data Store'!$Y$7)+1),COUNTIF($AC$8:AC198,AC198))),"")</f>
        <v/>
      </c>
      <c r="Z198" s="108" t="str">
        <f t="array" ref="Z198">IF(ISNUMBER(AC198),INDEX('All Player Data Store'!$V$7:$V$594,SMALL(IF('All Player Data Store'!$Y$7:$Y$594=AC198,ROW('All Player Data Store'!$Y$7:$Y$594)-ROW('All Player Data Store'!$Y$7)+1),COUNTIF($AC$8:AC198,AC198))),"")</f>
        <v/>
      </c>
      <c r="AA198" s="112" t="str">
        <f t="array" ref="AA198">IF(ISNUMBER(AC198),INDEX('All Player Data Store'!$W$7:$W$594,SMALL(IF('All Player Data Store'!$Y$7:$Y$594=AC198,ROW('All Player Data Store'!$Y$7:$Y$594)-ROW('All Player Data Store'!$Y$7)+1),COUNTIF($AC$8:AC198,AC198))),"")</f>
        <v/>
      </c>
      <c r="AB198" s="108" t="str">
        <f t="array" ref="AB198">IF(ISNUMBER(AC198),INDEX('All Player Data Store'!$X$7:$X$594,SMALL(IF('All Player Data Store'!$Y$7:$Y$594=AC198,ROW('All Player Data Store'!$Y$7:$Y$594)-ROW('All Player Data Store'!$Y$7)+1),COUNTIF($AC$8:AC198,AC198))),"")</f>
        <v/>
      </c>
      <c r="AC198" s="115" t="str">
        <f>IF(ISERROR(IF(ISERROR(LARGE('All Player Data Store'!$Y$7:$Y$594,191)),"",(LARGE('All Player Data Store'!$Y$7:$Y$594,191)))),"",(IF(ISERROR(LARGE('All Player Data Store'!$Y$7:$Y$594,191)),"",(LARGE('All Player Data Store'!$Y$7:$Y$594,191)))))</f>
        <v/>
      </c>
      <c r="AD198" s="106">
        <f t="shared" si="16"/>
        <v>1</v>
      </c>
      <c r="AE198" s="107" t="str">
        <f t="array" ref="AE198">IF(ISNUMBER(AC198),INDEX('All Player Data Store'!$J$8:$J$594,SMALL(IF('All Player Data Store'!$Y$7:$Y$594=AC198,ROW('All Player Data Store'!$Y$7:$Y$594)-ROW('All Player Data Store'!$Y$7)+1),COUNTIF($AC$8:AC198,AC198))),"")</f>
        <v/>
      </c>
      <c r="AF198" s="108" t="str">
        <f t="shared" si="3"/>
        <v/>
      </c>
      <c r="AG198" s="108" t="str">
        <f t="array" ref="AG198">IF(ISNUMBER(AC198),INDEX('All Player Data Store'!$K$8:$K$594,SMALL(IF('All Player Data Store'!$Y$7:$Y$594=AC198,ROW('All Player Data Store'!$Y$7:$Y$594)-ROW('All Player Data Store'!$Y$7)+1),COUNTIF($AC$8:AC198,AC198))),"")</f>
        <v/>
      </c>
      <c r="AH198" s="108" t="str">
        <f t="shared" si="4"/>
        <v/>
      </c>
      <c r="AI198" s="108" t="str">
        <f t="array" ref="AI198">IF(ISNUMBER(AC198),INDEX('All Player Data Store'!$L$8:$L$594,SMALL(IF('All Player Data Store'!$Y$7:$Y$594=AC198,ROW('All Player Data Store'!$Y$7:$Y$594)-ROW('All Player Data Store'!$Y$7)+1),COUNTIF($AC$8:AC198,AC198))),"")</f>
        <v/>
      </c>
      <c r="AJ198" s="108" t="str">
        <f t="shared" si="5"/>
        <v/>
      </c>
      <c r="AK198" s="108" t="str">
        <f t="array" ref="AK198">IF(ISNUMBER(AC198),INDEX('All Player Data Store'!$M$8:$M$594,SMALL(IF('All Player Data Store'!$Y$7:$Y$594=AC198,ROW('All Player Data Store'!$Y$7:$Y$594)-ROW('All Player Data Store'!$Y$7)+1),COUNTIF($AC$8:AC198,AC198))),"")</f>
        <v/>
      </c>
      <c r="AL198" s="108" t="str">
        <f t="shared" si="6"/>
        <v/>
      </c>
      <c r="AM198" s="108" t="str">
        <f t="array" ref="AM198">IF(ISNUMBER(AC198),INDEX('All Player Data Store'!$N$8:$N$594,SMALL(IF('All Player Data Store'!$Y$7:$Y$594=AC198,ROW('All Player Data Store'!$Y$7:$Y$594)-ROW('All Player Data Store'!$Y$7)+1),COUNTIF($AC$8:AC198,AC198))),"")</f>
        <v/>
      </c>
      <c r="AN198" s="108" t="str">
        <f t="shared" si="7"/>
        <v/>
      </c>
      <c r="AO198" s="108" t="str">
        <f t="array" ref="AO198">IF(ISNUMBER(AC198),INDEX('All Player Data Store'!$O$8:$O$594,SMALL(IF('All Player Data Store'!$Y$7:$Y$594=AC198,ROW('All Player Data Store'!$Y$7:$Y$594)-ROW('All Player Data Store'!$Y$7)+1),COUNTIF($AC$8:AC198,AC198))),"")</f>
        <v/>
      </c>
      <c r="AP198" s="108" t="str">
        <f t="shared" si="8"/>
        <v/>
      </c>
      <c r="AQ198" s="108" t="str">
        <f t="array" ref="AQ198">IF(ISNUMBER(AC198),INDEX('All Player Data Store'!$P$8:$P$594,SMALL(IF('All Player Data Store'!$Y$7:$Y$594=AC198,ROW('All Player Data Store'!$Y$7:$Y$594)-ROW('All Player Data Store'!$Y$7)+1),COUNTIF($AC$8:AC198,AC198))),"")</f>
        <v/>
      </c>
      <c r="AR198" s="108" t="str">
        <f t="shared" si="9"/>
        <v/>
      </c>
      <c r="AS198" s="108" t="str">
        <f t="array" ref="AS198">IF(ISNUMBER(AC198),INDEX('All Player Data Store'!$Q$8:$Q$594,SMALL(IF('All Player Data Store'!$Y$7:$Y$594=AC198,ROW('All Player Data Store'!$Y$7:$Y$594)-ROW('All Player Data Store'!$Y$7)+1),COUNTIF($AC$8:AC198,AC198))),"")</f>
        <v/>
      </c>
      <c r="AT198" s="108" t="str">
        <f t="shared" si="10"/>
        <v/>
      </c>
      <c r="AU198" s="108" t="str">
        <f t="array" ref="AU198">IF(ISNUMBER(AC198),INDEX('All Player Data Store'!$R$8:$R$594,SMALL(IF('All Player Data Store'!$Y$7:$Y$594=AC198,ROW('All Player Data Store'!$Y$7:$Y$594)-ROW('All Player Data Store'!$Y$7)+1),COUNTIF($AC$8:AC198,AC198))),"")</f>
        <v/>
      </c>
      <c r="AV198" s="108" t="str">
        <f t="shared" si="11"/>
        <v/>
      </c>
      <c r="AW198" s="108" t="str">
        <f t="array" ref="AW198">IF(ISNUMBER(AC198),INDEX('All Player Data Store'!$S$8:$S$594,SMALL(IF('All Player Data Store'!$Y$7:$Y$594=AC198,ROW('All Player Data Store'!$Y$7:$Y$594)-ROW('All Player Data Store'!$Y$7)+1),COUNTIF($AC$8:AC198,AC198))),"")</f>
        <v/>
      </c>
      <c r="AX198" s="108" t="str">
        <f t="shared" si="12"/>
        <v/>
      </c>
      <c r="AY198" s="108" t="str">
        <f t="array" ref="AY198">IF(ISNUMBER(AC198),INDEX('All Player Data Store'!$T$8:$T$594,SMALL(IF('All Player Data Store'!$Y$7:$Y$594=AC198,ROW('All Player Data Store'!$Y$7:$Y$594)-ROW('All Player Data Store'!$Y$7)+1),COUNTIF($AC$8:AC198,AC198))),"")</f>
        <v/>
      </c>
      <c r="AZ198" s="108" t="str">
        <f t="shared" si="13"/>
        <v/>
      </c>
      <c r="BA198" s="108" t="str">
        <f t="array" ref="BA198">IF(ISNUMBER(AC198),INDEX('All Player Data Store'!$U$8:$U$594,SMALL(IF('All Player Data Store'!$Y$7:$Y$594=AC198,ROW('All Player Data Store'!$Y$7:$Y$594)-ROW('All Player Data Store'!$Y$7)+1),COUNTIF($AC$8:AC198,AC198))),"")</f>
        <v/>
      </c>
      <c r="BB198" s="108" t="str">
        <f t="shared" si="14"/>
        <v/>
      </c>
      <c r="BC198" s="108" t="str">
        <f t="array" ref="BC198">IF(ISNUMBER(AC198),INDEX('All Player Data Store'!$V$8:$V$594,SMALL(IF('All Player Data Store'!$Y$7:$Y$594=AC198,ROW('All Player Data Store'!$Y$7:$Y$594)-ROW('All Player Data Store'!$Y$7)+1),COUNTIF($AC$8:AC198,AC198))),"")</f>
        <v/>
      </c>
      <c r="BD198" s="108" t="str">
        <f t="shared" si="15"/>
        <v/>
      </c>
      <c r="BE198" s="1"/>
    </row>
    <row r="199" spans="2:57" ht="12" customHeight="1" x14ac:dyDescent="0.2">
      <c r="B199" s="98" t="str">
        <f t="shared" si="0"/>
        <v/>
      </c>
      <c r="C199" s="1"/>
      <c r="D199" s="68" t="str">
        <f t="shared" si="1"/>
        <v/>
      </c>
      <c r="E199" s="2"/>
      <c r="F199" s="78">
        <v>192</v>
      </c>
      <c r="G199" s="110" t="str">
        <f t="array" ref="G199">IF(ISNUMBER(AC199),INDEX('All Player Data Store'!$C$7:$C$594,SMALL(IF('All Player Data Store'!$Y$7:$Y$594=AC199,ROW('All Player Data Store'!$Y$7:$Y$594)-ROW('All Player Data Store'!$Y$7)+1),COUNTIF($AC$8:AC199,AC199))),"")</f>
        <v/>
      </c>
      <c r="H199" s="68" t="str">
        <f t="array" ref="H199">IF(ISNUMBER(AC199),INDEX('All Player Data Store'!$D$7:$D$594,SMALL(IF('All Player Data Store'!$Y$7:$Y$594=AC199,ROW('All Player Data Store'!$Y$7:$Y$594)-ROW('All Player Data Store'!$Y$7)+1),COUNTIF($AC$8:AC199,AC199))),"")</f>
        <v/>
      </c>
      <c r="I199" s="69" t="str">
        <f t="array" ref="I199">IF(ISNUMBER(AC199),INDEX('All Player Data Store'!$E$7:$E$594,SMALL(IF('All Player Data Store'!$Y$7:$Y$594=AC199,ROW('All Player Data Store'!$Y$7:$Y$594)-ROW('All Player Data Store'!$Y$7)+1),COUNTIF($AC$8:AC199,AC199))),"")</f>
        <v/>
      </c>
      <c r="J199" s="70" t="str">
        <f t="array" ref="J199">IF(ISNUMBER(AC199),INDEX('All Player Data Store'!$F$7:$F$594,SMALL(IF('All Player Data Store'!$Y$7:$Y$594=AC199,ROW('All Player Data Store'!$Y$7:$Y$594)-ROW('All Player Data Store'!$Y$7)+1),COUNTIF($AC$8:AC199,AC199))),"")</f>
        <v/>
      </c>
      <c r="K199" s="70" t="str">
        <f t="array" ref="K199">IF(ISNUMBER(AC199),INDEX('All Player Data Store'!$G$7:$G$594,SMALL(IF('All Player Data Store'!$Y$7:$Y$594=AC199,ROW('All Player Data Store'!$Y$7:$Y$594)-ROW('All Player Data Store'!$Y$7)+1),COUNTIF($AC$8:AC199,AC199))),"")</f>
        <v/>
      </c>
      <c r="L199" s="70" t="str">
        <f t="array" ref="L199">IF(ISNUMBER(AC199),INDEX('All Player Data Store'!$H$7:$H$594,SMALL(IF('All Player Data Store'!$Y$7:$Y$594=AC199,ROW('All Player Data Store'!$Y$7:$Y$594)-ROW('All Player Data Store'!$Y$7)+1),COUNTIF($AC$8:AC199,AC199))),"")</f>
        <v/>
      </c>
      <c r="M199" s="72" t="str">
        <f t="array" ref="M199">IF(ISNUMBER(AC199),INDEX('All Player Data Store'!$I$7:$I$594,SMALL(IF('All Player Data Store'!$Y$7:$Y$594=AC199,ROW('All Player Data Store'!$Y$7:$Y$594)-ROW('All Player Data Store'!$Y$7)+1),COUNTIF($AC$8:AC199,AC199))),"")</f>
        <v/>
      </c>
      <c r="N199" s="114" t="str">
        <f t="array" ref="N199">IF(ISNUMBER(AC199),INDEX('All Player Data Store'!$J$7:$J$594,SMALL(IF('All Player Data Store'!$Y$7:$Y$594=AC199,ROW('All Player Data Store'!$Y$7:$Y$594)-ROW('All Player Data Store'!$Y$7)+1),COUNTIF($AC$8:AC199,AC199))),"")</f>
        <v/>
      </c>
      <c r="O199" s="108" t="str">
        <f t="array" ref="O199">IF(ISNUMBER(AC199),INDEX('All Player Data Store'!$K$7:$K$594,SMALL(IF('All Player Data Store'!$Y$7:$Y$594=AC199,ROW('All Player Data Store'!$Y$7:$Y$594)-ROW('All Player Data Store'!$Y$7)+1),COUNTIF($AC$8:AC199,AC199))),"")</f>
        <v/>
      </c>
      <c r="P199" s="108" t="str">
        <f t="array" ref="P199">IF(ISNUMBER(AC199),INDEX('All Player Data Store'!$L$7:$L$594,SMALL(IF('All Player Data Store'!$Y$7:$Y$594=AC199,ROW('All Player Data Store'!$Y$7:$Y$594)-ROW('All Player Data Store'!$Y$7)+1),COUNTIF($AC$8:AC199,AC199))),"")</f>
        <v/>
      </c>
      <c r="Q199" s="108" t="str">
        <f t="array" ref="Q199">IF(ISNUMBER(AC199),INDEX('All Player Data Store'!$M$7:$M$594,SMALL(IF('All Player Data Store'!$Y$7:$Y$594=AC199,ROW('All Player Data Store'!$Y$7:$Y$594)-ROW('All Player Data Store'!$Y$7)+1),COUNTIF($AC$8:AC199,AC199))),"")</f>
        <v/>
      </c>
      <c r="R199" s="108" t="str">
        <f t="array" ref="R199">IF(ISNUMBER(AC199),INDEX('All Player Data Store'!$N$7:$N$594,SMALL(IF('All Player Data Store'!$Y$7:$Y$594=AC199,ROW('All Player Data Store'!$Y$7:$Y$594)-ROW('All Player Data Store'!$Y$7)+1),COUNTIF($AC$8:AC199,AC199))),"")</f>
        <v/>
      </c>
      <c r="S199" s="108" t="str">
        <f t="array" ref="S199">IF(ISNUMBER(AC199),INDEX('All Player Data Store'!$O$7:$O$594,SMALL(IF('All Player Data Store'!$Y$7:$Y$594=AC199,ROW('All Player Data Store'!$Y$7:$Y$594)-ROW('All Player Data Store'!$Y$7)+1),COUNTIF($AC$8:AC199,AC199))),"")</f>
        <v/>
      </c>
      <c r="T199" s="108" t="str">
        <f t="array" ref="T199">IF(ISNUMBER(AC199),INDEX('All Player Data Store'!$P$7:$P$594,SMALL(IF('All Player Data Store'!$Y$7:$Y$594=AC199,ROW('All Player Data Store'!$Y$7:$Y$594)-ROW('All Player Data Store'!$Y$7)+1),COUNTIF($AC$8:AC199,AC199))),"")</f>
        <v/>
      </c>
      <c r="U199" s="108" t="str">
        <f t="array" ref="U199">IF(ISNUMBER(AC199),INDEX('All Player Data Store'!$Q$7:$Q$594,SMALL(IF('All Player Data Store'!$Y$7:$Y$594=AC199,ROW('All Player Data Store'!$Y$7:$Y$594)-ROW('All Player Data Store'!$Y$7)+1),COUNTIF($AC$8:AC199,AC199))),"")</f>
        <v/>
      </c>
      <c r="V199" s="108" t="str">
        <f t="array" ref="V199">IF(ISNUMBER(AC199),INDEX('All Player Data Store'!$R$7:$R$594,SMALL(IF('All Player Data Store'!$Y$7:$Y$594=AC199,ROW('All Player Data Store'!$Y$7:$Y$594)-ROW('All Player Data Store'!$Y$7)+1),COUNTIF($AC$8:AC199,AC199))),"")</f>
        <v/>
      </c>
      <c r="W199" s="108" t="str">
        <f t="array" ref="W199">IF(ISNUMBER(AC199),INDEX('All Player Data Store'!$S$7:$S$594,SMALL(IF('All Player Data Store'!$Y$7:$Y$594=AC199,ROW('All Player Data Store'!$Y$7:$Y$594)-ROW('All Player Data Store'!$Y$7)+1),COUNTIF($AC$8:AC199,AC199))),"")</f>
        <v/>
      </c>
      <c r="X199" s="108" t="str">
        <f t="array" ref="X199">IF(ISNUMBER(AC199),INDEX('All Player Data Store'!$T$7:$T$594,SMALL(IF('All Player Data Store'!$Y$7:$Y$594=AC199,ROW('All Player Data Store'!$Y$7:$Y$594)-ROW('All Player Data Store'!$Y$7)+1),COUNTIF($AC$8:AC199,AC199))),"")</f>
        <v/>
      </c>
      <c r="Y199" s="108" t="str">
        <f t="array" ref="Y199">IF(ISNUMBER(AC199),INDEX('All Player Data Store'!$U$7:$U$594,SMALL(IF('All Player Data Store'!$Y$7:$Y$594=AC199,ROW('All Player Data Store'!$Y$7:$Y$594)-ROW('All Player Data Store'!$Y$7)+1),COUNTIF($AC$8:AC199,AC199))),"")</f>
        <v/>
      </c>
      <c r="Z199" s="108" t="str">
        <f t="array" ref="Z199">IF(ISNUMBER(AC199),INDEX('All Player Data Store'!$V$7:$V$594,SMALL(IF('All Player Data Store'!$Y$7:$Y$594=AC199,ROW('All Player Data Store'!$Y$7:$Y$594)-ROW('All Player Data Store'!$Y$7)+1),COUNTIF($AC$8:AC199,AC199))),"")</f>
        <v/>
      </c>
      <c r="AA199" s="112" t="str">
        <f t="array" ref="AA199">IF(ISNUMBER(AC199),INDEX('All Player Data Store'!$W$7:$W$594,SMALL(IF('All Player Data Store'!$Y$7:$Y$594=AC199,ROW('All Player Data Store'!$Y$7:$Y$594)-ROW('All Player Data Store'!$Y$7)+1),COUNTIF($AC$8:AC199,AC199))),"")</f>
        <v/>
      </c>
      <c r="AB199" s="108" t="str">
        <f t="array" ref="AB199">IF(ISNUMBER(AC199),INDEX('All Player Data Store'!$X$7:$X$594,SMALL(IF('All Player Data Store'!$Y$7:$Y$594=AC199,ROW('All Player Data Store'!$Y$7:$Y$594)-ROW('All Player Data Store'!$Y$7)+1),COUNTIF($AC$8:AC199,AC199))),"")</f>
        <v/>
      </c>
      <c r="AC199" s="115" t="str">
        <f>IF(ISERROR(IF(ISERROR(LARGE('All Player Data Store'!$Y$7:$Y$594,192)),"",(LARGE('All Player Data Store'!$Y$7:$Y$594,192)))),"",(IF(ISERROR(LARGE('All Player Data Store'!$Y$7:$Y$594,192)),"",(LARGE('All Player Data Store'!$Y$7:$Y$594,192)))))</f>
        <v/>
      </c>
      <c r="AD199" s="106">
        <f t="shared" si="16"/>
        <v>1</v>
      </c>
      <c r="AE199" s="107" t="str">
        <f t="array" ref="AE199">IF(ISNUMBER(AC199),INDEX('All Player Data Store'!$J$8:$J$594,SMALL(IF('All Player Data Store'!$Y$7:$Y$594=AC199,ROW('All Player Data Store'!$Y$7:$Y$594)-ROW('All Player Data Store'!$Y$7)+1),COUNTIF($AC$8:AC199,AC199))),"")</f>
        <v/>
      </c>
      <c r="AF199" s="108" t="str">
        <f t="shared" si="3"/>
        <v/>
      </c>
      <c r="AG199" s="108" t="str">
        <f t="array" ref="AG199">IF(ISNUMBER(AC199),INDEX('All Player Data Store'!$K$8:$K$594,SMALL(IF('All Player Data Store'!$Y$7:$Y$594=AC199,ROW('All Player Data Store'!$Y$7:$Y$594)-ROW('All Player Data Store'!$Y$7)+1),COUNTIF($AC$8:AC199,AC199))),"")</f>
        <v/>
      </c>
      <c r="AH199" s="108" t="str">
        <f t="shared" si="4"/>
        <v/>
      </c>
      <c r="AI199" s="108" t="str">
        <f t="array" ref="AI199">IF(ISNUMBER(AC199),INDEX('All Player Data Store'!$L$8:$L$594,SMALL(IF('All Player Data Store'!$Y$7:$Y$594=AC199,ROW('All Player Data Store'!$Y$7:$Y$594)-ROW('All Player Data Store'!$Y$7)+1),COUNTIF($AC$8:AC199,AC199))),"")</f>
        <v/>
      </c>
      <c r="AJ199" s="108" t="str">
        <f t="shared" si="5"/>
        <v/>
      </c>
      <c r="AK199" s="108" t="str">
        <f t="array" ref="AK199">IF(ISNUMBER(AC199),INDEX('All Player Data Store'!$M$8:$M$594,SMALL(IF('All Player Data Store'!$Y$7:$Y$594=AC199,ROW('All Player Data Store'!$Y$7:$Y$594)-ROW('All Player Data Store'!$Y$7)+1),COUNTIF($AC$8:AC199,AC199))),"")</f>
        <v/>
      </c>
      <c r="AL199" s="108" t="str">
        <f t="shared" si="6"/>
        <v/>
      </c>
      <c r="AM199" s="108" t="str">
        <f t="array" ref="AM199">IF(ISNUMBER(AC199),INDEX('All Player Data Store'!$N$8:$N$594,SMALL(IF('All Player Data Store'!$Y$7:$Y$594=AC199,ROW('All Player Data Store'!$Y$7:$Y$594)-ROW('All Player Data Store'!$Y$7)+1),COUNTIF($AC$8:AC199,AC199))),"")</f>
        <v/>
      </c>
      <c r="AN199" s="108" t="str">
        <f t="shared" si="7"/>
        <v/>
      </c>
      <c r="AO199" s="108" t="str">
        <f t="array" ref="AO199">IF(ISNUMBER(AC199),INDEX('All Player Data Store'!$O$8:$O$594,SMALL(IF('All Player Data Store'!$Y$7:$Y$594=AC199,ROW('All Player Data Store'!$Y$7:$Y$594)-ROW('All Player Data Store'!$Y$7)+1),COUNTIF($AC$8:AC199,AC199))),"")</f>
        <v/>
      </c>
      <c r="AP199" s="108" t="str">
        <f t="shared" si="8"/>
        <v/>
      </c>
      <c r="AQ199" s="108" t="str">
        <f t="array" ref="AQ199">IF(ISNUMBER(AC199),INDEX('All Player Data Store'!$P$8:$P$594,SMALL(IF('All Player Data Store'!$Y$7:$Y$594=AC199,ROW('All Player Data Store'!$Y$7:$Y$594)-ROW('All Player Data Store'!$Y$7)+1),COUNTIF($AC$8:AC199,AC199))),"")</f>
        <v/>
      </c>
      <c r="AR199" s="108" t="str">
        <f t="shared" si="9"/>
        <v/>
      </c>
      <c r="AS199" s="108" t="str">
        <f t="array" ref="AS199">IF(ISNUMBER(AC199),INDEX('All Player Data Store'!$Q$8:$Q$594,SMALL(IF('All Player Data Store'!$Y$7:$Y$594=AC199,ROW('All Player Data Store'!$Y$7:$Y$594)-ROW('All Player Data Store'!$Y$7)+1),COUNTIF($AC$8:AC199,AC199))),"")</f>
        <v/>
      </c>
      <c r="AT199" s="108" t="str">
        <f t="shared" si="10"/>
        <v/>
      </c>
      <c r="AU199" s="108" t="str">
        <f t="array" ref="AU199">IF(ISNUMBER(AC199),INDEX('All Player Data Store'!$R$8:$R$594,SMALL(IF('All Player Data Store'!$Y$7:$Y$594=AC199,ROW('All Player Data Store'!$Y$7:$Y$594)-ROW('All Player Data Store'!$Y$7)+1),COUNTIF($AC$8:AC199,AC199))),"")</f>
        <v/>
      </c>
      <c r="AV199" s="108" t="str">
        <f t="shared" si="11"/>
        <v/>
      </c>
      <c r="AW199" s="108" t="str">
        <f t="array" ref="AW199">IF(ISNUMBER(AC199),INDEX('All Player Data Store'!$S$8:$S$594,SMALL(IF('All Player Data Store'!$Y$7:$Y$594=AC199,ROW('All Player Data Store'!$Y$7:$Y$594)-ROW('All Player Data Store'!$Y$7)+1),COUNTIF($AC$8:AC199,AC199))),"")</f>
        <v/>
      </c>
      <c r="AX199" s="108" t="str">
        <f t="shared" si="12"/>
        <v/>
      </c>
      <c r="AY199" s="108" t="str">
        <f t="array" ref="AY199">IF(ISNUMBER(AC199),INDEX('All Player Data Store'!$T$8:$T$594,SMALL(IF('All Player Data Store'!$Y$7:$Y$594=AC199,ROW('All Player Data Store'!$Y$7:$Y$594)-ROW('All Player Data Store'!$Y$7)+1),COUNTIF($AC$8:AC199,AC199))),"")</f>
        <v/>
      </c>
      <c r="AZ199" s="108" t="str">
        <f t="shared" si="13"/>
        <v/>
      </c>
      <c r="BA199" s="108" t="str">
        <f t="array" ref="BA199">IF(ISNUMBER(AC199),INDEX('All Player Data Store'!$U$8:$U$594,SMALL(IF('All Player Data Store'!$Y$7:$Y$594=AC199,ROW('All Player Data Store'!$Y$7:$Y$594)-ROW('All Player Data Store'!$Y$7)+1),COUNTIF($AC$8:AC199,AC199))),"")</f>
        <v/>
      </c>
      <c r="BB199" s="108" t="str">
        <f t="shared" si="14"/>
        <v/>
      </c>
      <c r="BC199" s="108" t="str">
        <f t="array" ref="BC199">IF(ISNUMBER(AC199),INDEX('All Player Data Store'!$V$8:$V$594,SMALL(IF('All Player Data Store'!$Y$7:$Y$594=AC199,ROW('All Player Data Store'!$Y$7:$Y$594)-ROW('All Player Data Store'!$Y$7)+1),COUNTIF($AC$8:AC199,AC199))),"")</f>
        <v/>
      </c>
      <c r="BD199" s="108" t="str">
        <f t="shared" si="15"/>
        <v/>
      </c>
      <c r="BE199" s="1"/>
    </row>
    <row r="200" spans="2:57" ht="12" customHeight="1" x14ac:dyDescent="0.2">
      <c r="B200" s="98" t="str">
        <f t="shared" si="0"/>
        <v/>
      </c>
      <c r="C200" s="1"/>
      <c r="D200" s="68" t="str">
        <f t="shared" si="1"/>
        <v/>
      </c>
      <c r="E200" s="2"/>
      <c r="F200" s="78">
        <v>193</v>
      </c>
      <c r="G200" s="110" t="str">
        <f t="array" ref="G200">IF(ISNUMBER(AC200),INDEX('All Player Data Store'!$C$7:$C$594,SMALL(IF('All Player Data Store'!$Y$7:$Y$594=AC200,ROW('All Player Data Store'!$Y$7:$Y$594)-ROW('All Player Data Store'!$Y$7)+1),COUNTIF($AC$8:AC200,AC200))),"")</f>
        <v/>
      </c>
      <c r="H200" s="68" t="str">
        <f t="array" ref="H200">IF(ISNUMBER(AC200),INDEX('All Player Data Store'!$D$7:$D$594,SMALL(IF('All Player Data Store'!$Y$7:$Y$594=AC200,ROW('All Player Data Store'!$Y$7:$Y$594)-ROW('All Player Data Store'!$Y$7)+1),COUNTIF($AC$8:AC200,AC200))),"")</f>
        <v/>
      </c>
      <c r="I200" s="69" t="str">
        <f t="array" ref="I200">IF(ISNUMBER(AC200),INDEX('All Player Data Store'!$E$7:$E$594,SMALL(IF('All Player Data Store'!$Y$7:$Y$594=AC200,ROW('All Player Data Store'!$Y$7:$Y$594)-ROW('All Player Data Store'!$Y$7)+1),COUNTIF($AC$8:AC200,AC200))),"")</f>
        <v/>
      </c>
      <c r="J200" s="70" t="str">
        <f t="array" ref="J200">IF(ISNUMBER(AC200),INDEX('All Player Data Store'!$F$7:$F$594,SMALL(IF('All Player Data Store'!$Y$7:$Y$594=AC200,ROW('All Player Data Store'!$Y$7:$Y$594)-ROW('All Player Data Store'!$Y$7)+1),COUNTIF($AC$8:AC200,AC200))),"")</f>
        <v/>
      </c>
      <c r="K200" s="70" t="str">
        <f t="array" ref="K200">IF(ISNUMBER(AC200),INDEX('All Player Data Store'!$G$7:$G$594,SMALL(IF('All Player Data Store'!$Y$7:$Y$594=AC200,ROW('All Player Data Store'!$Y$7:$Y$594)-ROW('All Player Data Store'!$Y$7)+1),COUNTIF($AC$8:AC200,AC200))),"")</f>
        <v/>
      </c>
      <c r="L200" s="70" t="str">
        <f t="array" ref="L200">IF(ISNUMBER(AC200),INDEX('All Player Data Store'!$H$7:$H$594,SMALL(IF('All Player Data Store'!$Y$7:$Y$594=AC200,ROW('All Player Data Store'!$Y$7:$Y$594)-ROW('All Player Data Store'!$Y$7)+1),COUNTIF($AC$8:AC200,AC200))),"")</f>
        <v/>
      </c>
      <c r="M200" s="72" t="str">
        <f t="array" ref="M200">IF(ISNUMBER(AC200),INDEX('All Player Data Store'!$I$7:$I$594,SMALL(IF('All Player Data Store'!$Y$7:$Y$594=AC200,ROW('All Player Data Store'!$Y$7:$Y$594)-ROW('All Player Data Store'!$Y$7)+1),COUNTIF($AC$8:AC200,AC200))),"")</f>
        <v/>
      </c>
      <c r="N200" s="114" t="str">
        <f t="array" ref="N200">IF(ISNUMBER(AC200),INDEX('All Player Data Store'!$J$7:$J$594,SMALL(IF('All Player Data Store'!$Y$7:$Y$594=AC200,ROW('All Player Data Store'!$Y$7:$Y$594)-ROW('All Player Data Store'!$Y$7)+1),COUNTIF($AC$8:AC200,AC200))),"")</f>
        <v/>
      </c>
      <c r="O200" s="108" t="str">
        <f t="array" ref="O200">IF(ISNUMBER(AC200),INDEX('All Player Data Store'!$K$7:$K$594,SMALL(IF('All Player Data Store'!$Y$7:$Y$594=AC200,ROW('All Player Data Store'!$Y$7:$Y$594)-ROW('All Player Data Store'!$Y$7)+1),COUNTIF($AC$8:AC200,AC200))),"")</f>
        <v/>
      </c>
      <c r="P200" s="108" t="str">
        <f t="array" ref="P200">IF(ISNUMBER(AC200),INDEX('All Player Data Store'!$L$7:$L$594,SMALL(IF('All Player Data Store'!$Y$7:$Y$594=AC200,ROW('All Player Data Store'!$Y$7:$Y$594)-ROW('All Player Data Store'!$Y$7)+1),COUNTIF($AC$8:AC200,AC200))),"")</f>
        <v/>
      </c>
      <c r="Q200" s="108" t="str">
        <f t="array" ref="Q200">IF(ISNUMBER(AC200),INDEX('All Player Data Store'!$M$7:$M$594,SMALL(IF('All Player Data Store'!$Y$7:$Y$594=AC200,ROW('All Player Data Store'!$Y$7:$Y$594)-ROW('All Player Data Store'!$Y$7)+1),COUNTIF($AC$8:AC200,AC200))),"")</f>
        <v/>
      </c>
      <c r="R200" s="108" t="str">
        <f t="array" ref="R200">IF(ISNUMBER(AC200),INDEX('All Player Data Store'!$N$7:$N$594,SMALL(IF('All Player Data Store'!$Y$7:$Y$594=AC200,ROW('All Player Data Store'!$Y$7:$Y$594)-ROW('All Player Data Store'!$Y$7)+1),COUNTIF($AC$8:AC200,AC200))),"")</f>
        <v/>
      </c>
      <c r="S200" s="108" t="str">
        <f t="array" ref="S200">IF(ISNUMBER(AC200),INDEX('All Player Data Store'!$O$7:$O$594,SMALL(IF('All Player Data Store'!$Y$7:$Y$594=AC200,ROW('All Player Data Store'!$Y$7:$Y$594)-ROW('All Player Data Store'!$Y$7)+1),COUNTIF($AC$8:AC200,AC200))),"")</f>
        <v/>
      </c>
      <c r="T200" s="108" t="str">
        <f t="array" ref="T200">IF(ISNUMBER(AC200),INDEX('All Player Data Store'!$P$7:$P$594,SMALL(IF('All Player Data Store'!$Y$7:$Y$594=AC200,ROW('All Player Data Store'!$Y$7:$Y$594)-ROW('All Player Data Store'!$Y$7)+1),COUNTIF($AC$8:AC200,AC200))),"")</f>
        <v/>
      </c>
      <c r="U200" s="108" t="str">
        <f t="array" ref="U200">IF(ISNUMBER(AC200),INDEX('All Player Data Store'!$Q$7:$Q$594,SMALL(IF('All Player Data Store'!$Y$7:$Y$594=AC200,ROW('All Player Data Store'!$Y$7:$Y$594)-ROW('All Player Data Store'!$Y$7)+1),COUNTIF($AC$8:AC200,AC200))),"")</f>
        <v/>
      </c>
      <c r="V200" s="108" t="str">
        <f t="array" ref="V200">IF(ISNUMBER(AC200),INDEX('All Player Data Store'!$R$7:$R$594,SMALL(IF('All Player Data Store'!$Y$7:$Y$594=AC200,ROW('All Player Data Store'!$Y$7:$Y$594)-ROW('All Player Data Store'!$Y$7)+1),COUNTIF($AC$8:AC200,AC200))),"")</f>
        <v/>
      </c>
      <c r="W200" s="108" t="str">
        <f t="array" ref="W200">IF(ISNUMBER(AC200),INDEX('All Player Data Store'!$S$7:$S$594,SMALL(IF('All Player Data Store'!$Y$7:$Y$594=AC200,ROW('All Player Data Store'!$Y$7:$Y$594)-ROW('All Player Data Store'!$Y$7)+1),COUNTIF($AC$8:AC200,AC200))),"")</f>
        <v/>
      </c>
      <c r="X200" s="108" t="str">
        <f t="array" ref="X200">IF(ISNUMBER(AC200),INDEX('All Player Data Store'!$T$7:$T$594,SMALL(IF('All Player Data Store'!$Y$7:$Y$594=AC200,ROW('All Player Data Store'!$Y$7:$Y$594)-ROW('All Player Data Store'!$Y$7)+1),COUNTIF($AC$8:AC200,AC200))),"")</f>
        <v/>
      </c>
      <c r="Y200" s="108" t="str">
        <f t="array" ref="Y200">IF(ISNUMBER(AC200),INDEX('All Player Data Store'!$U$7:$U$594,SMALL(IF('All Player Data Store'!$Y$7:$Y$594=AC200,ROW('All Player Data Store'!$Y$7:$Y$594)-ROW('All Player Data Store'!$Y$7)+1),COUNTIF($AC$8:AC200,AC200))),"")</f>
        <v/>
      </c>
      <c r="Z200" s="108" t="str">
        <f t="array" ref="Z200">IF(ISNUMBER(AC200),INDEX('All Player Data Store'!$V$7:$V$594,SMALL(IF('All Player Data Store'!$Y$7:$Y$594=AC200,ROW('All Player Data Store'!$Y$7:$Y$594)-ROW('All Player Data Store'!$Y$7)+1),COUNTIF($AC$8:AC200,AC200))),"")</f>
        <v/>
      </c>
      <c r="AA200" s="112" t="str">
        <f t="array" ref="AA200">IF(ISNUMBER(AC200),INDEX('All Player Data Store'!$W$7:$W$594,SMALL(IF('All Player Data Store'!$Y$7:$Y$594=AC200,ROW('All Player Data Store'!$Y$7:$Y$594)-ROW('All Player Data Store'!$Y$7)+1),COUNTIF($AC$8:AC200,AC200))),"")</f>
        <v/>
      </c>
      <c r="AB200" s="108" t="str">
        <f t="array" ref="AB200">IF(ISNUMBER(AC200),INDEX('All Player Data Store'!$X$7:$X$594,SMALL(IF('All Player Data Store'!$Y$7:$Y$594=AC200,ROW('All Player Data Store'!$Y$7:$Y$594)-ROW('All Player Data Store'!$Y$7)+1),COUNTIF($AC$8:AC200,AC200))),"")</f>
        <v/>
      </c>
      <c r="AC200" s="115" t="str">
        <f>IF(ISERROR(IF(ISERROR(LARGE('All Player Data Store'!$Y$7:$Y$594,193)),"",(LARGE('All Player Data Store'!$Y$7:$Y$594,193)))),"",(IF(ISERROR(LARGE('All Player Data Store'!$Y$7:$Y$594,193)),"",(LARGE('All Player Data Store'!$Y$7:$Y$594,193)))))</f>
        <v/>
      </c>
      <c r="AD200" s="106">
        <f t="shared" si="16"/>
        <v>1</v>
      </c>
      <c r="AE200" s="107" t="str">
        <f t="array" ref="AE200">IF(ISNUMBER(AC200),INDEX('All Player Data Store'!$J$8:$J$594,SMALL(IF('All Player Data Store'!$Y$7:$Y$594=AC200,ROW('All Player Data Store'!$Y$7:$Y$594)-ROW('All Player Data Store'!$Y$7)+1),COUNTIF($AC$8:AC200,AC200))),"")</f>
        <v/>
      </c>
      <c r="AF200" s="108" t="str">
        <f t="shared" si="3"/>
        <v/>
      </c>
      <c r="AG200" s="108" t="str">
        <f t="array" ref="AG200">IF(ISNUMBER(AC200),INDEX('All Player Data Store'!$K$8:$K$594,SMALL(IF('All Player Data Store'!$Y$7:$Y$594=AC200,ROW('All Player Data Store'!$Y$7:$Y$594)-ROW('All Player Data Store'!$Y$7)+1),COUNTIF($AC$8:AC200,AC200))),"")</f>
        <v/>
      </c>
      <c r="AH200" s="108" t="str">
        <f t="shared" si="4"/>
        <v/>
      </c>
      <c r="AI200" s="108" t="str">
        <f t="array" ref="AI200">IF(ISNUMBER(AC200),INDEX('All Player Data Store'!$L$8:$L$594,SMALL(IF('All Player Data Store'!$Y$7:$Y$594=AC200,ROW('All Player Data Store'!$Y$7:$Y$594)-ROW('All Player Data Store'!$Y$7)+1),COUNTIF($AC$8:AC200,AC200))),"")</f>
        <v/>
      </c>
      <c r="AJ200" s="108" t="str">
        <f t="shared" si="5"/>
        <v/>
      </c>
      <c r="AK200" s="108" t="str">
        <f t="array" ref="AK200">IF(ISNUMBER(AC200),INDEX('All Player Data Store'!$M$8:$M$594,SMALL(IF('All Player Data Store'!$Y$7:$Y$594=AC200,ROW('All Player Data Store'!$Y$7:$Y$594)-ROW('All Player Data Store'!$Y$7)+1),COUNTIF($AC$8:AC200,AC200))),"")</f>
        <v/>
      </c>
      <c r="AL200" s="108" t="str">
        <f t="shared" si="6"/>
        <v/>
      </c>
      <c r="AM200" s="108" t="str">
        <f t="array" ref="AM200">IF(ISNUMBER(AC200),INDEX('All Player Data Store'!$N$8:$N$594,SMALL(IF('All Player Data Store'!$Y$7:$Y$594=AC200,ROW('All Player Data Store'!$Y$7:$Y$594)-ROW('All Player Data Store'!$Y$7)+1),COUNTIF($AC$8:AC200,AC200))),"")</f>
        <v/>
      </c>
      <c r="AN200" s="108" t="str">
        <f t="shared" si="7"/>
        <v/>
      </c>
      <c r="AO200" s="108" t="str">
        <f t="array" ref="AO200">IF(ISNUMBER(AC200),INDEX('All Player Data Store'!$O$8:$O$594,SMALL(IF('All Player Data Store'!$Y$7:$Y$594=AC200,ROW('All Player Data Store'!$Y$7:$Y$594)-ROW('All Player Data Store'!$Y$7)+1),COUNTIF($AC$8:AC200,AC200))),"")</f>
        <v/>
      </c>
      <c r="AP200" s="108" t="str">
        <f t="shared" si="8"/>
        <v/>
      </c>
      <c r="AQ200" s="108" t="str">
        <f t="array" ref="AQ200">IF(ISNUMBER(AC200),INDEX('All Player Data Store'!$P$8:$P$594,SMALL(IF('All Player Data Store'!$Y$7:$Y$594=AC200,ROW('All Player Data Store'!$Y$7:$Y$594)-ROW('All Player Data Store'!$Y$7)+1),COUNTIF($AC$8:AC200,AC200))),"")</f>
        <v/>
      </c>
      <c r="AR200" s="108" t="str">
        <f t="shared" si="9"/>
        <v/>
      </c>
      <c r="AS200" s="108" t="str">
        <f t="array" ref="AS200">IF(ISNUMBER(AC200),INDEX('All Player Data Store'!$Q$8:$Q$594,SMALL(IF('All Player Data Store'!$Y$7:$Y$594=AC200,ROW('All Player Data Store'!$Y$7:$Y$594)-ROW('All Player Data Store'!$Y$7)+1),COUNTIF($AC$8:AC200,AC200))),"")</f>
        <v/>
      </c>
      <c r="AT200" s="108" t="str">
        <f t="shared" si="10"/>
        <v/>
      </c>
      <c r="AU200" s="108" t="str">
        <f t="array" ref="AU200">IF(ISNUMBER(AC200),INDEX('All Player Data Store'!$R$8:$R$594,SMALL(IF('All Player Data Store'!$Y$7:$Y$594=AC200,ROW('All Player Data Store'!$Y$7:$Y$594)-ROW('All Player Data Store'!$Y$7)+1),COUNTIF($AC$8:AC200,AC200))),"")</f>
        <v/>
      </c>
      <c r="AV200" s="108" t="str">
        <f t="shared" si="11"/>
        <v/>
      </c>
      <c r="AW200" s="108" t="str">
        <f t="array" ref="AW200">IF(ISNUMBER(AC200),INDEX('All Player Data Store'!$S$8:$S$594,SMALL(IF('All Player Data Store'!$Y$7:$Y$594=AC200,ROW('All Player Data Store'!$Y$7:$Y$594)-ROW('All Player Data Store'!$Y$7)+1),COUNTIF($AC$8:AC200,AC200))),"")</f>
        <v/>
      </c>
      <c r="AX200" s="108" t="str">
        <f t="shared" si="12"/>
        <v/>
      </c>
      <c r="AY200" s="108" t="str">
        <f t="array" ref="AY200">IF(ISNUMBER(AC200),INDEX('All Player Data Store'!$T$8:$T$594,SMALL(IF('All Player Data Store'!$Y$7:$Y$594=AC200,ROW('All Player Data Store'!$Y$7:$Y$594)-ROW('All Player Data Store'!$Y$7)+1),COUNTIF($AC$8:AC200,AC200))),"")</f>
        <v/>
      </c>
      <c r="AZ200" s="108" t="str">
        <f t="shared" si="13"/>
        <v/>
      </c>
      <c r="BA200" s="108" t="str">
        <f t="array" ref="BA200">IF(ISNUMBER(AC200),INDEX('All Player Data Store'!$U$8:$U$594,SMALL(IF('All Player Data Store'!$Y$7:$Y$594=AC200,ROW('All Player Data Store'!$Y$7:$Y$594)-ROW('All Player Data Store'!$Y$7)+1),COUNTIF($AC$8:AC200,AC200))),"")</f>
        <v/>
      </c>
      <c r="BB200" s="108" t="str">
        <f t="shared" si="14"/>
        <v/>
      </c>
      <c r="BC200" s="108" t="str">
        <f t="array" ref="BC200">IF(ISNUMBER(AC200),INDEX('All Player Data Store'!$V$8:$V$594,SMALL(IF('All Player Data Store'!$Y$7:$Y$594=AC200,ROW('All Player Data Store'!$Y$7:$Y$594)-ROW('All Player Data Store'!$Y$7)+1),COUNTIF($AC$8:AC200,AC200))),"")</f>
        <v/>
      </c>
      <c r="BD200" s="108" t="str">
        <f t="shared" si="15"/>
        <v/>
      </c>
      <c r="BE200" s="1"/>
    </row>
    <row r="201" spans="2:57" ht="12" customHeight="1" x14ac:dyDescent="0.2">
      <c r="B201" s="98" t="str">
        <f t="shared" si="0"/>
        <v/>
      </c>
      <c r="C201" s="1"/>
      <c r="D201" s="68" t="str">
        <f t="shared" si="1"/>
        <v/>
      </c>
      <c r="E201" s="2"/>
      <c r="F201" s="78">
        <v>194</v>
      </c>
      <c r="G201" s="110" t="str">
        <f t="array" ref="G201">IF(ISNUMBER(AC201),INDEX('All Player Data Store'!$C$7:$C$594,SMALL(IF('All Player Data Store'!$Y$7:$Y$594=AC201,ROW('All Player Data Store'!$Y$7:$Y$594)-ROW('All Player Data Store'!$Y$7)+1),COUNTIF($AC$8:AC201,AC201))),"")</f>
        <v/>
      </c>
      <c r="H201" s="68" t="str">
        <f t="array" ref="H201">IF(ISNUMBER(AC201),INDEX('All Player Data Store'!$D$7:$D$594,SMALL(IF('All Player Data Store'!$Y$7:$Y$594=AC201,ROW('All Player Data Store'!$Y$7:$Y$594)-ROW('All Player Data Store'!$Y$7)+1),COUNTIF($AC$8:AC201,AC201))),"")</f>
        <v/>
      </c>
      <c r="I201" s="69" t="str">
        <f t="array" ref="I201">IF(ISNUMBER(AC201),INDEX('All Player Data Store'!$E$7:$E$594,SMALL(IF('All Player Data Store'!$Y$7:$Y$594=AC201,ROW('All Player Data Store'!$Y$7:$Y$594)-ROW('All Player Data Store'!$Y$7)+1),COUNTIF($AC$8:AC201,AC201))),"")</f>
        <v/>
      </c>
      <c r="J201" s="70" t="str">
        <f t="array" ref="J201">IF(ISNUMBER(AC201),INDEX('All Player Data Store'!$F$7:$F$594,SMALL(IF('All Player Data Store'!$Y$7:$Y$594=AC201,ROW('All Player Data Store'!$Y$7:$Y$594)-ROW('All Player Data Store'!$Y$7)+1),COUNTIF($AC$8:AC201,AC201))),"")</f>
        <v/>
      </c>
      <c r="K201" s="70" t="str">
        <f t="array" ref="K201">IF(ISNUMBER(AC201),INDEX('All Player Data Store'!$G$7:$G$594,SMALL(IF('All Player Data Store'!$Y$7:$Y$594=AC201,ROW('All Player Data Store'!$Y$7:$Y$594)-ROW('All Player Data Store'!$Y$7)+1),COUNTIF($AC$8:AC201,AC201))),"")</f>
        <v/>
      </c>
      <c r="L201" s="70" t="str">
        <f t="array" ref="L201">IF(ISNUMBER(AC201),INDEX('All Player Data Store'!$H$7:$H$594,SMALL(IF('All Player Data Store'!$Y$7:$Y$594=AC201,ROW('All Player Data Store'!$Y$7:$Y$594)-ROW('All Player Data Store'!$Y$7)+1),COUNTIF($AC$8:AC201,AC201))),"")</f>
        <v/>
      </c>
      <c r="M201" s="72" t="str">
        <f t="array" ref="M201">IF(ISNUMBER(AC201),INDEX('All Player Data Store'!$I$7:$I$594,SMALL(IF('All Player Data Store'!$Y$7:$Y$594=AC201,ROW('All Player Data Store'!$Y$7:$Y$594)-ROW('All Player Data Store'!$Y$7)+1),COUNTIF($AC$8:AC201,AC201))),"")</f>
        <v/>
      </c>
      <c r="N201" s="114" t="str">
        <f t="array" ref="N201">IF(ISNUMBER(AC201),INDEX('All Player Data Store'!$J$7:$J$594,SMALL(IF('All Player Data Store'!$Y$7:$Y$594=AC201,ROW('All Player Data Store'!$Y$7:$Y$594)-ROW('All Player Data Store'!$Y$7)+1),COUNTIF($AC$8:AC201,AC201))),"")</f>
        <v/>
      </c>
      <c r="O201" s="108" t="str">
        <f t="array" ref="O201">IF(ISNUMBER(AC201),INDEX('All Player Data Store'!$K$7:$K$594,SMALL(IF('All Player Data Store'!$Y$7:$Y$594=AC201,ROW('All Player Data Store'!$Y$7:$Y$594)-ROW('All Player Data Store'!$Y$7)+1),COUNTIF($AC$8:AC201,AC201))),"")</f>
        <v/>
      </c>
      <c r="P201" s="108" t="str">
        <f t="array" ref="P201">IF(ISNUMBER(AC201),INDEX('All Player Data Store'!$L$7:$L$594,SMALL(IF('All Player Data Store'!$Y$7:$Y$594=AC201,ROW('All Player Data Store'!$Y$7:$Y$594)-ROW('All Player Data Store'!$Y$7)+1),COUNTIF($AC$8:AC201,AC201))),"")</f>
        <v/>
      </c>
      <c r="Q201" s="108" t="str">
        <f t="array" ref="Q201">IF(ISNUMBER(AC201),INDEX('All Player Data Store'!$M$7:$M$594,SMALL(IF('All Player Data Store'!$Y$7:$Y$594=AC201,ROW('All Player Data Store'!$Y$7:$Y$594)-ROW('All Player Data Store'!$Y$7)+1),COUNTIF($AC$8:AC201,AC201))),"")</f>
        <v/>
      </c>
      <c r="R201" s="108" t="str">
        <f t="array" ref="R201">IF(ISNUMBER(AC201),INDEX('All Player Data Store'!$N$7:$N$594,SMALL(IF('All Player Data Store'!$Y$7:$Y$594=AC201,ROW('All Player Data Store'!$Y$7:$Y$594)-ROW('All Player Data Store'!$Y$7)+1),COUNTIF($AC$8:AC201,AC201))),"")</f>
        <v/>
      </c>
      <c r="S201" s="108" t="str">
        <f t="array" ref="S201">IF(ISNUMBER(AC201),INDEX('All Player Data Store'!$O$7:$O$594,SMALL(IF('All Player Data Store'!$Y$7:$Y$594=AC201,ROW('All Player Data Store'!$Y$7:$Y$594)-ROW('All Player Data Store'!$Y$7)+1),COUNTIF($AC$8:AC201,AC201))),"")</f>
        <v/>
      </c>
      <c r="T201" s="108" t="str">
        <f t="array" ref="T201">IF(ISNUMBER(AC201),INDEX('All Player Data Store'!$P$7:$P$594,SMALL(IF('All Player Data Store'!$Y$7:$Y$594=AC201,ROW('All Player Data Store'!$Y$7:$Y$594)-ROW('All Player Data Store'!$Y$7)+1),COUNTIF($AC$8:AC201,AC201))),"")</f>
        <v/>
      </c>
      <c r="U201" s="108" t="str">
        <f t="array" ref="U201">IF(ISNUMBER(AC201),INDEX('All Player Data Store'!$Q$7:$Q$594,SMALL(IF('All Player Data Store'!$Y$7:$Y$594=AC201,ROW('All Player Data Store'!$Y$7:$Y$594)-ROW('All Player Data Store'!$Y$7)+1),COUNTIF($AC$8:AC201,AC201))),"")</f>
        <v/>
      </c>
      <c r="V201" s="108" t="str">
        <f t="array" ref="V201">IF(ISNUMBER(AC201),INDEX('All Player Data Store'!$R$7:$R$594,SMALL(IF('All Player Data Store'!$Y$7:$Y$594=AC201,ROW('All Player Data Store'!$Y$7:$Y$594)-ROW('All Player Data Store'!$Y$7)+1),COUNTIF($AC$8:AC201,AC201))),"")</f>
        <v/>
      </c>
      <c r="W201" s="108" t="str">
        <f t="array" ref="W201">IF(ISNUMBER(AC201),INDEX('All Player Data Store'!$S$7:$S$594,SMALL(IF('All Player Data Store'!$Y$7:$Y$594=AC201,ROW('All Player Data Store'!$Y$7:$Y$594)-ROW('All Player Data Store'!$Y$7)+1),COUNTIF($AC$8:AC201,AC201))),"")</f>
        <v/>
      </c>
      <c r="X201" s="108" t="str">
        <f t="array" ref="X201">IF(ISNUMBER(AC201),INDEX('All Player Data Store'!$T$7:$T$594,SMALL(IF('All Player Data Store'!$Y$7:$Y$594=AC201,ROW('All Player Data Store'!$Y$7:$Y$594)-ROW('All Player Data Store'!$Y$7)+1),COUNTIF($AC$8:AC201,AC201))),"")</f>
        <v/>
      </c>
      <c r="Y201" s="108" t="str">
        <f t="array" ref="Y201">IF(ISNUMBER(AC201),INDEX('All Player Data Store'!$U$7:$U$594,SMALL(IF('All Player Data Store'!$Y$7:$Y$594=AC201,ROW('All Player Data Store'!$Y$7:$Y$594)-ROW('All Player Data Store'!$Y$7)+1),COUNTIF($AC$8:AC201,AC201))),"")</f>
        <v/>
      </c>
      <c r="Z201" s="108" t="str">
        <f t="array" ref="Z201">IF(ISNUMBER(AC201),INDEX('All Player Data Store'!$V$7:$V$594,SMALL(IF('All Player Data Store'!$Y$7:$Y$594=AC201,ROW('All Player Data Store'!$Y$7:$Y$594)-ROW('All Player Data Store'!$Y$7)+1),COUNTIF($AC$8:AC201,AC201))),"")</f>
        <v/>
      </c>
      <c r="AA201" s="112" t="str">
        <f t="array" ref="AA201">IF(ISNUMBER(AC201),INDEX('All Player Data Store'!$W$7:$W$594,SMALL(IF('All Player Data Store'!$Y$7:$Y$594=AC201,ROW('All Player Data Store'!$Y$7:$Y$594)-ROW('All Player Data Store'!$Y$7)+1),COUNTIF($AC$8:AC201,AC201))),"")</f>
        <v/>
      </c>
      <c r="AB201" s="108" t="str">
        <f t="array" ref="AB201">IF(ISNUMBER(AC201),INDEX('All Player Data Store'!$X$7:$X$594,SMALL(IF('All Player Data Store'!$Y$7:$Y$594=AC201,ROW('All Player Data Store'!$Y$7:$Y$594)-ROW('All Player Data Store'!$Y$7)+1),COUNTIF($AC$8:AC201,AC201))),"")</f>
        <v/>
      </c>
      <c r="AC201" s="115" t="str">
        <f>IF(ISERROR(IF(ISERROR(LARGE('All Player Data Store'!$Y$7:$Y$594,194)),"",(LARGE('All Player Data Store'!$Y$7:$Y$594,194)))),"",(IF(ISERROR(LARGE('All Player Data Store'!$Y$7:$Y$594,194)),"",(LARGE('All Player Data Store'!$Y$7:$Y$594,194)))))</f>
        <v/>
      </c>
      <c r="AD201" s="106">
        <f t="shared" si="16"/>
        <v>1</v>
      </c>
      <c r="AE201" s="107" t="str">
        <f t="array" ref="AE201">IF(ISNUMBER(AC201),INDEX('All Player Data Store'!$J$8:$J$594,SMALL(IF('All Player Data Store'!$Y$7:$Y$594=AC201,ROW('All Player Data Store'!$Y$7:$Y$594)-ROW('All Player Data Store'!$Y$7)+1),COUNTIF($AC$8:AC201,AC201))),"")</f>
        <v/>
      </c>
      <c r="AF201" s="108" t="str">
        <f t="shared" si="3"/>
        <v/>
      </c>
      <c r="AG201" s="108" t="str">
        <f t="array" ref="AG201">IF(ISNUMBER(AC201),INDEX('All Player Data Store'!$K$8:$K$594,SMALL(IF('All Player Data Store'!$Y$7:$Y$594=AC201,ROW('All Player Data Store'!$Y$7:$Y$594)-ROW('All Player Data Store'!$Y$7)+1),COUNTIF($AC$8:AC201,AC201))),"")</f>
        <v/>
      </c>
      <c r="AH201" s="108" t="str">
        <f t="shared" si="4"/>
        <v/>
      </c>
      <c r="AI201" s="108" t="str">
        <f t="array" ref="AI201">IF(ISNUMBER(AC201),INDEX('All Player Data Store'!$L$8:$L$594,SMALL(IF('All Player Data Store'!$Y$7:$Y$594=AC201,ROW('All Player Data Store'!$Y$7:$Y$594)-ROW('All Player Data Store'!$Y$7)+1),COUNTIF($AC$8:AC201,AC201))),"")</f>
        <v/>
      </c>
      <c r="AJ201" s="108" t="str">
        <f t="shared" si="5"/>
        <v/>
      </c>
      <c r="AK201" s="108" t="str">
        <f t="array" ref="AK201">IF(ISNUMBER(AC201),INDEX('All Player Data Store'!$M$8:$M$594,SMALL(IF('All Player Data Store'!$Y$7:$Y$594=AC201,ROW('All Player Data Store'!$Y$7:$Y$594)-ROW('All Player Data Store'!$Y$7)+1),COUNTIF($AC$8:AC201,AC201))),"")</f>
        <v/>
      </c>
      <c r="AL201" s="108" t="str">
        <f t="shared" si="6"/>
        <v/>
      </c>
      <c r="AM201" s="108" t="str">
        <f t="array" ref="AM201">IF(ISNUMBER(AC201),INDEX('All Player Data Store'!$N$8:$N$594,SMALL(IF('All Player Data Store'!$Y$7:$Y$594=AC201,ROW('All Player Data Store'!$Y$7:$Y$594)-ROW('All Player Data Store'!$Y$7)+1),COUNTIF($AC$8:AC201,AC201))),"")</f>
        <v/>
      </c>
      <c r="AN201" s="108" t="str">
        <f t="shared" si="7"/>
        <v/>
      </c>
      <c r="AO201" s="108" t="str">
        <f t="array" ref="AO201">IF(ISNUMBER(AC201),INDEX('All Player Data Store'!$O$8:$O$594,SMALL(IF('All Player Data Store'!$Y$7:$Y$594=AC201,ROW('All Player Data Store'!$Y$7:$Y$594)-ROW('All Player Data Store'!$Y$7)+1),COUNTIF($AC$8:AC201,AC201))),"")</f>
        <v/>
      </c>
      <c r="AP201" s="108" t="str">
        <f t="shared" si="8"/>
        <v/>
      </c>
      <c r="AQ201" s="108" t="str">
        <f t="array" ref="AQ201">IF(ISNUMBER(AC201),INDEX('All Player Data Store'!$P$8:$P$594,SMALL(IF('All Player Data Store'!$Y$7:$Y$594=AC201,ROW('All Player Data Store'!$Y$7:$Y$594)-ROW('All Player Data Store'!$Y$7)+1),COUNTIF($AC$8:AC201,AC201))),"")</f>
        <v/>
      </c>
      <c r="AR201" s="108" t="str">
        <f t="shared" si="9"/>
        <v/>
      </c>
      <c r="AS201" s="108" t="str">
        <f t="array" ref="AS201">IF(ISNUMBER(AC201),INDEX('All Player Data Store'!$Q$8:$Q$594,SMALL(IF('All Player Data Store'!$Y$7:$Y$594=AC201,ROW('All Player Data Store'!$Y$7:$Y$594)-ROW('All Player Data Store'!$Y$7)+1),COUNTIF($AC$8:AC201,AC201))),"")</f>
        <v/>
      </c>
      <c r="AT201" s="108" t="str">
        <f t="shared" si="10"/>
        <v/>
      </c>
      <c r="AU201" s="108" t="str">
        <f t="array" ref="AU201">IF(ISNUMBER(AC201),INDEX('All Player Data Store'!$R$8:$R$594,SMALL(IF('All Player Data Store'!$Y$7:$Y$594=AC201,ROW('All Player Data Store'!$Y$7:$Y$594)-ROW('All Player Data Store'!$Y$7)+1),COUNTIF($AC$8:AC201,AC201))),"")</f>
        <v/>
      </c>
      <c r="AV201" s="108" t="str">
        <f t="shared" si="11"/>
        <v/>
      </c>
      <c r="AW201" s="108" t="str">
        <f t="array" ref="AW201">IF(ISNUMBER(AC201),INDEX('All Player Data Store'!$S$8:$S$594,SMALL(IF('All Player Data Store'!$Y$7:$Y$594=AC201,ROW('All Player Data Store'!$Y$7:$Y$594)-ROW('All Player Data Store'!$Y$7)+1),COUNTIF($AC$8:AC201,AC201))),"")</f>
        <v/>
      </c>
      <c r="AX201" s="108" t="str">
        <f t="shared" si="12"/>
        <v/>
      </c>
      <c r="AY201" s="108" t="str">
        <f t="array" ref="AY201">IF(ISNUMBER(AC201),INDEX('All Player Data Store'!$T$8:$T$594,SMALL(IF('All Player Data Store'!$Y$7:$Y$594=AC201,ROW('All Player Data Store'!$Y$7:$Y$594)-ROW('All Player Data Store'!$Y$7)+1),COUNTIF($AC$8:AC201,AC201))),"")</f>
        <v/>
      </c>
      <c r="AZ201" s="108" t="str">
        <f t="shared" si="13"/>
        <v/>
      </c>
      <c r="BA201" s="108" t="str">
        <f t="array" ref="BA201">IF(ISNUMBER(AC201),INDEX('All Player Data Store'!$U$8:$U$594,SMALL(IF('All Player Data Store'!$Y$7:$Y$594=AC201,ROW('All Player Data Store'!$Y$7:$Y$594)-ROW('All Player Data Store'!$Y$7)+1),COUNTIF($AC$8:AC201,AC201))),"")</f>
        <v/>
      </c>
      <c r="BB201" s="108" t="str">
        <f t="shared" si="14"/>
        <v/>
      </c>
      <c r="BC201" s="108" t="str">
        <f t="array" ref="BC201">IF(ISNUMBER(AC201),INDEX('All Player Data Store'!$V$8:$V$594,SMALL(IF('All Player Data Store'!$Y$7:$Y$594=AC201,ROW('All Player Data Store'!$Y$7:$Y$594)-ROW('All Player Data Store'!$Y$7)+1),COUNTIF($AC$8:AC201,AC201))),"")</f>
        <v/>
      </c>
      <c r="BD201" s="108" t="str">
        <f t="shared" si="15"/>
        <v/>
      </c>
      <c r="BE201" s="1"/>
    </row>
    <row r="202" spans="2:57" ht="12" customHeight="1" x14ac:dyDescent="0.2">
      <c r="B202" s="98" t="str">
        <f t="shared" si="0"/>
        <v/>
      </c>
      <c r="C202" s="1"/>
      <c r="D202" s="68" t="str">
        <f t="shared" si="1"/>
        <v/>
      </c>
      <c r="E202" s="2"/>
      <c r="F202" s="78">
        <v>195</v>
      </c>
      <c r="G202" s="110" t="str">
        <f t="array" ref="G202">IF(ISNUMBER(AC202),INDEX('All Player Data Store'!$C$7:$C$594,SMALL(IF('All Player Data Store'!$Y$7:$Y$594=AC202,ROW('All Player Data Store'!$Y$7:$Y$594)-ROW('All Player Data Store'!$Y$7)+1),COUNTIF($AC$8:AC202,AC202))),"")</f>
        <v/>
      </c>
      <c r="H202" s="68" t="str">
        <f t="array" ref="H202">IF(ISNUMBER(AC202),INDEX('All Player Data Store'!$D$7:$D$594,SMALL(IF('All Player Data Store'!$Y$7:$Y$594=AC202,ROW('All Player Data Store'!$Y$7:$Y$594)-ROW('All Player Data Store'!$Y$7)+1),COUNTIF($AC$8:AC202,AC202))),"")</f>
        <v/>
      </c>
      <c r="I202" s="69" t="str">
        <f t="array" ref="I202">IF(ISNUMBER(AC202),INDEX('All Player Data Store'!$E$7:$E$594,SMALL(IF('All Player Data Store'!$Y$7:$Y$594=AC202,ROW('All Player Data Store'!$Y$7:$Y$594)-ROW('All Player Data Store'!$Y$7)+1),COUNTIF($AC$8:AC202,AC202))),"")</f>
        <v/>
      </c>
      <c r="J202" s="70" t="str">
        <f t="array" ref="J202">IF(ISNUMBER(AC202),INDEX('All Player Data Store'!$F$7:$F$594,SMALL(IF('All Player Data Store'!$Y$7:$Y$594=AC202,ROW('All Player Data Store'!$Y$7:$Y$594)-ROW('All Player Data Store'!$Y$7)+1),COUNTIF($AC$8:AC202,AC202))),"")</f>
        <v/>
      </c>
      <c r="K202" s="70" t="str">
        <f t="array" ref="K202">IF(ISNUMBER(AC202),INDEX('All Player Data Store'!$G$7:$G$594,SMALL(IF('All Player Data Store'!$Y$7:$Y$594=AC202,ROW('All Player Data Store'!$Y$7:$Y$594)-ROW('All Player Data Store'!$Y$7)+1),COUNTIF($AC$8:AC202,AC202))),"")</f>
        <v/>
      </c>
      <c r="L202" s="70" t="str">
        <f t="array" ref="L202">IF(ISNUMBER(AC202),INDEX('All Player Data Store'!$H$7:$H$594,SMALL(IF('All Player Data Store'!$Y$7:$Y$594=AC202,ROW('All Player Data Store'!$Y$7:$Y$594)-ROW('All Player Data Store'!$Y$7)+1),COUNTIF($AC$8:AC202,AC202))),"")</f>
        <v/>
      </c>
      <c r="M202" s="72" t="str">
        <f t="array" ref="M202">IF(ISNUMBER(AC202),INDEX('All Player Data Store'!$I$7:$I$594,SMALL(IF('All Player Data Store'!$Y$7:$Y$594=AC202,ROW('All Player Data Store'!$Y$7:$Y$594)-ROW('All Player Data Store'!$Y$7)+1),COUNTIF($AC$8:AC202,AC202))),"")</f>
        <v/>
      </c>
      <c r="N202" s="114" t="str">
        <f t="array" ref="N202">IF(ISNUMBER(AC202),INDEX('All Player Data Store'!$J$7:$J$594,SMALL(IF('All Player Data Store'!$Y$7:$Y$594=AC202,ROW('All Player Data Store'!$Y$7:$Y$594)-ROW('All Player Data Store'!$Y$7)+1),COUNTIF($AC$8:AC202,AC202))),"")</f>
        <v/>
      </c>
      <c r="O202" s="108" t="str">
        <f t="array" ref="O202">IF(ISNUMBER(AC202),INDEX('All Player Data Store'!$K$7:$K$594,SMALL(IF('All Player Data Store'!$Y$7:$Y$594=AC202,ROW('All Player Data Store'!$Y$7:$Y$594)-ROW('All Player Data Store'!$Y$7)+1),COUNTIF($AC$8:AC202,AC202))),"")</f>
        <v/>
      </c>
      <c r="P202" s="108" t="str">
        <f t="array" ref="P202">IF(ISNUMBER(AC202),INDEX('All Player Data Store'!$L$7:$L$594,SMALL(IF('All Player Data Store'!$Y$7:$Y$594=AC202,ROW('All Player Data Store'!$Y$7:$Y$594)-ROW('All Player Data Store'!$Y$7)+1),COUNTIF($AC$8:AC202,AC202))),"")</f>
        <v/>
      </c>
      <c r="Q202" s="108" t="str">
        <f t="array" ref="Q202">IF(ISNUMBER(AC202),INDEX('All Player Data Store'!$M$7:$M$594,SMALL(IF('All Player Data Store'!$Y$7:$Y$594=AC202,ROW('All Player Data Store'!$Y$7:$Y$594)-ROW('All Player Data Store'!$Y$7)+1),COUNTIF($AC$8:AC202,AC202))),"")</f>
        <v/>
      </c>
      <c r="R202" s="108" t="str">
        <f t="array" ref="R202">IF(ISNUMBER(AC202),INDEX('All Player Data Store'!$N$7:$N$594,SMALL(IF('All Player Data Store'!$Y$7:$Y$594=AC202,ROW('All Player Data Store'!$Y$7:$Y$594)-ROW('All Player Data Store'!$Y$7)+1),COUNTIF($AC$8:AC202,AC202))),"")</f>
        <v/>
      </c>
      <c r="S202" s="108" t="str">
        <f t="array" ref="S202">IF(ISNUMBER(AC202),INDEX('All Player Data Store'!$O$7:$O$594,SMALL(IF('All Player Data Store'!$Y$7:$Y$594=AC202,ROW('All Player Data Store'!$Y$7:$Y$594)-ROW('All Player Data Store'!$Y$7)+1),COUNTIF($AC$8:AC202,AC202))),"")</f>
        <v/>
      </c>
      <c r="T202" s="108" t="str">
        <f t="array" ref="T202">IF(ISNUMBER(AC202),INDEX('All Player Data Store'!$P$7:$P$594,SMALL(IF('All Player Data Store'!$Y$7:$Y$594=AC202,ROW('All Player Data Store'!$Y$7:$Y$594)-ROW('All Player Data Store'!$Y$7)+1),COUNTIF($AC$8:AC202,AC202))),"")</f>
        <v/>
      </c>
      <c r="U202" s="108" t="str">
        <f t="array" ref="U202">IF(ISNUMBER(AC202),INDEX('All Player Data Store'!$Q$7:$Q$594,SMALL(IF('All Player Data Store'!$Y$7:$Y$594=AC202,ROW('All Player Data Store'!$Y$7:$Y$594)-ROW('All Player Data Store'!$Y$7)+1),COUNTIF($AC$8:AC202,AC202))),"")</f>
        <v/>
      </c>
      <c r="V202" s="108" t="str">
        <f t="array" ref="V202">IF(ISNUMBER(AC202),INDEX('All Player Data Store'!$R$7:$R$594,SMALL(IF('All Player Data Store'!$Y$7:$Y$594=AC202,ROW('All Player Data Store'!$Y$7:$Y$594)-ROW('All Player Data Store'!$Y$7)+1),COUNTIF($AC$8:AC202,AC202))),"")</f>
        <v/>
      </c>
      <c r="W202" s="108" t="str">
        <f t="array" ref="W202">IF(ISNUMBER(AC202),INDEX('All Player Data Store'!$S$7:$S$594,SMALL(IF('All Player Data Store'!$Y$7:$Y$594=AC202,ROW('All Player Data Store'!$Y$7:$Y$594)-ROW('All Player Data Store'!$Y$7)+1),COUNTIF($AC$8:AC202,AC202))),"")</f>
        <v/>
      </c>
      <c r="X202" s="108" t="str">
        <f t="array" ref="X202">IF(ISNUMBER(AC202),INDEX('All Player Data Store'!$T$7:$T$594,SMALL(IF('All Player Data Store'!$Y$7:$Y$594=AC202,ROW('All Player Data Store'!$Y$7:$Y$594)-ROW('All Player Data Store'!$Y$7)+1),COUNTIF($AC$8:AC202,AC202))),"")</f>
        <v/>
      </c>
      <c r="Y202" s="108" t="str">
        <f t="array" ref="Y202">IF(ISNUMBER(AC202),INDEX('All Player Data Store'!$U$7:$U$594,SMALL(IF('All Player Data Store'!$Y$7:$Y$594=AC202,ROW('All Player Data Store'!$Y$7:$Y$594)-ROW('All Player Data Store'!$Y$7)+1),COUNTIF($AC$8:AC202,AC202))),"")</f>
        <v/>
      </c>
      <c r="Z202" s="108" t="str">
        <f t="array" ref="Z202">IF(ISNUMBER(AC202),INDEX('All Player Data Store'!$V$7:$V$594,SMALL(IF('All Player Data Store'!$Y$7:$Y$594=AC202,ROW('All Player Data Store'!$Y$7:$Y$594)-ROW('All Player Data Store'!$Y$7)+1),COUNTIF($AC$8:AC202,AC202))),"")</f>
        <v/>
      </c>
      <c r="AA202" s="112" t="str">
        <f t="array" ref="AA202">IF(ISNUMBER(AC202),INDEX('All Player Data Store'!$W$7:$W$594,SMALL(IF('All Player Data Store'!$Y$7:$Y$594=AC202,ROW('All Player Data Store'!$Y$7:$Y$594)-ROW('All Player Data Store'!$Y$7)+1),COUNTIF($AC$8:AC202,AC202))),"")</f>
        <v/>
      </c>
      <c r="AB202" s="108" t="str">
        <f t="array" ref="AB202">IF(ISNUMBER(AC202),INDEX('All Player Data Store'!$X$7:$X$594,SMALL(IF('All Player Data Store'!$Y$7:$Y$594=AC202,ROW('All Player Data Store'!$Y$7:$Y$594)-ROW('All Player Data Store'!$Y$7)+1),COUNTIF($AC$8:AC202,AC202))),"")</f>
        <v/>
      </c>
      <c r="AC202" s="115" t="str">
        <f>IF(ISERROR(IF(ISERROR(LARGE('All Player Data Store'!$Y$7:$Y$594,195)),"",(LARGE('All Player Data Store'!$Y$7:$Y$594,195)))),"",(IF(ISERROR(LARGE('All Player Data Store'!$Y$7:$Y$594,195)),"",(LARGE('All Player Data Store'!$Y$7:$Y$594,195)))))</f>
        <v/>
      </c>
      <c r="AD202" s="106">
        <f t="shared" si="16"/>
        <v>1</v>
      </c>
      <c r="AE202" s="107" t="str">
        <f t="array" ref="AE202">IF(ISNUMBER(AC202),INDEX('All Player Data Store'!$J$8:$J$594,SMALL(IF('All Player Data Store'!$Y$7:$Y$594=AC202,ROW('All Player Data Store'!$Y$7:$Y$594)-ROW('All Player Data Store'!$Y$7)+1),COUNTIF($AC$8:AC202,AC202))),"")</f>
        <v/>
      </c>
      <c r="AF202" s="108" t="str">
        <f t="shared" si="3"/>
        <v/>
      </c>
      <c r="AG202" s="108" t="str">
        <f t="array" ref="AG202">IF(ISNUMBER(AC202),INDEX('All Player Data Store'!$K$8:$K$594,SMALL(IF('All Player Data Store'!$Y$7:$Y$594=AC202,ROW('All Player Data Store'!$Y$7:$Y$594)-ROW('All Player Data Store'!$Y$7)+1),COUNTIF($AC$8:AC202,AC202))),"")</f>
        <v/>
      </c>
      <c r="AH202" s="108" t="str">
        <f t="shared" si="4"/>
        <v/>
      </c>
      <c r="AI202" s="108" t="str">
        <f t="array" ref="AI202">IF(ISNUMBER(AC202),INDEX('All Player Data Store'!$L$8:$L$594,SMALL(IF('All Player Data Store'!$Y$7:$Y$594=AC202,ROW('All Player Data Store'!$Y$7:$Y$594)-ROW('All Player Data Store'!$Y$7)+1),COUNTIF($AC$8:AC202,AC202))),"")</f>
        <v/>
      </c>
      <c r="AJ202" s="108" t="str">
        <f t="shared" si="5"/>
        <v/>
      </c>
      <c r="AK202" s="108" t="str">
        <f t="array" ref="AK202">IF(ISNUMBER(AC202),INDEX('All Player Data Store'!$M$8:$M$594,SMALL(IF('All Player Data Store'!$Y$7:$Y$594=AC202,ROW('All Player Data Store'!$Y$7:$Y$594)-ROW('All Player Data Store'!$Y$7)+1),COUNTIF($AC$8:AC202,AC202))),"")</f>
        <v/>
      </c>
      <c r="AL202" s="108" t="str">
        <f t="shared" si="6"/>
        <v/>
      </c>
      <c r="AM202" s="108" t="str">
        <f t="array" ref="AM202">IF(ISNUMBER(AC202),INDEX('All Player Data Store'!$N$8:$N$594,SMALL(IF('All Player Data Store'!$Y$7:$Y$594=AC202,ROW('All Player Data Store'!$Y$7:$Y$594)-ROW('All Player Data Store'!$Y$7)+1),COUNTIF($AC$8:AC202,AC202))),"")</f>
        <v/>
      </c>
      <c r="AN202" s="108" t="str">
        <f t="shared" si="7"/>
        <v/>
      </c>
      <c r="AO202" s="108" t="str">
        <f t="array" ref="AO202">IF(ISNUMBER(AC202),INDEX('All Player Data Store'!$O$8:$O$594,SMALL(IF('All Player Data Store'!$Y$7:$Y$594=AC202,ROW('All Player Data Store'!$Y$7:$Y$594)-ROW('All Player Data Store'!$Y$7)+1),COUNTIF($AC$8:AC202,AC202))),"")</f>
        <v/>
      </c>
      <c r="AP202" s="108" t="str">
        <f t="shared" si="8"/>
        <v/>
      </c>
      <c r="AQ202" s="108" t="str">
        <f t="array" ref="AQ202">IF(ISNUMBER(AC202),INDEX('All Player Data Store'!$P$8:$P$594,SMALL(IF('All Player Data Store'!$Y$7:$Y$594=AC202,ROW('All Player Data Store'!$Y$7:$Y$594)-ROW('All Player Data Store'!$Y$7)+1),COUNTIF($AC$8:AC202,AC202))),"")</f>
        <v/>
      </c>
      <c r="AR202" s="108" t="str">
        <f t="shared" si="9"/>
        <v/>
      </c>
      <c r="AS202" s="108" t="str">
        <f t="array" ref="AS202">IF(ISNUMBER(AC202),INDEX('All Player Data Store'!$Q$8:$Q$594,SMALL(IF('All Player Data Store'!$Y$7:$Y$594=AC202,ROW('All Player Data Store'!$Y$7:$Y$594)-ROW('All Player Data Store'!$Y$7)+1),COUNTIF($AC$8:AC202,AC202))),"")</f>
        <v/>
      </c>
      <c r="AT202" s="108" t="str">
        <f t="shared" si="10"/>
        <v/>
      </c>
      <c r="AU202" s="108" t="str">
        <f t="array" ref="AU202">IF(ISNUMBER(AC202),INDEX('All Player Data Store'!$R$8:$R$594,SMALL(IF('All Player Data Store'!$Y$7:$Y$594=AC202,ROW('All Player Data Store'!$Y$7:$Y$594)-ROW('All Player Data Store'!$Y$7)+1),COUNTIF($AC$8:AC202,AC202))),"")</f>
        <v/>
      </c>
      <c r="AV202" s="108" t="str">
        <f t="shared" si="11"/>
        <v/>
      </c>
      <c r="AW202" s="108" t="str">
        <f t="array" ref="AW202">IF(ISNUMBER(AC202),INDEX('All Player Data Store'!$S$8:$S$594,SMALL(IF('All Player Data Store'!$Y$7:$Y$594=AC202,ROW('All Player Data Store'!$Y$7:$Y$594)-ROW('All Player Data Store'!$Y$7)+1),COUNTIF($AC$8:AC202,AC202))),"")</f>
        <v/>
      </c>
      <c r="AX202" s="108" t="str">
        <f t="shared" si="12"/>
        <v/>
      </c>
      <c r="AY202" s="108" t="str">
        <f t="array" ref="AY202">IF(ISNUMBER(AC202),INDEX('All Player Data Store'!$T$8:$T$594,SMALL(IF('All Player Data Store'!$Y$7:$Y$594=AC202,ROW('All Player Data Store'!$Y$7:$Y$594)-ROW('All Player Data Store'!$Y$7)+1),COUNTIF($AC$8:AC202,AC202))),"")</f>
        <v/>
      </c>
      <c r="AZ202" s="108" t="str">
        <f t="shared" si="13"/>
        <v/>
      </c>
      <c r="BA202" s="108" t="str">
        <f t="array" ref="BA202">IF(ISNUMBER(AC202),INDEX('All Player Data Store'!$U$8:$U$594,SMALL(IF('All Player Data Store'!$Y$7:$Y$594=AC202,ROW('All Player Data Store'!$Y$7:$Y$594)-ROW('All Player Data Store'!$Y$7)+1),COUNTIF($AC$8:AC202,AC202))),"")</f>
        <v/>
      </c>
      <c r="BB202" s="108" t="str">
        <f t="shared" si="14"/>
        <v/>
      </c>
      <c r="BC202" s="108" t="str">
        <f t="array" ref="BC202">IF(ISNUMBER(AC202),INDEX('All Player Data Store'!$V$8:$V$594,SMALL(IF('All Player Data Store'!$Y$7:$Y$594=AC202,ROW('All Player Data Store'!$Y$7:$Y$594)-ROW('All Player Data Store'!$Y$7)+1),COUNTIF($AC$8:AC202,AC202))),"")</f>
        <v/>
      </c>
      <c r="BD202" s="108" t="str">
        <f t="shared" si="15"/>
        <v/>
      </c>
      <c r="BE202" s="1"/>
    </row>
    <row r="203" spans="2:57" ht="12" customHeight="1" x14ac:dyDescent="0.2">
      <c r="B203" s="98" t="str">
        <f t="shared" si="0"/>
        <v/>
      </c>
      <c r="C203" s="1"/>
      <c r="D203" s="68" t="str">
        <f t="shared" si="1"/>
        <v/>
      </c>
      <c r="E203" s="2"/>
      <c r="F203" s="78">
        <v>196</v>
      </c>
      <c r="G203" s="110" t="str">
        <f t="array" ref="G203">IF(ISNUMBER(AC203),INDEX('All Player Data Store'!$C$7:$C$594,SMALL(IF('All Player Data Store'!$Y$7:$Y$594=AC203,ROW('All Player Data Store'!$Y$7:$Y$594)-ROW('All Player Data Store'!$Y$7)+1),COUNTIF($AC$8:AC203,AC203))),"")</f>
        <v/>
      </c>
      <c r="H203" s="68" t="str">
        <f t="array" ref="H203">IF(ISNUMBER(AC203),INDEX('All Player Data Store'!$D$7:$D$594,SMALL(IF('All Player Data Store'!$Y$7:$Y$594=AC203,ROW('All Player Data Store'!$Y$7:$Y$594)-ROW('All Player Data Store'!$Y$7)+1),COUNTIF($AC$8:AC203,AC203))),"")</f>
        <v/>
      </c>
      <c r="I203" s="69" t="str">
        <f t="array" ref="I203">IF(ISNUMBER(AC203),INDEX('All Player Data Store'!$E$7:$E$594,SMALL(IF('All Player Data Store'!$Y$7:$Y$594=AC203,ROW('All Player Data Store'!$Y$7:$Y$594)-ROW('All Player Data Store'!$Y$7)+1),COUNTIF($AC$8:AC203,AC203))),"")</f>
        <v/>
      </c>
      <c r="J203" s="70" t="str">
        <f t="array" ref="J203">IF(ISNUMBER(AC203),INDEX('All Player Data Store'!$F$7:$F$594,SMALL(IF('All Player Data Store'!$Y$7:$Y$594=AC203,ROW('All Player Data Store'!$Y$7:$Y$594)-ROW('All Player Data Store'!$Y$7)+1),COUNTIF($AC$8:AC203,AC203))),"")</f>
        <v/>
      </c>
      <c r="K203" s="70" t="str">
        <f t="array" ref="K203">IF(ISNUMBER(AC203),INDEX('All Player Data Store'!$G$7:$G$594,SMALL(IF('All Player Data Store'!$Y$7:$Y$594=AC203,ROW('All Player Data Store'!$Y$7:$Y$594)-ROW('All Player Data Store'!$Y$7)+1),COUNTIF($AC$8:AC203,AC203))),"")</f>
        <v/>
      </c>
      <c r="L203" s="70" t="str">
        <f t="array" ref="L203">IF(ISNUMBER(AC203),INDEX('All Player Data Store'!$H$7:$H$594,SMALL(IF('All Player Data Store'!$Y$7:$Y$594=AC203,ROW('All Player Data Store'!$Y$7:$Y$594)-ROW('All Player Data Store'!$Y$7)+1),COUNTIF($AC$8:AC203,AC203))),"")</f>
        <v/>
      </c>
      <c r="M203" s="72" t="str">
        <f t="array" ref="M203">IF(ISNUMBER(AC203),INDEX('All Player Data Store'!$I$7:$I$594,SMALL(IF('All Player Data Store'!$Y$7:$Y$594=AC203,ROW('All Player Data Store'!$Y$7:$Y$594)-ROW('All Player Data Store'!$Y$7)+1),COUNTIF($AC$8:AC203,AC203))),"")</f>
        <v/>
      </c>
      <c r="N203" s="114" t="str">
        <f t="array" ref="N203">IF(ISNUMBER(AC203),INDEX('All Player Data Store'!$J$7:$J$594,SMALL(IF('All Player Data Store'!$Y$7:$Y$594=AC203,ROW('All Player Data Store'!$Y$7:$Y$594)-ROW('All Player Data Store'!$Y$7)+1),COUNTIF($AC$8:AC203,AC203))),"")</f>
        <v/>
      </c>
      <c r="O203" s="108" t="str">
        <f t="array" ref="O203">IF(ISNUMBER(AC203),INDEX('All Player Data Store'!$K$7:$K$594,SMALL(IF('All Player Data Store'!$Y$7:$Y$594=AC203,ROW('All Player Data Store'!$Y$7:$Y$594)-ROW('All Player Data Store'!$Y$7)+1),COUNTIF($AC$8:AC203,AC203))),"")</f>
        <v/>
      </c>
      <c r="P203" s="108" t="str">
        <f t="array" ref="P203">IF(ISNUMBER(AC203),INDEX('All Player Data Store'!$L$7:$L$594,SMALL(IF('All Player Data Store'!$Y$7:$Y$594=AC203,ROW('All Player Data Store'!$Y$7:$Y$594)-ROW('All Player Data Store'!$Y$7)+1),COUNTIF($AC$8:AC203,AC203))),"")</f>
        <v/>
      </c>
      <c r="Q203" s="108" t="str">
        <f t="array" ref="Q203">IF(ISNUMBER(AC203),INDEX('All Player Data Store'!$M$7:$M$594,SMALL(IF('All Player Data Store'!$Y$7:$Y$594=AC203,ROW('All Player Data Store'!$Y$7:$Y$594)-ROW('All Player Data Store'!$Y$7)+1),COUNTIF($AC$8:AC203,AC203))),"")</f>
        <v/>
      </c>
      <c r="R203" s="108" t="str">
        <f t="array" ref="R203">IF(ISNUMBER(AC203),INDEX('All Player Data Store'!$N$7:$N$594,SMALL(IF('All Player Data Store'!$Y$7:$Y$594=AC203,ROW('All Player Data Store'!$Y$7:$Y$594)-ROW('All Player Data Store'!$Y$7)+1),COUNTIF($AC$8:AC203,AC203))),"")</f>
        <v/>
      </c>
      <c r="S203" s="108" t="str">
        <f t="array" ref="S203">IF(ISNUMBER(AC203),INDEX('All Player Data Store'!$O$7:$O$594,SMALL(IF('All Player Data Store'!$Y$7:$Y$594=AC203,ROW('All Player Data Store'!$Y$7:$Y$594)-ROW('All Player Data Store'!$Y$7)+1),COUNTIF($AC$8:AC203,AC203))),"")</f>
        <v/>
      </c>
      <c r="T203" s="108" t="str">
        <f t="array" ref="T203">IF(ISNUMBER(AC203),INDEX('All Player Data Store'!$P$7:$P$594,SMALL(IF('All Player Data Store'!$Y$7:$Y$594=AC203,ROW('All Player Data Store'!$Y$7:$Y$594)-ROW('All Player Data Store'!$Y$7)+1),COUNTIF($AC$8:AC203,AC203))),"")</f>
        <v/>
      </c>
      <c r="U203" s="108" t="str">
        <f t="array" ref="U203">IF(ISNUMBER(AC203),INDEX('All Player Data Store'!$Q$7:$Q$594,SMALL(IF('All Player Data Store'!$Y$7:$Y$594=AC203,ROW('All Player Data Store'!$Y$7:$Y$594)-ROW('All Player Data Store'!$Y$7)+1),COUNTIF($AC$8:AC203,AC203))),"")</f>
        <v/>
      </c>
      <c r="V203" s="108" t="str">
        <f t="array" ref="V203">IF(ISNUMBER(AC203),INDEX('All Player Data Store'!$R$7:$R$594,SMALL(IF('All Player Data Store'!$Y$7:$Y$594=AC203,ROW('All Player Data Store'!$Y$7:$Y$594)-ROW('All Player Data Store'!$Y$7)+1),COUNTIF($AC$8:AC203,AC203))),"")</f>
        <v/>
      </c>
      <c r="W203" s="108" t="str">
        <f t="array" ref="W203">IF(ISNUMBER(AC203),INDEX('All Player Data Store'!$S$7:$S$594,SMALL(IF('All Player Data Store'!$Y$7:$Y$594=AC203,ROW('All Player Data Store'!$Y$7:$Y$594)-ROW('All Player Data Store'!$Y$7)+1),COUNTIF($AC$8:AC203,AC203))),"")</f>
        <v/>
      </c>
      <c r="X203" s="108" t="str">
        <f t="array" ref="X203">IF(ISNUMBER(AC203),INDEX('All Player Data Store'!$T$7:$T$594,SMALL(IF('All Player Data Store'!$Y$7:$Y$594=AC203,ROW('All Player Data Store'!$Y$7:$Y$594)-ROW('All Player Data Store'!$Y$7)+1),COUNTIF($AC$8:AC203,AC203))),"")</f>
        <v/>
      </c>
      <c r="Y203" s="108" t="str">
        <f t="array" ref="Y203">IF(ISNUMBER(AC203),INDEX('All Player Data Store'!$U$7:$U$594,SMALL(IF('All Player Data Store'!$Y$7:$Y$594=AC203,ROW('All Player Data Store'!$Y$7:$Y$594)-ROW('All Player Data Store'!$Y$7)+1),COUNTIF($AC$8:AC203,AC203))),"")</f>
        <v/>
      </c>
      <c r="Z203" s="108" t="str">
        <f t="array" ref="Z203">IF(ISNUMBER(AC203),INDEX('All Player Data Store'!$V$7:$V$594,SMALL(IF('All Player Data Store'!$Y$7:$Y$594=AC203,ROW('All Player Data Store'!$Y$7:$Y$594)-ROW('All Player Data Store'!$Y$7)+1),COUNTIF($AC$8:AC203,AC203))),"")</f>
        <v/>
      </c>
      <c r="AA203" s="112" t="str">
        <f t="array" ref="AA203">IF(ISNUMBER(AC203),INDEX('All Player Data Store'!$W$7:$W$594,SMALL(IF('All Player Data Store'!$Y$7:$Y$594=AC203,ROW('All Player Data Store'!$Y$7:$Y$594)-ROW('All Player Data Store'!$Y$7)+1),COUNTIF($AC$8:AC203,AC203))),"")</f>
        <v/>
      </c>
      <c r="AB203" s="108" t="str">
        <f t="array" ref="AB203">IF(ISNUMBER(AC203),INDEX('All Player Data Store'!$X$7:$X$594,SMALL(IF('All Player Data Store'!$Y$7:$Y$594=AC203,ROW('All Player Data Store'!$Y$7:$Y$594)-ROW('All Player Data Store'!$Y$7)+1),COUNTIF($AC$8:AC203,AC203))),"")</f>
        <v/>
      </c>
      <c r="AC203" s="115" t="str">
        <f>IF(ISERROR(IF(ISERROR(LARGE('All Player Data Store'!$Y$7:$Y$594,196)),"",(LARGE('All Player Data Store'!$Y$7:$Y$594,196)))),"",(IF(ISERROR(LARGE('All Player Data Store'!$Y$7:$Y$594,196)),"",(LARGE('All Player Data Store'!$Y$7:$Y$594,196)))))</f>
        <v/>
      </c>
      <c r="AD203" s="106">
        <f t="shared" si="16"/>
        <v>1</v>
      </c>
      <c r="AE203" s="107" t="str">
        <f t="array" ref="AE203">IF(ISNUMBER(AC203),INDEX('All Player Data Store'!$J$8:$J$594,SMALL(IF('All Player Data Store'!$Y$7:$Y$594=AC203,ROW('All Player Data Store'!$Y$7:$Y$594)-ROW('All Player Data Store'!$Y$7)+1),COUNTIF($AC$8:AC203,AC203))),"")</f>
        <v/>
      </c>
      <c r="AF203" s="108" t="str">
        <f t="shared" si="3"/>
        <v/>
      </c>
      <c r="AG203" s="108" t="str">
        <f t="array" ref="AG203">IF(ISNUMBER(AC203),INDEX('All Player Data Store'!$K$8:$K$594,SMALL(IF('All Player Data Store'!$Y$7:$Y$594=AC203,ROW('All Player Data Store'!$Y$7:$Y$594)-ROW('All Player Data Store'!$Y$7)+1),COUNTIF($AC$8:AC203,AC203))),"")</f>
        <v/>
      </c>
      <c r="AH203" s="108" t="str">
        <f t="shared" si="4"/>
        <v/>
      </c>
      <c r="AI203" s="108" t="str">
        <f t="array" ref="AI203">IF(ISNUMBER(AC203),INDEX('All Player Data Store'!$L$8:$L$594,SMALL(IF('All Player Data Store'!$Y$7:$Y$594=AC203,ROW('All Player Data Store'!$Y$7:$Y$594)-ROW('All Player Data Store'!$Y$7)+1),COUNTIF($AC$8:AC203,AC203))),"")</f>
        <v/>
      </c>
      <c r="AJ203" s="108" t="str">
        <f t="shared" si="5"/>
        <v/>
      </c>
      <c r="AK203" s="108" t="str">
        <f t="array" ref="AK203">IF(ISNUMBER(AC203),INDEX('All Player Data Store'!$M$8:$M$594,SMALL(IF('All Player Data Store'!$Y$7:$Y$594=AC203,ROW('All Player Data Store'!$Y$7:$Y$594)-ROW('All Player Data Store'!$Y$7)+1),COUNTIF($AC$8:AC203,AC203))),"")</f>
        <v/>
      </c>
      <c r="AL203" s="108" t="str">
        <f t="shared" si="6"/>
        <v/>
      </c>
      <c r="AM203" s="108" t="str">
        <f t="array" ref="AM203">IF(ISNUMBER(AC203),INDEX('All Player Data Store'!$N$8:$N$594,SMALL(IF('All Player Data Store'!$Y$7:$Y$594=AC203,ROW('All Player Data Store'!$Y$7:$Y$594)-ROW('All Player Data Store'!$Y$7)+1),COUNTIF($AC$8:AC203,AC203))),"")</f>
        <v/>
      </c>
      <c r="AN203" s="108" t="str">
        <f t="shared" si="7"/>
        <v/>
      </c>
      <c r="AO203" s="108" t="str">
        <f t="array" ref="AO203">IF(ISNUMBER(AC203),INDEX('All Player Data Store'!$O$8:$O$594,SMALL(IF('All Player Data Store'!$Y$7:$Y$594=AC203,ROW('All Player Data Store'!$Y$7:$Y$594)-ROW('All Player Data Store'!$Y$7)+1),COUNTIF($AC$8:AC203,AC203))),"")</f>
        <v/>
      </c>
      <c r="AP203" s="108" t="str">
        <f t="shared" si="8"/>
        <v/>
      </c>
      <c r="AQ203" s="108" t="str">
        <f t="array" ref="AQ203">IF(ISNUMBER(AC203),INDEX('All Player Data Store'!$P$8:$P$594,SMALL(IF('All Player Data Store'!$Y$7:$Y$594=AC203,ROW('All Player Data Store'!$Y$7:$Y$594)-ROW('All Player Data Store'!$Y$7)+1),COUNTIF($AC$8:AC203,AC203))),"")</f>
        <v/>
      </c>
      <c r="AR203" s="108" t="str">
        <f t="shared" si="9"/>
        <v/>
      </c>
      <c r="AS203" s="108" t="str">
        <f t="array" ref="AS203">IF(ISNUMBER(AC203),INDEX('All Player Data Store'!$Q$8:$Q$594,SMALL(IF('All Player Data Store'!$Y$7:$Y$594=AC203,ROW('All Player Data Store'!$Y$7:$Y$594)-ROW('All Player Data Store'!$Y$7)+1),COUNTIF($AC$8:AC203,AC203))),"")</f>
        <v/>
      </c>
      <c r="AT203" s="108" t="str">
        <f t="shared" si="10"/>
        <v/>
      </c>
      <c r="AU203" s="108" t="str">
        <f t="array" ref="AU203">IF(ISNUMBER(AC203),INDEX('All Player Data Store'!$R$8:$R$594,SMALL(IF('All Player Data Store'!$Y$7:$Y$594=AC203,ROW('All Player Data Store'!$Y$7:$Y$594)-ROW('All Player Data Store'!$Y$7)+1),COUNTIF($AC$8:AC203,AC203))),"")</f>
        <v/>
      </c>
      <c r="AV203" s="108" t="str">
        <f t="shared" si="11"/>
        <v/>
      </c>
      <c r="AW203" s="108" t="str">
        <f t="array" ref="AW203">IF(ISNUMBER(AC203),INDEX('All Player Data Store'!$S$8:$S$594,SMALL(IF('All Player Data Store'!$Y$7:$Y$594=AC203,ROW('All Player Data Store'!$Y$7:$Y$594)-ROW('All Player Data Store'!$Y$7)+1),COUNTIF($AC$8:AC203,AC203))),"")</f>
        <v/>
      </c>
      <c r="AX203" s="108" t="str">
        <f t="shared" si="12"/>
        <v/>
      </c>
      <c r="AY203" s="108" t="str">
        <f t="array" ref="AY203">IF(ISNUMBER(AC203),INDEX('All Player Data Store'!$T$8:$T$594,SMALL(IF('All Player Data Store'!$Y$7:$Y$594=AC203,ROW('All Player Data Store'!$Y$7:$Y$594)-ROW('All Player Data Store'!$Y$7)+1),COUNTIF($AC$8:AC203,AC203))),"")</f>
        <v/>
      </c>
      <c r="AZ203" s="108" t="str">
        <f t="shared" si="13"/>
        <v/>
      </c>
      <c r="BA203" s="108" t="str">
        <f t="array" ref="BA203">IF(ISNUMBER(AC203),INDEX('All Player Data Store'!$U$8:$U$594,SMALL(IF('All Player Data Store'!$Y$7:$Y$594=AC203,ROW('All Player Data Store'!$Y$7:$Y$594)-ROW('All Player Data Store'!$Y$7)+1),COUNTIF($AC$8:AC203,AC203))),"")</f>
        <v/>
      </c>
      <c r="BB203" s="108" t="str">
        <f t="shared" si="14"/>
        <v/>
      </c>
      <c r="BC203" s="108" t="str">
        <f t="array" ref="BC203">IF(ISNUMBER(AC203),INDEX('All Player Data Store'!$V$8:$V$594,SMALL(IF('All Player Data Store'!$Y$7:$Y$594=AC203,ROW('All Player Data Store'!$Y$7:$Y$594)-ROW('All Player Data Store'!$Y$7)+1),COUNTIF($AC$8:AC203,AC203))),"")</f>
        <v/>
      </c>
      <c r="BD203" s="108" t="str">
        <f t="shared" si="15"/>
        <v/>
      </c>
      <c r="BE203" s="1"/>
    </row>
    <row r="204" spans="2:57" ht="12" customHeight="1" x14ac:dyDescent="0.2">
      <c r="B204" s="98" t="str">
        <f t="shared" si="0"/>
        <v/>
      </c>
      <c r="C204" s="1"/>
      <c r="D204" s="68" t="str">
        <f t="shared" si="1"/>
        <v/>
      </c>
      <c r="E204" s="2"/>
      <c r="F204" s="78">
        <v>197</v>
      </c>
      <c r="G204" s="110" t="str">
        <f t="array" ref="G204">IF(ISNUMBER(AC204),INDEX('All Player Data Store'!$C$7:$C$594,SMALL(IF('All Player Data Store'!$Y$7:$Y$594=AC204,ROW('All Player Data Store'!$Y$7:$Y$594)-ROW('All Player Data Store'!$Y$7)+1),COUNTIF($AC$8:AC204,AC204))),"")</f>
        <v/>
      </c>
      <c r="H204" s="68" t="str">
        <f t="array" ref="H204">IF(ISNUMBER(AC204),INDEX('All Player Data Store'!$D$7:$D$594,SMALL(IF('All Player Data Store'!$Y$7:$Y$594=AC204,ROW('All Player Data Store'!$Y$7:$Y$594)-ROW('All Player Data Store'!$Y$7)+1),COUNTIF($AC$8:AC204,AC204))),"")</f>
        <v/>
      </c>
      <c r="I204" s="69" t="str">
        <f t="array" ref="I204">IF(ISNUMBER(AC204),INDEX('All Player Data Store'!$E$7:$E$594,SMALL(IF('All Player Data Store'!$Y$7:$Y$594=AC204,ROW('All Player Data Store'!$Y$7:$Y$594)-ROW('All Player Data Store'!$Y$7)+1),COUNTIF($AC$8:AC204,AC204))),"")</f>
        <v/>
      </c>
      <c r="J204" s="70" t="str">
        <f t="array" ref="J204">IF(ISNUMBER(AC204),INDEX('All Player Data Store'!$F$7:$F$594,SMALL(IF('All Player Data Store'!$Y$7:$Y$594=AC204,ROW('All Player Data Store'!$Y$7:$Y$594)-ROW('All Player Data Store'!$Y$7)+1),COUNTIF($AC$8:AC204,AC204))),"")</f>
        <v/>
      </c>
      <c r="K204" s="70" t="str">
        <f t="array" ref="K204">IF(ISNUMBER(AC204),INDEX('All Player Data Store'!$G$7:$G$594,SMALL(IF('All Player Data Store'!$Y$7:$Y$594=AC204,ROW('All Player Data Store'!$Y$7:$Y$594)-ROW('All Player Data Store'!$Y$7)+1),COUNTIF($AC$8:AC204,AC204))),"")</f>
        <v/>
      </c>
      <c r="L204" s="70" t="str">
        <f t="array" ref="L204">IF(ISNUMBER(AC204),INDEX('All Player Data Store'!$H$7:$H$594,SMALL(IF('All Player Data Store'!$Y$7:$Y$594=AC204,ROW('All Player Data Store'!$Y$7:$Y$594)-ROW('All Player Data Store'!$Y$7)+1),COUNTIF($AC$8:AC204,AC204))),"")</f>
        <v/>
      </c>
      <c r="M204" s="72" t="str">
        <f t="array" ref="M204">IF(ISNUMBER(AC204),INDEX('All Player Data Store'!$I$7:$I$594,SMALL(IF('All Player Data Store'!$Y$7:$Y$594=AC204,ROW('All Player Data Store'!$Y$7:$Y$594)-ROW('All Player Data Store'!$Y$7)+1),COUNTIF($AC$8:AC204,AC204))),"")</f>
        <v/>
      </c>
      <c r="N204" s="114" t="str">
        <f t="array" ref="N204">IF(ISNUMBER(AC204),INDEX('All Player Data Store'!$J$7:$J$594,SMALL(IF('All Player Data Store'!$Y$7:$Y$594=AC204,ROW('All Player Data Store'!$Y$7:$Y$594)-ROW('All Player Data Store'!$Y$7)+1),COUNTIF($AC$8:AC204,AC204))),"")</f>
        <v/>
      </c>
      <c r="O204" s="108" t="str">
        <f t="array" ref="O204">IF(ISNUMBER(AC204),INDEX('All Player Data Store'!$K$7:$K$594,SMALL(IF('All Player Data Store'!$Y$7:$Y$594=AC204,ROW('All Player Data Store'!$Y$7:$Y$594)-ROW('All Player Data Store'!$Y$7)+1),COUNTIF($AC$8:AC204,AC204))),"")</f>
        <v/>
      </c>
      <c r="P204" s="108" t="str">
        <f t="array" ref="P204">IF(ISNUMBER(AC204),INDEX('All Player Data Store'!$L$7:$L$594,SMALL(IF('All Player Data Store'!$Y$7:$Y$594=AC204,ROW('All Player Data Store'!$Y$7:$Y$594)-ROW('All Player Data Store'!$Y$7)+1),COUNTIF($AC$8:AC204,AC204))),"")</f>
        <v/>
      </c>
      <c r="Q204" s="108" t="str">
        <f t="array" ref="Q204">IF(ISNUMBER(AC204),INDEX('All Player Data Store'!$M$7:$M$594,SMALL(IF('All Player Data Store'!$Y$7:$Y$594=AC204,ROW('All Player Data Store'!$Y$7:$Y$594)-ROW('All Player Data Store'!$Y$7)+1),COUNTIF($AC$8:AC204,AC204))),"")</f>
        <v/>
      </c>
      <c r="R204" s="108" t="str">
        <f t="array" ref="R204">IF(ISNUMBER(AC204),INDEX('All Player Data Store'!$N$7:$N$594,SMALL(IF('All Player Data Store'!$Y$7:$Y$594=AC204,ROW('All Player Data Store'!$Y$7:$Y$594)-ROW('All Player Data Store'!$Y$7)+1),COUNTIF($AC$8:AC204,AC204))),"")</f>
        <v/>
      </c>
      <c r="S204" s="108" t="str">
        <f t="array" ref="S204">IF(ISNUMBER(AC204),INDEX('All Player Data Store'!$O$7:$O$594,SMALL(IF('All Player Data Store'!$Y$7:$Y$594=AC204,ROW('All Player Data Store'!$Y$7:$Y$594)-ROW('All Player Data Store'!$Y$7)+1),COUNTIF($AC$8:AC204,AC204))),"")</f>
        <v/>
      </c>
      <c r="T204" s="108" t="str">
        <f t="array" ref="T204">IF(ISNUMBER(AC204),INDEX('All Player Data Store'!$P$7:$P$594,SMALL(IF('All Player Data Store'!$Y$7:$Y$594=AC204,ROW('All Player Data Store'!$Y$7:$Y$594)-ROW('All Player Data Store'!$Y$7)+1),COUNTIF($AC$8:AC204,AC204))),"")</f>
        <v/>
      </c>
      <c r="U204" s="108" t="str">
        <f t="array" ref="U204">IF(ISNUMBER(AC204),INDEX('All Player Data Store'!$Q$7:$Q$594,SMALL(IF('All Player Data Store'!$Y$7:$Y$594=AC204,ROW('All Player Data Store'!$Y$7:$Y$594)-ROW('All Player Data Store'!$Y$7)+1),COUNTIF($AC$8:AC204,AC204))),"")</f>
        <v/>
      </c>
      <c r="V204" s="108" t="str">
        <f t="array" ref="V204">IF(ISNUMBER(AC204),INDEX('All Player Data Store'!$R$7:$R$594,SMALL(IF('All Player Data Store'!$Y$7:$Y$594=AC204,ROW('All Player Data Store'!$Y$7:$Y$594)-ROW('All Player Data Store'!$Y$7)+1),COUNTIF($AC$8:AC204,AC204))),"")</f>
        <v/>
      </c>
      <c r="W204" s="108" t="str">
        <f t="array" ref="W204">IF(ISNUMBER(AC204),INDEX('All Player Data Store'!$S$7:$S$594,SMALL(IF('All Player Data Store'!$Y$7:$Y$594=AC204,ROW('All Player Data Store'!$Y$7:$Y$594)-ROW('All Player Data Store'!$Y$7)+1),COUNTIF($AC$8:AC204,AC204))),"")</f>
        <v/>
      </c>
      <c r="X204" s="108" t="str">
        <f t="array" ref="X204">IF(ISNUMBER(AC204),INDEX('All Player Data Store'!$T$7:$T$594,SMALL(IF('All Player Data Store'!$Y$7:$Y$594=AC204,ROW('All Player Data Store'!$Y$7:$Y$594)-ROW('All Player Data Store'!$Y$7)+1),COUNTIF($AC$8:AC204,AC204))),"")</f>
        <v/>
      </c>
      <c r="Y204" s="108" t="str">
        <f t="array" ref="Y204">IF(ISNUMBER(AC204),INDEX('All Player Data Store'!$U$7:$U$594,SMALL(IF('All Player Data Store'!$Y$7:$Y$594=AC204,ROW('All Player Data Store'!$Y$7:$Y$594)-ROW('All Player Data Store'!$Y$7)+1),COUNTIF($AC$8:AC204,AC204))),"")</f>
        <v/>
      </c>
      <c r="Z204" s="108" t="str">
        <f t="array" ref="Z204">IF(ISNUMBER(AC204),INDEX('All Player Data Store'!$V$7:$V$594,SMALL(IF('All Player Data Store'!$Y$7:$Y$594=AC204,ROW('All Player Data Store'!$Y$7:$Y$594)-ROW('All Player Data Store'!$Y$7)+1),COUNTIF($AC$8:AC204,AC204))),"")</f>
        <v/>
      </c>
      <c r="AA204" s="112" t="str">
        <f t="array" ref="AA204">IF(ISNUMBER(AC204),INDEX('All Player Data Store'!$W$7:$W$594,SMALL(IF('All Player Data Store'!$Y$7:$Y$594=AC204,ROW('All Player Data Store'!$Y$7:$Y$594)-ROW('All Player Data Store'!$Y$7)+1),COUNTIF($AC$8:AC204,AC204))),"")</f>
        <v/>
      </c>
      <c r="AB204" s="108" t="str">
        <f t="array" ref="AB204">IF(ISNUMBER(AC204),INDEX('All Player Data Store'!$X$7:$X$594,SMALL(IF('All Player Data Store'!$Y$7:$Y$594=AC204,ROW('All Player Data Store'!$Y$7:$Y$594)-ROW('All Player Data Store'!$Y$7)+1),COUNTIF($AC$8:AC204,AC204))),"")</f>
        <v/>
      </c>
      <c r="AC204" s="115" t="str">
        <f>IF(ISERROR(IF(ISERROR(LARGE('All Player Data Store'!$Y$7:$Y$594,197)),"",(LARGE('All Player Data Store'!$Y$7:$Y$594,197)))),"",(IF(ISERROR(LARGE('All Player Data Store'!$Y$7:$Y$594,197)),"",(LARGE('All Player Data Store'!$Y$7:$Y$594,197)))))</f>
        <v/>
      </c>
      <c r="AD204" s="106">
        <f t="shared" si="16"/>
        <v>1</v>
      </c>
      <c r="AE204" s="107" t="str">
        <f t="array" ref="AE204">IF(ISNUMBER(AC204),INDEX('All Player Data Store'!$J$8:$J$594,SMALL(IF('All Player Data Store'!$Y$7:$Y$594=AC204,ROW('All Player Data Store'!$Y$7:$Y$594)-ROW('All Player Data Store'!$Y$7)+1),COUNTIF($AC$8:AC204,AC204))),"")</f>
        <v/>
      </c>
      <c r="AF204" s="108" t="str">
        <f t="shared" si="3"/>
        <v/>
      </c>
      <c r="AG204" s="108" t="str">
        <f t="array" ref="AG204">IF(ISNUMBER(AC204),INDEX('All Player Data Store'!$K$8:$K$594,SMALL(IF('All Player Data Store'!$Y$7:$Y$594=AC204,ROW('All Player Data Store'!$Y$7:$Y$594)-ROW('All Player Data Store'!$Y$7)+1),COUNTIF($AC$8:AC204,AC204))),"")</f>
        <v/>
      </c>
      <c r="AH204" s="108" t="str">
        <f t="shared" si="4"/>
        <v/>
      </c>
      <c r="AI204" s="108" t="str">
        <f t="array" ref="AI204">IF(ISNUMBER(AC204),INDEX('All Player Data Store'!$L$8:$L$594,SMALL(IF('All Player Data Store'!$Y$7:$Y$594=AC204,ROW('All Player Data Store'!$Y$7:$Y$594)-ROW('All Player Data Store'!$Y$7)+1),COUNTIF($AC$8:AC204,AC204))),"")</f>
        <v/>
      </c>
      <c r="AJ204" s="108" t="str">
        <f t="shared" si="5"/>
        <v/>
      </c>
      <c r="AK204" s="108" t="str">
        <f t="array" ref="AK204">IF(ISNUMBER(AC204),INDEX('All Player Data Store'!$M$8:$M$594,SMALL(IF('All Player Data Store'!$Y$7:$Y$594=AC204,ROW('All Player Data Store'!$Y$7:$Y$594)-ROW('All Player Data Store'!$Y$7)+1),COUNTIF($AC$8:AC204,AC204))),"")</f>
        <v/>
      </c>
      <c r="AL204" s="108" t="str">
        <f t="shared" si="6"/>
        <v/>
      </c>
      <c r="AM204" s="108" t="str">
        <f t="array" ref="AM204">IF(ISNUMBER(AC204),INDEX('All Player Data Store'!$N$8:$N$594,SMALL(IF('All Player Data Store'!$Y$7:$Y$594=AC204,ROW('All Player Data Store'!$Y$7:$Y$594)-ROW('All Player Data Store'!$Y$7)+1),COUNTIF($AC$8:AC204,AC204))),"")</f>
        <v/>
      </c>
      <c r="AN204" s="108" t="str">
        <f t="shared" si="7"/>
        <v/>
      </c>
      <c r="AO204" s="108" t="str">
        <f t="array" ref="AO204">IF(ISNUMBER(AC204),INDEX('All Player Data Store'!$O$8:$O$594,SMALL(IF('All Player Data Store'!$Y$7:$Y$594=AC204,ROW('All Player Data Store'!$Y$7:$Y$594)-ROW('All Player Data Store'!$Y$7)+1),COUNTIF($AC$8:AC204,AC204))),"")</f>
        <v/>
      </c>
      <c r="AP204" s="108" t="str">
        <f t="shared" si="8"/>
        <v/>
      </c>
      <c r="AQ204" s="108" t="str">
        <f t="array" ref="AQ204">IF(ISNUMBER(AC204),INDEX('All Player Data Store'!$P$8:$P$594,SMALL(IF('All Player Data Store'!$Y$7:$Y$594=AC204,ROW('All Player Data Store'!$Y$7:$Y$594)-ROW('All Player Data Store'!$Y$7)+1),COUNTIF($AC$8:AC204,AC204))),"")</f>
        <v/>
      </c>
      <c r="AR204" s="108" t="str">
        <f t="shared" si="9"/>
        <v/>
      </c>
      <c r="AS204" s="108" t="str">
        <f t="array" ref="AS204">IF(ISNUMBER(AC204),INDEX('All Player Data Store'!$Q$8:$Q$594,SMALL(IF('All Player Data Store'!$Y$7:$Y$594=AC204,ROW('All Player Data Store'!$Y$7:$Y$594)-ROW('All Player Data Store'!$Y$7)+1),COUNTIF($AC$8:AC204,AC204))),"")</f>
        <v/>
      </c>
      <c r="AT204" s="108" t="str">
        <f t="shared" si="10"/>
        <v/>
      </c>
      <c r="AU204" s="108" t="str">
        <f t="array" ref="AU204">IF(ISNUMBER(AC204),INDEX('All Player Data Store'!$R$8:$R$594,SMALL(IF('All Player Data Store'!$Y$7:$Y$594=AC204,ROW('All Player Data Store'!$Y$7:$Y$594)-ROW('All Player Data Store'!$Y$7)+1),COUNTIF($AC$8:AC204,AC204))),"")</f>
        <v/>
      </c>
      <c r="AV204" s="108" t="str">
        <f t="shared" si="11"/>
        <v/>
      </c>
      <c r="AW204" s="108" t="str">
        <f t="array" ref="AW204">IF(ISNUMBER(AC204),INDEX('All Player Data Store'!$S$8:$S$594,SMALL(IF('All Player Data Store'!$Y$7:$Y$594=AC204,ROW('All Player Data Store'!$Y$7:$Y$594)-ROW('All Player Data Store'!$Y$7)+1),COUNTIF($AC$8:AC204,AC204))),"")</f>
        <v/>
      </c>
      <c r="AX204" s="108" t="str">
        <f t="shared" si="12"/>
        <v/>
      </c>
      <c r="AY204" s="108" t="str">
        <f t="array" ref="AY204">IF(ISNUMBER(AC204),INDEX('All Player Data Store'!$T$8:$T$594,SMALL(IF('All Player Data Store'!$Y$7:$Y$594=AC204,ROW('All Player Data Store'!$Y$7:$Y$594)-ROW('All Player Data Store'!$Y$7)+1),COUNTIF($AC$8:AC204,AC204))),"")</f>
        <v/>
      </c>
      <c r="AZ204" s="108" t="str">
        <f t="shared" si="13"/>
        <v/>
      </c>
      <c r="BA204" s="108" t="str">
        <f t="array" ref="BA204">IF(ISNUMBER(AC204),INDEX('All Player Data Store'!$U$8:$U$594,SMALL(IF('All Player Data Store'!$Y$7:$Y$594=AC204,ROW('All Player Data Store'!$Y$7:$Y$594)-ROW('All Player Data Store'!$Y$7)+1),COUNTIF($AC$8:AC204,AC204))),"")</f>
        <v/>
      </c>
      <c r="BB204" s="108" t="str">
        <f t="shared" si="14"/>
        <v/>
      </c>
      <c r="BC204" s="108" t="str">
        <f t="array" ref="BC204">IF(ISNUMBER(AC204),INDEX('All Player Data Store'!$V$8:$V$594,SMALL(IF('All Player Data Store'!$Y$7:$Y$594=AC204,ROW('All Player Data Store'!$Y$7:$Y$594)-ROW('All Player Data Store'!$Y$7)+1),COUNTIF($AC$8:AC204,AC204))),"")</f>
        <v/>
      </c>
      <c r="BD204" s="108" t="str">
        <f t="shared" si="15"/>
        <v/>
      </c>
      <c r="BE204" s="1"/>
    </row>
    <row r="205" spans="2:57" ht="12" customHeight="1" x14ac:dyDescent="0.2">
      <c r="B205" s="98" t="str">
        <f t="shared" si="0"/>
        <v/>
      </c>
      <c r="C205" s="1"/>
      <c r="D205" s="68" t="str">
        <f t="shared" si="1"/>
        <v/>
      </c>
      <c r="E205" s="2"/>
      <c r="F205" s="78">
        <v>198</v>
      </c>
      <c r="G205" s="110" t="str">
        <f t="array" ref="G205">IF(ISNUMBER(AC205),INDEX('All Player Data Store'!$C$7:$C$594,SMALL(IF('All Player Data Store'!$Y$7:$Y$594=AC205,ROW('All Player Data Store'!$Y$7:$Y$594)-ROW('All Player Data Store'!$Y$7)+1),COUNTIF($AC$8:AC205,AC205))),"")</f>
        <v/>
      </c>
      <c r="H205" s="68" t="str">
        <f t="array" ref="H205">IF(ISNUMBER(AC205),INDEX('All Player Data Store'!$D$7:$D$594,SMALL(IF('All Player Data Store'!$Y$7:$Y$594=AC205,ROW('All Player Data Store'!$Y$7:$Y$594)-ROW('All Player Data Store'!$Y$7)+1),COUNTIF($AC$8:AC205,AC205))),"")</f>
        <v/>
      </c>
      <c r="I205" s="69" t="str">
        <f t="array" ref="I205">IF(ISNUMBER(AC205),INDEX('All Player Data Store'!$E$7:$E$594,SMALL(IF('All Player Data Store'!$Y$7:$Y$594=AC205,ROW('All Player Data Store'!$Y$7:$Y$594)-ROW('All Player Data Store'!$Y$7)+1),COUNTIF($AC$8:AC205,AC205))),"")</f>
        <v/>
      </c>
      <c r="J205" s="70" t="str">
        <f t="array" ref="J205">IF(ISNUMBER(AC205),INDEX('All Player Data Store'!$F$7:$F$594,SMALL(IF('All Player Data Store'!$Y$7:$Y$594=AC205,ROW('All Player Data Store'!$Y$7:$Y$594)-ROW('All Player Data Store'!$Y$7)+1),COUNTIF($AC$8:AC205,AC205))),"")</f>
        <v/>
      </c>
      <c r="K205" s="70" t="str">
        <f t="array" ref="K205">IF(ISNUMBER(AC205),INDEX('All Player Data Store'!$G$7:$G$594,SMALL(IF('All Player Data Store'!$Y$7:$Y$594=AC205,ROW('All Player Data Store'!$Y$7:$Y$594)-ROW('All Player Data Store'!$Y$7)+1),COUNTIF($AC$8:AC205,AC205))),"")</f>
        <v/>
      </c>
      <c r="L205" s="70" t="str">
        <f t="array" ref="L205">IF(ISNUMBER(AC205),INDEX('All Player Data Store'!$H$7:$H$594,SMALL(IF('All Player Data Store'!$Y$7:$Y$594=AC205,ROW('All Player Data Store'!$Y$7:$Y$594)-ROW('All Player Data Store'!$Y$7)+1),COUNTIF($AC$8:AC205,AC205))),"")</f>
        <v/>
      </c>
      <c r="M205" s="72" t="str">
        <f t="array" ref="M205">IF(ISNUMBER(AC205),INDEX('All Player Data Store'!$I$7:$I$594,SMALL(IF('All Player Data Store'!$Y$7:$Y$594=AC205,ROW('All Player Data Store'!$Y$7:$Y$594)-ROW('All Player Data Store'!$Y$7)+1),COUNTIF($AC$8:AC205,AC205))),"")</f>
        <v/>
      </c>
      <c r="N205" s="114" t="str">
        <f t="array" ref="N205">IF(ISNUMBER(AC205),INDEX('All Player Data Store'!$J$7:$J$594,SMALL(IF('All Player Data Store'!$Y$7:$Y$594=AC205,ROW('All Player Data Store'!$Y$7:$Y$594)-ROW('All Player Data Store'!$Y$7)+1),COUNTIF($AC$8:AC205,AC205))),"")</f>
        <v/>
      </c>
      <c r="O205" s="108" t="str">
        <f t="array" ref="O205">IF(ISNUMBER(AC205),INDEX('All Player Data Store'!$K$7:$K$594,SMALL(IF('All Player Data Store'!$Y$7:$Y$594=AC205,ROW('All Player Data Store'!$Y$7:$Y$594)-ROW('All Player Data Store'!$Y$7)+1),COUNTIF($AC$8:AC205,AC205))),"")</f>
        <v/>
      </c>
      <c r="P205" s="108" t="str">
        <f t="array" ref="P205">IF(ISNUMBER(AC205),INDEX('All Player Data Store'!$L$7:$L$594,SMALL(IF('All Player Data Store'!$Y$7:$Y$594=AC205,ROW('All Player Data Store'!$Y$7:$Y$594)-ROW('All Player Data Store'!$Y$7)+1),COUNTIF($AC$8:AC205,AC205))),"")</f>
        <v/>
      </c>
      <c r="Q205" s="108" t="str">
        <f t="array" ref="Q205">IF(ISNUMBER(AC205),INDEX('All Player Data Store'!$M$7:$M$594,SMALL(IF('All Player Data Store'!$Y$7:$Y$594=AC205,ROW('All Player Data Store'!$Y$7:$Y$594)-ROW('All Player Data Store'!$Y$7)+1),COUNTIF($AC$8:AC205,AC205))),"")</f>
        <v/>
      </c>
      <c r="R205" s="108" t="str">
        <f t="array" ref="R205">IF(ISNUMBER(AC205),INDEX('All Player Data Store'!$N$7:$N$594,SMALL(IF('All Player Data Store'!$Y$7:$Y$594=AC205,ROW('All Player Data Store'!$Y$7:$Y$594)-ROW('All Player Data Store'!$Y$7)+1),COUNTIF($AC$8:AC205,AC205))),"")</f>
        <v/>
      </c>
      <c r="S205" s="108" t="str">
        <f t="array" ref="S205">IF(ISNUMBER(AC205),INDEX('All Player Data Store'!$O$7:$O$594,SMALL(IF('All Player Data Store'!$Y$7:$Y$594=AC205,ROW('All Player Data Store'!$Y$7:$Y$594)-ROW('All Player Data Store'!$Y$7)+1),COUNTIF($AC$8:AC205,AC205))),"")</f>
        <v/>
      </c>
      <c r="T205" s="108" t="str">
        <f t="array" ref="T205">IF(ISNUMBER(AC205),INDEX('All Player Data Store'!$P$7:$P$594,SMALL(IF('All Player Data Store'!$Y$7:$Y$594=AC205,ROW('All Player Data Store'!$Y$7:$Y$594)-ROW('All Player Data Store'!$Y$7)+1),COUNTIF($AC$8:AC205,AC205))),"")</f>
        <v/>
      </c>
      <c r="U205" s="108" t="str">
        <f t="array" ref="U205">IF(ISNUMBER(AC205),INDEX('All Player Data Store'!$Q$7:$Q$594,SMALL(IF('All Player Data Store'!$Y$7:$Y$594=AC205,ROW('All Player Data Store'!$Y$7:$Y$594)-ROW('All Player Data Store'!$Y$7)+1),COUNTIF($AC$8:AC205,AC205))),"")</f>
        <v/>
      </c>
      <c r="V205" s="108" t="str">
        <f t="array" ref="V205">IF(ISNUMBER(AC205),INDEX('All Player Data Store'!$R$7:$R$594,SMALL(IF('All Player Data Store'!$Y$7:$Y$594=AC205,ROW('All Player Data Store'!$Y$7:$Y$594)-ROW('All Player Data Store'!$Y$7)+1),COUNTIF($AC$8:AC205,AC205))),"")</f>
        <v/>
      </c>
      <c r="W205" s="108" t="str">
        <f t="array" ref="W205">IF(ISNUMBER(AC205),INDEX('All Player Data Store'!$S$7:$S$594,SMALL(IF('All Player Data Store'!$Y$7:$Y$594=AC205,ROW('All Player Data Store'!$Y$7:$Y$594)-ROW('All Player Data Store'!$Y$7)+1),COUNTIF($AC$8:AC205,AC205))),"")</f>
        <v/>
      </c>
      <c r="X205" s="108" t="str">
        <f t="array" ref="X205">IF(ISNUMBER(AC205),INDEX('All Player Data Store'!$T$7:$T$594,SMALL(IF('All Player Data Store'!$Y$7:$Y$594=AC205,ROW('All Player Data Store'!$Y$7:$Y$594)-ROW('All Player Data Store'!$Y$7)+1),COUNTIF($AC$8:AC205,AC205))),"")</f>
        <v/>
      </c>
      <c r="Y205" s="108" t="str">
        <f t="array" ref="Y205">IF(ISNUMBER(AC205),INDEX('All Player Data Store'!$U$7:$U$594,SMALL(IF('All Player Data Store'!$Y$7:$Y$594=AC205,ROW('All Player Data Store'!$Y$7:$Y$594)-ROW('All Player Data Store'!$Y$7)+1),COUNTIF($AC$8:AC205,AC205))),"")</f>
        <v/>
      </c>
      <c r="Z205" s="108" t="str">
        <f t="array" ref="Z205">IF(ISNUMBER(AC205),INDEX('All Player Data Store'!$V$7:$V$594,SMALL(IF('All Player Data Store'!$Y$7:$Y$594=AC205,ROW('All Player Data Store'!$Y$7:$Y$594)-ROW('All Player Data Store'!$Y$7)+1),COUNTIF($AC$8:AC205,AC205))),"")</f>
        <v/>
      </c>
      <c r="AA205" s="112" t="str">
        <f t="array" ref="AA205">IF(ISNUMBER(AC205),INDEX('All Player Data Store'!$W$7:$W$594,SMALL(IF('All Player Data Store'!$Y$7:$Y$594=AC205,ROW('All Player Data Store'!$Y$7:$Y$594)-ROW('All Player Data Store'!$Y$7)+1),COUNTIF($AC$8:AC205,AC205))),"")</f>
        <v/>
      </c>
      <c r="AB205" s="108" t="str">
        <f t="array" ref="AB205">IF(ISNUMBER(AC205),INDEX('All Player Data Store'!$X$7:$X$594,SMALL(IF('All Player Data Store'!$Y$7:$Y$594=AC205,ROW('All Player Data Store'!$Y$7:$Y$594)-ROW('All Player Data Store'!$Y$7)+1),COUNTIF($AC$8:AC205,AC205))),"")</f>
        <v/>
      </c>
      <c r="AC205" s="115" t="str">
        <f>IF(ISERROR(IF(ISERROR(LARGE('All Player Data Store'!$Y$7:$Y$594,198)),"",(LARGE('All Player Data Store'!$Y$7:$Y$594,198)))),"",(IF(ISERROR(LARGE('All Player Data Store'!$Y$7:$Y$594,198)),"",(LARGE('All Player Data Store'!$Y$7:$Y$594,198)))))</f>
        <v/>
      </c>
      <c r="AD205" s="106">
        <f t="shared" si="16"/>
        <v>1</v>
      </c>
      <c r="AE205" s="107" t="str">
        <f t="array" ref="AE205">IF(ISNUMBER(AC205),INDEX('All Player Data Store'!$J$8:$J$594,SMALL(IF('All Player Data Store'!$Y$7:$Y$594=AC205,ROW('All Player Data Store'!$Y$7:$Y$594)-ROW('All Player Data Store'!$Y$7)+1),COUNTIF($AC$8:AC205,AC205))),"")</f>
        <v/>
      </c>
      <c r="AF205" s="108" t="str">
        <f t="shared" si="3"/>
        <v/>
      </c>
      <c r="AG205" s="108" t="str">
        <f t="array" ref="AG205">IF(ISNUMBER(AC205),INDEX('All Player Data Store'!$K$8:$K$594,SMALL(IF('All Player Data Store'!$Y$7:$Y$594=AC205,ROW('All Player Data Store'!$Y$7:$Y$594)-ROW('All Player Data Store'!$Y$7)+1),COUNTIF($AC$8:AC205,AC205))),"")</f>
        <v/>
      </c>
      <c r="AH205" s="108" t="str">
        <f t="shared" si="4"/>
        <v/>
      </c>
      <c r="AI205" s="108" t="str">
        <f t="array" ref="AI205">IF(ISNUMBER(AC205),INDEX('All Player Data Store'!$L$8:$L$594,SMALL(IF('All Player Data Store'!$Y$7:$Y$594=AC205,ROW('All Player Data Store'!$Y$7:$Y$594)-ROW('All Player Data Store'!$Y$7)+1),COUNTIF($AC$8:AC205,AC205))),"")</f>
        <v/>
      </c>
      <c r="AJ205" s="108" t="str">
        <f t="shared" si="5"/>
        <v/>
      </c>
      <c r="AK205" s="108" t="str">
        <f t="array" ref="AK205">IF(ISNUMBER(AC205),INDEX('All Player Data Store'!$M$8:$M$594,SMALL(IF('All Player Data Store'!$Y$7:$Y$594=AC205,ROW('All Player Data Store'!$Y$7:$Y$594)-ROW('All Player Data Store'!$Y$7)+1),COUNTIF($AC$8:AC205,AC205))),"")</f>
        <v/>
      </c>
      <c r="AL205" s="108" t="str">
        <f t="shared" si="6"/>
        <v/>
      </c>
      <c r="AM205" s="108" t="str">
        <f t="array" ref="AM205">IF(ISNUMBER(AC205),INDEX('All Player Data Store'!$N$8:$N$594,SMALL(IF('All Player Data Store'!$Y$7:$Y$594=AC205,ROW('All Player Data Store'!$Y$7:$Y$594)-ROW('All Player Data Store'!$Y$7)+1),COUNTIF($AC$8:AC205,AC205))),"")</f>
        <v/>
      </c>
      <c r="AN205" s="108" t="str">
        <f t="shared" si="7"/>
        <v/>
      </c>
      <c r="AO205" s="108" t="str">
        <f t="array" ref="AO205">IF(ISNUMBER(AC205),INDEX('All Player Data Store'!$O$8:$O$594,SMALL(IF('All Player Data Store'!$Y$7:$Y$594=AC205,ROW('All Player Data Store'!$Y$7:$Y$594)-ROW('All Player Data Store'!$Y$7)+1),COUNTIF($AC$8:AC205,AC205))),"")</f>
        <v/>
      </c>
      <c r="AP205" s="108" t="str">
        <f t="shared" si="8"/>
        <v/>
      </c>
      <c r="AQ205" s="108" t="str">
        <f t="array" ref="AQ205">IF(ISNUMBER(AC205),INDEX('All Player Data Store'!$P$8:$P$594,SMALL(IF('All Player Data Store'!$Y$7:$Y$594=AC205,ROW('All Player Data Store'!$Y$7:$Y$594)-ROW('All Player Data Store'!$Y$7)+1),COUNTIF($AC$8:AC205,AC205))),"")</f>
        <v/>
      </c>
      <c r="AR205" s="108" t="str">
        <f t="shared" si="9"/>
        <v/>
      </c>
      <c r="AS205" s="108" t="str">
        <f t="array" ref="AS205">IF(ISNUMBER(AC205),INDEX('All Player Data Store'!$Q$8:$Q$594,SMALL(IF('All Player Data Store'!$Y$7:$Y$594=AC205,ROW('All Player Data Store'!$Y$7:$Y$594)-ROW('All Player Data Store'!$Y$7)+1),COUNTIF($AC$8:AC205,AC205))),"")</f>
        <v/>
      </c>
      <c r="AT205" s="108" t="str">
        <f t="shared" si="10"/>
        <v/>
      </c>
      <c r="AU205" s="108" t="str">
        <f t="array" ref="AU205">IF(ISNUMBER(AC205),INDEX('All Player Data Store'!$R$8:$R$594,SMALL(IF('All Player Data Store'!$Y$7:$Y$594=AC205,ROW('All Player Data Store'!$Y$7:$Y$594)-ROW('All Player Data Store'!$Y$7)+1),COUNTIF($AC$8:AC205,AC205))),"")</f>
        <v/>
      </c>
      <c r="AV205" s="108" t="str">
        <f t="shared" si="11"/>
        <v/>
      </c>
      <c r="AW205" s="108" t="str">
        <f t="array" ref="AW205">IF(ISNUMBER(AC205),INDEX('All Player Data Store'!$S$8:$S$594,SMALL(IF('All Player Data Store'!$Y$7:$Y$594=AC205,ROW('All Player Data Store'!$Y$7:$Y$594)-ROW('All Player Data Store'!$Y$7)+1),COUNTIF($AC$8:AC205,AC205))),"")</f>
        <v/>
      </c>
      <c r="AX205" s="108" t="str">
        <f t="shared" si="12"/>
        <v/>
      </c>
      <c r="AY205" s="108" t="str">
        <f t="array" ref="AY205">IF(ISNUMBER(AC205),INDEX('All Player Data Store'!$T$8:$T$594,SMALL(IF('All Player Data Store'!$Y$7:$Y$594=AC205,ROW('All Player Data Store'!$Y$7:$Y$594)-ROW('All Player Data Store'!$Y$7)+1),COUNTIF($AC$8:AC205,AC205))),"")</f>
        <v/>
      </c>
      <c r="AZ205" s="108" t="str">
        <f t="shared" si="13"/>
        <v/>
      </c>
      <c r="BA205" s="108" t="str">
        <f t="array" ref="BA205">IF(ISNUMBER(AC205),INDEX('All Player Data Store'!$U$8:$U$594,SMALL(IF('All Player Data Store'!$Y$7:$Y$594=AC205,ROW('All Player Data Store'!$Y$7:$Y$594)-ROW('All Player Data Store'!$Y$7)+1),COUNTIF($AC$8:AC205,AC205))),"")</f>
        <v/>
      </c>
      <c r="BB205" s="108" t="str">
        <f t="shared" si="14"/>
        <v/>
      </c>
      <c r="BC205" s="108" t="str">
        <f t="array" ref="BC205">IF(ISNUMBER(AC205),INDEX('All Player Data Store'!$V$8:$V$594,SMALL(IF('All Player Data Store'!$Y$7:$Y$594=AC205,ROW('All Player Data Store'!$Y$7:$Y$594)-ROW('All Player Data Store'!$Y$7)+1),COUNTIF($AC$8:AC205,AC205))),"")</f>
        <v/>
      </c>
      <c r="BD205" s="108" t="str">
        <f t="shared" si="15"/>
        <v/>
      </c>
      <c r="BE205" s="1"/>
    </row>
    <row r="206" spans="2:57" ht="12" customHeight="1" x14ac:dyDescent="0.2">
      <c r="B206" s="98" t="str">
        <f t="shared" si="0"/>
        <v/>
      </c>
      <c r="C206" s="1"/>
      <c r="D206" s="68" t="str">
        <f t="shared" si="1"/>
        <v/>
      </c>
      <c r="E206" s="2"/>
      <c r="F206" s="78">
        <v>199</v>
      </c>
      <c r="G206" s="110" t="str">
        <f t="array" ref="G206">IF(ISNUMBER(AC206),INDEX('All Player Data Store'!$C$7:$C$594,SMALL(IF('All Player Data Store'!$Y$7:$Y$594=AC206,ROW('All Player Data Store'!$Y$7:$Y$594)-ROW('All Player Data Store'!$Y$7)+1),COUNTIF($AC$8:AC206,AC206))),"")</f>
        <v/>
      </c>
      <c r="H206" s="68" t="str">
        <f t="array" ref="H206">IF(ISNUMBER(AC206),INDEX('All Player Data Store'!$D$7:$D$594,SMALL(IF('All Player Data Store'!$Y$7:$Y$594=AC206,ROW('All Player Data Store'!$Y$7:$Y$594)-ROW('All Player Data Store'!$Y$7)+1),COUNTIF($AC$8:AC206,AC206))),"")</f>
        <v/>
      </c>
      <c r="I206" s="69" t="str">
        <f t="array" ref="I206">IF(ISNUMBER(AC206),INDEX('All Player Data Store'!$E$7:$E$594,SMALL(IF('All Player Data Store'!$Y$7:$Y$594=AC206,ROW('All Player Data Store'!$Y$7:$Y$594)-ROW('All Player Data Store'!$Y$7)+1),COUNTIF($AC$8:AC206,AC206))),"")</f>
        <v/>
      </c>
      <c r="J206" s="70" t="str">
        <f t="array" ref="J206">IF(ISNUMBER(AC206),INDEX('All Player Data Store'!$F$7:$F$594,SMALL(IF('All Player Data Store'!$Y$7:$Y$594=AC206,ROW('All Player Data Store'!$Y$7:$Y$594)-ROW('All Player Data Store'!$Y$7)+1),COUNTIF($AC$8:AC206,AC206))),"")</f>
        <v/>
      </c>
      <c r="K206" s="70" t="str">
        <f t="array" ref="K206">IF(ISNUMBER(AC206),INDEX('All Player Data Store'!$G$7:$G$594,SMALL(IF('All Player Data Store'!$Y$7:$Y$594=AC206,ROW('All Player Data Store'!$Y$7:$Y$594)-ROW('All Player Data Store'!$Y$7)+1),COUNTIF($AC$8:AC206,AC206))),"")</f>
        <v/>
      </c>
      <c r="L206" s="70" t="str">
        <f t="array" ref="L206">IF(ISNUMBER(AC206),INDEX('All Player Data Store'!$H$7:$H$594,SMALL(IF('All Player Data Store'!$Y$7:$Y$594=AC206,ROW('All Player Data Store'!$Y$7:$Y$594)-ROW('All Player Data Store'!$Y$7)+1),COUNTIF($AC$8:AC206,AC206))),"")</f>
        <v/>
      </c>
      <c r="M206" s="72" t="str">
        <f t="array" ref="M206">IF(ISNUMBER(AC206),INDEX('All Player Data Store'!$I$7:$I$594,SMALL(IF('All Player Data Store'!$Y$7:$Y$594=AC206,ROW('All Player Data Store'!$Y$7:$Y$594)-ROW('All Player Data Store'!$Y$7)+1),COUNTIF($AC$8:AC206,AC206))),"")</f>
        <v/>
      </c>
      <c r="N206" s="114" t="str">
        <f t="array" ref="N206">IF(ISNUMBER(AC206),INDEX('All Player Data Store'!$J$7:$J$594,SMALL(IF('All Player Data Store'!$Y$7:$Y$594=AC206,ROW('All Player Data Store'!$Y$7:$Y$594)-ROW('All Player Data Store'!$Y$7)+1),COUNTIF($AC$8:AC206,AC206))),"")</f>
        <v/>
      </c>
      <c r="O206" s="108" t="str">
        <f t="array" ref="O206">IF(ISNUMBER(AC206),INDEX('All Player Data Store'!$K$7:$K$594,SMALL(IF('All Player Data Store'!$Y$7:$Y$594=AC206,ROW('All Player Data Store'!$Y$7:$Y$594)-ROW('All Player Data Store'!$Y$7)+1),COUNTIF($AC$8:AC206,AC206))),"")</f>
        <v/>
      </c>
      <c r="P206" s="108" t="str">
        <f t="array" ref="P206">IF(ISNUMBER(AC206),INDEX('All Player Data Store'!$L$7:$L$594,SMALL(IF('All Player Data Store'!$Y$7:$Y$594=AC206,ROW('All Player Data Store'!$Y$7:$Y$594)-ROW('All Player Data Store'!$Y$7)+1),COUNTIF($AC$8:AC206,AC206))),"")</f>
        <v/>
      </c>
      <c r="Q206" s="108" t="str">
        <f t="array" ref="Q206">IF(ISNUMBER(AC206),INDEX('All Player Data Store'!$M$7:$M$594,SMALL(IF('All Player Data Store'!$Y$7:$Y$594=AC206,ROW('All Player Data Store'!$Y$7:$Y$594)-ROW('All Player Data Store'!$Y$7)+1),COUNTIF($AC$8:AC206,AC206))),"")</f>
        <v/>
      </c>
      <c r="R206" s="108" t="str">
        <f t="array" ref="R206">IF(ISNUMBER(AC206),INDEX('All Player Data Store'!$N$7:$N$594,SMALL(IF('All Player Data Store'!$Y$7:$Y$594=AC206,ROW('All Player Data Store'!$Y$7:$Y$594)-ROW('All Player Data Store'!$Y$7)+1),COUNTIF($AC$8:AC206,AC206))),"")</f>
        <v/>
      </c>
      <c r="S206" s="108" t="str">
        <f t="array" ref="S206">IF(ISNUMBER(AC206),INDEX('All Player Data Store'!$O$7:$O$594,SMALL(IF('All Player Data Store'!$Y$7:$Y$594=AC206,ROW('All Player Data Store'!$Y$7:$Y$594)-ROW('All Player Data Store'!$Y$7)+1),COUNTIF($AC$8:AC206,AC206))),"")</f>
        <v/>
      </c>
      <c r="T206" s="108" t="str">
        <f t="array" ref="T206">IF(ISNUMBER(AC206),INDEX('All Player Data Store'!$P$7:$P$594,SMALL(IF('All Player Data Store'!$Y$7:$Y$594=AC206,ROW('All Player Data Store'!$Y$7:$Y$594)-ROW('All Player Data Store'!$Y$7)+1),COUNTIF($AC$8:AC206,AC206))),"")</f>
        <v/>
      </c>
      <c r="U206" s="108" t="str">
        <f t="array" ref="U206">IF(ISNUMBER(AC206),INDEX('All Player Data Store'!$Q$7:$Q$594,SMALL(IF('All Player Data Store'!$Y$7:$Y$594=AC206,ROW('All Player Data Store'!$Y$7:$Y$594)-ROW('All Player Data Store'!$Y$7)+1),COUNTIF($AC$8:AC206,AC206))),"")</f>
        <v/>
      </c>
      <c r="V206" s="108" t="str">
        <f t="array" ref="V206">IF(ISNUMBER(AC206),INDEX('All Player Data Store'!$R$7:$R$594,SMALL(IF('All Player Data Store'!$Y$7:$Y$594=AC206,ROW('All Player Data Store'!$Y$7:$Y$594)-ROW('All Player Data Store'!$Y$7)+1),COUNTIF($AC$8:AC206,AC206))),"")</f>
        <v/>
      </c>
      <c r="W206" s="108" t="str">
        <f t="array" ref="W206">IF(ISNUMBER(AC206),INDEX('All Player Data Store'!$S$7:$S$594,SMALL(IF('All Player Data Store'!$Y$7:$Y$594=AC206,ROW('All Player Data Store'!$Y$7:$Y$594)-ROW('All Player Data Store'!$Y$7)+1),COUNTIF($AC$8:AC206,AC206))),"")</f>
        <v/>
      </c>
      <c r="X206" s="108" t="str">
        <f t="array" ref="X206">IF(ISNUMBER(AC206),INDEX('All Player Data Store'!$T$7:$T$594,SMALL(IF('All Player Data Store'!$Y$7:$Y$594=AC206,ROW('All Player Data Store'!$Y$7:$Y$594)-ROW('All Player Data Store'!$Y$7)+1),COUNTIF($AC$8:AC206,AC206))),"")</f>
        <v/>
      </c>
      <c r="Y206" s="108" t="str">
        <f t="array" ref="Y206">IF(ISNUMBER(AC206),INDEX('All Player Data Store'!$U$7:$U$594,SMALL(IF('All Player Data Store'!$Y$7:$Y$594=AC206,ROW('All Player Data Store'!$Y$7:$Y$594)-ROW('All Player Data Store'!$Y$7)+1),COUNTIF($AC$8:AC206,AC206))),"")</f>
        <v/>
      </c>
      <c r="Z206" s="108" t="str">
        <f t="array" ref="Z206">IF(ISNUMBER(AC206),INDEX('All Player Data Store'!$V$7:$V$594,SMALL(IF('All Player Data Store'!$Y$7:$Y$594=AC206,ROW('All Player Data Store'!$Y$7:$Y$594)-ROW('All Player Data Store'!$Y$7)+1),COUNTIF($AC$8:AC206,AC206))),"")</f>
        <v/>
      </c>
      <c r="AA206" s="112" t="str">
        <f t="array" ref="AA206">IF(ISNUMBER(AC206),INDEX('All Player Data Store'!$W$7:$W$594,SMALL(IF('All Player Data Store'!$Y$7:$Y$594=AC206,ROW('All Player Data Store'!$Y$7:$Y$594)-ROW('All Player Data Store'!$Y$7)+1),COUNTIF($AC$8:AC206,AC206))),"")</f>
        <v/>
      </c>
      <c r="AB206" s="108" t="str">
        <f t="array" ref="AB206">IF(ISNUMBER(AC206),INDEX('All Player Data Store'!$X$7:$X$594,SMALL(IF('All Player Data Store'!$Y$7:$Y$594=AC206,ROW('All Player Data Store'!$Y$7:$Y$594)-ROW('All Player Data Store'!$Y$7)+1),COUNTIF($AC$8:AC206,AC206))),"")</f>
        <v/>
      </c>
      <c r="AC206" s="115" t="str">
        <f>IF(ISERROR(IF(ISERROR(LARGE('All Player Data Store'!$Y$7:$Y$594,199)),"",(LARGE('All Player Data Store'!$Y$7:$Y$594,199)))),"",(IF(ISERROR(LARGE('All Player Data Store'!$Y$7:$Y$594,199)),"",(LARGE('All Player Data Store'!$Y$7:$Y$594,199)))))</f>
        <v/>
      </c>
      <c r="AD206" s="106">
        <f t="shared" si="16"/>
        <v>1</v>
      </c>
      <c r="AE206" s="107" t="str">
        <f t="array" ref="AE206">IF(ISNUMBER(AC206),INDEX('All Player Data Store'!$J$8:$J$594,SMALL(IF('All Player Data Store'!$Y$7:$Y$594=AC206,ROW('All Player Data Store'!$Y$7:$Y$594)-ROW('All Player Data Store'!$Y$7)+1),COUNTIF($AC$8:AC206,AC206))),"")</f>
        <v/>
      </c>
      <c r="AF206" s="108" t="str">
        <f t="shared" si="3"/>
        <v/>
      </c>
      <c r="AG206" s="108" t="str">
        <f t="array" ref="AG206">IF(ISNUMBER(AC206),INDEX('All Player Data Store'!$K$8:$K$594,SMALL(IF('All Player Data Store'!$Y$7:$Y$594=AC206,ROW('All Player Data Store'!$Y$7:$Y$594)-ROW('All Player Data Store'!$Y$7)+1),COUNTIF($AC$8:AC206,AC206))),"")</f>
        <v/>
      </c>
      <c r="AH206" s="108" t="str">
        <f t="shared" si="4"/>
        <v/>
      </c>
      <c r="AI206" s="108" t="str">
        <f t="array" ref="AI206">IF(ISNUMBER(AC206),INDEX('All Player Data Store'!$L$8:$L$594,SMALL(IF('All Player Data Store'!$Y$7:$Y$594=AC206,ROW('All Player Data Store'!$Y$7:$Y$594)-ROW('All Player Data Store'!$Y$7)+1),COUNTIF($AC$8:AC206,AC206))),"")</f>
        <v/>
      </c>
      <c r="AJ206" s="108" t="str">
        <f t="shared" si="5"/>
        <v/>
      </c>
      <c r="AK206" s="108" t="str">
        <f t="array" ref="AK206">IF(ISNUMBER(AC206),INDEX('All Player Data Store'!$M$8:$M$594,SMALL(IF('All Player Data Store'!$Y$7:$Y$594=AC206,ROW('All Player Data Store'!$Y$7:$Y$594)-ROW('All Player Data Store'!$Y$7)+1),COUNTIF($AC$8:AC206,AC206))),"")</f>
        <v/>
      </c>
      <c r="AL206" s="108" t="str">
        <f t="shared" si="6"/>
        <v/>
      </c>
      <c r="AM206" s="108" t="str">
        <f t="array" ref="AM206">IF(ISNUMBER(AC206),INDEX('All Player Data Store'!$N$8:$N$594,SMALL(IF('All Player Data Store'!$Y$7:$Y$594=AC206,ROW('All Player Data Store'!$Y$7:$Y$594)-ROW('All Player Data Store'!$Y$7)+1),COUNTIF($AC$8:AC206,AC206))),"")</f>
        <v/>
      </c>
      <c r="AN206" s="108" t="str">
        <f t="shared" si="7"/>
        <v/>
      </c>
      <c r="AO206" s="108" t="str">
        <f t="array" ref="AO206">IF(ISNUMBER(AC206),INDEX('All Player Data Store'!$O$8:$O$594,SMALL(IF('All Player Data Store'!$Y$7:$Y$594=AC206,ROW('All Player Data Store'!$Y$7:$Y$594)-ROW('All Player Data Store'!$Y$7)+1),COUNTIF($AC$8:AC206,AC206))),"")</f>
        <v/>
      </c>
      <c r="AP206" s="108" t="str">
        <f t="shared" si="8"/>
        <v/>
      </c>
      <c r="AQ206" s="108" t="str">
        <f t="array" ref="AQ206">IF(ISNUMBER(AC206),INDEX('All Player Data Store'!$P$8:$P$594,SMALL(IF('All Player Data Store'!$Y$7:$Y$594=AC206,ROW('All Player Data Store'!$Y$7:$Y$594)-ROW('All Player Data Store'!$Y$7)+1),COUNTIF($AC$8:AC206,AC206))),"")</f>
        <v/>
      </c>
      <c r="AR206" s="108" t="str">
        <f t="shared" si="9"/>
        <v/>
      </c>
      <c r="AS206" s="108" t="str">
        <f t="array" ref="AS206">IF(ISNUMBER(AC206),INDEX('All Player Data Store'!$Q$8:$Q$594,SMALL(IF('All Player Data Store'!$Y$7:$Y$594=AC206,ROW('All Player Data Store'!$Y$7:$Y$594)-ROW('All Player Data Store'!$Y$7)+1),COUNTIF($AC$8:AC206,AC206))),"")</f>
        <v/>
      </c>
      <c r="AT206" s="108" t="str">
        <f t="shared" si="10"/>
        <v/>
      </c>
      <c r="AU206" s="108" t="str">
        <f t="array" ref="AU206">IF(ISNUMBER(AC206),INDEX('All Player Data Store'!$R$8:$R$594,SMALL(IF('All Player Data Store'!$Y$7:$Y$594=AC206,ROW('All Player Data Store'!$Y$7:$Y$594)-ROW('All Player Data Store'!$Y$7)+1),COUNTIF($AC$8:AC206,AC206))),"")</f>
        <v/>
      </c>
      <c r="AV206" s="108" t="str">
        <f t="shared" si="11"/>
        <v/>
      </c>
      <c r="AW206" s="108" t="str">
        <f t="array" ref="AW206">IF(ISNUMBER(AC206),INDEX('All Player Data Store'!$S$8:$S$594,SMALL(IF('All Player Data Store'!$Y$7:$Y$594=AC206,ROW('All Player Data Store'!$Y$7:$Y$594)-ROW('All Player Data Store'!$Y$7)+1),COUNTIF($AC$8:AC206,AC206))),"")</f>
        <v/>
      </c>
      <c r="AX206" s="108" t="str">
        <f t="shared" si="12"/>
        <v/>
      </c>
      <c r="AY206" s="108" t="str">
        <f t="array" ref="AY206">IF(ISNUMBER(AC206),INDEX('All Player Data Store'!$T$8:$T$594,SMALL(IF('All Player Data Store'!$Y$7:$Y$594=AC206,ROW('All Player Data Store'!$Y$7:$Y$594)-ROW('All Player Data Store'!$Y$7)+1),COUNTIF($AC$8:AC206,AC206))),"")</f>
        <v/>
      </c>
      <c r="AZ206" s="108" t="str">
        <f t="shared" si="13"/>
        <v/>
      </c>
      <c r="BA206" s="108" t="str">
        <f t="array" ref="BA206">IF(ISNUMBER(AC206),INDEX('All Player Data Store'!$U$8:$U$594,SMALL(IF('All Player Data Store'!$Y$7:$Y$594=AC206,ROW('All Player Data Store'!$Y$7:$Y$594)-ROW('All Player Data Store'!$Y$7)+1),COUNTIF($AC$8:AC206,AC206))),"")</f>
        <v/>
      </c>
      <c r="BB206" s="108" t="str">
        <f t="shared" si="14"/>
        <v/>
      </c>
      <c r="BC206" s="108" t="str">
        <f t="array" ref="BC206">IF(ISNUMBER(AC206),INDEX('All Player Data Store'!$V$8:$V$594,SMALL(IF('All Player Data Store'!$Y$7:$Y$594=AC206,ROW('All Player Data Store'!$Y$7:$Y$594)-ROW('All Player Data Store'!$Y$7)+1),COUNTIF($AC$8:AC206,AC206))),"")</f>
        <v/>
      </c>
      <c r="BD206" s="108" t="str">
        <f t="shared" si="15"/>
        <v/>
      </c>
      <c r="BE206" s="1"/>
    </row>
    <row r="207" spans="2:57" ht="12" customHeight="1" x14ac:dyDescent="0.2">
      <c r="B207" s="98" t="str">
        <f t="shared" si="0"/>
        <v/>
      </c>
      <c r="C207" s="1"/>
      <c r="D207" s="68" t="str">
        <f t="shared" si="1"/>
        <v/>
      </c>
      <c r="E207" s="2"/>
      <c r="F207" s="78">
        <v>200</v>
      </c>
      <c r="G207" s="110" t="str">
        <f t="array" ref="G207">IF(ISNUMBER(AC207),INDEX('All Player Data Store'!$C$7:$C$594,SMALL(IF('All Player Data Store'!$Y$7:$Y$594=AC207,ROW('All Player Data Store'!$Y$7:$Y$594)-ROW('All Player Data Store'!$Y$7)+1),COUNTIF($AC$8:AC207,AC207))),"")</f>
        <v/>
      </c>
      <c r="H207" s="68" t="str">
        <f t="array" ref="H207">IF(ISNUMBER(AC207),INDEX('All Player Data Store'!$D$7:$D$594,SMALL(IF('All Player Data Store'!$Y$7:$Y$594=AC207,ROW('All Player Data Store'!$Y$7:$Y$594)-ROW('All Player Data Store'!$Y$7)+1),COUNTIF($AC$8:AC207,AC207))),"")</f>
        <v/>
      </c>
      <c r="I207" s="69" t="str">
        <f t="array" ref="I207">IF(ISNUMBER(AC207),INDEX('All Player Data Store'!$E$7:$E$594,SMALL(IF('All Player Data Store'!$Y$7:$Y$594=AC207,ROW('All Player Data Store'!$Y$7:$Y$594)-ROW('All Player Data Store'!$Y$7)+1),COUNTIF($AC$8:AC207,AC207))),"")</f>
        <v/>
      </c>
      <c r="J207" s="70" t="str">
        <f t="array" ref="J207">IF(ISNUMBER(AC207),INDEX('All Player Data Store'!$F$7:$F$594,SMALL(IF('All Player Data Store'!$Y$7:$Y$594=AC207,ROW('All Player Data Store'!$Y$7:$Y$594)-ROW('All Player Data Store'!$Y$7)+1),COUNTIF($AC$8:AC207,AC207))),"")</f>
        <v/>
      </c>
      <c r="K207" s="70" t="str">
        <f t="array" ref="K207">IF(ISNUMBER(AC207),INDEX('All Player Data Store'!$G$7:$G$594,SMALL(IF('All Player Data Store'!$Y$7:$Y$594=AC207,ROW('All Player Data Store'!$Y$7:$Y$594)-ROW('All Player Data Store'!$Y$7)+1),COUNTIF($AC$8:AC207,AC207))),"")</f>
        <v/>
      </c>
      <c r="L207" s="70" t="str">
        <f t="array" ref="L207">IF(ISNUMBER(AC207),INDEX('All Player Data Store'!$H$7:$H$594,SMALL(IF('All Player Data Store'!$Y$7:$Y$594=AC207,ROW('All Player Data Store'!$Y$7:$Y$594)-ROW('All Player Data Store'!$Y$7)+1),COUNTIF($AC$8:AC207,AC207))),"")</f>
        <v/>
      </c>
      <c r="M207" s="72" t="str">
        <f t="array" ref="M207">IF(ISNUMBER(AC207),INDEX('All Player Data Store'!$I$7:$I$594,SMALL(IF('All Player Data Store'!$Y$7:$Y$594=AC207,ROW('All Player Data Store'!$Y$7:$Y$594)-ROW('All Player Data Store'!$Y$7)+1),COUNTIF($AC$8:AC207,AC207))),"")</f>
        <v/>
      </c>
      <c r="N207" s="114" t="str">
        <f t="array" ref="N207">IF(ISNUMBER(AC207),INDEX('All Player Data Store'!$J$7:$J$594,SMALL(IF('All Player Data Store'!$Y$7:$Y$594=AC207,ROW('All Player Data Store'!$Y$7:$Y$594)-ROW('All Player Data Store'!$Y$7)+1),COUNTIF($AC$8:AC207,AC207))),"")</f>
        <v/>
      </c>
      <c r="O207" s="108" t="str">
        <f t="array" ref="O207">IF(ISNUMBER(AC207),INDEX('All Player Data Store'!$K$7:$K$594,SMALL(IF('All Player Data Store'!$Y$7:$Y$594=AC207,ROW('All Player Data Store'!$Y$7:$Y$594)-ROW('All Player Data Store'!$Y$7)+1),COUNTIF($AC$8:AC207,AC207))),"")</f>
        <v/>
      </c>
      <c r="P207" s="108" t="str">
        <f t="array" ref="P207">IF(ISNUMBER(AC207),INDEX('All Player Data Store'!$L$7:$L$594,SMALL(IF('All Player Data Store'!$Y$7:$Y$594=AC207,ROW('All Player Data Store'!$Y$7:$Y$594)-ROW('All Player Data Store'!$Y$7)+1),COUNTIF($AC$8:AC207,AC207))),"")</f>
        <v/>
      </c>
      <c r="Q207" s="108" t="str">
        <f t="array" ref="Q207">IF(ISNUMBER(AC207),INDEX('All Player Data Store'!$M$7:$M$594,SMALL(IF('All Player Data Store'!$Y$7:$Y$594=AC207,ROW('All Player Data Store'!$Y$7:$Y$594)-ROW('All Player Data Store'!$Y$7)+1),COUNTIF($AC$8:AC207,AC207))),"")</f>
        <v/>
      </c>
      <c r="R207" s="108" t="str">
        <f t="array" ref="R207">IF(ISNUMBER(AC207),INDEX('All Player Data Store'!$N$7:$N$594,SMALL(IF('All Player Data Store'!$Y$7:$Y$594=AC207,ROW('All Player Data Store'!$Y$7:$Y$594)-ROW('All Player Data Store'!$Y$7)+1),COUNTIF($AC$8:AC207,AC207))),"")</f>
        <v/>
      </c>
      <c r="S207" s="108" t="str">
        <f t="array" ref="S207">IF(ISNUMBER(AC207),INDEX('All Player Data Store'!$O$7:$O$594,SMALL(IF('All Player Data Store'!$Y$7:$Y$594=AC207,ROW('All Player Data Store'!$Y$7:$Y$594)-ROW('All Player Data Store'!$Y$7)+1),COUNTIF($AC$8:AC207,AC207))),"")</f>
        <v/>
      </c>
      <c r="T207" s="108" t="str">
        <f t="array" ref="T207">IF(ISNUMBER(AC207),INDEX('All Player Data Store'!$P$7:$P$594,SMALL(IF('All Player Data Store'!$Y$7:$Y$594=AC207,ROW('All Player Data Store'!$Y$7:$Y$594)-ROW('All Player Data Store'!$Y$7)+1),COUNTIF($AC$8:AC207,AC207))),"")</f>
        <v/>
      </c>
      <c r="U207" s="108" t="str">
        <f t="array" ref="U207">IF(ISNUMBER(AC207),INDEX('All Player Data Store'!$Q$7:$Q$594,SMALL(IF('All Player Data Store'!$Y$7:$Y$594=AC207,ROW('All Player Data Store'!$Y$7:$Y$594)-ROW('All Player Data Store'!$Y$7)+1),COUNTIF($AC$8:AC207,AC207))),"")</f>
        <v/>
      </c>
      <c r="V207" s="108" t="str">
        <f t="array" ref="V207">IF(ISNUMBER(AC207),INDEX('All Player Data Store'!$R$7:$R$594,SMALL(IF('All Player Data Store'!$Y$7:$Y$594=AC207,ROW('All Player Data Store'!$Y$7:$Y$594)-ROW('All Player Data Store'!$Y$7)+1),COUNTIF($AC$8:AC207,AC207))),"")</f>
        <v/>
      </c>
      <c r="W207" s="108" t="str">
        <f t="array" ref="W207">IF(ISNUMBER(AC207),INDEX('All Player Data Store'!$S$7:$S$594,SMALL(IF('All Player Data Store'!$Y$7:$Y$594=AC207,ROW('All Player Data Store'!$Y$7:$Y$594)-ROW('All Player Data Store'!$Y$7)+1),COUNTIF($AC$8:AC207,AC207))),"")</f>
        <v/>
      </c>
      <c r="X207" s="108" t="str">
        <f t="array" ref="X207">IF(ISNUMBER(AC207),INDEX('All Player Data Store'!$T$7:$T$594,SMALL(IF('All Player Data Store'!$Y$7:$Y$594=AC207,ROW('All Player Data Store'!$Y$7:$Y$594)-ROW('All Player Data Store'!$Y$7)+1),COUNTIF($AC$8:AC207,AC207))),"")</f>
        <v/>
      </c>
      <c r="Y207" s="108" t="str">
        <f t="array" ref="Y207">IF(ISNUMBER(AC207),INDEX('All Player Data Store'!$U$7:$U$594,SMALL(IF('All Player Data Store'!$Y$7:$Y$594=AC207,ROW('All Player Data Store'!$Y$7:$Y$594)-ROW('All Player Data Store'!$Y$7)+1),COUNTIF($AC$8:AC207,AC207))),"")</f>
        <v/>
      </c>
      <c r="Z207" s="108" t="str">
        <f t="array" ref="Z207">IF(ISNUMBER(AC207),INDEX('All Player Data Store'!$V$7:$V$594,SMALL(IF('All Player Data Store'!$Y$7:$Y$594=AC207,ROW('All Player Data Store'!$Y$7:$Y$594)-ROW('All Player Data Store'!$Y$7)+1),COUNTIF($AC$8:AC207,AC207))),"")</f>
        <v/>
      </c>
      <c r="AA207" s="112" t="str">
        <f t="array" ref="AA207">IF(ISNUMBER(AC207),INDEX('All Player Data Store'!$W$7:$W$594,SMALL(IF('All Player Data Store'!$Y$7:$Y$594=AC207,ROW('All Player Data Store'!$Y$7:$Y$594)-ROW('All Player Data Store'!$Y$7)+1),COUNTIF($AC$8:AC207,AC207))),"")</f>
        <v/>
      </c>
      <c r="AB207" s="108" t="str">
        <f t="array" ref="AB207">IF(ISNUMBER(AC207),INDEX('All Player Data Store'!$X$7:$X$594,SMALL(IF('All Player Data Store'!$Y$7:$Y$594=AC207,ROW('All Player Data Store'!$Y$7:$Y$594)-ROW('All Player Data Store'!$Y$7)+1),COUNTIF($AC$8:AC207,AC207))),"")</f>
        <v/>
      </c>
      <c r="AC207" s="115" t="str">
        <f>IF(ISERROR(IF(ISERROR(LARGE('All Player Data Store'!$Y$7:$Y$594,200)),"",(LARGE('All Player Data Store'!$Y$7:$Y$594,200)))),"",(IF(ISERROR(LARGE('All Player Data Store'!$Y$7:$Y$594,200)),"",(LARGE('All Player Data Store'!$Y$7:$Y$594,200)))))</f>
        <v/>
      </c>
      <c r="AD207" s="106">
        <f t="shared" si="16"/>
        <v>1</v>
      </c>
      <c r="AE207" s="107" t="str">
        <f t="array" ref="AE207">IF(ISNUMBER(AC207),INDEX('All Player Data Store'!$J$8:$J$594,SMALL(IF('All Player Data Store'!$Y$7:$Y$594=AC207,ROW('All Player Data Store'!$Y$7:$Y$594)-ROW('All Player Data Store'!$Y$7)+1),COUNTIF($AC$8:AC207,AC207))),"")</f>
        <v/>
      </c>
      <c r="AF207" s="108" t="str">
        <f t="shared" si="3"/>
        <v/>
      </c>
      <c r="AG207" s="108" t="str">
        <f t="array" ref="AG207">IF(ISNUMBER(AC207),INDEX('All Player Data Store'!$K$8:$K$594,SMALL(IF('All Player Data Store'!$Y$7:$Y$594=AC207,ROW('All Player Data Store'!$Y$7:$Y$594)-ROW('All Player Data Store'!$Y$7)+1),COUNTIF($AC$8:AC207,AC207))),"")</f>
        <v/>
      </c>
      <c r="AH207" s="108" t="str">
        <f t="shared" si="4"/>
        <v/>
      </c>
      <c r="AI207" s="108" t="str">
        <f t="array" ref="AI207">IF(ISNUMBER(AC207),INDEX('All Player Data Store'!$L$8:$L$594,SMALL(IF('All Player Data Store'!$Y$7:$Y$594=AC207,ROW('All Player Data Store'!$Y$7:$Y$594)-ROW('All Player Data Store'!$Y$7)+1),COUNTIF($AC$8:AC207,AC207))),"")</f>
        <v/>
      </c>
      <c r="AJ207" s="108" t="str">
        <f t="shared" si="5"/>
        <v/>
      </c>
      <c r="AK207" s="108" t="str">
        <f t="array" ref="AK207">IF(ISNUMBER(AC207),INDEX('All Player Data Store'!$M$8:$M$594,SMALL(IF('All Player Data Store'!$Y$7:$Y$594=AC207,ROW('All Player Data Store'!$Y$7:$Y$594)-ROW('All Player Data Store'!$Y$7)+1),COUNTIF($AC$8:AC207,AC207))),"")</f>
        <v/>
      </c>
      <c r="AL207" s="108" t="str">
        <f t="shared" si="6"/>
        <v/>
      </c>
      <c r="AM207" s="108" t="str">
        <f t="array" ref="AM207">IF(ISNUMBER(AC207),INDEX('All Player Data Store'!$N$8:$N$594,SMALL(IF('All Player Data Store'!$Y$7:$Y$594=AC207,ROW('All Player Data Store'!$Y$7:$Y$594)-ROW('All Player Data Store'!$Y$7)+1),COUNTIF($AC$8:AC207,AC207))),"")</f>
        <v/>
      </c>
      <c r="AN207" s="108" t="str">
        <f t="shared" si="7"/>
        <v/>
      </c>
      <c r="AO207" s="108" t="str">
        <f t="array" ref="AO207">IF(ISNUMBER(AC207),INDEX('All Player Data Store'!$O$8:$O$594,SMALL(IF('All Player Data Store'!$Y$7:$Y$594=AC207,ROW('All Player Data Store'!$Y$7:$Y$594)-ROW('All Player Data Store'!$Y$7)+1),COUNTIF($AC$8:AC207,AC207))),"")</f>
        <v/>
      </c>
      <c r="AP207" s="108" t="str">
        <f t="shared" si="8"/>
        <v/>
      </c>
      <c r="AQ207" s="108" t="str">
        <f t="array" ref="AQ207">IF(ISNUMBER(AC207),INDEX('All Player Data Store'!$P$8:$P$594,SMALL(IF('All Player Data Store'!$Y$7:$Y$594=AC207,ROW('All Player Data Store'!$Y$7:$Y$594)-ROW('All Player Data Store'!$Y$7)+1),COUNTIF($AC$8:AC207,AC207))),"")</f>
        <v/>
      </c>
      <c r="AR207" s="108" t="str">
        <f t="shared" si="9"/>
        <v/>
      </c>
      <c r="AS207" s="108" t="str">
        <f t="array" ref="AS207">IF(ISNUMBER(AC207),INDEX('All Player Data Store'!$Q$8:$Q$594,SMALL(IF('All Player Data Store'!$Y$7:$Y$594=AC207,ROW('All Player Data Store'!$Y$7:$Y$594)-ROW('All Player Data Store'!$Y$7)+1),COUNTIF($AC$8:AC207,AC207))),"")</f>
        <v/>
      </c>
      <c r="AT207" s="108" t="str">
        <f t="shared" si="10"/>
        <v/>
      </c>
      <c r="AU207" s="108" t="str">
        <f t="array" ref="AU207">IF(ISNUMBER(AC207),INDEX('All Player Data Store'!$R$8:$R$594,SMALL(IF('All Player Data Store'!$Y$7:$Y$594=AC207,ROW('All Player Data Store'!$Y$7:$Y$594)-ROW('All Player Data Store'!$Y$7)+1),COUNTIF($AC$8:AC207,AC207))),"")</f>
        <v/>
      </c>
      <c r="AV207" s="108" t="str">
        <f t="shared" si="11"/>
        <v/>
      </c>
      <c r="AW207" s="108" t="str">
        <f t="array" ref="AW207">IF(ISNUMBER(AC207),INDEX('All Player Data Store'!$S$8:$S$594,SMALL(IF('All Player Data Store'!$Y$7:$Y$594=AC207,ROW('All Player Data Store'!$Y$7:$Y$594)-ROW('All Player Data Store'!$Y$7)+1),COUNTIF($AC$8:AC207,AC207))),"")</f>
        <v/>
      </c>
      <c r="AX207" s="108" t="str">
        <f t="shared" si="12"/>
        <v/>
      </c>
      <c r="AY207" s="108" t="str">
        <f t="array" ref="AY207">IF(ISNUMBER(AC207),INDEX('All Player Data Store'!$T$8:$T$594,SMALL(IF('All Player Data Store'!$Y$7:$Y$594=AC207,ROW('All Player Data Store'!$Y$7:$Y$594)-ROW('All Player Data Store'!$Y$7)+1),COUNTIF($AC$8:AC207,AC207))),"")</f>
        <v/>
      </c>
      <c r="AZ207" s="108" t="str">
        <f t="shared" si="13"/>
        <v/>
      </c>
      <c r="BA207" s="108" t="str">
        <f t="array" ref="BA207">IF(ISNUMBER(AC207),INDEX('All Player Data Store'!$U$8:$U$594,SMALL(IF('All Player Data Store'!$Y$7:$Y$594=AC207,ROW('All Player Data Store'!$Y$7:$Y$594)-ROW('All Player Data Store'!$Y$7)+1),COUNTIF($AC$8:AC207,AC207))),"")</f>
        <v/>
      </c>
      <c r="BB207" s="108" t="str">
        <f t="shared" si="14"/>
        <v/>
      </c>
      <c r="BC207" s="108" t="str">
        <f t="array" ref="BC207">IF(ISNUMBER(AC207),INDEX('All Player Data Store'!$V$8:$V$594,SMALL(IF('All Player Data Store'!$Y$7:$Y$594=AC207,ROW('All Player Data Store'!$Y$7:$Y$594)-ROW('All Player Data Store'!$Y$7)+1),COUNTIF($AC$8:AC207,AC207))),"")</f>
        <v/>
      </c>
      <c r="BD207" s="108" t="str">
        <f t="shared" si="15"/>
        <v/>
      </c>
      <c r="BE207" s="1"/>
    </row>
    <row r="208" spans="2:57" ht="12" customHeight="1" x14ac:dyDescent="0.2">
      <c r="B208" s="98" t="str">
        <f t="shared" si="0"/>
        <v/>
      </c>
      <c r="C208" s="1"/>
      <c r="D208" s="68" t="str">
        <f t="shared" si="1"/>
        <v/>
      </c>
      <c r="E208" s="2"/>
      <c r="F208" s="78">
        <v>201</v>
      </c>
      <c r="G208" s="110" t="str">
        <f t="array" ref="G208">IF(ISNUMBER(AC208),INDEX('All Player Data Store'!$C$7:$C$594,SMALL(IF('All Player Data Store'!$Y$7:$Y$594=AC208,ROW('All Player Data Store'!$Y$7:$Y$594)-ROW('All Player Data Store'!$Y$7)+1),COUNTIF($AC$8:AC208,AC208))),"")</f>
        <v/>
      </c>
      <c r="H208" s="68" t="str">
        <f t="array" ref="H208">IF(ISNUMBER(AC208),INDEX('All Player Data Store'!$D$7:$D$594,SMALL(IF('All Player Data Store'!$Y$7:$Y$594=AC208,ROW('All Player Data Store'!$Y$7:$Y$594)-ROW('All Player Data Store'!$Y$7)+1),COUNTIF($AC$8:AC208,AC208))),"")</f>
        <v/>
      </c>
      <c r="I208" s="69" t="str">
        <f t="array" ref="I208">IF(ISNUMBER(AC208),INDEX('All Player Data Store'!$E$7:$E$594,SMALL(IF('All Player Data Store'!$Y$7:$Y$594=AC208,ROW('All Player Data Store'!$Y$7:$Y$594)-ROW('All Player Data Store'!$Y$7)+1),COUNTIF($AC$8:AC208,AC208))),"")</f>
        <v/>
      </c>
      <c r="J208" s="70" t="str">
        <f t="array" ref="J208">IF(ISNUMBER(AC208),INDEX('All Player Data Store'!$F$7:$F$594,SMALL(IF('All Player Data Store'!$Y$7:$Y$594=AC208,ROW('All Player Data Store'!$Y$7:$Y$594)-ROW('All Player Data Store'!$Y$7)+1),COUNTIF($AC$8:AC208,AC208))),"")</f>
        <v/>
      </c>
      <c r="K208" s="70" t="str">
        <f t="array" ref="K208">IF(ISNUMBER(AC208),INDEX('All Player Data Store'!$G$7:$G$594,SMALL(IF('All Player Data Store'!$Y$7:$Y$594=AC208,ROW('All Player Data Store'!$Y$7:$Y$594)-ROW('All Player Data Store'!$Y$7)+1),COUNTIF($AC$8:AC208,AC208))),"")</f>
        <v/>
      </c>
      <c r="L208" s="70" t="str">
        <f t="array" ref="L208">IF(ISNUMBER(AC208),INDEX('All Player Data Store'!$H$7:$H$594,SMALL(IF('All Player Data Store'!$Y$7:$Y$594=AC208,ROW('All Player Data Store'!$Y$7:$Y$594)-ROW('All Player Data Store'!$Y$7)+1),COUNTIF($AC$8:AC208,AC208))),"")</f>
        <v/>
      </c>
      <c r="M208" s="72" t="str">
        <f t="array" ref="M208">IF(ISNUMBER(AC208),INDEX('All Player Data Store'!$I$7:$I$594,SMALL(IF('All Player Data Store'!$Y$7:$Y$594=AC208,ROW('All Player Data Store'!$Y$7:$Y$594)-ROW('All Player Data Store'!$Y$7)+1),COUNTIF($AC$8:AC208,AC208))),"")</f>
        <v/>
      </c>
      <c r="N208" s="114" t="str">
        <f t="array" ref="N208">IF(ISNUMBER(AC208),INDEX('All Player Data Store'!$J$7:$J$594,SMALL(IF('All Player Data Store'!$Y$7:$Y$594=AC208,ROW('All Player Data Store'!$Y$7:$Y$594)-ROW('All Player Data Store'!$Y$7)+1),COUNTIF($AC$8:AC208,AC208))),"")</f>
        <v/>
      </c>
      <c r="O208" s="108" t="str">
        <f t="array" ref="O208">IF(ISNUMBER(AC208),INDEX('All Player Data Store'!$K$7:$K$594,SMALL(IF('All Player Data Store'!$Y$7:$Y$594=AC208,ROW('All Player Data Store'!$Y$7:$Y$594)-ROW('All Player Data Store'!$Y$7)+1),COUNTIF($AC$8:AC208,AC208))),"")</f>
        <v/>
      </c>
      <c r="P208" s="108" t="str">
        <f t="array" ref="P208">IF(ISNUMBER(AC208),INDEX('All Player Data Store'!$L$7:$L$594,SMALL(IF('All Player Data Store'!$Y$7:$Y$594=AC208,ROW('All Player Data Store'!$Y$7:$Y$594)-ROW('All Player Data Store'!$Y$7)+1),COUNTIF($AC$8:AC208,AC208))),"")</f>
        <v/>
      </c>
      <c r="Q208" s="108" t="str">
        <f t="array" ref="Q208">IF(ISNUMBER(AC208),INDEX('All Player Data Store'!$M$7:$M$594,SMALL(IF('All Player Data Store'!$Y$7:$Y$594=AC208,ROW('All Player Data Store'!$Y$7:$Y$594)-ROW('All Player Data Store'!$Y$7)+1),COUNTIF($AC$8:AC208,AC208))),"")</f>
        <v/>
      </c>
      <c r="R208" s="108" t="str">
        <f t="array" ref="R208">IF(ISNUMBER(AC208),INDEX('All Player Data Store'!$N$7:$N$594,SMALL(IF('All Player Data Store'!$Y$7:$Y$594=AC208,ROW('All Player Data Store'!$Y$7:$Y$594)-ROW('All Player Data Store'!$Y$7)+1),COUNTIF($AC$8:AC208,AC208))),"")</f>
        <v/>
      </c>
      <c r="S208" s="108" t="str">
        <f t="array" ref="S208">IF(ISNUMBER(AC208),INDEX('All Player Data Store'!$O$7:$O$594,SMALL(IF('All Player Data Store'!$Y$7:$Y$594=AC208,ROW('All Player Data Store'!$Y$7:$Y$594)-ROW('All Player Data Store'!$Y$7)+1),COUNTIF($AC$8:AC208,AC208))),"")</f>
        <v/>
      </c>
      <c r="T208" s="108" t="str">
        <f t="array" ref="T208">IF(ISNUMBER(AC208),INDEX('All Player Data Store'!$P$7:$P$594,SMALL(IF('All Player Data Store'!$Y$7:$Y$594=AC208,ROW('All Player Data Store'!$Y$7:$Y$594)-ROW('All Player Data Store'!$Y$7)+1),COUNTIF($AC$8:AC208,AC208))),"")</f>
        <v/>
      </c>
      <c r="U208" s="108" t="str">
        <f t="array" ref="U208">IF(ISNUMBER(AC208),INDEX('All Player Data Store'!$Q$7:$Q$594,SMALL(IF('All Player Data Store'!$Y$7:$Y$594=AC208,ROW('All Player Data Store'!$Y$7:$Y$594)-ROW('All Player Data Store'!$Y$7)+1),COUNTIF($AC$8:AC208,AC208))),"")</f>
        <v/>
      </c>
      <c r="V208" s="108" t="str">
        <f t="array" ref="V208">IF(ISNUMBER(AC208),INDEX('All Player Data Store'!$R$7:$R$594,SMALL(IF('All Player Data Store'!$Y$7:$Y$594=AC208,ROW('All Player Data Store'!$Y$7:$Y$594)-ROW('All Player Data Store'!$Y$7)+1),COUNTIF($AC$8:AC208,AC208))),"")</f>
        <v/>
      </c>
      <c r="W208" s="108" t="str">
        <f t="array" ref="W208">IF(ISNUMBER(AC208),INDEX('All Player Data Store'!$S$7:$S$594,SMALL(IF('All Player Data Store'!$Y$7:$Y$594=AC208,ROW('All Player Data Store'!$Y$7:$Y$594)-ROW('All Player Data Store'!$Y$7)+1),COUNTIF($AC$8:AC208,AC208))),"")</f>
        <v/>
      </c>
      <c r="X208" s="108" t="str">
        <f t="array" ref="X208">IF(ISNUMBER(AC208),INDEX('All Player Data Store'!$T$7:$T$594,SMALL(IF('All Player Data Store'!$Y$7:$Y$594=AC208,ROW('All Player Data Store'!$Y$7:$Y$594)-ROW('All Player Data Store'!$Y$7)+1),COUNTIF($AC$8:AC208,AC208))),"")</f>
        <v/>
      </c>
      <c r="Y208" s="108" t="str">
        <f t="array" ref="Y208">IF(ISNUMBER(AC208),INDEX('All Player Data Store'!$U$7:$U$594,SMALL(IF('All Player Data Store'!$Y$7:$Y$594=AC208,ROW('All Player Data Store'!$Y$7:$Y$594)-ROW('All Player Data Store'!$Y$7)+1),COUNTIF($AC$8:AC208,AC208))),"")</f>
        <v/>
      </c>
      <c r="Z208" s="108" t="str">
        <f t="array" ref="Z208">IF(ISNUMBER(AC208),INDEX('All Player Data Store'!$V$7:$V$594,SMALL(IF('All Player Data Store'!$Y$7:$Y$594=AC208,ROW('All Player Data Store'!$Y$7:$Y$594)-ROW('All Player Data Store'!$Y$7)+1),COUNTIF($AC$8:AC208,AC208))),"")</f>
        <v/>
      </c>
      <c r="AA208" s="112" t="str">
        <f t="array" ref="AA208">IF(ISNUMBER(AC208),INDEX('All Player Data Store'!$W$7:$W$594,SMALL(IF('All Player Data Store'!$Y$7:$Y$594=AC208,ROW('All Player Data Store'!$Y$7:$Y$594)-ROW('All Player Data Store'!$Y$7)+1),COUNTIF($AC$8:AC208,AC208))),"")</f>
        <v/>
      </c>
      <c r="AB208" s="108" t="str">
        <f t="array" ref="AB208">IF(ISNUMBER(AC208),INDEX('All Player Data Store'!$X$7:$X$594,SMALL(IF('All Player Data Store'!$Y$7:$Y$594=AC208,ROW('All Player Data Store'!$Y$7:$Y$594)-ROW('All Player Data Store'!$Y$7)+1),COUNTIF($AC$8:AC208,AC208))),"")</f>
        <v/>
      </c>
      <c r="AC208" s="115" t="str">
        <f>IF(ISERROR(IF(ISERROR(LARGE('All Player Data Store'!$Y$7:$Y$594,201)),"",(LARGE('All Player Data Store'!$Y$7:$Y$594,201)))),"",(IF(ISERROR(LARGE('All Player Data Store'!$Y$7:$Y$594,201)),"",(LARGE('All Player Data Store'!$Y$7:$Y$594,201)))))</f>
        <v/>
      </c>
      <c r="AD208" s="106">
        <f t="shared" si="16"/>
        <v>1</v>
      </c>
      <c r="AE208" s="107" t="str">
        <f t="array" ref="AE208">IF(ISNUMBER(AC208),INDEX('All Player Data Store'!$J$8:$J$594,SMALL(IF('All Player Data Store'!$Y$7:$Y$594=AC208,ROW('All Player Data Store'!$Y$7:$Y$594)-ROW('All Player Data Store'!$Y$7)+1),COUNTIF($AC$8:AC208,AC208))),"")</f>
        <v/>
      </c>
      <c r="AF208" s="108" t="str">
        <f t="shared" si="3"/>
        <v/>
      </c>
      <c r="AG208" s="108" t="str">
        <f t="array" ref="AG208">IF(ISNUMBER(AC208),INDEX('All Player Data Store'!$K$8:$K$594,SMALL(IF('All Player Data Store'!$Y$7:$Y$594=AC208,ROW('All Player Data Store'!$Y$7:$Y$594)-ROW('All Player Data Store'!$Y$7)+1),COUNTIF($AC$8:AC208,AC208))),"")</f>
        <v/>
      </c>
      <c r="AH208" s="108" t="str">
        <f t="shared" si="4"/>
        <v/>
      </c>
      <c r="AI208" s="108" t="str">
        <f t="array" ref="AI208">IF(ISNUMBER(AC208),INDEX('All Player Data Store'!$L$8:$L$594,SMALL(IF('All Player Data Store'!$Y$7:$Y$594=AC208,ROW('All Player Data Store'!$Y$7:$Y$594)-ROW('All Player Data Store'!$Y$7)+1),COUNTIF($AC$8:AC208,AC208))),"")</f>
        <v/>
      </c>
      <c r="AJ208" s="108" t="str">
        <f t="shared" si="5"/>
        <v/>
      </c>
      <c r="AK208" s="108" t="str">
        <f t="array" ref="AK208">IF(ISNUMBER(AC208),INDEX('All Player Data Store'!$M$8:$M$594,SMALL(IF('All Player Data Store'!$Y$7:$Y$594=AC208,ROW('All Player Data Store'!$Y$7:$Y$594)-ROW('All Player Data Store'!$Y$7)+1),COUNTIF($AC$8:AC208,AC208))),"")</f>
        <v/>
      </c>
      <c r="AL208" s="108" t="str">
        <f t="shared" si="6"/>
        <v/>
      </c>
      <c r="AM208" s="108" t="str">
        <f t="array" ref="AM208">IF(ISNUMBER(AC208),INDEX('All Player Data Store'!$N$8:$N$594,SMALL(IF('All Player Data Store'!$Y$7:$Y$594=AC208,ROW('All Player Data Store'!$Y$7:$Y$594)-ROW('All Player Data Store'!$Y$7)+1),COUNTIF($AC$8:AC208,AC208))),"")</f>
        <v/>
      </c>
      <c r="AN208" s="108" t="str">
        <f t="shared" si="7"/>
        <v/>
      </c>
      <c r="AO208" s="108" t="str">
        <f t="array" ref="AO208">IF(ISNUMBER(AC208),INDEX('All Player Data Store'!$O$8:$O$594,SMALL(IF('All Player Data Store'!$Y$7:$Y$594=AC208,ROW('All Player Data Store'!$Y$7:$Y$594)-ROW('All Player Data Store'!$Y$7)+1),COUNTIF($AC$8:AC208,AC208))),"")</f>
        <v/>
      </c>
      <c r="AP208" s="108" t="str">
        <f t="shared" si="8"/>
        <v/>
      </c>
      <c r="AQ208" s="108" t="str">
        <f t="array" ref="AQ208">IF(ISNUMBER(AC208),INDEX('All Player Data Store'!$P$8:$P$594,SMALL(IF('All Player Data Store'!$Y$7:$Y$594=AC208,ROW('All Player Data Store'!$Y$7:$Y$594)-ROW('All Player Data Store'!$Y$7)+1),COUNTIF($AC$8:AC208,AC208))),"")</f>
        <v/>
      </c>
      <c r="AR208" s="108" t="str">
        <f t="shared" si="9"/>
        <v/>
      </c>
      <c r="AS208" s="108" t="str">
        <f t="array" ref="AS208">IF(ISNUMBER(AC208),INDEX('All Player Data Store'!$Q$8:$Q$594,SMALL(IF('All Player Data Store'!$Y$7:$Y$594=AC208,ROW('All Player Data Store'!$Y$7:$Y$594)-ROW('All Player Data Store'!$Y$7)+1),COUNTIF($AC$8:AC208,AC208))),"")</f>
        <v/>
      </c>
      <c r="AT208" s="108" t="str">
        <f t="shared" si="10"/>
        <v/>
      </c>
      <c r="AU208" s="108" t="str">
        <f t="array" ref="AU208">IF(ISNUMBER(AC208),INDEX('All Player Data Store'!$R$8:$R$594,SMALL(IF('All Player Data Store'!$Y$7:$Y$594=AC208,ROW('All Player Data Store'!$Y$7:$Y$594)-ROW('All Player Data Store'!$Y$7)+1),COUNTIF($AC$8:AC208,AC208))),"")</f>
        <v/>
      </c>
      <c r="AV208" s="108" t="str">
        <f t="shared" si="11"/>
        <v/>
      </c>
      <c r="AW208" s="108" t="str">
        <f t="array" ref="AW208">IF(ISNUMBER(AC208),INDEX('All Player Data Store'!$S$8:$S$594,SMALL(IF('All Player Data Store'!$Y$7:$Y$594=AC208,ROW('All Player Data Store'!$Y$7:$Y$594)-ROW('All Player Data Store'!$Y$7)+1),COUNTIF($AC$8:AC208,AC208))),"")</f>
        <v/>
      </c>
      <c r="AX208" s="108" t="str">
        <f t="shared" si="12"/>
        <v/>
      </c>
      <c r="AY208" s="108" t="str">
        <f t="array" ref="AY208">IF(ISNUMBER(AC208),INDEX('All Player Data Store'!$T$8:$T$594,SMALL(IF('All Player Data Store'!$Y$7:$Y$594=AC208,ROW('All Player Data Store'!$Y$7:$Y$594)-ROW('All Player Data Store'!$Y$7)+1),COUNTIF($AC$8:AC208,AC208))),"")</f>
        <v/>
      </c>
      <c r="AZ208" s="108" t="str">
        <f t="shared" si="13"/>
        <v/>
      </c>
      <c r="BA208" s="108" t="str">
        <f t="array" ref="BA208">IF(ISNUMBER(AC208),INDEX('All Player Data Store'!$U$8:$U$594,SMALL(IF('All Player Data Store'!$Y$7:$Y$594=AC208,ROW('All Player Data Store'!$Y$7:$Y$594)-ROW('All Player Data Store'!$Y$7)+1),COUNTIF($AC$8:AC208,AC208))),"")</f>
        <v/>
      </c>
      <c r="BB208" s="108" t="str">
        <f t="shared" si="14"/>
        <v/>
      </c>
      <c r="BC208" s="108" t="str">
        <f t="array" ref="BC208">IF(ISNUMBER(AC208),INDEX('All Player Data Store'!$V$8:$V$594,SMALL(IF('All Player Data Store'!$Y$7:$Y$594=AC208,ROW('All Player Data Store'!$Y$7:$Y$594)-ROW('All Player Data Store'!$Y$7)+1),COUNTIF($AC$8:AC208,AC208))),"")</f>
        <v/>
      </c>
      <c r="BD208" s="108" t="str">
        <f t="shared" si="15"/>
        <v/>
      </c>
      <c r="BE208" s="1"/>
    </row>
    <row r="209" spans="2:57" ht="12" customHeight="1" x14ac:dyDescent="0.2">
      <c r="B209" s="98" t="str">
        <f t="shared" si="0"/>
        <v/>
      </c>
      <c r="C209" s="1"/>
      <c r="D209" s="68" t="str">
        <f t="shared" si="1"/>
        <v/>
      </c>
      <c r="E209" s="2"/>
      <c r="F209" s="78">
        <v>202</v>
      </c>
      <c r="G209" s="110" t="str">
        <f t="array" ref="G209">IF(ISNUMBER(AC209),INDEX('All Player Data Store'!$C$7:$C$594,SMALL(IF('All Player Data Store'!$Y$7:$Y$594=AC209,ROW('All Player Data Store'!$Y$7:$Y$594)-ROW('All Player Data Store'!$Y$7)+1),COUNTIF($AC$8:AC209,AC209))),"")</f>
        <v/>
      </c>
      <c r="H209" s="68" t="str">
        <f t="array" ref="H209">IF(ISNUMBER(AC209),INDEX('All Player Data Store'!$D$7:$D$594,SMALL(IF('All Player Data Store'!$Y$7:$Y$594=AC209,ROW('All Player Data Store'!$Y$7:$Y$594)-ROW('All Player Data Store'!$Y$7)+1),COUNTIF($AC$8:AC209,AC209))),"")</f>
        <v/>
      </c>
      <c r="I209" s="69" t="str">
        <f t="array" ref="I209">IF(ISNUMBER(AC209),INDEX('All Player Data Store'!$E$7:$E$594,SMALL(IF('All Player Data Store'!$Y$7:$Y$594=AC209,ROW('All Player Data Store'!$Y$7:$Y$594)-ROW('All Player Data Store'!$Y$7)+1),COUNTIF($AC$8:AC209,AC209))),"")</f>
        <v/>
      </c>
      <c r="J209" s="70" t="str">
        <f t="array" ref="J209">IF(ISNUMBER(AC209),INDEX('All Player Data Store'!$F$7:$F$594,SMALL(IF('All Player Data Store'!$Y$7:$Y$594=AC209,ROW('All Player Data Store'!$Y$7:$Y$594)-ROW('All Player Data Store'!$Y$7)+1),COUNTIF($AC$8:AC209,AC209))),"")</f>
        <v/>
      </c>
      <c r="K209" s="70" t="str">
        <f t="array" ref="K209">IF(ISNUMBER(AC209),INDEX('All Player Data Store'!$G$7:$G$594,SMALL(IF('All Player Data Store'!$Y$7:$Y$594=AC209,ROW('All Player Data Store'!$Y$7:$Y$594)-ROW('All Player Data Store'!$Y$7)+1),COUNTIF($AC$8:AC209,AC209))),"")</f>
        <v/>
      </c>
      <c r="L209" s="70" t="str">
        <f t="array" ref="L209">IF(ISNUMBER(AC209),INDEX('All Player Data Store'!$H$7:$H$594,SMALL(IF('All Player Data Store'!$Y$7:$Y$594=AC209,ROW('All Player Data Store'!$Y$7:$Y$594)-ROW('All Player Data Store'!$Y$7)+1),COUNTIF($AC$8:AC209,AC209))),"")</f>
        <v/>
      </c>
      <c r="M209" s="72" t="str">
        <f t="array" ref="M209">IF(ISNUMBER(AC209),INDEX('All Player Data Store'!$I$7:$I$594,SMALL(IF('All Player Data Store'!$Y$7:$Y$594=AC209,ROW('All Player Data Store'!$Y$7:$Y$594)-ROW('All Player Data Store'!$Y$7)+1),COUNTIF($AC$8:AC209,AC209))),"")</f>
        <v/>
      </c>
      <c r="N209" s="114" t="str">
        <f t="array" ref="N209">IF(ISNUMBER(AC209),INDEX('All Player Data Store'!$J$7:$J$594,SMALL(IF('All Player Data Store'!$Y$7:$Y$594=AC209,ROW('All Player Data Store'!$Y$7:$Y$594)-ROW('All Player Data Store'!$Y$7)+1),COUNTIF($AC$8:AC209,AC209))),"")</f>
        <v/>
      </c>
      <c r="O209" s="108" t="str">
        <f t="array" ref="O209">IF(ISNUMBER(AC209),INDEX('All Player Data Store'!$K$7:$K$594,SMALL(IF('All Player Data Store'!$Y$7:$Y$594=AC209,ROW('All Player Data Store'!$Y$7:$Y$594)-ROW('All Player Data Store'!$Y$7)+1),COUNTIF($AC$8:AC209,AC209))),"")</f>
        <v/>
      </c>
      <c r="P209" s="108" t="str">
        <f t="array" ref="P209">IF(ISNUMBER(AC209),INDEX('All Player Data Store'!$L$7:$L$594,SMALL(IF('All Player Data Store'!$Y$7:$Y$594=AC209,ROW('All Player Data Store'!$Y$7:$Y$594)-ROW('All Player Data Store'!$Y$7)+1),COUNTIF($AC$8:AC209,AC209))),"")</f>
        <v/>
      </c>
      <c r="Q209" s="108" t="str">
        <f t="array" ref="Q209">IF(ISNUMBER(AC209),INDEX('All Player Data Store'!$M$7:$M$594,SMALL(IF('All Player Data Store'!$Y$7:$Y$594=AC209,ROW('All Player Data Store'!$Y$7:$Y$594)-ROW('All Player Data Store'!$Y$7)+1),COUNTIF($AC$8:AC209,AC209))),"")</f>
        <v/>
      </c>
      <c r="R209" s="108" t="str">
        <f t="array" ref="R209">IF(ISNUMBER(AC209),INDEX('All Player Data Store'!$N$7:$N$594,SMALL(IF('All Player Data Store'!$Y$7:$Y$594=AC209,ROW('All Player Data Store'!$Y$7:$Y$594)-ROW('All Player Data Store'!$Y$7)+1),COUNTIF($AC$8:AC209,AC209))),"")</f>
        <v/>
      </c>
      <c r="S209" s="108" t="str">
        <f t="array" ref="S209">IF(ISNUMBER(AC209),INDEX('All Player Data Store'!$O$7:$O$594,SMALL(IF('All Player Data Store'!$Y$7:$Y$594=AC209,ROW('All Player Data Store'!$Y$7:$Y$594)-ROW('All Player Data Store'!$Y$7)+1),COUNTIF($AC$8:AC209,AC209))),"")</f>
        <v/>
      </c>
      <c r="T209" s="108" t="str">
        <f t="array" ref="T209">IF(ISNUMBER(AC209),INDEX('All Player Data Store'!$P$7:$P$594,SMALL(IF('All Player Data Store'!$Y$7:$Y$594=AC209,ROW('All Player Data Store'!$Y$7:$Y$594)-ROW('All Player Data Store'!$Y$7)+1),COUNTIF($AC$8:AC209,AC209))),"")</f>
        <v/>
      </c>
      <c r="U209" s="108" t="str">
        <f t="array" ref="U209">IF(ISNUMBER(AC209),INDEX('All Player Data Store'!$Q$7:$Q$594,SMALL(IF('All Player Data Store'!$Y$7:$Y$594=AC209,ROW('All Player Data Store'!$Y$7:$Y$594)-ROW('All Player Data Store'!$Y$7)+1),COUNTIF($AC$8:AC209,AC209))),"")</f>
        <v/>
      </c>
      <c r="V209" s="108" t="str">
        <f t="array" ref="V209">IF(ISNUMBER(AC209),INDEX('All Player Data Store'!$R$7:$R$594,SMALL(IF('All Player Data Store'!$Y$7:$Y$594=AC209,ROW('All Player Data Store'!$Y$7:$Y$594)-ROW('All Player Data Store'!$Y$7)+1),COUNTIF($AC$8:AC209,AC209))),"")</f>
        <v/>
      </c>
      <c r="W209" s="108" t="str">
        <f t="array" ref="W209">IF(ISNUMBER(AC209),INDEX('All Player Data Store'!$S$7:$S$594,SMALL(IF('All Player Data Store'!$Y$7:$Y$594=AC209,ROW('All Player Data Store'!$Y$7:$Y$594)-ROW('All Player Data Store'!$Y$7)+1),COUNTIF($AC$8:AC209,AC209))),"")</f>
        <v/>
      </c>
      <c r="X209" s="108" t="str">
        <f t="array" ref="X209">IF(ISNUMBER(AC209),INDEX('All Player Data Store'!$T$7:$T$594,SMALL(IF('All Player Data Store'!$Y$7:$Y$594=AC209,ROW('All Player Data Store'!$Y$7:$Y$594)-ROW('All Player Data Store'!$Y$7)+1),COUNTIF($AC$8:AC209,AC209))),"")</f>
        <v/>
      </c>
      <c r="Y209" s="108" t="str">
        <f t="array" ref="Y209">IF(ISNUMBER(AC209),INDEX('All Player Data Store'!$U$7:$U$594,SMALL(IF('All Player Data Store'!$Y$7:$Y$594=AC209,ROW('All Player Data Store'!$Y$7:$Y$594)-ROW('All Player Data Store'!$Y$7)+1),COUNTIF($AC$8:AC209,AC209))),"")</f>
        <v/>
      </c>
      <c r="Z209" s="108" t="str">
        <f t="array" ref="Z209">IF(ISNUMBER(AC209),INDEX('All Player Data Store'!$V$7:$V$594,SMALL(IF('All Player Data Store'!$Y$7:$Y$594=AC209,ROW('All Player Data Store'!$Y$7:$Y$594)-ROW('All Player Data Store'!$Y$7)+1),COUNTIF($AC$8:AC209,AC209))),"")</f>
        <v/>
      </c>
      <c r="AA209" s="112" t="str">
        <f t="array" ref="AA209">IF(ISNUMBER(AC209),INDEX('All Player Data Store'!$W$7:$W$594,SMALL(IF('All Player Data Store'!$Y$7:$Y$594=AC209,ROW('All Player Data Store'!$Y$7:$Y$594)-ROW('All Player Data Store'!$Y$7)+1),COUNTIF($AC$8:AC209,AC209))),"")</f>
        <v/>
      </c>
      <c r="AB209" s="108" t="str">
        <f t="array" ref="AB209">IF(ISNUMBER(AC209),INDEX('All Player Data Store'!$X$7:$X$594,SMALL(IF('All Player Data Store'!$Y$7:$Y$594=AC209,ROW('All Player Data Store'!$Y$7:$Y$594)-ROW('All Player Data Store'!$Y$7)+1),COUNTIF($AC$8:AC209,AC209))),"")</f>
        <v/>
      </c>
      <c r="AC209" s="115" t="str">
        <f>IF(ISERROR(IF(ISERROR(LARGE('All Player Data Store'!$Y$7:$Y$594,202)),"",(LARGE('All Player Data Store'!$Y$7:$Y$594,202)))),"",(IF(ISERROR(LARGE('All Player Data Store'!$Y$7:$Y$594,202)),"",(LARGE('All Player Data Store'!$Y$7:$Y$594,202)))))</f>
        <v/>
      </c>
      <c r="AD209" s="106">
        <f t="shared" si="16"/>
        <v>1</v>
      </c>
      <c r="AE209" s="107" t="str">
        <f t="array" ref="AE209">IF(ISNUMBER(AC209),INDEX('All Player Data Store'!$J$8:$J$594,SMALL(IF('All Player Data Store'!$Y$7:$Y$594=AC209,ROW('All Player Data Store'!$Y$7:$Y$594)-ROW('All Player Data Store'!$Y$7)+1),COUNTIF($AC$8:AC209,AC209))),"")</f>
        <v/>
      </c>
      <c r="AF209" s="108" t="str">
        <f t="shared" si="3"/>
        <v/>
      </c>
      <c r="AG209" s="108" t="str">
        <f t="array" ref="AG209">IF(ISNUMBER(AC209),INDEX('All Player Data Store'!$K$8:$K$594,SMALL(IF('All Player Data Store'!$Y$7:$Y$594=AC209,ROW('All Player Data Store'!$Y$7:$Y$594)-ROW('All Player Data Store'!$Y$7)+1),COUNTIF($AC$8:AC209,AC209))),"")</f>
        <v/>
      </c>
      <c r="AH209" s="108" t="str">
        <f t="shared" si="4"/>
        <v/>
      </c>
      <c r="AI209" s="108" t="str">
        <f t="array" ref="AI209">IF(ISNUMBER(AC209),INDEX('All Player Data Store'!$L$8:$L$594,SMALL(IF('All Player Data Store'!$Y$7:$Y$594=AC209,ROW('All Player Data Store'!$Y$7:$Y$594)-ROW('All Player Data Store'!$Y$7)+1),COUNTIF($AC$8:AC209,AC209))),"")</f>
        <v/>
      </c>
      <c r="AJ209" s="108" t="str">
        <f t="shared" si="5"/>
        <v/>
      </c>
      <c r="AK209" s="108" t="str">
        <f t="array" ref="AK209">IF(ISNUMBER(AC209),INDEX('All Player Data Store'!$M$8:$M$594,SMALL(IF('All Player Data Store'!$Y$7:$Y$594=AC209,ROW('All Player Data Store'!$Y$7:$Y$594)-ROW('All Player Data Store'!$Y$7)+1),COUNTIF($AC$8:AC209,AC209))),"")</f>
        <v/>
      </c>
      <c r="AL209" s="108" t="str">
        <f t="shared" si="6"/>
        <v/>
      </c>
      <c r="AM209" s="108" t="str">
        <f t="array" ref="AM209">IF(ISNUMBER(AC209),INDEX('All Player Data Store'!$N$8:$N$594,SMALL(IF('All Player Data Store'!$Y$7:$Y$594=AC209,ROW('All Player Data Store'!$Y$7:$Y$594)-ROW('All Player Data Store'!$Y$7)+1),COUNTIF($AC$8:AC209,AC209))),"")</f>
        <v/>
      </c>
      <c r="AN209" s="108" t="str">
        <f t="shared" si="7"/>
        <v/>
      </c>
      <c r="AO209" s="108" t="str">
        <f t="array" ref="AO209">IF(ISNUMBER(AC209),INDEX('All Player Data Store'!$O$8:$O$594,SMALL(IF('All Player Data Store'!$Y$7:$Y$594=AC209,ROW('All Player Data Store'!$Y$7:$Y$594)-ROW('All Player Data Store'!$Y$7)+1),COUNTIF($AC$8:AC209,AC209))),"")</f>
        <v/>
      </c>
      <c r="AP209" s="108" t="str">
        <f t="shared" si="8"/>
        <v/>
      </c>
      <c r="AQ209" s="108" t="str">
        <f t="array" ref="AQ209">IF(ISNUMBER(AC209),INDEX('All Player Data Store'!$P$8:$P$594,SMALL(IF('All Player Data Store'!$Y$7:$Y$594=AC209,ROW('All Player Data Store'!$Y$7:$Y$594)-ROW('All Player Data Store'!$Y$7)+1),COUNTIF($AC$8:AC209,AC209))),"")</f>
        <v/>
      </c>
      <c r="AR209" s="108" t="str">
        <f t="shared" si="9"/>
        <v/>
      </c>
      <c r="AS209" s="108" t="str">
        <f t="array" ref="AS209">IF(ISNUMBER(AC209),INDEX('All Player Data Store'!$Q$8:$Q$594,SMALL(IF('All Player Data Store'!$Y$7:$Y$594=AC209,ROW('All Player Data Store'!$Y$7:$Y$594)-ROW('All Player Data Store'!$Y$7)+1),COUNTIF($AC$8:AC209,AC209))),"")</f>
        <v/>
      </c>
      <c r="AT209" s="108" t="str">
        <f t="shared" si="10"/>
        <v/>
      </c>
      <c r="AU209" s="108" t="str">
        <f t="array" ref="AU209">IF(ISNUMBER(AC209),INDEX('All Player Data Store'!$R$8:$R$594,SMALL(IF('All Player Data Store'!$Y$7:$Y$594=AC209,ROW('All Player Data Store'!$Y$7:$Y$594)-ROW('All Player Data Store'!$Y$7)+1),COUNTIF($AC$8:AC209,AC209))),"")</f>
        <v/>
      </c>
      <c r="AV209" s="108" t="str">
        <f t="shared" si="11"/>
        <v/>
      </c>
      <c r="AW209" s="108" t="str">
        <f t="array" ref="AW209">IF(ISNUMBER(AC209),INDEX('All Player Data Store'!$S$8:$S$594,SMALL(IF('All Player Data Store'!$Y$7:$Y$594=AC209,ROW('All Player Data Store'!$Y$7:$Y$594)-ROW('All Player Data Store'!$Y$7)+1),COUNTIF($AC$8:AC209,AC209))),"")</f>
        <v/>
      </c>
      <c r="AX209" s="108" t="str">
        <f t="shared" si="12"/>
        <v/>
      </c>
      <c r="AY209" s="108" t="str">
        <f t="array" ref="AY209">IF(ISNUMBER(AC209),INDEX('All Player Data Store'!$T$8:$T$594,SMALL(IF('All Player Data Store'!$Y$7:$Y$594=AC209,ROW('All Player Data Store'!$Y$7:$Y$594)-ROW('All Player Data Store'!$Y$7)+1),COUNTIF($AC$8:AC209,AC209))),"")</f>
        <v/>
      </c>
      <c r="AZ209" s="108" t="str">
        <f t="shared" si="13"/>
        <v/>
      </c>
      <c r="BA209" s="108" t="str">
        <f t="array" ref="BA209">IF(ISNUMBER(AC209),INDEX('All Player Data Store'!$U$8:$U$594,SMALL(IF('All Player Data Store'!$Y$7:$Y$594=AC209,ROW('All Player Data Store'!$Y$7:$Y$594)-ROW('All Player Data Store'!$Y$7)+1),COUNTIF($AC$8:AC209,AC209))),"")</f>
        <v/>
      </c>
      <c r="BB209" s="108" t="str">
        <f t="shared" si="14"/>
        <v/>
      </c>
      <c r="BC209" s="108" t="str">
        <f t="array" ref="BC209">IF(ISNUMBER(AC209),INDEX('All Player Data Store'!$V$8:$V$594,SMALL(IF('All Player Data Store'!$Y$7:$Y$594=AC209,ROW('All Player Data Store'!$Y$7:$Y$594)-ROW('All Player Data Store'!$Y$7)+1),COUNTIF($AC$8:AC209,AC209))),"")</f>
        <v/>
      </c>
      <c r="BD209" s="108" t="str">
        <f t="shared" si="15"/>
        <v/>
      </c>
      <c r="BE209" s="1"/>
    </row>
    <row r="210" spans="2:57" ht="12" customHeight="1" x14ac:dyDescent="0.2">
      <c r="B210" s="98" t="str">
        <f t="shared" si="0"/>
        <v/>
      </c>
      <c r="C210" s="1"/>
      <c r="D210" s="68" t="str">
        <f t="shared" si="1"/>
        <v/>
      </c>
      <c r="E210" s="2"/>
      <c r="F210" s="78">
        <v>203</v>
      </c>
      <c r="G210" s="110" t="str">
        <f t="array" ref="G210">IF(ISNUMBER(AC210),INDEX('All Player Data Store'!$C$7:$C$594,SMALL(IF('All Player Data Store'!$Y$7:$Y$594=AC210,ROW('All Player Data Store'!$Y$7:$Y$594)-ROW('All Player Data Store'!$Y$7)+1),COUNTIF($AC$8:AC210,AC210))),"")</f>
        <v/>
      </c>
      <c r="H210" s="68" t="str">
        <f t="array" ref="H210">IF(ISNUMBER(AC210),INDEX('All Player Data Store'!$D$7:$D$594,SMALL(IF('All Player Data Store'!$Y$7:$Y$594=AC210,ROW('All Player Data Store'!$Y$7:$Y$594)-ROW('All Player Data Store'!$Y$7)+1),COUNTIF($AC$8:AC210,AC210))),"")</f>
        <v/>
      </c>
      <c r="I210" s="69" t="str">
        <f t="array" ref="I210">IF(ISNUMBER(AC210),INDEX('All Player Data Store'!$E$7:$E$594,SMALL(IF('All Player Data Store'!$Y$7:$Y$594=AC210,ROW('All Player Data Store'!$Y$7:$Y$594)-ROW('All Player Data Store'!$Y$7)+1),COUNTIF($AC$8:AC210,AC210))),"")</f>
        <v/>
      </c>
      <c r="J210" s="70" t="str">
        <f t="array" ref="J210">IF(ISNUMBER(AC210),INDEX('All Player Data Store'!$F$7:$F$594,SMALL(IF('All Player Data Store'!$Y$7:$Y$594=AC210,ROW('All Player Data Store'!$Y$7:$Y$594)-ROW('All Player Data Store'!$Y$7)+1),COUNTIF($AC$8:AC210,AC210))),"")</f>
        <v/>
      </c>
      <c r="K210" s="70" t="str">
        <f t="array" ref="K210">IF(ISNUMBER(AC210),INDEX('All Player Data Store'!$G$7:$G$594,SMALL(IF('All Player Data Store'!$Y$7:$Y$594=AC210,ROW('All Player Data Store'!$Y$7:$Y$594)-ROW('All Player Data Store'!$Y$7)+1),COUNTIF($AC$8:AC210,AC210))),"")</f>
        <v/>
      </c>
      <c r="L210" s="70" t="str">
        <f t="array" ref="L210">IF(ISNUMBER(AC210),INDEX('All Player Data Store'!$H$7:$H$594,SMALL(IF('All Player Data Store'!$Y$7:$Y$594=AC210,ROW('All Player Data Store'!$Y$7:$Y$594)-ROW('All Player Data Store'!$Y$7)+1),COUNTIF($AC$8:AC210,AC210))),"")</f>
        <v/>
      </c>
      <c r="M210" s="72" t="str">
        <f t="array" ref="M210">IF(ISNUMBER(AC210),INDEX('All Player Data Store'!$I$7:$I$594,SMALL(IF('All Player Data Store'!$Y$7:$Y$594=AC210,ROW('All Player Data Store'!$Y$7:$Y$594)-ROW('All Player Data Store'!$Y$7)+1),COUNTIF($AC$8:AC210,AC210))),"")</f>
        <v/>
      </c>
      <c r="N210" s="114" t="str">
        <f t="array" ref="N210">IF(ISNUMBER(AC210),INDEX('All Player Data Store'!$J$7:$J$594,SMALL(IF('All Player Data Store'!$Y$7:$Y$594=AC210,ROW('All Player Data Store'!$Y$7:$Y$594)-ROW('All Player Data Store'!$Y$7)+1),COUNTIF($AC$8:AC210,AC210))),"")</f>
        <v/>
      </c>
      <c r="O210" s="108" t="str">
        <f t="array" ref="O210">IF(ISNUMBER(AC210),INDEX('All Player Data Store'!$K$7:$K$594,SMALL(IF('All Player Data Store'!$Y$7:$Y$594=AC210,ROW('All Player Data Store'!$Y$7:$Y$594)-ROW('All Player Data Store'!$Y$7)+1),COUNTIF($AC$8:AC210,AC210))),"")</f>
        <v/>
      </c>
      <c r="P210" s="108" t="str">
        <f t="array" ref="P210">IF(ISNUMBER(AC210),INDEX('All Player Data Store'!$L$7:$L$594,SMALL(IF('All Player Data Store'!$Y$7:$Y$594=AC210,ROW('All Player Data Store'!$Y$7:$Y$594)-ROW('All Player Data Store'!$Y$7)+1),COUNTIF($AC$8:AC210,AC210))),"")</f>
        <v/>
      </c>
      <c r="Q210" s="108" t="str">
        <f t="array" ref="Q210">IF(ISNUMBER(AC210),INDEX('All Player Data Store'!$M$7:$M$594,SMALL(IF('All Player Data Store'!$Y$7:$Y$594=AC210,ROW('All Player Data Store'!$Y$7:$Y$594)-ROW('All Player Data Store'!$Y$7)+1),COUNTIF($AC$8:AC210,AC210))),"")</f>
        <v/>
      </c>
      <c r="R210" s="108" t="str">
        <f t="array" ref="R210">IF(ISNUMBER(AC210),INDEX('All Player Data Store'!$N$7:$N$594,SMALL(IF('All Player Data Store'!$Y$7:$Y$594=AC210,ROW('All Player Data Store'!$Y$7:$Y$594)-ROW('All Player Data Store'!$Y$7)+1),COUNTIF($AC$8:AC210,AC210))),"")</f>
        <v/>
      </c>
      <c r="S210" s="108" t="str">
        <f t="array" ref="S210">IF(ISNUMBER(AC210),INDEX('All Player Data Store'!$O$7:$O$594,SMALL(IF('All Player Data Store'!$Y$7:$Y$594=AC210,ROW('All Player Data Store'!$Y$7:$Y$594)-ROW('All Player Data Store'!$Y$7)+1),COUNTIF($AC$8:AC210,AC210))),"")</f>
        <v/>
      </c>
      <c r="T210" s="108" t="str">
        <f t="array" ref="T210">IF(ISNUMBER(AC210),INDEX('All Player Data Store'!$P$7:$P$594,SMALL(IF('All Player Data Store'!$Y$7:$Y$594=AC210,ROW('All Player Data Store'!$Y$7:$Y$594)-ROW('All Player Data Store'!$Y$7)+1),COUNTIF($AC$8:AC210,AC210))),"")</f>
        <v/>
      </c>
      <c r="U210" s="108" t="str">
        <f t="array" ref="U210">IF(ISNUMBER(AC210),INDEX('All Player Data Store'!$Q$7:$Q$594,SMALL(IF('All Player Data Store'!$Y$7:$Y$594=AC210,ROW('All Player Data Store'!$Y$7:$Y$594)-ROW('All Player Data Store'!$Y$7)+1),COUNTIF($AC$8:AC210,AC210))),"")</f>
        <v/>
      </c>
      <c r="V210" s="108" t="str">
        <f t="array" ref="V210">IF(ISNUMBER(AC210),INDEX('All Player Data Store'!$R$7:$R$594,SMALL(IF('All Player Data Store'!$Y$7:$Y$594=AC210,ROW('All Player Data Store'!$Y$7:$Y$594)-ROW('All Player Data Store'!$Y$7)+1),COUNTIF($AC$8:AC210,AC210))),"")</f>
        <v/>
      </c>
      <c r="W210" s="108" t="str">
        <f t="array" ref="W210">IF(ISNUMBER(AC210),INDEX('All Player Data Store'!$S$7:$S$594,SMALL(IF('All Player Data Store'!$Y$7:$Y$594=AC210,ROW('All Player Data Store'!$Y$7:$Y$594)-ROW('All Player Data Store'!$Y$7)+1),COUNTIF($AC$8:AC210,AC210))),"")</f>
        <v/>
      </c>
      <c r="X210" s="108" t="str">
        <f t="array" ref="X210">IF(ISNUMBER(AC210),INDEX('All Player Data Store'!$T$7:$T$594,SMALL(IF('All Player Data Store'!$Y$7:$Y$594=AC210,ROW('All Player Data Store'!$Y$7:$Y$594)-ROW('All Player Data Store'!$Y$7)+1),COUNTIF($AC$8:AC210,AC210))),"")</f>
        <v/>
      </c>
      <c r="Y210" s="108" t="str">
        <f t="array" ref="Y210">IF(ISNUMBER(AC210),INDEX('All Player Data Store'!$U$7:$U$594,SMALL(IF('All Player Data Store'!$Y$7:$Y$594=AC210,ROW('All Player Data Store'!$Y$7:$Y$594)-ROW('All Player Data Store'!$Y$7)+1),COUNTIF($AC$8:AC210,AC210))),"")</f>
        <v/>
      </c>
      <c r="Z210" s="108" t="str">
        <f t="array" ref="Z210">IF(ISNUMBER(AC210),INDEX('All Player Data Store'!$V$7:$V$594,SMALL(IF('All Player Data Store'!$Y$7:$Y$594=AC210,ROW('All Player Data Store'!$Y$7:$Y$594)-ROW('All Player Data Store'!$Y$7)+1),COUNTIF($AC$8:AC210,AC210))),"")</f>
        <v/>
      </c>
      <c r="AA210" s="112" t="str">
        <f t="array" ref="AA210">IF(ISNUMBER(AC210),INDEX('All Player Data Store'!$W$7:$W$594,SMALL(IF('All Player Data Store'!$Y$7:$Y$594=AC210,ROW('All Player Data Store'!$Y$7:$Y$594)-ROW('All Player Data Store'!$Y$7)+1),COUNTIF($AC$8:AC210,AC210))),"")</f>
        <v/>
      </c>
      <c r="AB210" s="108" t="str">
        <f t="array" ref="AB210">IF(ISNUMBER(AC210),INDEX('All Player Data Store'!$X$7:$X$594,SMALL(IF('All Player Data Store'!$Y$7:$Y$594=AC210,ROW('All Player Data Store'!$Y$7:$Y$594)-ROW('All Player Data Store'!$Y$7)+1),COUNTIF($AC$8:AC210,AC210))),"")</f>
        <v/>
      </c>
      <c r="AC210" s="115" t="str">
        <f>IF(ISERROR(IF(ISERROR(LARGE('All Player Data Store'!$Y$7:$Y$594,203)),"",(LARGE('All Player Data Store'!$Y$7:$Y$594,203)))),"",(IF(ISERROR(LARGE('All Player Data Store'!$Y$7:$Y$594,203)),"",(LARGE('All Player Data Store'!$Y$7:$Y$594,203)))))</f>
        <v/>
      </c>
      <c r="AD210" s="106">
        <f t="shared" si="16"/>
        <v>1</v>
      </c>
      <c r="AE210" s="107" t="str">
        <f t="array" ref="AE210">IF(ISNUMBER(AC210),INDEX('All Player Data Store'!$J$8:$J$594,SMALL(IF('All Player Data Store'!$Y$7:$Y$594=AC210,ROW('All Player Data Store'!$Y$7:$Y$594)-ROW('All Player Data Store'!$Y$7)+1),COUNTIF($AC$8:AC210,AC210))),"")</f>
        <v/>
      </c>
      <c r="AF210" s="108" t="str">
        <f t="shared" si="3"/>
        <v/>
      </c>
      <c r="AG210" s="108" t="str">
        <f t="array" ref="AG210">IF(ISNUMBER(AC210),INDEX('All Player Data Store'!$K$8:$K$594,SMALL(IF('All Player Data Store'!$Y$7:$Y$594=AC210,ROW('All Player Data Store'!$Y$7:$Y$594)-ROW('All Player Data Store'!$Y$7)+1),COUNTIF($AC$8:AC210,AC210))),"")</f>
        <v/>
      </c>
      <c r="AH210" s="108" t="str">
        <f t="shared" si="4"/>
        <v/>
      </c>
      <c r="AI210" s="108" t="str">
        <f t="array" ref="AI210">IF(ISNUMBER(AC210),INDEX('All Player Data Store'!$L$8:$L$594,SMALL(IF('All Player Data Store'!$Y$7:$Y$594=AC210,ROW('All Player Data Store'!$Y$7:$Y$594)-ROW('All Player Data Store'!$Y$7)+1),COUNTIF($AC$8:AC210,AC210))),"")</f>
        <v/>
      </c>
      <c r="AJ210" s="108" t="str">
        <f t="shared" si="5"/>
        <v/>
      </c>
      <c r="AK210" s="108" t="str">
        <f t="array" ref="AK210">IF(ISNUMBER(AC210),INDEX('All Player Data Store'!$M$8:$M$594,SMALL(IF('All Player Data Store'!$Y$7:$Y$594=AC210,ROW('All Player Data Store'!$Y$7:$Y$594)-ROW('All Player Data Store'!$Y$7)+1),COUNTIF($AC$8:AC210,AC210))),"")</f>
        <v/>
      </c>
      <c r="AL210" s="108" t="str">
        <f t="shared" si="6"/>
        <v/>
      </c>
      <c r="AM210" s="108" t="str">
        <f t="array" ref="AM210">IF(ISNUMBER(AC210),INDEX('All Player Data Store'!$N$8:$N$594,SMALL(IF('All Player Data Store'!$Y$7:$Y$594=AC210,ROW('All Player Data Store'!$Y$7:$Y$594)-ROW('All Player Data Store'!$Y$7)+1),COUNTIF($AC$8:AC210,AC210))),"")</f>
        <v/>
      </c>
      <c r="AN210" s="108" t="str">
        <f t="shared" si="7"/>
        <v/>
      </c>
      <c r="AO210" s="108" t="str">
        <f t="array" ref="AO210">IF(ISNUMBER(AC210),INDEX('All Player Data Store'!$O$8:$O$594,SMALL(IF('All Player Data Store'!$Y$7:$Y$594=AC210,ROW('All Player Data Store'!$Y$7:$Y$594)-ROW('All Player Data Store'!$Y$7)+1),COUNTIF($AC$8:AC210,AC210))),"")</f>
        <v/>
      </c>
      <c r="AP210" s="108" t="str">
        <f t="shared" si="8"/>
        <v/>
      </c>
      <c r="AQ210" s="108" t="str">
        <f t="array" ref="AQ210">IF(ISNUMBER(AC210),INDEX('All Player Data Store'!$P$8:$P$594,SMALL(IF('All Player Data Store'!$Y$7:$Y$594=AC210,ROW('All Player Data Store'!$Y$7:$Y$594)-ROW('All Player Data Store'!$Y$7)+1),COUNTIF($AC$8:AC210,AC210))),"")</f>
        <v/>
      </c>
      <c r="AR210" s="108" t="str">
        <f t="shared" si="9"/>
        <v/>
      </c>
      <c r="AS210" s="108" t="str">
        <f t="array" ref="AS210">IF(ISNUMBER(AC210),INDEX('All Player Data Store'!$Q$8:$Q$594,SMALL(IF('All Player Data Store'!$Y$7:$Y$594=AC210,ROW('All Player Data Store'!$Y$7:$Y$594)-ROW('All Player Data Store'!$Y$7)+1),COUNTIF($AC$8:AC210,AC210))),"")</f>
        <v/>
      </c>
      <c r="AT210" s="108" t="str">
        <f t="shared" si="10"/>
        <v/>
      </c>
      <c r="AU210" s="108" t="str">
        <f t="array" ref="AU210">IF(ISNUMBER(AC210),INDEX('All Player Data Store'!$R$8:$R$594,SMALL(IF('All Player Data Store'!$Y$7:$Y$594=AC210,ROW('All Player Data Store'!$Y$7:$Y$594)-ROW('All Player Data Store'!$Y$7)+1),COUNTIF($AC$8:AC210,AC210))),"")</f>
        <v/>
      </c>
      <c r="AV210" s="108" t="str">
        <f t="shared" si="11"/>
        <v/>
      </c>
      <c r="AW210" s="108" t="str">
        <f t="array" ref="AW210">IF(ISNUMBER(AC210),INDEX('All Player Data Store'!$S$8:$S$594,SMALL(IF('All Player Data Store'!$Y$7:$Y$594=AC210,ROW('All Player Data Store'!$Y$7:$Y$594)-ROW('All Player Data Store'!$Y$7)+1),COUNTIF($AC$8:AC210,AC210))),"")</f>
        <v/>
      </c>
      <c r="AX210" s="108" t="str">
        <f t="shared" si="12"/>
        <v/>
      </c>
      <c r="AY210" s="108" t="str">
        <f t="array" ref="AY210">IF(ISNUMBER(AC210),INDEX('All Player Data Store'!$T$8:$T$594,SMALL(IF('All Player Data Store'!$Y$7:$Y$594=AC210,ROW('All Player Data Store'!$Y$7:$Y$594)-ROW('All Player Data Store'!$Y$7)+1),COUNTIF($AC$8:AC210,AC210))),"")</f>
        <v/>
      </c>
      <c r="AZ210" s="108" t="str">
        <f t="shared" si="13"/>
        <v/>
      </c>
      <c r="BA210" s="108" t="str">
        <f t="array" ref="BA210">IF(ISNUMBER(AC210),INDEX('All Player Data Store'!$U$8:$U$594,SMALL(IF('All Player Data Store'!$Y$7:$Y$594=AC210,ROW('All Player Data Store'!$Y$7:$Y$594)-ROW('All Player Data Store'!$Y$7)+1),COUNTIF($AC$8:AC210,AC210))),"")</f>
        <v/>
      </c>
      <c r="BB210" s="108" t="str">
        <f t="shared" si="14"/>
        <v/>
      </c>
      <c r="BC210" s="108" t="str">
        <f t="array" ref="BC210">IF(ISNUMBER(AC210),INDEX('All Player Data Store'!$V$8:$V$594,SMALL(IF('All Player Data Store'!$Y$7:$Y$594=AC210,ROW('All Player Data Store'!$Y$7:$Y$594)-ROW('All Player Data Store'!$Y$7)+1),COUNTIF($AC$8:AC210,AC210))),"")</f>
        <v/>
      </c>
      <c r="BD210" s="108" t="str">
        <f t="shared" si="15"/>
        <v/>
      </c>
      <c r="BE210" s="1"/>
    </row>
    <row r="211" spans="2:57" ht="12" customHeight="1" x14ac:dyDescent="0.2">
      <c r="B211" s="98" t="str">
        <f t="shared" si="0"/>
        <v/>
      </c>
      <c r="C211" s="1"/>
      <c r="D211" s="68" t="str">
        <f t="shared" si="1"/>
        <v/>
      </c>
      <c r="E211" s="2"/>
      <c r="F211" s="78">
        <v>204</v>
      </c>
      <c r="G211" s="110" t="str">
        <f t="array" ref="G211">IF(ISNUMBER(AC211),INDEX('All Player Data Store'!$C$7:$C$594,SMALL(IF('All Player Data Store'!$Y$7:$Y$594=AC211,ROW('All Player Data Store'!$Y$7:$Y$594)-ROW('All Player Data Store'!$Y$7)+1),COUNTIF($AC$8:AC211,AC211))),"")</f>
        <v/>
      </c>
      <c r="H211" s="68" t="str">
        <f t="array" ref="H211">IF(ISNUMBER(AC211),INDEX('All Player Data Store'!$D$7:$D$594,SMALL(IF('All Player Data Store'!$Y$7:$Y$594=AC211,ROW('All Player Data Store'!$Y$7:$Y$594)-ROW('All Player Data Store'!$Y$7)+1),COUNTIF($AC$8:AC211,AC211))),"")</f>
        <v/>
      </c>
      <c r="I211" s="69" t="str">
        <f t="array" ref="I211">IF(ISNUMBER(AC211),INDEX('All Player Data Store'!$E$7:$E$594,SMALL(IF('All Player Data Store'!$Y$7:$Y$594=AC211,ROW('All Player Data Store'!$Y$7:$Y$594)-ROW('All Player Data Store'!$Y$7)+1),COUNTIF($AC$8:AC211,AC211))),"")</f>
        <v/>
      </c>
      <c r="J211" s="70" t="str">
        <f t="array" ref="J211">IF(ISNUMBER(AC211),INDEX('All Player Data Store'!$F$7:$F$594,SMALL(IF('All Player Data Store'!$Y$7:$Y$594=AC211,ROW('All Player Data Store'!$Y$7:$Y$594)-ROW('All Player Data Store'!$Y$7)+1),COUNTIF($AC$8:AC211,AC211))),"")</f>
        <v/>
      </c>
      <c r="K211" s="70" t="str">
        <f t="array" ref="K211">IF(ISNUMBER(AC211),INDEX('All Player Data Store'!$G$7:$G$594,SMALL(IF('All Player Data Store'!$Y$7:$Y$594=AC211,ROW('All Player Data Store'!$Y$7:$Y$594)-ROW('All Player Data Store'!$Y$7)+1),COUNTIF($AC$8:AC211,AC211))),"")</f>
        <v/>
      </c>
      <c r="L211" s="70" t="str">
        <f t="array" ref="L211">IF(ISNUMBER(AC211),INDEX('All Player Data Store'!$H$7:$H$594,SMALL(IF('All Player Data Store'!$Y$7:$Y$594=AC211,ROW('All Player Data Store'!$Y$7:$Y$594)-ROW('All Player Data Store'!$Y$7)+1),COUNTIF($AC$8:AC211,AC211))),"")</f>
        <v/>
      </c>
      <c r="M211" s="72" t="str">
        <f t="array" ref="M211">IF(ISNUMBER(AC211),INDEX('All Player Data Store'!$I$7:$I$594,SMALL(IF('All Player Data Store'!$Y$7:$Y$594=AC211,ROW('All Player Data Store'!$Y$7:$Y$594)-ROW('All Player Data Store'!$Y$7)+1),COUNTIF($AC$8:AC211,AC211))),"")</f>
        <v/>
      </c>
      <c r="N211" s="114" t="str">
        <f t="array" ref="N211">IF(ISNUMBER(AC211),INDEX('All Player Data Store'!$J$7:$J$594,SMALL(IF('All Player Data Store'!$Y$7:$Y$594=AC211,ROW('All Player Data Store'!$Y$7:$Y$594)-ROW('All Player Data Store'!$Y$7)+1),COUNTIF($AC$8:AC211,AC211))),"")</f>
        <v/>
      </c>
      <c r="O211" s="108" t="str">
        <f t="array" ref="O211">IF(ISNUMBER(AC211),INDEX('All Player Data Store'!$K$7:$K$594,SMALL(IF('All Player Data Store'!$Y$7:$Y$594=AC211,ROW('All Player Data Store'!$Y$7:$Y$594)-ROW('All Player Data Store'!$Y$7)+1),COUNTIF($AC$8:AC211,AC211))),"")</f>
        <v/>
      </c>
      <c r="P211" s="108" t="str">
        <f t="array" ref="P211">IF(ISNUMBER(AC211),INDEX('All Player Data Store'!$L$7:$L$594,SMALL(IF('All Player Data Store'!$Y$7:$Y$594=AC211,ROW('All Player Data Store'!$Y$7:$Y$594)-ROW('All Player Data Store'!$Y$7)+1),COUNTIF($AC$8:AC211,AC211))),"")</f>
        <v/>
      </c>
      <c r="Q211" s="108" t="str">
        <f t="array" ref="Q211">IF(ISNUMBER(AC211),INDEX('All Player Data Store'!$M$7:$M$594,SMALL(IF('All Player Data Store'!$Y$7:$Y$594=AC211,ROW('All Player Data Store'!$Y$7:$Y$594)-ROW('All Player Data Store'!$Y$7)+1),COUNTIF($AC$8:AC211,AC211))),"")</f>
        <v/>
      </c>
      <c r="R211" s="108" t="str">
        <f t="array" ref="R211">IF(ISNUMBER(AC211),INDEX('All Player Data Store'!$N$7:$N$594,SMALL(IF('All Player Data Store'!$Y$7:$Y$594=AC211,ROW('All Player Data Store'!$Y$7:$Y$594)-ROW('All Player Data Store'!$Y$7)+1),COUNTIF($AC$8:AC211,AC211))),"")</f>
        <v/>
      </c>
      <c r="S211" s="108" t="str">
        <f t="array" ref="S211">IF(ISNUMBER(AC211),INDEX('All Player Data Store'!$O$7:$O$594,SMALL(IF('All Player Data Store'!$Y$7:$Y$594=AC211,ROW('All Player Data Store'!$Y$7:$Y$594)-ROW('All Player Data Store'!$Y$7)+1),COUNTIF($AC$8:AC211,AC211))),"")</f>
        <v/>
      </c>
      <c r="T211" s="108" t="str">
        <f t="array" ref="T211">IF(ISNUMBER(AC211),INDEX('All Player Data Store'!$P$7:$P$594,SMALL(IF('All Player Data Store'!$Y$7:$Y$594=AC211,ROW('All Player Data Store'!$Y$7:$Y$594)-ROW('All Player Data Store'!$Y$7)+1),COUNTIF($AC$8:AC211,AC211))),"")</f>
        <v/>
      </c>
      <c r="U211" s="108" t="str">
        <f t="array" ref="U211">IF(ISNUMBER(AC211),INDEX('All Player Data Store'!$Q$7:$Q$594,SMALL(IF('All Player Data Store'!$Y$7:$Y$594=AC211,ROW('All Player Data Store'!$Y$7:$Y$594)-ROW('All Player Data Store'!$Y$7)+1),COUNTIF($AC$8:AC211,AC211))),"")</f>
        <v/>
      </c>
      <c r="V211" s="108" t="str">
        <f t="array" ref="V211">IF(ISNUMBER(AC211),INDEX('All Player Data Store'!$R$7:$R$594,SMALL(IF('All Player Data Store'!$Y$7:$Y$594=AC211,ROW('All Player Data Store'!$Y$7:$Y$594)-ROW('All Player Data Store'!$Y$7)+1),COUNTIF($AC$8:AC211,AC211))),"")</f>
        <v/>
      </c>
      <c r="W211" s="108" t="str">
        <f t="array" ref="W211">IF(ISNUMBER(AC211),INDEX('All Player Data Store'!$S$7:$S$594,SMALL(IF('All Player Data Store'!$Y$7:$Y$594=AC211,ROW('All Player Data Store'!$Y$7:$Y$594)-ROW('All Player Data Store'!$Y$7)+1),COUNTIF($AC$8:AC211,AC211))),"")</f>
        <v/>
      </c>
      <c r="X211" s="108" t="str">
        <f t="array" ref="X211">IF(ISNUMBER(AC211),INDEX('All Player Data Store'!$T$7:$T$594,SMALL(IF('All Player Data Store'!$Y$7:$Y$594=AC211,ROW('All Player Data Store'!$Y$7:$Y$594)-ROW('All Player Data Store'!$Y$7)+1),COUNTIF($AC$8:AC211,AC211))),"")</f>
        <v/>
      </c>
      <c r="Y211" s="108" t="str">
        <f t="array" ref="Y211">IF(ISNUMBER(AC211),INDEX('All Player Data Store'!$U$7:$U$594,SMALL(IF('All Player Data Store'!$Y$7:$Y$594=AC211,ROW('All Player Data Store'!$Y$7:$Y$594)-ROW('All Player Data Store'!$Y$7)+1),COUNTIF($AC$8:AC211,AC211))),"")</f>
        <v/>
      </c>
      <c r="Z211" s="108" t="str">
        <f t="array" ref="Z211">IF(ISNUMBER(AC211),INDEX('All Player Data Store'!$V$7:$V$594,SMALL(IF('All Player Data Store'!$Y$7:$Y$594=AC211,ROW('All Player Data Store'!$Y$7:$Y$594)-ROW('All Player Data Store'!$Y$7)+1),COUNTIF($AC$8:AC211,AC211))),"")</f>
        <v/>
      </c>
      <c r="AA211" s="112" t="str">
        <f t="array" ref="AA211">IF(ISNUMBER(AC211),INDEX('All Player Data Store'!$W$7:$W$594,SMALL(IF('All Player Data Store'!$Y$7:$Y$594=AC211,ROW('All Player Data Store'!$Y$7:$Y$594)-ROW('All Player Data Store'!$Y$7)+1),COUNTIF($AC$8:AC211,AC211))),"")</f>
        <v/>
      </c>
      <c r="AB211" s="108" t="str">
        <f t="array" ref="AB211">IF(ISNUMBER(AC211),INDEX('All Player Data Store'!$X$7:$X$594,SMALL(IF('All Player Data Store'!$Y$7:$Y$594=AC211,ROW('All Player Data Store'!$Y$7:$Y$594)-ROW('All Player Data Store'!$Y$7)+1),COUNTIF($AC$8:AC211,AC211))),"")</f>
        <v/>
      </c>
      <c r="AC211" s="115" t="str">
        <f>IF(ISERROR(IF(ISERROR(LARGE('All Player Data Store'!$Y$7:$Y$594,204)),"",(LARGE('All Player Data Store'!$Y$7:$Y$594,204)))),"",(IF(ISERROR(LARGE('All Player Data Store'!$Y$7:$Y$594,204)),"",(LARGE('All Player Data Store'!$Y$7:$Y$594,204)))))</f>
        <v/>
      </c>
      <c r="AD211" s="106">
        <f t="shared" si="16"/>
        <v>1</v>
      </c>
      <c r="AE211" s="107" t="str">
        <f t="array" ref="AE211">IF(ISNUMBER(AC211),INDEX('All Player Data Store'!$J$8:$J$594,SMALL(IF('All Player Data Store'!$Y$7:$Y$594=AC211,ROW('All Player Data Store'!$Y$7:$Y$594)-ROW('All Player Data Store'!$Y$7)+1),COUNTIF($AC$8:AC211,AC211))),"")</f>
        <v/>
      </c>
      <c r="AF211" s="108" t="str">
        <f t="shared" si="3"/>
        <v/>
      </c>
      <c r="AG211" s="108" t="str">
        <f t="array" ref="AG211">IF(ISNUMBER(AC211),INDEX('All Player Data Store'!$K$8:$K$594,SMALL(IF('All Player Data Store'!$Y$7:$Y$594=AC211,ROW('All Player Data Store'!$Y$7:$Y$594)-ROW('All Player Data Store'!$Y$7)+1),COUNTIF($AC$8:AC211,AC211))),"")</f>
        <v/>
      </c>
      <c r="AH211" s="108" t="str">
        <f t="shared" si="4"/>
        <v/>
      </c>
      <c r="AI211" s="108" t="str">
        <f t="array" ref="AI211">IF(ISNUMBER(AC211),INDEX('All Player Data Store'!$L$8:$L$594,SMALL(IF('All Player Data Store'!$Y$7:$Y$594=AC211,ROW('All Player Data Store'!$Y$7:$Y$594)-ROW('All Player Data Store'!$Y$7)+1),COUNTIF($AC$8:AC211,AC211))),"")</f>
        <v/>
      </c>
      <c r="AJ211" s="108" t="str">
        <f t="shared" si="5"/>
        <v/>
      </c>
      <c r="AK211" s="108" t="str">
        <f t="array" ref="AK211">IF(ISNUMBER(AC211),INDEX('All Player Data Store'!$M$8:$M$594,SMALL(IF('All Player Data Store'!$Y$7:$Y$594=AC211,ROW('All Player Data Store'!$Y$7:$Y$594)-ROW('All Player Data Store'!$Y$7)+1),COUNTIF($AC$8:AC211,AC211))),"")</f>
        <v/>
      </c>
      <c r="AL211" s="108" t="str">
        <f t="shared" si="6"/>
        <v/>
      </c>
      <c r="AM211" s="108" t="str">
        <f t="array" ref="AM211">IF(ISNUMBER(AC211),INDEX('All Player Data Store'!$N$8:$N$594,SMALL(IF('All Player Data Store'!$Y$7:$Y$594=AC211,ROW('All Player Data Store'!$Y$7:$Y$594)-ROW('All Player Data Store'!$Y$7)+1),COUNTIF($AC$8:AC211,AC211))),"")</f>
        <v/>
      </c>
      <c r="AN211" s="108" t="str">
        <f t="shared" si="7"/>
        <v/>
      </c>
      <c r="AO211" s="108" t="str">
        <f t="array" ref="AO211">IF(ISNUMBER(AC211),INDEX('All Player Data Store'!$O$8:$O$594,SMALL(IF('All Player Data Store'!$Y$7:$Y$594=AC211,ROW('All Player Data Store'!$Y$7:$Y$594)-ROW('All Player Data Store'!$Y$7)+1),COUNTIF($AC$8:AC211,AC211))),"")</f>
        <v/>
      </c>
      <c r="AP211" s="108" t="str">
        <f t="shared" si="8"/>
        <v/>
      </c>
      <c r="AQ211" s="108" t="str">
        <f t="array" ref="AQ211">IF(ISNUMBER(AC211),INDEX('All Player Data Store'!$P$8:$P$594,SMALL(IF('All Player Data Store'!$Y$7:$Y$594=AC211,ROW('All Player Data Store'!$Y$7:$Y$594)-ROW('All Player Data Store'!$Y$7)+1),COUNTIF($AC$8:AC211,AC211))),"")</f>
        <v/>
      </c>
      <c r="AR211" s="108" t="str">
        <f t="shared" si="9"/>
        <v/>
      </c>
      <c r="AS211" s="108" t="str">
        <f t="array" ref="AS211">IF(ISNUMBER(AC211),INDEX('All Player Data Store'!$Q$8:$Q$594,SMALL(IF('All Player Data Store'!$Y$7:$Y$594=AC211,ROW('All Player Data Store'!$Y$7:$Y$594)-ROW('All Player Data Store'!$Y$7)+1),COUNTIF($AC$8:AC211,AC211))),"")</f>
        <v/>
      </c>
      <c r="AT211" s="108" t="str">
        <f t="shared" si="10"/>
        <v/>
      </c>
      <c r="AU211" s="108" t="str">
        <f t="array" ref="AU211">IF(ISNUMBER(AC211),INDEX('All Player Data Store'!$R$8:$R$594,SMALL(IF('All Player Data Store'!$Y$7:$Y$594=AC211,ROW('All Player Data Store'!$Y$7:$Y$594)-ROW('All Player Data Store'!$Y$7)+1),COUNTIF($AC$8:AC211,AC211))),"")</f>
        <v/>
      </c>
      <c r="AV211" s="108" t="str">
        <f t="shared" si="11"/>
        <v/>
      </c>
      <c r="AW211" s="108" t="str">
        <f t="array" ref="AW211">IF(ISNUMBER(AC211),INDEX('All Player Data Store'!$S$8:$S$594,SMALL(IF('All Player Data Store'!$Y$7:$Y$594=AC211,ROW('All Player Data Store'!$Y$7:$Y$594)-ROW('All Player Data Store'!$Y$7)+1),COUNTIF($AC$8:AC211,AC211))),"")</f>
        <v/>
      </c>
      <c r="AX211" s="108" t="str">
        <f t="shared" si="12"/>
        <v/>
      </c>
      <c r="AY211" s="108" t="str">
        <f t="array" ref="AY211">IF(ISNUMBER(AC211),INDEX('All Player Data Store'!$T$8:$T$594,SMALL(IF('All Player Data Store'!$Y$7:$Y$594=AC211,ROW('All Player Data Store'!$Y$7:$Y$594)-ROW('All Player Data Store'!$Y$7)+1),COUNTIF($AC$8:AC211,AC211))),"")</f>
        <v/>
      </c>
      <c r="AZ211" s="108" t="str">
        <f t="shared" si="13"/>
        <v/>
      </c>
      <c r="BA211" s="108" t="str">
        <f t="array" ref="BA211">IF(ISNUMBER(AC211),INDEX('All Player Data Store'!$U$8:$U$594,SMALL(IF('All Player Data Store'!$Y$7:$Y$594=AC211,ROW('All Player Data Store'!$Y$7:$Y$594)-ROW('All Player Data Store'!$Y$7)+1),COUNTIF($AC$8:AC211,AC211))),"")</f>
        <v/>
      </c>
      <c r="BB211" s="108" t="str">
        <f t="shared" si="14"/>
        <v/>
      </c>
      <c r="BC211" s="108" t="str">
        <f t="array" ref="BC211">IF(ISNUMBER(AC211),INDEX('All Player Data Store'!$V$8:$V$594,SMALL(IF('All Player Data Store'!$Y$7:$Y$594=AC211,ROW('All Player Data Store'!$Y$7:$Y$594)-ROW('All Player Data Store'!$Y$7)+1),COUNTIF($AC$8:AC211,AC211))),"")</f>
        <v/>
      </c>
      <c r="BD211" s="108" t="str">
        <f t="shared" si="15"/>
        <v/>
      </c>
      <c r="BE211" s="1"/>
    </row>
    <row r="212" spans="2:57" ht="12" customHeight="1" x14ac:dyDescent="0.2">
      <c r="B212" s="98" t="str">
        <f t="shared" si="0"/>
        <v/>
      </c>
      <c r="C212" s="1"/>
      <c r="D212" s="68" t="str">
        <f t="shared" si="1"/>
        <v/>
      </c>
      <c r="E212" s="2"/>
      <c r="F212" s="78">
        <v>205</v>
      </c>
      <c r="G212" s="110" t="str">
        <f t="array" ref="G212">IF(ISNUMBER(AC212),INDEX('All Player Data Store'!$C$7:$C$594,SMALL(IF('All Player Data Store'!$Y$7:$Y$594=AC212,ROW('All Player Data Store'!$Y$7:$Y$594)-ROW('All Player Data Store'!$Y$7)+1),COUNTIF($AC$8:AC212,AC212))),"")</f>
        <v/>
      </c>
      <c r="H212" s="68" t="str">
        <f t="array" ref="H212">IF(ISNUMBER(AC212),INDEX('All Player Data Store'!$D$7:$D$594,SMALL(IF('All Player Data Store'!$Y$7:$Y$594=AC212,ROW('All Player Data Store'!$Y$7:$Y$594)-ROW('All Player Data Store'!$Y$7)+1),COUNTIF($AC$8:AC212,AC212))),"")</f>
        <v/>
      </c>
      <c r="I212" s="69" t="str">
        <f t="array" ref="I212">IF(ISNUMBER(AC212),INDEX('All Player Data Store'!$E$7:$E$594,SMALL(IF('All Player Data Store'!$Y$7:$Y$594=AC212,ROW('All Player Data Store'!$Y$7:$Y$594)-ROW('All Player Data Store'!$Y$7)+1),COUNTIF($AC$8:AC212,AC212))),"")</f>
        <v/>
      </c>
      <c r="J212" s="70" t="str">
        <f t="array" ref="J212">IF(ISNUMBER(AC212),INDEX('All Player Data Store'!$F$7:$F$594,SMALL(IF('All Player Data Store'!$Y$7:$Y$594=AC212,ROW('All Player Data Store'!$Y$7:$Y$594)-ROW('All Player Data Store'!$Y$7)+1),COUNTIF($AC$8:AC212,AC212))),"")</f>
        <v/>
      </c>
      <c r="K212" s="70" t="str">
        <f t="array" ref="K212">IF(ISNUMBER(AC212),INDEX('All Player Data Store'!$G$7:$G$594,SMALL(IF('All Player Data Store'!$Y$7:$Y$594=AC212,ROW('All Player Data Store'!$Y$7:$Y$594)-ROW('All Player Data Store'!$Y$7)+1),COUNTIF($AC$8:AC212,AC212))),"")</f>
        <v/>
      </c>
      <c r="L212" s="70" t="str">
        <f t="array" ref="L212">IF(ISNUMBER(AC212),INDEX('All Player Data Store'!$H$7:$H$594,SMALL(IF('All Player Data Store'!$Y$7:$Y$594=AC212,ROW('All Player Data Store'!$Y$7:$Y$594)-ROW('All Player Data Store'!$Y$7)+1),COUNTIF($AC$8:AC212,AC212))),"")</f>
        <v/>
      </c>
      <c r="M212" s="72" t="str">
        <f t="array" ref="M212">IF(ISNUMBER(AC212),INDEX('All Player Data Store'!$I$7:$I$594,SMALL(IF('All Player Data Store'!$Y$7:$Y$594=AC212,ROW('All Player Data Store'!$Y$7:$Y$594)-ROW('All Player Data Store'!$Y$7)+1),COUNTIF($AC$8:AC212,AC212))),"")</f>
        <v/>
      </c>
      <c r="N212" s="114" t="str">
        <f t="array" ref="N212">IF(ISNUMBER(AC212),INDEX('All Player Data Store'!$J$7:$J$594,SMALL(IF('All Player Data Store'!$Y$7:$Y$594=AC212,ROW('All Player Data Store'!$Y$7:$Y$594)-ROW('All Player Data Store'!$Y$7)+1),COUNTIF($AC$8:AC212,AC212))),"")</f>
        <v/>
      </c>
      <c r="O212" s="108" t="str">
        <f t="array" ref="O212">IF(ISNUMBER(AC212),INDEX('All Player Data Store'!$K$7:$K$594,SMALL(IF('All Player Data Store'!$Y$7:$Y$594=AC212,ROW('All Player Data Store'!$Y$7:$Y$594)-ROW('All Player Data Store'!$Y$7)+1),COUNTIF($AC$8:AC212,AC212))),"")</f>
        <v/>
      </c>
      <c r="P212" s="108" t="str">
        <f t="array" ref="P212">IF(ISNUMBER(AC212),INDEX('All Player Data Store'!$L$7:$L$594,SMALL(IF('All Player Data Store'!$Y$7:$Y$594=AC212,ROW('All Player Data Store'!$Y$7:$Y$594)-ROW('All Player Data Store'!$Y$7)+1),COUNTIF($AC$8:AC212,AC212))),"")</f>
        <v/>
      </c>
      <c r="Q212" s="108" t="str">
        <f t="array" ref="Q212">IF(ISNUMBER(AC212),INDEX('All Player Data Store'!$M$7:$M$594,SMALL(IF('All Player Data Store'!$Y$7:$Y$594=AC212,ROW('All Player Data Store'!$Y$7:$Y$594)-ROW('All Player Data Store'!$Y$7)+1),COUNTIF($AC$8:AC212,AC212))),"")</f>
        <v/>
      </c>
      <c r="R212" s="108" t="str">
        <f t="array" ref="R212">IF(ISNUMBER(AC212),INDEX('All Player Data Store'!$N$7:$N$594,SMALL(IF('All Player Data Store'!$Y$7:$Y$594=AC212,ROW('All Player Data Store'!$Y$7:$Y$594)-ROW('All Player Data Store'!$Y$7)+1),COUNTIF($AC$8:AC212,AC212))),"")</f>
        <v/>
      </c>
      <c r="S212" s="108" t="str">
        <f t="array" ref="S212">IF(ISNUMBER(AC212),INDEX('All Player Data Store'!$O$7:$O$594,SMALL(IF('All Player Data Store'!$Y$7:$Y$594=AC212,ROW('All Player Data Store'!$Y$7:$Y$594)-ROW('All Player Data Store'!$Y$7)+1),COUNTIF($AC$8:AC212,AC212))),"")</f>
        <v/>
      </c>
      <c r="T212" s="108" t="str">
        <f t="array" ref="T212">IF(ISNUMBER(AC212),INDEX('All Player Data Store'!$P$7:$P$594,SMALL(IF('All Player Data Store'!$Y$7:$Y$594=AC212,ROW('All Player Data Store'!$Y$7:$Y$594)-ROW('All Player Data Store'!$Y$7)+1),COUNTIF($AC$8:AC212,AC212))),"")</f>
        <v/>
      </c>
      <c r="U212" s="108" t="str">
        <f t="array" ref="U212">IF(ISNUMBER(AC212),INDEX('All Player Data Store'!$Q$7:$Q$594,SMALL(IF('All Player Data Store'!$Y$7:$Y$594=AC212,ROW('All Player Data Store'!$Y$7:$Y$594)-ROW('All Player Data Store'!$Y$7)+1),COUNTIF($AC$8:AC212,AC212))),"")</f>
        <v/>
      </c>
      <c r="V212" s="108" t="str">
        <f t="array" ref="V212">IF(ISNUMBER(AC212),INDEX('All Player Data Store'!$R$7:$R$594,SMALL(IF('All Player Data Store'!$Y$7:$Y$594=AC212,ROW('All Player Data Store'!$Y$7:$Y$594)-ROW('All Player Data Store'!$Y$7)+1),COUNTIF($AC$8:AC212,AC212))),"")</f>
        <v/>
      </c>
      <c r="W212" s="108" t="str">
        <f t="array" ref="W212">IF(ISNUMBER(AC212),INDEX('All Player Data Store'!$S$7:$S$594,SMALL(IF('All Player Data Store'!$Y$7:$Y$594=AC212,ROW('All Player Data Store'!$Y$7:$Y$594)-ROW('All Player Data Store'!$Y$7)+1),COUNTIF($AC$8:AC212,AC212))),"")</f>
        <v/>
      </c>
      <c r="X212" s="108" t="str">
        <f t="array" ref="X212">IF(ISNUMBER(AC212),INDEX('All Player Data Store'!$T$7:$T$594,SMALL(IF('All Player Data Store'!$Y$7:$Y$594=AC212,ROW('All Player Data Store'!$Y$7:$Y$594)-ROW('All Player Data Store'!$Y$7)+1),COUNTIF($AC$8:AC212,AC212))),"")</f>
        <v/>
      </c>
      <c r="Y212" s="108" t="str">
        <f t="array" ref="Y212">IF(ISNUMBER(AC212),INDEX('All Player Data Store'!$U$7:$U$594,SMALL(IF('All Player Data Store'!$Y$7:$Y$594=AC212,ROW('All Player Data Store'!$Y$7:$Y$594)-ROW('All Player Data Store'!$Y$7)+1),COUNTIF($AC$8:AC212,AC212))),"")</f>
        <v/>
      </c>
      <c r="Z212" s="108" t="str">
        <f t="array" ref="Z212">IF(ISNUMBER(AC212),INDEX('All Player Data Store'!$V$7:$V$594,SMALL(IF('All Player Data Store'!$Y$7:$Y$594=AC212,ROW('All Player Data Store'!$Y$7:$Y$594)-ROW('All Player Data Store'!$Y$7)+1),COUNTIF($AC$8:AC212,AC212))),"")</f>
        <v/>
      </c>
      <c r="AA212" s="112" t="str">
        <f t="array" ref="AA212">IF(ISNUMBER(AC212),INDEX('All Player Data Store'!$W$7:$W$594,SMALL(IF('All Player Data Store'!$Y$7:$Y$594=AC212,ROW('All Player Data Store'!$Y$7:$Y$594)-ROW('All Player Data Store'!$Y$7)+1),COUNTIF($AC$8:AC212,AC212))),"")</f>
        <v/>
      </c>
      <c r="AB212" s="108" t="str">
        <f t="array" ref="AB212">IF(ISNUMBER(AC212),INDEX('All Player Data Store'!$X$7:$X$594,SMALL(IF('All Player Data Store'!$Y$7:$Y$594=AC212,ROW('All Player Data Store'!$Y$7:$Y$594)-ROW('All Player Data Store'!$Y$7)+1),COUNTIF($AC$8:AC212,AC212))),"")</f>
        <v/>
      </c>
      <c r="AC212" s="115" t="str">
        <f>IF(ISERROR(IF(ISERROR(LARGE('All Player Data Store'!$Y$7:$Y$594,205)),"",(LARGE('All Player Data Store'!$Y$7:$Y$594,205)))),"",(IF(ISERROR(LARGE('All Player Data Store'!$Y$7:$Y$594,205)),"",(LARGE('All Player Data Store'!$Y$7:$Y$594,205)))))</f>
        <v/>
      </c>
      <c r="AD212" s="106">
        <f t="shared" si="16"/>
        <v>1</v>
      </c>
      <c r="AE212" s="107" t="str">
        <f t="array" ref="AE212">IF(ISNUMBER(AC212),INDEX('All Player Data Store'!$J$8:$J$594,SMALL(IF('All Player Data Store'!$Y$7:$Y$594=AC212,ROW('All Player Data Store'!$Y$7:$Y$594)-ROW('All Player Data Store'!$Y$7)+1),COUNTIF($AC$8:AC212,AC212))),"")</f>
        <v/>
      </c>
      <c r="AF212" s="108" t="str">
        <f t="shared" si="3"/>
        <v/>
      </c>
      <c r="AG212" s="108" t="str">
        <f t="array" ref="AG212">IF(ISNUMBER(AC212),INDEX('All Player Data Store'!$K$8:$K$594,SMALL(IF('All Player Data Store'!$Y$7:$Y$594=AC212,ROW('All Player Data Store'!$Y$7:$Y$594)-ROW('All Player Data Store'!$Y$7)+1),COUNTIF($AC$8:AC212,AC212))),"")</f>
        <v/>
      </c>
      <c r="AH212" s="108" t="str">
        <f t="shared" si="4"/>
        <v/>
      </c>
      <c r="AI212" s="108" t="str">
        <f t="array" ref="AI212">IF(ISNUMBER(AC212),INDEX('All Player Data Store'!$L$8:$L$594,SMALL(IF('All Player Data Store'!$Y$7:$Y$594=AC212,ROW('All Player Data Store'!$Y$7:$Y$594)-ROW('All Player Data Store'!$Y$7)+1),COUNTIF($AC$8:AC212,AC212))),"")</f>
        <v/>
      </c>
      <c r="AJ212" s="108" t="str">
        <f t="shared" si="5"/>
        <v/>
      </c>
      <c r="AK212" s="108" t="str">
        <f t="array" ref="AK212">IF(ISNUMBER(AC212),INDEX('All Player Data Store'!$M$8:$M$594,SMALL(IF('All Player Data Store'!$Y$7:$Y$594=AC212,ROW('All Player Data Store'!$Y$7:$Y$594)-ROW('All Player Data Store'!$Y$7)+1),COUNTIF($AC$8:AC212,AC212))),"")</f>
        <v/>
      </c>
      <c r="AL212" s="108" t="str">
        <f t="shared" si="6"/>
        <v/>
      </c>
      <c r="AM212" s="108" t="str">
        <f t="array" ref="AM212">IF(ISNUMBER(AC212),INDEX('All Player Data Store'!$N$8:$N$594,SMALL(IF('All Player Data Store'!$Y$7:$Y$594=AC212,ROW('All Player Data Store'!$Y$7:$Y$594)-ROW('All Player Data Store'!$Y$7)+1),COUNTIF($AC$8:AC212,AC212))),"")</f>
        <v/>
      </c>
      <c r="AN212" s="108" t="str">
        <f t="shared" si="7"/>
        <v/>
      </c>
      <c r="AO212" s="108" t="str">
        <f t="array" ref="AO212">IF(ISNUMBER(AC212),INDEX('All Player Data Store'!$O$8:$O$594,SMALL(IF('All Player Data Store'!$Y$7:$Y$594=AC212,ROW('All Player Data Store'!$Y$7:$Y$594)-ROW('All Player Data Store'!$Y$7)+1),COUNTIF($AC$8:AC212,AC212))),"")</f>
        <v/>
      </c>
      <c r="AP212" s="108" t="str">
        <f t="shared" si="8"/>
        <v/>
      </c>
      <c r="AQ212" s="108" t="str">
        <f t="array" ref="AQ212">IF(ISNUMBER(AC212),INDEX('All Player Data Store'!$P$8:$P$594,SMALL(IF('All Player Data Store'!$Y$7:$Y$594=AC212,ROW('All Player Data Store'!$Y$7:$Y$594)-ROW('All Player Data Store'!$Y$7)+1),COUNTIF($AC$8:AC212,AC212))),"")</f>
        <v/>
      </c>
      <c r="AR212" s="108" t="str">
        <f t="shared" si="9"/>
        <v/>
      </c>
      <c r="AS212" s="108" t="str">
        <f t="array" ref="AS212">IF(ISNUMBER(AC212),INDEX('All Player Data Store'!$Q$8:$Q$594,SMALL(IF('All Player Data Store'!$Y$7:$Y$594=AC212,ROW('All Player Data Store'!$Y$7:$Y$594)-ROW('All Player Data Store'!$Y$7)+1),COUNTIF($AC$8:AC212,AC212))),"")</f>
        <v/>
      </c>
      <c r="AT212" s="108" t="str">
        <f t="shared" si="10"/>
        <v/>
      </c>
      <c r="AU212" s="108" t="str">
        <f t="array" ref="AU212">IF(ISNUMBER(AC212),INDEX('All Player Data Store'!$R$8:$R$594,SMALL(IF('All Player Data Store'!$Y$7:$Y$594=AC212,ROW('All Player Data Store'!$Y$7:$Y$594)-ROW('All Player Data Store'!$Y$7)+1),COUNTIF($AC$8:AC212,AC212))),"")</f>
        <v/>
      </c>
      <c r="AV212" s="108" t="str">
        <f t="shared" si="11"/>
        <v/>
      </c>
      <c r="AW212" s="108" t="str">
        <f t="array" ref="AW212">IF(ISNUMBER(AC212),INDEX('All Player Data Store'!$S$8:$S$594,SMALL(IF('All Player Data Store'!$Y$7:$Y$594=AC212,ROW('All Player Data Store'!$Y$7:$Y$594)-ROW('All Player Data Store'!$Y$7)+1),COUNTIF($AC$8:AC212,AC212))),"")</f>
        <v/>
      </c>
      <c r="AX212" s="108" t="str">
        <f t="shared" si="12"/>
        <v/>
      </c>
      <c r="AY212" s="108" t="str">
        <f t="array" ref="AY212">IF(ISNUMBER(AC212),INDEX('All Player Data Store'!$T$8:$T$594,SMALL(IF('All Player Data Store'!$Y$7:$Y$594=AC212,ROW('All Player Data Store'!$Y$7:$Y$594)-ROW('All Player Data Store'!$Y$7)+1),COUNTIF($AC$8:AC212,AC212))),"")</f>
        <v/>
      </c>
      <c r="AZ212" s="108" t="str">
        <f t="shared" si="13"/>
        <v/>
      </c>
      <c r="BA212" s="108" t="str">
        <f t="array" ref="BA212">IF(ISNUMBER(AC212),INDEX('All Player Data Store'!$U$8:$U$594,SMALL(IF('All Player Data Store'!$Y$7:$Y$594=AC212,ROW('All Player Data Store'!$Y$7:$Y$594)-ROW('All Player Data Store'!$Y$7)+1),COUNTIF($AC$8:AC212,AC212))),"")</f>
        <v/>
      </c>
      <c r="BB212" s="108" t="str">
        <f t="shared" si="14"/>
        <v/>
      </c>
      <c r="BC212" s="108" t="str">
        <f t="array" ref="BC212">IF(ISNUMBER(AC212),INDEX('All Player Data Store'!$V$8:$V$594,SMALL(IF('All Player Data Store'!$Y$7:$Y$594=AC212,ROW('All Player Data Store'!$Y$7:$Y$594)-ROW('All Player Data Store'!$Y$7)+1),COUNTIF($AC$8:AC212,AC212))),"")</f>
        <v/>
      </c>
      <c r="BD212" s="108" t="str">
        <f t="shared" si="15"/>
        <v/>
      </c>
      <c r="BE212" s="1"/>
    </row>
    <row r="213" spans="2:57" ht="12" customHeight="1" x14ac:dyDescent="0.2">
      <c r="B213" s="98" t="str">
        <f t="shared" si="0"/>
        <v/>
      </c>
      <c r="C213" s="1"/>
      <c r="D213" s="68" t="str">
        <f t="shared" si="1"/>
        <v/>
      </c>
      <c r="E213" s="2"/>
      <c r="F213" s="78">
        <v>206</v>
      </c>
      <c r="G213" s="110" t="str">
        <f t="array" ref="G213">IF(ISNUMBER(AC213),INDEX('All Player Data Store'!$C$7:$C$594,SMALL(IF('All Player Data Store'!$Y$7:$Y$594=AC213,ROW('All Player Data Store'!$Y$7:$Y$594)-ROW('All Player Data Store'!$Y$7)+1),COUNTIF($AC$8:AC213,AC213))),"")</f>
        <v/>
      </c>
      <c r="H213" s="68" t="str">
        <f t="array" ref="H213">IF(ISNUMBER(AC213),INDEX('All Player Data Store'!$D$7:$D$594,SMALL(IF('All Player Data Store'!$Y$7:$Y$594=AC213,ROW('All Player Data Store'!$Y$7:$Y$594)-ROW('All Player Data Store'!$Y$7)+1),COUNTIF($AC$8:AC213,AC213))),"")</f>
        <v/>
      </c>
      <c r="I213" s="69" t="str">
        <f t="array" ref="I213">IF(ISNUMBER(AC213),INDEX('All Player Data Store'!$E$7:$E$594,SMALL(IF('All Player Data Store'!$Y$7:$Y$594=AC213,ROW('All Player Data Store'!$Y$7:$Y$594)-ROW('All Player Data Store'!$Y$7)+1),COUNTIF($AC$8:AC213,AC213))),"")</f>
        <v/>
      </c>
      <c r="J213" s="70" t="str">
        <f t="array" ref="J213">IF(ISNUMBER(AC213),INDEX('All Player Data Store'!$F$7:$F$594,SMALL(IF('All Player Data Store'!$Y$7:$Y$594=AC213,ROW('All Player Data Store'!$Y$7:$Y$594)-ROW('All Player Data Store'!$Y$7)+1),COUNTIF($AC$8:AC213,AC213))),"")</f>
        <v/>
      </c>
      <c r="K213" s="70" t="str">
        <f t="array" ref="K213">IF(ISNUMBER(AC213),INDEX('All Player Data Store'!$G$7:$G$594,SMALL(IF('All Player Data Store'!$Y$7:$Y$594=AC213,ROW('All Player Data Store'!$Y$7:$Y$594)-ROW('All Player Data Store'!$Y$7)+1),COUNTIF($AC$8:AC213,AC213))),"")</f>
        <v/>
      </c>
      <c r="L213" s="70" t="str">
        <f t="array" ref="L213">IF(ISNUMBER(AC213),INDEX('All Player Data Store'!$H$7:$H$594,SMALL(IF('All Player Data Store'!$Y$7:$Y$594=AC213,ROW('All Player Data Store'!$Y$7:$Y$594)-ROW('All Player Data Store'!$Y$7)+1),COUNTIF($AC$8:AC213,AC213))),"")</f>
        <v/>
      </c>
      <c r="M213" s="72" t="str">
        <f t="array" ref="M213">IF(ISNUMBER(AC213),INDEX('All Player Data Store'!$I$7:$I$594,SMALL(IF('All Player Data Store'!$Y$7:$Y$594=AC213,ROW('All Player Data Store'!$Y$7:$Y$594)-ROW('All Player Data Store'!$Y$7)+1),COUNTIF($AC$8:AC213,AC213))),"")</f>
        <v/>
      </c>
      <c r="N213" s="114" t="str">
        <f t="array" ref="N213">IF(ISNUMBER(AC213),INDEX('All Player Data Store'!$J$7:$J$594,SMALL(IF('All Player Data Store'!$Y$7:$Y$594=AC213,ROW('All Player Data Store'!$Y$7:$Y$594)-ROW('All Player Data Store'!$Y$7)+1),COUNTIF($AC$8:AC213,AC213))),"")</f>
        <v/>
      </c>
      <c r="O213" s="108" t="str">
        <f t="array" ref="O213">IF(ISNUMBER(AC213),INDEX('All Player Data Store'!$K$7:$K$594,SMALL(IF('All Player Data Store'!$Y$7:$Y$594=AC213,ROW('All Player Data Store'!$Y$7:$Y$594)-ROW('All Player Data Store'!$Y$7)+1),COUNTIF($AC$8:AC213,AC213))),"")</f>
        <v/>
      </c>
      <c r="P213" s="108" t="str">
        <f t="array" ref="P213">IF(ISNUMBER(AC213),INDEX('All Player Data Store'!$L$7:$L$594,SMALL(IF('All Player Data Store'!$Y$7:$Y$594=AC213,ROW('All Player Data Store'!$Y$7:$Y$594)-ROW('All Player Data Store'!$Y$7)+1),COUNTIF($AC$8:AC213,AC213))),"")</f>
        <v/>
      </c>
      <c r="Q213" s="108" t="str">
        <f t="array" ref="Q213">IF(ISNUMBER(AC213),INDEX('All Player Data Store'!$M$7:$M$594,SMALL(IF('All Player Data Store'!$Y$7:$Y$594=AC213,ROW('All Player Data Store'!$Y$7:$Y$594)-ROW('All Player Data Store'!$Y$7)+1),COUNTIF($AC$8:AC213,AC213))),"")</f>
        <v/>
      </c>
      <c r="R213" s="108" t="str">
        <f t="array" ref="R213">IF(ISNUMBER(AC213),INDEX('All Player Data Store'!$N$7:$N$594,SMALL(IF('All Player Data Store'!$Y$7:$Y$594=AC213,ROW('All Player Data Store'!$Y$7:$Y$594)-ROW('All Player Data Store'!$Y$7)+1),COUNTIF($AC$8:AC213,AC213))),"")</f>
        <v/>
      </c>
      <c r="S213" s="108" t="str">
        <f t="array" ref="S213">IF(ISNUMBER(AC213),INDEX('All Player Data Store'!$O$7:$O$594,SMALL(IF('All Player Data Store'!$Y$7:$Y$594=AC213,ROW('All Player Data Store'!$Y$7:$Y$594)-ROW('All Player Data Store'!$Y$7)+1),COUNTIF($AC$8:AC213,AC213))),"")</f>
        <v/>
      </c>
      <c r="T213" s="108" t="str">
        <f t="array" ref="T213">IF(ISNUMBER(AC213),INDEX('All Player Data Store'!$P$7:$P$594,SMALL(IF('All Player Data Store'!$Y$7:$Y$594=AC213,ROW('All Player Data Store'!$Y$7:$Y$594)-ROW('All Player Data Store'!$Y$7)+1),COUNTIF($AC$8:AC213,AC213))),"")</f>
        <v/>
      </c>
      <c r="U213" s="108" t="str">
        <f t="array" ref="U213">IF(ISNUMBER(AC213),INDEX('All Player Data Store'!$Q$7:$Q$594,SMALL(IF('All Player Data Store'!$Y$7:$Y$594=AC213,ROW('All Player Data Store'!$Y$7:$Y$594)-ROW('All Player Data Store'!$Y$7)+1),COUNTIF($AC$8:AC213,AC213))),"")</f>
        <v/>
      </c>
      <c r="V213" s="108" t="str">
        <f t="array" ref="V213">IF(ISNUMBER(AC213),INDEX('All Player Data Store'!$R$7:$R$594,SMALL(IF('All Player Data Store'!$Y$7:$Y$594=AC213,ROW('All Player Data Store'!$Y$7:$Y$594)-ROW('All Player Data Store'!$Y$7)+1),COUNTIF($AC$8:AC213,AC213))),"")</f>
        <v/>
      </c>
      <c r="W213" s="108" t="str">
        <f t="array" ref="W213">IF(ISNUMBER(AC213),INDEX('All Player Data Store'!$S$7:$S$594,SMALL(IF('All Player Data Store'!$Y$7:$Y$594=AC213,ROW('All Player Data Store'!$Y$7:$Y$594)-ROW('All Player Data Store'!$Y$7)+1),COUNTIF($AC$8:AC213,AC213))),"")</f>
        <v/>
      </c>
      <c r="X213" s="108" t="str">
        <f t="array" ref="X213">IF(ISNUMBER(AC213),INDEX('All Player Data Store'!$T$7:$T$594,SMALL(IF('All Player Data Store'!$Y$7:$Y$594=AC213,ROW('All Player Data Store'!$Y$7:$Y$594)-ROW('All Player Data Store'!$Y$7)+1),COUNTIF($AC$8:AC213,AC213))),"")</f>
        <v/>
      </c>
      <c r="Y213" s="108" t="str">
        <f t="array" ref="Y213">IF(ISNUMBER(AC213),INDEX('All Player Data Store'!$U$7:$U$594,SMALL(IF('All Player Data Store'!$Y$7:$Y$594=AC213,ROW('All Player Data Store'!$Y$7:$Y$594)-ROW('All Player Data Store'!$Y$7)+1),COUNTIF($AC$8:AC213,AC213))),"")</f>
        <v/>
      </c>
      <c r="Z213" s="108" t="str">
        <f t="array" ref="Z213">IF(ISNUMBER(AC213),INDEX('All Player Data Store'!$V$7:$V$594,SMALL(IF('All Player Data Store'!$Y$7:$Y$594=AC213,ROW('All Player Data Store'!$Y$7:$Y$594)-ROW('All Player Data Store'!$Y$7)+1),COUNTIF($AC$8:AC213,AC213))),"")</f>
        <v/>
      </c>
      <c r="AA213" s="112" t="str">
        <f t="array" ref="AA213">IF(ISNUMBER(AC213),INDEX('All Player Data Store'!$W$7:$W$594,SMALL(IF('All Player Data Store'!$Y$7:$Y$594=AC213,ROW('All Player Data Store'!$Y$7:$Y$594)-ROW('All Player Data Store'!$Y$7)+1),COUNTIF($AC$8:AC213,AC213))),"")</f>
        <v/>
      </c>
      <c r="AB213" s="108" t="str">
        <f t="array" ref="AB213">IF(ISNUMBER(AC213),INDEX('All Player Data Store'!$X$7:$X$594,SMALL(IF('All Player Data Store'!$Y$7:$Y$594=AC213,ROW('All Player Data Store'!$Y$7:$Y$594)-ROW('All Player Data Store'!$Y$7)+1),COUNTIF($AC$8:AC213,AC213))),"")</f>
        <v/>
      </c>
      <c r="AC213" s="115" t="str">
        <f>IF(ISERROR(IF(ISERROR(LARGE('All Player Data Store'!$Y$7:$Y$594,206)),"",(LARGE('All Player Data Store'!$Y$7:$Y$594,206)))),"",(IF(ISERROR(LARGE('All Player Data Store'!$Y$7:$Y$594,206)),"",(LARGE('All Player Data Store'!$Y$7:$Y$594,206)))))</f>
        <v/>
      </c>
      <c r="AD213" s="106">
        <f t="shared" si="16"/>
        <v>1</v>
      </c>
      <c r="AE213" s="107" t="str">
        <f t="array" ref="AE213">IF(ISNUMBER(AC213),INDEX('All Player Data Store'!$J$8:$J$594,SMALL(IF('All Player Data Store'!$Y$7:$Y$594=AC213,ROW('All Player Data Store'!$Y$7:$Y$594)-ROW('All Player Data Store'!$Y$7)+1),COUNTIF($AC$8:AC213,AC213))),"")</f>
        <v/>
      </c>
      <c r="AF213" s="108" t="str">
        <f t="shared" si="3"/>
        <v/>
      </c>
      <c r="AG213" s="108" t="str">
        <f t="array" ref="AG213">IF(ISNUMBER(AC213),INDEX('All Player Data Store'!$K$8:$K$594,SMALL(IF('All Player Data Store'!$Y$7:$Y$594=AC213,ROW('All Player Data Store'!$Y$7:$Y$594)-ROW('All Player Data Store'!$Y$7)+1),COUNTIF($AC$8:AC213,AC213))),"")</f>
        <v/>
      </c>
      <c r="AH213" s="108" t="str">
        <f t="shared" si="4"/>
        <v/>
      </c>
      <c r="AI213" s="108" t="str">
        <f t="array" ref="AI213">IF(ISNUMBER(AC213),INDEX('All Player Data Store'!$L$8:$L$594,SMALL(IF('All Player Data Store'!$Y$7:$Y$594=AC213,ROW('All Player Data Store'!$Y$7:$Y$594)-ROW('All Player Data Store'!$Y$7)+1),COUNTIF($AC$8:AC213,AC213))),"")</f>
        <v/>
      </c>
      <c r="AJ213" s="108" t="str">
        <f t="shared" si="5"/>
        <v/>
      </c>
      <c r="AK213" s="108" t="str">
        <f t="array" ref="AK213">IF(ISNUMBER(AC213),INDEX('All Player Data Store'!$M$8:$M$594,SMALL(IF('All Player Data Store'!$Y$7:$Y$594=AC213,ROW('All Player Data Store'!$Y$7:$Y$594)-ROW('All Player Data Store'!$Y$7)+1),COUNTIF($AC$8:AC213,AC213))),"")</f>
        <v/>
      </c>
      <c r="AL213" s="108" t="str">
        <f t="shared" si="6"/>
        <v/>
      </c>
      <c r="AM213" s="108" t="str">
        <f t="array" ref="AM213">IF(ISNUMBER(AC213),INDEX('All Player Data Store'!$N$8:$N$594,SMALL(IF('All Player Data Store'!$Y$7:$Y$594=AC213,ROW('All Player Data Store'!$Y$7:$Y$594)-ROW('All Player Data Store'!$Y$7)+1),COUNTIF($AC$8:AC213,AC213))),"")</f>
        <v/>
      </c>
      <c r="AN213" s="108" t="str">
        <f t="shared" si="7"/>
        <v/>
      </c>
      <c r="AO213" s="108" t="str">
        <f t="array" ref="AO213">IF(ISNUMBER(AC213),INDEX('All Player Data Store'!$O$8:$O$594,SMALL(IF('All Player Data Store'!$Y$7:$Y$594=AC213,ROW('All Player Data Store'!$Y$7:$Y$594)-ROW('All Player Data Store'!$Y$7)+1),COUNTIF($AC$8:AC213,AC213))),"")</f>
        <v/>
      </c>
      <c r="AP213" s="108" t="str">
        <f t="shared" si="8"/>
        <v/>
      </c>
      <c r="AQ213" s="108" t="str">
        <f t="array" ref="AQ213">IF(ISNUMBER(AC213),INDEX('All Player Data Store'!$P$8:$P$594,SMALL(IF('All Player Data Store'!$Y$7:$Y$594=AC213,ROW('All Player Data Store'!$Y$7:$Y$594)-ROW('All Player Data Store'!$Y$7)+1),COUNTIF($AC$8:AC213,AC213))),"")</f>
        <v/>
      </c>
      <c r="AR213" s="108" t="str">
        <f t="shared" si="9"/>
        <v/>
      </c>
      <c r="AS213" s="108" t="str">
        <f t="array" ref="AS213">IF(ISNUMBER(AC213),INDEX('All Player Data Store'!$Q$8:$Q$594,SMALL(IF('All Player Data Store'!$Y$7:$Y$594=AC213,ROW('All Player Data Store'!$Y$7:$Y$594)-ROW('All Player Data Store'!$Y$7)+1),COUNTIF($AC$8:AC213,AC213))),"")</f>
        <v/>
      </c>
      <c r="AT213" s="108" t="str">
        <f t="shared" si="10"/>
        <v/>
      </c>
      <c r="AU213" s="108" t="str">
        <f t="array" ref="AU213">IF(ISNUMBER(AC213),INDEX('All Player Data Store'!$R$8:$R$594,SMALL(IF('All Player Data Store'!$Y$7:$Y$594=AC213,ROW('All Player Data Store'!$Y$7:$Y$594)-ROW('All Player Data Store'!$Y$7)+1),COUNTIF($AC$8:AC213,AC213))),"")</f>
        <v/>
      </c>
      <c r="AV213" s="108" t="str">
        <f t="shared" si="11"/>
        <v/>
      </c>
      <c r="AW213" s="108" t="str">
        <f t="array" ref="AW213">IF(ISNUMBER(AC213),INDEX('All Player Data Store'!$S$8:$S$594,SMALL(IF('All Player Data Store'!$Y$7:$Y$594=AC213,ROW('All Player Data Store'!$Y$7:$Y$594)-ROW('All Player Data Store'!$Y$7)+1),COUNTIF($AC$8:AC213,AC213))),"")</f>
        <v/>
      </c>
      <c r="AX213" s="108" t="str">
        <f t="shared" si="12"/>
        <v/>
      </c>
      <c r="AY213" s="108" t="str">
        <f t="array" ref="AY213">IF(ISNUMBER(AC213),INDEX('All Player Data Store'!$T$8:$T$594,SMALL(IF('All Player Data Store'!$Y$7:$Y$594=AC213,ROW('All Player Data Store'!$Y$7:$Y$594)-ROW('All Player Data Store'!$Y$7)+1),COUNTIF($AC$8:AC213,AC213))),"")</f>
        <v/>
      </c>
      <c r="AZ213" s="108" t="str">
        <f t="shared" si="13"/>
        <v/>
      </c>
      <c r="BA213" s="108" t="str">
        <f t="array" ref="BA213">IF(ISNUMBER(AC213),INDEX('All Player Data Store'!$U$8:$U$594,SMALL(IF('All Player Data Store'!$Y$7:$Y$594=AC213,ROW('All Player Data Store'!$Y$7:$Y$594)-ROW('All Player Data Store'!$Y$7)+1),COUNTIF($AC$8:AC213,AC213))),"")</f>
        <v/>
      </c>
      <c r="BB213" s="108" t="str">
        <f t="shared" si="14"/>
        <v/>
      </c>
      <c r="BC213" s="108" t="str">
        <f t="array" ref="BC213">IF(ISNUMBER(AC213),INDEX('All Player Data Store'!$V$8:$V$594,SMALL(IF('All Player Data Store'!$Y$7:$Y$594=AC213,ROW('All Player Data Store'!$Y$7:$Y$594)-ROW('All Player Data Store'!$Y$7)+1),COUNTIF($AC$8:AC213,AC213))),"")</f>
        <v/>
      </c>
      <c r="BD213" s="108" t="str">
        <f t="shared" si="15"/>
        <v/>
      </c>
      <c r="BE213" s="1"/>
    </row>
    <row r="214" spans="2:57" ht="12" customHeight="1" x14ac:dyDescent="0.2">
      <c r="B214" s="98" t="str">
        <f t="shared" si="0"/>
        <v/>
      </c>
      <c r="C214" s="1"/>
      <c r="D214" s="68" t="str">
        <f t="shared" si="1"/>
        <v/>
      </c>
      <c r="E214" s="2"/>
      <c r="F214" s="78">
        <v>207</v>
      </c>
      <c r="G214" s="110" t="str">
        <f t="array" ref="G214">IF(ISNUMBER(AC214),INDEX('All Player Data Store'!$C$7:$C$594,SMALL(IF('All Player Data Store'!$Y$7:$Y$594=AC214,ROW('All Player Data Store'!$Y$7:$Y$594)-ROW('All Player Data Store'!$Y$7)+1),COUNTIF($AC$8:AC214,AC214))),"")</f>
        <v/>
      </c>
      <c r="H214" s="68" t="str">
        <f t="array" ref="H214">IF(ISNUMBER(AC214),INDEX('All Player Data Store'!$D$7:$D$594,SMALL(IF('All Player Data Store'!$Y$7:$Y$594=AC214,ROW('All Player Data Store'!$Y$7:$Y$594)-ROW('All Player Data Store'!$Y$7)+1),COUNTIF($AC$8:AC214,AC214))),"")</f>
        <v/>
      </c>
      <c r="I214" s="69" t="str">
        <f t="array" ref="I214">IF(ISNUMBER(AC214),INDEX('All Player Data Store'!$E$7:$E$594,SMALL(IF('All Player Data Store'!$Y$7:$Y$594=AC214,ROW('All Player Data Store'!$Y$7:$Y$594)-ROW('All Player Data Store'!$Y$7)+1),COUNTIF($AC$8:AC214,AC214))),"")</f>
        <v/>
      </c>
      <c r="J214" s="70" t="str">
        <f t="array" ref="J214">IF(ISNUMBER(AC214),INDEX('All Player Data Store'!$F$7:$F$594,SMALL(IF('All Player Data Store'!$Y$7:$Y$594=AC214,ROW('All Player Data Store'!$Y$7:$Y$594)-ROW('All Player Data Store'!$Y$7)+1),COUNTIF($AC$8:AC214,AC214))),"")</f>
        <v/>
      </c>
      <c r="K214" s="70" t="str">
        <f t="array" ref="K214">IF(ISNUMBER(AC214),INDEX('All Player Data Store'!$G$7:$G$594,SMALL(IF('All Player Data Store'!$Y$7:$Y$594=AC214,ROW('All Player Data Store'!$Y$7:$Y$594)-ROW('All Player Data Store'!$Y$7)+1),COUNTIF($AC$8:AC214,AC214))),"")</f>
        <v/>
      </c>
      <c r="L214" s="70" t="str">
        <f t="array" ref="L214">IF(ISNUMBER(AC214),INDEX('All Player Data Store'!$H$7:$H$594,SMALL(IF('All Player Data Store'!$Y$7:$Y$594=AC214,ROW('All Player Data Store'!$Y$7:$Y$594)-ROW('All Player Data Store'!$Y$7)+1),COUNTIF($AC$8:AC214,AC214))),"")</f>
        <v/>
      </c>
      <c r="M214" s="72" t="str">
        <f t="array" ref="M214">IF(ISNUMBER(AC214),INDEX('All Player Data Store'!$I$7:$I$594,SMALL(IF('All Player Data Store'!$Y$7:$Y$594=AC214,ROW('All Player Data Store'!$Y$7:$Y$594)-ROW('All Player Data Store'!$Y$7)+1),COUNTIF($AC$8:AC214,AC214))),"")</f>
        <v/>
      </c>
      <c r="N214" s="114" t="str">
        <f t="array" ref="N214">IF(ISNUMBER(AC214),INDEX('All Player Data Store'!$J$7:$J$594,SMALL(IF('All Player Data Store'!$Y$7:$Y$594=AC214,ROW('All Player Data Store'!$Y$7:$Y$594)-ROW('All Player Data Store'!$Y$7)+1),COUNTIF($AC$8:AC214,AC214))),"")</f>
        <v/>
      </c>
      <c r="O214" s="108" t="str">
        <f t="array" ref="O214">IF(ISNUMBER(AC214),INDEX('All Player Data Store'!$K$7:$K$594,SMALL(IF('All Player Data Store'!$Y$7:$Y$594=AC214,ROW('All Player Data Store'!$Y$7:$Y$594)-ROW('All Player Data Store'!$Y$7)+1),COUNTIF($AC$8:AC214,AC214))),"")</f>
        <v/>
      </c>
      <c r="P214" s="108" t="str">
        <f t="array" ref="P214">IF(ISNUMBER(AC214),INDEX('All Player Data Store'!$L$7:$L$594,SMALL(IF('All Player Data Store'!$Y$7:$Y$594=AC214,ROW('All Player Data Store'!$Y$7:$Y$594)-ROW('All Player Data Store'!$Y$7)+1),COUNTIF($AC$8:AC214,AC214))),"")</f>
        <v/>
      </c>
      <c r="Q214" s="108" t="str">
        <f t="array" ref="Q214">IF(ISNUMBER(AC214),INDEX('All Player Data Store'!$M$7:$M$594,SMALL(IF('All Player Data Store'!$Y$7:$Y$594=AC214,ROW('All Player Data Store'!$Y$7:$Y$594)-ROW('All Player Data Store'!$Y$7)+1),COUNTIF($AC$8:AC214,AC214))),"")</f>
        <v/>
      </c>
      <c r="R214" s="108" t="str">
        <f t="array" ref="R214">IF(ISNUMBER(AC214),INDEX('All Player Data Store'!$N$7:$N$594,SMALL(IF('All Player Data Store'!$Y$7:$Y$594=AC214,ROW('All Player Data Store'!$Y$7:$Y$594)-ROW('All Player Data Store'!$Y$7)+1),COUNTIF($AC$8:AC214,AC214))),"")</f>
        <v/>
      </c>
      <c r="S214" s="108" t="str">
        <f t="array" ref="S214">IF(ISNUMBER(AC214),INDEX('All Player Data Store'!$O$7:$O$594,SMALL(IF('All Player Data Store'!$Y$7:$Y$594=AC214,ROW('All Player Data Store'!$Y$7:$Y$594)-ROW('All Player Data Store'!$Y$7)+1),COUNTIF($AC$8:AC214,AC214))),"")</f>
        <v/>
      </c>
      <c r="T214" s="108" t="str">
        <f t="array" ref="T214">IF(ISNUMBER(AC214),INDEX('All Player Data Store'!$P$7:$P$594,SMALL(IF('All Player Data Store'!$Y$7:$Y$594=AC214,ROW('All Player Data Store'!$Y$7:$Y$594)-ROW('All Player Data Store'!$Y$7)+1),COUNTIF($AC$8:AC214,AC214))),"")</f>
        <v/>
      </c>
      <c r="U214" s="108" t="str">
        <f t="array" ref="U214">IF(ISNUMBER(AC214),INDEX('All Player Data Store'!$Q$7:$Q$594,SMALL(IF('All Player Data Store'!$Y$7:$Y$594=AC214,ROW('All Player Data Store'!$Y$7:$Y$594)-ROW('All Player Data Store'!$Y$7)+1),COUNTIF($AC$8:AC214,AC214))),"")</f>
        <v/>
      </c>
      <c r="V214" s="108" t="str">
        <f t="array" ref="V214">IF(ISNUMBER(AC214),INDEX('All Player Data Store'!$R$7:$R$594,SMALL(IF('All Player Data Store'!$Y$7:$Y$594=AC214,ROW('All Player Data Store'!$Y$7:$Y$594)-ROW('All Player Data Store'!$Y$7)+1),COUNTIF($AC$8:AC214,AC214))),"")</f>
        <v/>
      </c>
      <c r="W214" s="108" t="str">
        <f t="array" ref="W214">IF(ISNUMBER(AC214),INDEX('All Player Data Store'!$S$7:$S$594,SMALL(IF('All Player Data Store'!$Y$7:$Y$594=AC214,ROW('All Player Data Store'!$Y$7:$Y$594)-ROW('All Player Data Store'!$Y$7)+1),COUNTIF($AC$8:AC214,AC214))),"")</f>
        <v/>
      </c>
      <c r="X214" s="108" t="str">
        <f t="array" ref="X214">IF(ISNUMBER(AC214),INDEX('All Player Data Store'!$T$7:$T$594,SMALL(IF('All Player Data Store'!$Y$7:$Y$594=AC214,ROW('All Player Data Store'!$Y$7:$Y$594)-ROW('All Player Data Store'!$Y$7)+1),COUNTIF($AC$8:AC214,AC214))),"")</f>
        <v/>
      </c>
      <c r="Y214" s="108" t="str">
        <f t="array" ref="Y214">IF(ISNUMBER(AC214),INDEX('All Player Data Store'!$U$7:$U$594,SMALL(IF('All Player Data Store'!$Y$7:$Y$594=AC214,ROW('All Player Data Store'!$Y$7:$Y$594)-ROW('All Player Data Store'!$Y$7)+1),COUNTIF($AC$8:AC214,AC214))),"")</f>
        <v/>
      </c>
      <c r="Z214" s="108" t="str">
        <f t="array" ref="Z214">IF(ISNUMBER(AC214),INDEX('All Player Data Store'!$V$7:$V$594,SMALL(IF('All Player Data Store'!$Y$7:$Y$594=AC214,ROW('All Player Data Store'!$Y$7:$Y$594)-ROW('All Player Data Store'!$Y$7)+1),COUNTIF($AC$8:AC214,AC214))),"")</f>
        <v/>
      </c>
      <c r="AA214" s="112" t="str">
        <f t="array" ref="AA214">IF(ISNUMBER(AC214),INDEX('All Player Data Store'!$W$7:$W$594,SMALL(IF('All Player Data Store'!$Y$7:$Y$594=AC214,ROW('All Player Data Store'!$Y$7:$Y$594)-ROW('All Player Data Store'!$Y$7)+1),COUNTIF($AC$8:AC214,AC214))),"")</f>
        <v/>
      </c>
      <c r="AB214" s="108" t="str">
        <f t="array" ref="AB214">IF(ISNUMBER(AC214),INDEX('All Player Data Store'!$X$7:$X$594,SMALL(IF('All Player Data Store'!$Y$7:$Y$594=AC214,ROW('All Player Data Store'!$Y$7:$Y$594)-ROW('All Player Data Store'!$Y$7)+1),COUNTIF($AC$8:AC214,AC214))),"")</f>
        <v/>
      </c>
      <c r="AC214" s="115" t="str">
        <f>IF(ISERROR(IF(ISERROR(LARGE('All Player Data Store'!$Y$7:$Y$594,207)),"",(LARGE('All Player Data Store'!$Y$7:$Y$594,207)))),"",(IF(ISERROR(LARGE('All Player Data Store'!$Y$7:$Y$594,207)),"",(LARGE('All Player Data Store'!$Y$7:$Y$594,207)))))</f>
        <v/>
      </c>
      <c r="AD214" s="106">
        <f t="shared" si="16"/>
        <v>1</v>
      </c>
      <c r="AE214" s="107" t="str">
        <f t="array" ref="AE214">IF(ISNUMBER(AC214),INDEX('All Player Data Store'!$J$8:$J$594,SMALL(IF('All Player Data Store'!$Y$7:$Y$594=AC214,ROW('All Player Data Store'!$Y$7:$Y$594)-ROW('All Player Data Store'!$Y$7)+1),COUNTIF($AC$8:AC214,AC214))),"")</f>
        <v/>
      </c>
      <c r="AF214" s="108" t="str">
        <f t="shared" si="3"/>
        <v/>
      </c>
      <c r="AG214" s="108" t="str">
        <f t="array" ref="AG214">IF(ISNUMBER(AC214),INDEX('All Player Data Store'!$K$8:$K$594,SMALL(IF('All Player Data Store'!$Y$7:$Y$594=AC214,ROW('All Player Data Store'!$Y$7:$Y$594)-ROW('All Player Data Store'!$Y$7)+1),COUNTIF($AC$8:AC214,AC214))),"")</f>
        <v/>
      </c>
      <c r="AH214" s="108" t="str">
        <f t="shared" si="4"/>
        <v/>
      </c>
      <c r="AI214" s="108" t="str">
        <f t="array" ref="AI214">IF(ISNUMBER(AC214),INDEX('All Player Data Store'!$L$8:$L$594,SMALL(IF('All Player Data Store'!$Y$7:$Y$594=AC214,ROW('All Player Data Store'!$Y$7:$Y$594)-ROW('All Player Data Store'!$Y$7)+1),COUNTIF($AC$8:AC214,AC214))),"")</f>
        <v/>
      </c>
      <c r="AJ214" s="108" t="str">
        <f t="shared" si="5"/>
        <v/>
      </c>
      <c r="AK214" s="108" t="str">
        <f t="array" ref="AK214">IF(ISNUMBER(AC214),INDEX('All Player Data Store'!$M$8:$M$594,SMALL(IF('All Player Data Store'!$Y$7:$Y$594=AC214,ROW('All Player Data Store'!$Y$7:$Y$594)-ROW('All Player Data Store'!$Y$7)+1),COUNTIF($AC$8:AC214,AC214))),"")</f>
        <v/>
      </c>
      <c r="AL214" s="108" t="str">
        <f t="shared" si="6"/>
        <v/>
      </c>
      <c r="AM214" s="108" t="str">
        <f t="array" ref="AM214">IF(ISNUMBER(AC214),INDEX('All Player Data Store'!$N$8:$N$594,SMALL(IF('All Player Data Store'!$Y$7:$Y$594=AC214,ROW('All Player Data Store'!$Y$7:$Y$594)-ROW('All Player Data Store'!$Y$7)+1),COUNTIF($AC$8:AC214,AC214))),"")</f>
        <v/>
      </c>
      <c r="AN214" s="108" t="str">
        <f t="shared" si="7"/>
        <v/>
      </c>
      <c r="AO214" s="108" t="str">
        <f t="array" ref="AO214">IF(ISNUMBER(AC214),INDEX('All Player Data Store'!$O$8:$O$594,SMALL(IF('All Player Data Store'!$Y$7:$Y$594=AC214,ROW('All Player Data Store'!$Y$7:$Y$594)-ROW('All Player Data Store'!$Y$7)+1),COUNTIF($AC$8:AC214,AC214))),"")</f>
        <v/>
      </c>
      <c r="AP214" s="108" t="str">
        <f t="shared" si="8"/>
        <v/>
      </c>
      <c r="AQ214" s="108" t="str">
        <f t="array" ref="AQ214">IF(ISNUMBER(AC214),INDEX('All Player Data Store'!$P$8:$P$594,SMALL(IF('All Player Data Store'!$Y$7:$Y$594=AC214,ROW('All Player Data Store'!$Y$7:$Y$594)-ROW('All Player Data Store'!$Y$7)+1),COUNTIF($AC$8:AC214,AC214))),"")</f>
        <v/>
      </c>
      <c r="AR214" s="108" t="str">
        <f t="shared" si="9"/>
        <v/>
      </c>
      <c r="AS214" s="108" t="str">
        <f t="array" ref="AS214">IF(ISNUMBER(AC214),INDEX('All Player Data Store'!$Q$8:$Q$594,SMALL(IF('All Player Data Store'!$Y$7:$Y$594=AC214,ROW('All Player Data Store'!$Y$7:$Y$594)-ROW('All Player Data Store'!$Y$7)+1),COUNTIF($AC$8:AC214,AC214))),"")</f>
        <v/>
      </c>
      <c r="AT214" s="108" t="str">
        <f t="shared" si="10"/>
        <v/>
      </c>
      <c r="AU214" s="108" t="str">
        <f t="array" ref="AU214">IF(ISNUMBER(AC214),INDEX('All Player Data Store'!$R$8:$R$594,SMALL(IF('All Player Data Store'!$Y$7:$Y$594=AC214,ROW('All Player Data Store'!$Y$7:$Y$594)-ROW('All Player Data Store'!$Y$7)+1),COUNTIF($AC$8:AC214,AC214))),"")</f>
        <v/>
      </c>
      <c r="AV214" s="108" t="str">
        <f t="shared" si="11"/>
        <v/>
      </c>
      <c r="AW214" s="108" t="str">
        <f t="array" ref="AW214">IF(ISNUMBER(AC214),INDEX('All Player Data Store'!$S$8:$S$594,SMALL(IF('All Player Data Store'!$Y$7:$Y$594=AC214,ROW('All Player Data Store'!$Y$7:$Y$594)-ROW('All Player Data Store'!$Y$7)+1),COUNTIF($AC$8:AC214,AC214))),"")</f>
        <v/>
      </c>
      <c r="AX214" s="108" t="str">
        <f t="shared" si="12"/>
        <v/>
      </c>
      <c r="AY214" s="108" t="str">
        <f t="array" ref="AY214">IF(ISNUMBER(AC214),INDEX('All Player Data Store'!$T$8:$T$594,SMALL(IF('All Player Data Store'!$Y$7:$Y$594=AC214,ROW('All Player Data Store'!$Y$7:$Y$594)-ROW('All Player Data Store'!$Y$7)+1),COUNTIF($AC$8:AC214,AC214))),"")</f>
        <v/>
      </c>
      <c r="AZ214" s="108" t="str">
        <f t="shared" si="13"/>
        <v/>
      </c>
      <c r="BA214" s="108" t="str">
        <f t="array" ref="BA214">IF(ISNUMBER(AC214),INDEX('All Player Data Store'!$U$8:$U$594,SMALL(IF('All Player Data Store'!$Y$7:$Y$594=AC214,ROW('All Player Data Store'!$Y$7:$Y$594)-ROW('All Player Data Store'!$Y$7)+1),COUNTIF($AC$8:AC214,AC214))),"")</f>
        <v/>
      </c>
      <c r="BB214" s="108" t="str">
        <f t="shared" si="14"/>
        <v/>
      </c>
      <c r="BC214" s="108" t="str">
        <f t="array" ref="BC214">IF(ISNUMBER(AC214),INDEX('All Player Data Store'!$V$8:$V$594,SMALL(IF('All Player Data Store'!$Y$7:$Y$594=AC214,ROW('All Player Data Store'!$Y$7:$Y$594)-ROW('All Player Data Store'!$Y$7)+1),COUNTIF($AC$8:AC214,AC214))),"")</f>
        <v/>
      </c>
      <c r="BD214" s="108" t="str">
        <f t="shared" si="15"/>
        <v/>
      </c>
      <c r="BE214" s="1"/>
    </row>
    <row r="215" spans="2:57" ht="12" customHeight="1" x14ac:dyDescent="0.2">
      <c r="B215" s="98" t="str">
        <f t="shared" si="0"/>
        <v/>
      </c>
      <c r="C215" s="1"/>
      <c r="D215" s="68" t="str">
        <f t="shared" si="1"/>
        <v/>
      </c>
      <c r="E215" s="2"/>
      <c r="F215" s="78">
        <v>208</v>
      </c>
      <c r="G215" s="110" t="str">
        <f t="array" ref="G215">IF(ISNUMBER(AC215),INDEX('All Player Data Store'!$C$7:$C$594,SMALL(IF('All Player Data Store'!$Y$7:$Y$594=AC215,ROW('All Player Data Store'!$Y$7:$Y$594)-ROW('All Player Data Store'!$Y$7)+1),COUNTIF($AC$8:AC215,AC215))),"")</f>
        <v/>
      </c>
      <c r="H215" s="68" t="str">
        <f t="array" ref="H215">IF(ISNUMBER(AC215),INDEX('All Player Data Store'!$D$7:$D$594,SMALL(IF('All Player Data Store'!$Y$7:$Y$594=AC215,ROW('All Player Data Store'!$Y$7:$Y$594)-ROW('All Player Data Store'!$Y$7)+1),COUNTIF($AC$8:AC215,AC215))),"")</f>
        <v/>
      </c>
      <c r="I215" s="69" t="str">
        <f t="array" ref="I215">IF(ISNUMBER(AC215),INDEX('All Player Data Store'!$E$7:$E$594,SMALL(IF('All Player Data Store'!$Y$7:$Y$594=AC215,ROW('All Player Data Store'!$Y$7:$Y$594)-ROW('All Player Data Store'!$Y$7)+1),COUNTIF($AC$8:AC215,AC215))),"")</f>
        <v/>
      </c>
      <c r="J215" s="70" t="str">
        <f t="array" ref="J215">IF(ISNUMBER(AC215),INDEX('All Player Data Store'!$F$7:$F$594,SMALL(IF('All Player Data Store'!$Y$7:$Y$594=AC215,ROW('All Player Data Store'!$Y$7:$Y$594)-ROW('All Player Data Store'!$Y$7)+1),COUNTIF($AC$8:AC215,AC215))),"")</f>
        <v/>
      </c>
      <c r="K215" s="70" t="str">
        <f t="array" ref="K215">IF(ISNUMBER(AC215),INDEX('All Player Data Store'!$G$7:$G$594,SMALL(IF('All Player Data Store'!$Y$7:$Y$594=AC215,ROW('All Player Data Store'!$Y$7:$Y$594)-ROW('All Player Data Store'!$Y$7)+1),COUNTIF($AC$8:AC215,AC215))),"")</f>
        <v/>
      </c>
      <c r="L215" s="70" t="str">
        <f t="array" ref="L215">IF(ISNUMBER(AC215),INDEX('All Player Data Store'!$H$7:$H$594,SMALL(IF('All Player Data Store'!$Y$7:$Y$594=AC215,ROW('All Player Data Store'!$Y$7:$Y$594)-ROW('All Player Data Store'!$Y$7)+1),COUNTIF($AC$8:AC215,AC215))),"")</f>
        <v/>
      </c>
      <c r="M215" s="72" t="str">
        <f t="array" ref="M215">IF(ISNUMBER(AC215),INDEX('All Player Data Store'!$I$7:$I$594,SMALL(IF('All Player Data Store'!$Y$7:$Y$594=AC215,ROW('All Player Data Store'!$Y$7:$Y$594)-ROW('All Player Data Store'!$Y$7)+1),COUNTIF($AC$8:AC215,AC215))),"")</f>
        <v/>
      </c>
      <c r="N215" s="114" t="str">
        <f t="array" ref="N215">IF(ISNUMBER(AC215),INDEX('All Player Data Store'!$J$7:$J$594,SMALL(IF('All Player Data Store'!$Y$7:$Y$594=AC215,ROW('All Player Data Store'!$Y$7:$Y$594)-ROW('All Player Data Store'!$Y$7)+1),COUNTIF($AC$8:AC215,AC215))),"")</f>
        <v/>
      </c>
      <c r="O215" s="108" t="str">
        <f t="array" ref="O215">IF(ISNUMBER(AC215),INDEX('All Player Data Store'!$K$7:$K$594,SMALL(IF('All Player Data Store'!$Y$7:$Y$594=AC215,ROW('All Player Data Store'!$Y$7:$Y$594)-ROW('All Player Data Store'!$Y$7)+1),COUNTIF($AC$8:AC215,AC215))),"")</f>
        <v/>
      </c>
      <c r="P215" s="108" t="str">
        <f t="array" ref="P215">IF(ISNUMBER(AC215),INDEX('All Player Data Store'!$L$7:$L$594,SMALL(IF('All Player Data Store'!$Y$7:$Y$594=AC215,ROW('All Player Data Store'!$Y$7:$Y$594)-ROW('All Player Data Store'!$Y$7)+1),COUNTIF($AC$8:AC215,AC215))),"")</f>
        <v/>
      </c>
      <c r="Q215" s="108" t="str">
        <f t="array" ref="Q215">IF(ISNUMBER(AC215),INDEX('All Player Data Store'!$M$7:$M$594,SMALL(IF('All Player Data Store'!$Y$7:$Y$594=AC215,ROW('All Player Data Store'!$Y$7:$Y$594)-ROW('All Player Data Store'!$Y$7)+1),COUNTIF($AC$8:AC215,AC215))),"")</f>
        <v/>
      </c>
      <c r="R215" s="108" t="str">
        <f t="array" ref="R215">IF(ISNUMBER(AC215),INDEX('All Player Data Store'!$N$7:$N$594,SMALL(IF('All Player Data Store'!$Y$7:$Y$594=AC215,ROW('All Player Data Store'!$Y$7:$Y$594)-ROW('All Player Data Store'!$Y$7)+1),COUNTIF($AC$8:AC215,AC215))),"")</f>
        <v/>
      </c>
      <c r="S215" s="108" t="str">
        <f t="array" ref="S215">IF(ISNUMBER(AC215),INDEX('All Player Data Store'!$O$7:$O$594,SMALL(IF('All Player Data Store'!$Y$7:$Y$594=AC215,ROW('All Player Data Store'!$Y$7:$Y$594)-ROW('All Player Data Store'!$Y$7)+1),COUNTIF($AC$8:AC215,AC215))),"")</f>
        <v/>
      </c>
      <c r="T215" s="108" t="str">
        <f t="array" ref="T215">IF(ISNUMBER(AC215),INDEX('All Player Data Store'!$P$7:$P$594,SMALL(IF('All Player Data Store'!$Y$7:$Y$594=AC215,ROW('All Player Data Store'!$Y$7:$Y$594)-ROW('All Player Data Store'!$Y$7)+1),COUNTIF($AC$8:AC215,AC215))),"")</f>
        <v/>
      </c>
      <c r="U215" s="108" t="str">
        <f t="array" ref="U215">IF(ISNUMBER(AC215),INDEX('All Player Data Store'!$Q$7:$Q$594,SMALL(IF('All Player Data Store'!$Y$7:$Y$594=AC215,ROW('All Player Data Store'!$Y$7:$Y$594)-ROW('All Player Data Store'!$Y$7)+1),COUNTIF($AC$8:AC215,AC215))),"")</f>
        <v/>
      </c>
      <c r="V215" s="108" t="str">
        <f t="array" ref="V215">IF(ISNUMBER(AC215),INDEX('All Player Data Store'!$R$7:$R$594,SMALL(IF('All Player Data Store'!$Y$7:$Y$594=AC215,ROW('All Player Data Store'!$Y$7:$Y$594)-ROW('All Player Data Store'!$Y$7)+1),COUNTIF($AC$8:AC215,AC215))),"")</f>
        <v/>
      </c>
      <c r="W215" s="108" t="str">
        <f t="array" ref="W215">IF(ISNUMBER(AC215),INDEX('All Player Data Store'!$S$7:$S$594,SMALL(IF('All Player Data Store'!$Y$7:$Y$594=AC215,ROW('All Player Data Store'!$Y$7:$Y$594)-ROW('All Player Data Store'!$Y$7)+1),COUNTIF($AC$8:AC215,AC215))),"")</f>
        <v/>
      </c>
      <c r="X215" s="108" t="str">
        <f t="array" ref="X215">IF(ISNUMBER(AC215),INDEX('All Player Data Store'!$T$7:$T$594,SMALL(IF('All Player Data Store'!$Y$7:$Y$594=AC215,ROW('All Player Data Store'!$Y$7:$Y$594)-ROW('All Player Data Store'!$Y$7)+1),COUNTIF($AC$8:AC215,AC215))),"")</f>
        <v/>
      </c>
      <c r="Y215" s="108" t="str">
        <f t="array" ref="Y215">IF(ISNUMBER(AC215),INDEX('All Player Data Store'!$U$7:$U$594,SMALL(IF('All Player Data Store'!$Y$7:$Y$594=AC215,ROW('All Player Data Store'!$Y$7:$Y$594)-ROW('All Player Data Store'!$Y$7)+1),COUNTIF($AC$8:AC215,AC215))),"")</f>
        <v/>
      </c>
      <c r="Z215" s="108" t="str">
        <f t="array" ref="Z215">IF(ISNUMBER(AC215),INDEX('All Player Data Store'!$V$7:$V$594,SMALL(IF('All Player Data Store'!$Y$7:$Y$594=AC215,ROW('All Player Data Store'!$Y$7:$Y$594)-ROW('All Player Data Store'!$Y$7)+1),COUNTIF($AC$8:AC215,AC215))),"")</f>
        <v/>
      </c>
      <c r="AA215" s="112" t="str">
        <f t="array" ref="AA215">IF(ISNUMBER(AC215),INDEX('All Player Data Store'!$W$7:$W$594,SMALL(IF('All Player Data Store'!$Y$7:$Y$594=AC215,ROW('All Player Data Store'!$Y$7:$Y$594)-ROW('All Player Data Store'!$Y$7)+1),COUNTIF($AC$8:AC215,AC215))),"")</f>
        <v/>
      </c>
      <c r="AB215" s="108" t="str">
        <f t="array" ref="AB215">IF(ISNUMBER(AC215),INDEX('All Player Data Store'!$X$7:$X$594,SMALL(IF('All Player Data Store'!$Y$7:$Y$594=AC215,ROW('All Player Data Store'!$Y$7:$Y$594)-ROW('All Player Data Store'!$Y$7)+1),COUNTIF($AC$8:AC215,AC215))),"")</f>
        <v/>
      </c>
      <c r="AC215" s="115" t="str">
        <f>IF(ISERROR(IF(ISERROR(LARGE('All Player Data Store'!$Y$7:$Y$594,208)),"",(LARGE('All Player Data Store'!$Y$7:$Y$594,208)))),"",(IF(ISERROR(LARGE('All Player Data Store'!$Y$7:$Y$594,208)),"",(LARGE('All Player Data Store'!$Y$7:$Y$594,208)))))</f>
        <v/>
      </c>
      <c r="AD215" s="106">
        <f t="shared" si="16"/>
        <v>1</v>
      </c>
      <c r="AE215" s="107" t="str">
        <f t="array" ref="AE215">IF(ISNUMBER(AC215),INDEX('All Player Data Store'!$J$8:$J$594,SMALL(IF('All Player Data Store'!$Y$7:$Y$594=AC215,ROW('All Player Data Store'!$Y$7:$Y$594)-ROW('All Player Data Store'!$Y$7)+1),COUNTIF($AC$8:AC215,AC215))),"")</f>
        <v/>
      </c>
      <c r="AF215" s="108" t="str">
        <f t="shared" si="3"/>
        <v/>
      </c>
      <c r="AG215" s="108" t="str">
        <f t="array" ref="AG215">IF(ISNUMBER(AC215),INDEX('All Player Data Store'!$K$8:$K$594,SMALL(IF('All Player Data Store'!$Y$7:$Y$594=AC215,ROW('All Player Data Store'!$Y$7:$Y$594)-ROW('All Player Data Store'!$Y$7)+1),COUNTIF($AC$8:AC215,AC215))),"")</f>
        <v/>
      </c>
      <c r="AH215" s="108" t="str">
        <f t="shared" si="4"/>
        <v/>
      </c>
      <c r="AI215" s="108" t="str">
        <f t="array" ref="AI215">IF(ISNUMBER(AC215),INDEX('All Player Data Store'!$L$8:$L$594,SMALL(IF('All Player Data Store'!$Y$7:$Y$594=AC215,ROW('All Player Data Store'!$Y$7:$Y$594)-ROW('All Player Data Store'!$Y$7)+1),COUNTIF($AC$8:AC215,AC215))),"")</f>
        <v/>
      </c>
      <c r="AJ215" s="108" t="str">
        <f t="shared" si="5"/>
        <v/>
      </c>
      <c r="AK215" s="108" t="str">
        <f t="array" ref="AK215">IF(ISNUMBER(AC215),INDEX('All Player Data Store'!$M$8:$M$594,SMALL(IF('All Player Data Store'!$Y$7:$Y$594=AC215,ROW('All Player Data Store'!$Y$7:$Y$594)-ROW('All Player Data Store'!$Y$7)+1),COUNTIF($AC$8:AC215,AC215))),"")</f>
        <v/>
      </c>
      <c r="AL215" s="108" t="str">
        <f t="shared" si="6"/>
        <v/>
      </c>
      <c r="AM215" s="108" t="str">
        <f t="array" ref="AM215">IF(ISNUMBER(AC215),INDEX('All Player Data Store'!$N$8:$N$594,SMALL(IF('All Player Data Store'!$Y$7:$Y$594=AC215,ROW('All Player Data Store'!$Y$7:$Y$594)-ROW('All Player Data Store'!$Y$7)+1),COUNTIF($AC$8:AC215,AC215))),"")</f>
        <v/>
      </c>
      <c r="AN215" s="108" t="str">
        <f t="shared" si="7"/>
        <v/>
      </c>
      <c r="AO215" s="108" t="str">
        <f t="array" ref="AO215">IF(ISNUMBER(AC215),INDEX('All Player Data Store'!$O$8:$O$594,SMALL(IF('All Player Data Store'!$Y$7:$Y$594=AC215,ROW('All Player Data Store'!$Y$7:$Y$594)-ROW('All Player Data Store'!$Y$7)+1),COUNTIF($AC$8:AC215,AC215))),"")</f>
        <v/>
      </c>
      <c r="AP215" s="108" t="str">
        <f t="shared" si="8"/>
        <v/>
      </c>
      <c r="AQ215" s="108" t="str">
        <f t="array" ref="AQ215">IF(ISNUMBER(AC215),INDEX('All Player Data Store'!$P$8:$P$594,SMALL(IF('All Player Data Store'!$Y$7:$Y$594=AC215,ROW('All Player Data Store'!$Y$7:$Y$594)-ROW('All Player Data Store'!$Y$7)+1),COUNTIF($AC$8:AC215,AC215))),"")</f>
        <v/>
      </c>
      <c r="AR215" s="108" t="str">
        <f t="shared" si="9"/>
        <v/>
      </c>
      <c r="AS215" s="108" t="str">
        <f t="array" ref="AS215">IF(ISNUMBER(AC215),INDEX('All Player Data Store'!$Q$8:$Q$594,SMALL(IF('All Player Data Store'!$Y$7:$Y$594=AC215,ROW('All Player Data Store'!$Y$7:$Y$594)-ROW('All Player Data Store'!$Y$7)+1),COUNTIF($AC$8:AC215,AC215))),"")</f>
        <v/>
      </c>
      <c r="AT215" s="108" t="str">
        <f t="shared" si="10"/>
        <v/>
      </c>
      <c r="AU215" s="108" t="str">
        <f t="array" ref="AU215">IF(ISNUMBER(AC215),INDEX('All Player Data Store'!$R$8:$R$594,SMALL(IF('All Player Data Store'!$Y$7:$Y$594=AC215,ROW('All Player Data Store'!$Y$7:$Y$594)-ROW('All Player Data Store'!$Y$7)+1),COUNTIF($AC$8:AC215,AC215))),"")</f>
        <v/>
      </c>
      <c r="AV215" s="108" t="str">
        <f t="shared" si="11"/>
        <v/>
      </c>
      <c r="AW215" s="108" t="str">
        <f t="array" ref="AW215">IF(ISNUMBER(AC215),INDEX('All Player Data Store'!$S$8:$S$594,SMALL(IF('All Player Data Store'!$Y$7:$Y$594=AC215,ROW('All Player Data Store'!$Y$7:$Y$594)-ROW('All Player Data Store'!$Y$7)+1),COUNTIF($AC$8:AC215,AC215))),"")</f>
        <v/>
      </c>
      <c r="AX215" s="108" t="str">
        <f t="shared" si="12"/>
        <v/>
      </c>
      <c r="AY215" s="108" t="str">
        <f t="array" ref="AY215">IF(ISNUMBER(AC215),INDEX('All Player Data Store'!$T$8:$T$594,SMALL(IF('All Player Data Store'!$Y$7:$Y$594=AC215,ROW('All Player Data Store'!$Y$7:$Y$594)-ROW('All Player Data Store'!$Y$7)+1),COUNTIF($AC$8:AC215,AC215))),"")</f>
        <v/>
      </c>
      <c r="AZ215" s="108" t="str">
        <f t="shared" si="13"/>
        <v/>
      </c>
      <c r="BA215" s="108" t="str">
        <f t="array" ref="BA215">IF(ISNUMBER(AC215),INDEX('All Player Data Store'!$U$8:$U$594,SMALL(IF('All Player Data Store'!$Y$7:$Y$594=AC215,ROW('All Player Data Store'!$Y$7:$Y$594)-ROW('All Player Data Store'!$Y$7)+1),COUNTIF($AC$8:AC215,AC215))),"")</f>
        <v/>
      </c>
      <c r="BB215" s="108" t="str">
        <f t="shared" si="14"/>
        <v/>
      </c>
      <c r="BC215" s="108" t="str">
        <f t="array" ref="BC215">IF(ISNUMBER(AC215),INDEX('All Player Data Store'!$V$8:$V$594,SMALL(IF('All Player Data Store'!$Y$7:$Y$594=AC215,ROW('All Player Data Store'!$Y$7:$Y$594)-ROW('All Player Data Store'!$Y$7)+1),COUNTIF($AC$8:AC215,AC215))),"")</f>
        <v/>
      </c>
      <c r="BD215" s="108" t="str">
        <f t="shared" si="15"/>
        <v/>
      </c>
      <c r="BE215" s="1"/>
    </row>
    <row r="216" spans="2:57" ht="12" customHeight="1" x14ac:dyDescent="0.2">
      <c r="B216" s="98" t="str">
        <f t="shared" si="0"/>
        <v/>
      </c>
      <c r="C216" s="1"/>
      <c r="D216" s="68" t="str">
        <f t="shared" si="1"/>
        <v/>
      </c>
      <c r="E216" s="2"/>
      <c r="F216" s="78">
        <v>209</v>
      </c>
      <c r="G216" s="110" t="str">
        <f t="array" ref="G216">IF(ISNUMBER(AC216),INDEX('All Player Data Store'!$C$7:$C$594,SMALL(IF('All Player Data Store'!$Y$7:$Y$594=AC216,ROW('All Player Data Store'!$Y$7:$Y$594)-ROW('All Player Data Store'!$Y$7)+1),COUNTIF($AC$8:AC216,AC216))),"")</f>
        <v/>
      </c>
      <c r="H216" s="68" t="str">
        <f t="array" ref="H216">IF(ISNUMBER(AC216),INDEX('All Player Data Store'!$D$7:$D$594,SMALL(IF('All Player Data Store'!$Y$7:$Y$594=AC216,ROW('All Player Data Store'!$Y$7:$Y$594)-ROW('All Player Data Store'!$Y$7)+1),COUNTIF($AC$8:AC216,AC216))),"")</f>
        <v/>
      </c>
      <c r="I216" s="69" t="str">
        <f t="array" ref="I216">IF(ISNUMBER(AC216),INDEX('All Player Data Store'!$E$7:$E$594,SMALL(IF('All Player Data Store'!$Y$7:$Y$594=AC216,ROW('All Player Data Store'!$Y$7:$Y$594)-ROW('All Player Data Store'!$Y$7)+1),COUNTIF($AC$8:AC216,AC216))),"")</f>
        <v/>
      </c>
      <c r="J216" s="70" t="str">
        <f t="array" ref="J216">IF(ISNUMBER(AC216),INDEX('All Player Data Store'!$F$7:$F$594,SMALL(IF('All Player Data Store'!$Y$7:$Y$594=AC216,ROW('All Player Data Store'!$Y$7:$Y$594)-ROW('All Player Data Store'!$Y$7)+1),COUNTIF($AC$8:AC216,AC216))),"")</f>
        <v/>
      </c>
      <c r="K216" s="70" t="str">
        <f t="array" ref="K216">IF(ISNUMBER(AC216),INDEX('All Player Data Store'!$G$7:$G$594,SMALL(IF('All Player Data Store'!$Y$7:$Y$594=AC216,ROW('All Player Data Store'!$Y$7:$Y$594)-ROW('All Player Data Store'!$Y$7)+1),COUNTIF($AC$8:AC216,AC216))),"")</f>
        <v/>
      </c>
      <c r="L216" s="70" t="str">
        <f t="array" ref="L216">IF(ISNUMBER(AC216),INDEX('All Player Data Store'!$H$7:$H$594,SMALL(IF('All Player Data Store'!$Y$7:$Y$594=AC216,ROW('All Player Data Store'!$Y$7:$Y$594)-ROW('All Player Data Store'!$Y$7)+1),COUNTIF($AC$8:AC216,AC216))),"")</f>
        <v/>
      </c>
      <c r="M216" s="72" t="str">
        <f t="array" ref="M216">IF(ISNUMBER(AC216),INDEX('All Player Data Store'!$I$7:$I$594,SMALL(IF('All Player Data Store'!$Y$7:$Y$594=AC216,ROW('All Player Data Store'!$Y$7:$Y$594)-ROW('All Player Data Store'!$Y$7)+1),COUNTIF($AC$8:AC216,AC216))),"")</f>
        <v/>
      </c>
      <c r="N216" s="114" t="str">
        <f t="array" ref="N216">IF(ISNUMBER(AC216),INDEX('All Player Data Store'!$J$7:$J$594,SMALL(IF('All Player Data Store'!$Y$7:$Y$594=AC216,ROW('All Player Data Store'!$Y$7:$Y$594)-ROW('All Player Data Store'!$Y$7)+1),COUNTIF($AC$8:AC216,AC216))),"")</f>
        <v/>
      </c>
      <c r="O216" s="108" t="str">
        <f t="array" ref="O216">IF(ISNUMBER(AC216),INDEX('All Player Data Store'!$K$7:$K$594,SMALL(IF('All Player Data Store'!$Y$7:$Y$594=AC216,ROW('All Player Data Store'!$Y$7:$Y$594)-ROW('All Player Data Store'!$Y$7)+1),COUNTIF($AC$8:AC216,AC216))),"")</f>
        <v/>
      </c>
      <c r="P216" s="108" t="str">
        <f t="array" ref="P216">IF(ISNUMBER(AC216),INDEX('All Player Data Store'!$L$7:$L$594,SMALL(IF('All Player Data Store'!$Y$7:$Y$594=AC216,ROW('All Player Data Store'!$Y$7:$Y$594)-ROW('All Player Data Store'!$Y$7)+1),COUNTIF($AC$8:AC216,AC216))),"")</f>
        <v/>
      </c>
      <c r="Q216" s="108" t="str">
        <f t="array" ref="Q216">IF(ISNUMBER(AC216),INDEX('All Player Data Store'!$M$7:$M$594,SMALL(IF('All Player Data Store'!$Y$7:$Y$594=AC216,ROW('All Player Data Store'!$Y$7:$Y$594)-ROW('All Player Data Store'!$Y$7)+1),COUNTIF($AC$8:AC216,AC216))),"")</f>
        <v/>
      </c>
      <c r="R216" s="108" t="str">
        <f t="array" ref="R216">IF(ISNUMBER(AC216),INDEX('All Player Data Store'!$N$7:$N$594,SMALL(IF('All Player Data Store'!$Y$7:$Y$594=AC216,ROW('All Player Data Store'!$Y$7:$Y$594)-ROW('All Player Data Store'!$Y$7)+1),COUNTIF($AC$8:AC216,AC216))),"")</f>
        <v/>
      </c>
      <c r="S216" s="108" t="str">
        <f t="array" ref="S216">IF(ISNUMBER(AC216),INDEX('All Player Data Store'!$O$7:$O$594,SMALL(IF('All Player Data Store'!$Y$7:$Y$594=AC216,ROW('All Player Data Store'!$Y$7:$Y$594)-ROW('All Player Data Store'!$Y$7)+1),COUNTIF($AC$8:AC216,AC216))),"")</f>
        <v/>
      </c>
      <c r="T216" s="108" t="str">
        <f t="array" ref="T216">IF(ISNUMBER(AC216),INDEX('All Player Data Store'!$P$7:$P$594,SMALL(IF('All Player Data Store'!$Y$7:$Y$594=AC216,ROW('All Player Data Store'!$Y$7:$Y$594)-ROW('All Player Data Store'!$Y$7)+1),COUNTIF($AC$8:AC216,AC216))),"")</f>
        <v/>
      </c>
      <c r="U216" s="108" t="str">
        <f t="array" ref="U216">IF(ISNUMBER(AC216),INDEX('All Player Data Store'!$Q$7:$Q$594,SMALL(IF('All Player Data Store'!$Y$7:$Y$594=AC216,ROW('All Player Data Store'!$Y$7:$Y$594)-ROW('All Player Data Store'!$Y$7)+1),COUNTIF($AC$8:AC216,AC216))),"")</f>
        <v/>
      </c>
      <c r="V216" s="108" t="str">
        <f t="array" ref="V216">IF(ISNUMBER(AC216),INDEX('All Player Data Store'!$R$7:$R$594,SMALL(IF('All Player Data Store'!$Y$7:$Y$594=AC216,ROW('All Player Data Store'!$Y$7:$Y$594)-ROW('All Player Data Store'!$Y$7)+1),COUNTIF($AC$8:AC216,AC216))),"")</f>
        <v/>
      </c>
      <c r="W216" s="108" t="str">
        <f t="array" ref="W216">IF(ISNUMBER(AC216),INDEX('All Player Data Store'!$S$7:$S$594,SMALL(IF('All Player Data Store'!$Y$7:$Y$594=AC216,ROW('All Player Data Store'!$Y$7:$Y$594)-ROW('All Player Data Store'!$Y$7)+1),COUNTIF($AC$8:AC216,AC216))),"")</f>
        <v/>
      </c>
      <c r="X216" s="108" t="str">
        <f t="array" ref="X216">IF(ISNUMBER(AC216),INDEX('All Player Data Store'!$T$7:$T$594,SMALL(IF('All Player Data Store'!$Y$7:$Y$594=AC216,ROW('All Player Data Store'!$Y$7:$Y$594)-ROW('All Player Data Store'!$Y$7)+1),COUNTIF($AC$8:AC216,AC216))),"")</f>
        <v/>
      </c>
      <c r="Y216" s="108" t="str">
        <f t="array" ref="Y216">IF(ISNUMBER(AC216),INDEX('All Player Data Store'!$U$7:$U$594,SMALL(IF('All Player Data Store'!$Y$7:$Y$594=AC216,ROW('All Player Data Store'!$Y$7:$Y$594)-ROW('All Player Data Store'!$Y$7)+1),COUNTIF($AC$8:AC216,AC216))),"")</f>
        <v/>
      </c>
      <c r="Z216" s="108" t="str">
        <f t="array" ref="Z216">IF(ISNUMBER(AC216),INDEX('All Player Data Store'!$V$7:$V$594,SMALL(IF('All Player Data Store'!$Y$7:$Y$594=AC216,ROW('All Player Data Store'!$Y$7:$Y$594)-ROW('All Player Data Store'!$Y$7)+1),COUNTIF($AC$8:AC216,AC216))),"")</f>
        <v/>
      </c>
      <c r="AA216" s="112" t="str">
        <f t="array" ref="AA216">IF(ISNUMBER(AC216),INDEX('All Player Data Store'!$W$7:$W$594,SMALL(IF('All Player Data Store'!$Y$7:$Y$594=AC216,ROW('All Player Data Store'!$Y$7:$Y$594)-ROW('All Player Data Store'!$Y$7)+1),COUNTIF($AC$8:AC216,AC216))),"")</f>
        <v/>
      </c>
      <c r="AB216" s="108" t="str">
        <f t="array" ref="AB216">IF(ISNUMBER(AC216),INDEX('All Player Data Store'!$X$7:$X$594,SMALL(IF('All Player Data Store'!$Y$7:$Y$594=AC216,ROW('All Player Data Store'!$Y$7:$Y$594)-ROW('All Player Data Store'!$Y$7)+1),COUNTIF($AC$8:AC216,AC216))),"")</f>
        <v/>
      </c>
      <c r="AC216" s="115" t="str">
        <f>IF(ISERROR(IF(ISERROR(LARGE('All Player Data Store'!$Y$7:$Y$594,209)),"",(LARGE('All Player Data Store'!$Y$7:$Y$594,209)))),"",(IF(ISERROR(LARGE('All Player Data Store'!$Y$7:$Y$594,209)),"",(LARGE('All Player Data Store'!$Y$7:$Y$594,209)))))</f>
        <v/>
      </c>
      <c r="AD216" s="106">
        <f t="shared" si="16"/>
        <v>1</v>
      </c>
      <c r="AE216" s="107" t="str">
        <f t="array" ref="AE216">IF(ISNUMBER(AC216),INDEX('All Player Data Store'!$J$8:$J$594,SMALL(IF('All Player Data Store'!$Y$7:$Y$594=AC216,ROW('All Player Data Store'!$Y$7:$Y$594)-ROW('All Player Data Store'!$Y$7)+1),COUNTIF($AC$8:AC216,AC216))),"")</f>
        <v/>
      </c>
      <c r="AF216" s="108" t="str">
        <f t="shared" si="3"/>
        <v/>
      </c>
      <c r="AG216" s="108" t="str">
        <f t="array" ref="AG216">IF(ISNUMBER(AC216),INDEX('All Player Data Store'!$K$8:$K$594,SMALL(IF('All Player Data Store'!$Y$7:$Y$594=AC216,ROW('All Player Data Store'!$Y$7:$Y$594)-ROW('All Player Data Store'!$Y$7)+1),COUNTIF($AC$8:AC216,AC216))),"")</f>
        <v/>
      </c>
      <c r="AH216" s="108" t="str">
        <f t="shared" si="4"/>
        <v/>
      </c>
      <c r="AI216" s="108" t="str">
        <f t="array" ref="AI216">IF(ISNUMBER(AC216),INDEX('All Player Data Store'!$L$8:$L$594,SMALL(IF('All Player Data Store'!$Y$7:$Y$594=AC216,ROW('All Player Data Store'!$Y$7:$Y$594)-ROW('All Player Data Store'!$Y$7)+1),COUNTIF($AC$8:AC216,AC216))),"")</f>
        <v/>
      </c>
      <c r="AJ216" s="108" t="str">
        <f t="shared" si="5"/>
        <v/>
      </c>
      <c r="AK216" s="108" t="str">
        <f t="array" ref="AK216">IF(ISNUMBER(AC216),INDEX('All Player Data Store'!$M$8:$M$594,SMALL(IF('All Player Data Store'!$Y$7:$Y$594=AC216,ROW('All Player Data Store'!$Y$7:$Y$594)-ROW('All Player Data Store'!$Y$7)+1),COUNTIF($AC$8:AC216,AC216))),"")</f>
        <v/>
      </c>
      <c r="AL216" s="108" t="str">
        <f t="shared" si="6"/>
        <v/>
      </c>
      <c r="AM216" s="108" t="str">
        <f t="array" ref="AM216">IF(ISNUMBER(AC216),INDEX('All Player Data Store'!$N$8:$N$594,SMALL(IF('All Player Data Store'!$Y$7:$Y$594=AC216,ROW('All Player Data Store'!$Y$7:$Y$594)-ROW('All Player Data Store'!$Y$7)+1),COUNTIF($AC$8:AC216,AC216))),"")</f>
        <v/>
      </c>
      <c r="AN216" s="108" t="str">
        <f t="shared" si="7"/>
        <v/>
      </c>
      <c r="AO216" s="108" t="str">
        <f t="array" ref="AO216">IF(ISNUMBER(AC216),INDEX('All Player Data Store'!$O$8:$O$594,SMALL(IF('All Player Data Store'!$Y$7:$Y$594=AC216,ROW('All Player Data Store'!$Y$7:$Y$594)-ROW('All Player Data Store'!$Y$7)+1),COUNTIF($AC$8:AC216,AC216))),"")</f>
        <v/>
      </c>
      <c r="AP216" s="108" t="str">
        <f t="shared" si="8"/>
        <v/>
      </c>
      <c r="AQ216" s="108" t="str">
        <f t="array" ref="AQ216">IF(ISNUMBER(AC216),INDEX('All Player Data Store'!$P$8:$P$594,SMALL(IF('All Player Data Store'!$Y$7:$Y$594=AC216,ROW('All Player Data Store'!$Y$7:$Y$594)-ROW('All Player Data Store'!$Y$7)+1),COUNTIF($AC$8:AC216,AC216))),"")</f>
        <v/>
      </c>
      <c r="AR216" s="108" t="str">
        <f t="shared" si="9"/>
        <v/>
      </c>
      <c r="AS216" s="108" t="str">
        <f t="array" ref="AS216">IF(ISNUMBER(AC216),INDEX('All Player Data Store'!$Q$8:$Q$594,SMALL(IF('All Player Data Store'!$Y$7:$Y$594=AC216,ROW('All Player Data Store'!$Y$7:$Y$594)-ROW('All Player Data Store'!$Y$7)+1),COUNTIF($AC$8:AC216,AC216))),"")</f>
        <v/>
      </c>
      <c r="AT216" s="108" t="str">
        <f t="shared" si="10"/>
        <v/>
      </c>
      <c r="AU216" s="108" t="str">
        <f t="array" ref="AU216">IF(ISNUMBER(AC216),INDEX('All Player Data Store'!$R$8:$R$594,SMALL(IF('All Player Data Store'!$Y$7:$Y$594=AC216,ROW('All Player Data Store'!$Y$7:$Y$594)-ROW('All Player Data Store'!$Y$7)+1),COUNTIF($AC$8:AC216,AC216))),"")</f>
        <v/>
      </c>
      <c r="AV216" s="108" t="str">
        <f t="shared" si="11"/>
        <v/>
      </c>
      <c r="AW216" s="108" t="str">
        <f t="array" ref="AW216">IF(ISNUMBER(AC216),INDEX('All Player Data Store'!$S$8:$S$594,SMALL(IF('All Player Data Store'!$Y$7:$Y$594=AC216,ROW('All Player Data Store'!$Y$7:$Y$594)-ROW('All Player Data Store'!$Y$7)+1),COUNTIF($AC$8:AC216,AC216))),"")</f>
        <v/>
      </c>
      <c r="AX216" s="108" t="str">
        <f t="shared" si="12"/>
        <v/>
      </c>
      <c r="AY216" s="108" t="str">
        <f t="array" ref="AY216">IF(ISNUMBER(AC216),INDEX('All Player Data Store'!$T$8:$T$594,SMALL(IF('All Player Data Store'!$Y$7:$Y$594=AC216,ROW('All Player Data Store'!$Y$7:$Y$594)-ROW('All Player Data Store'!$Y$7)+1),COUNTIF($AC$8:AC216,AC216))),"")</f>
        <v/>
      </c>
      <c r="AZ216" s="108" t="str">
        <f t="shared" si="13"/>
        <v/>
      </c>
      <c r="BA216" s="108" t="str">
        <f t="array" ref="BA216">IF(ISNUMBER(AC216),INDEX('All Player Data Store'!$U$8:$U$594,SMALL(IF('All Player Data Store'!$Y$7:$Y$594=AC216,ROW('All Player Data Store'!$Y$7:$Y$594)-ROW('All Player Data Store'!$Y$7)+1),COUNTIF($AC$8:AC216,AC216))),"")</f>
        <v/>
      </c>
      <c r="BB216" s="108" t="str">
        <f t="shared" si="14"/>
        <v/>
      </c>
      <c r="BC216" s="108" t="str">
        <f t="array" ref="BC216">IF(ISNUMBER(AC216),INDEX('All Player Data Store'!$V$8:$V$594,SMALL(IF('All Player Data Store'!$Y$7:$Y$594=AC216,ROW('All Player Data Store'!$Y$7:$Y$594)-ROW('All Player Data Store'!$Y$7)+1),COUNTIF($AC$8:AC216,AC216))),"")</f>
        <v/>
      </c>
      <c r="BD216" s="108" t="str">
        <f t="shared" si="15"/>
        <v/>
      </c>
      <c r="BE216" s="1"/>
    </row>
    <row r="217" spans="2:57" ht="12" customHeight="1" x14ac:dyDescent="0.2">
      <c r="B217" s="98" t="str">
        <f t="shared" si="0"/>
        <v/>
      </c>
      <c r="C217" s="1"/>
      <c r="D217" s="68" t="str">
        <f t="shared" si="1"/>
        <v/>
      </c>
      <c r="E217" s="2"/>
      <c r="F217" s="78">
        <v>210</v>
      </c>
      <c r="G217" s="110" t="str">
        <f t="array" ref="G217">IF(ISNUMBER(AC217),INDEX('All Player Data Store'!$C$7:$C$594,SMALL(IF('All Player Data Store'!$Y$7:$Y$594=AC217,ROW('All Player Data Store'!$Y$7:$Y$594)-ROW('All Player Data Store'!$Y$7)+1),COUNTIF($AC$8:AC217,AC217))),"")</f>
        <v/>
      </c>
      <c r="H217" s="68" t="str">
        <f t="array" ref="H217">IF(ISNUMBER(AC217),INDEX('All Player Data Store'!$D$7:$D$594,SMALL(IF('All Player Data Store'!$Y$7:$Y$594=AC217,ROW('All Player Data Store'!$Y$7:$Y$594)-ROW('All Player Data Store'!$Y$7)+1),COUNTIF($AC$8:AC217,AC217))),"")</f>
        <v/>
      </c>
      <c r="I217" s="69" t="str">
        <f t="array" ref="I217">IF(ISNUMBER(AC217),INDEX('All Player Data Store'!$E$7:$E$594,SMALL(IF('All Player Data Store'!$Y$7:$Y$594=AC217,ROW('All Player Data Store'!$Y$7:$Y$594)-ROW('All Player Data Store'!$Y$7)+1),COUNTIF($AC$8:AC217,AC217))),"")</f>
        <v/>
      </c>
      <c r="J217" s="70" t="str">
        <f t="array" ref="J217">IF(ISNUMBER(AC217),INDEX('All Player Data Store'!$F$7:$F$594,SMALL(IF('All Player Data Store'!$Y$7:$Y$594=AC217,ROW('All Player Data Store'!$Y$7:$Y$594)-ROW('All Player Data Store'!$Y$7)+1),COUNTIF($AC$8:AC217,AC217))),"")</f>
        <v/>
      </c>
      <c r="K217" s="70" t="str">
        <f t="array" ref="K217">IF(ISNUMBER(AC217),INDEX('All Player Data Store'!$G$7:$G$594,SMALL(IF('All Player Data Store'!$Y$7:$Y$594=AC217,ROW('All Player Data Store'!$Y$7:$Y$594)-ROW('All Player Data Store'!$Y$7)+1),COUNTIF($AC$8:AC217,AC217))),"")</f>
        <v/>
      </c>
      <c r="L217" s="70" t="str">
        <f t="array" ref="L217">IF(ISNUMBER(AC217),INDEX('All Player Data Store'!$H$7:$H$594,SMALL(IF('All Player Data Store'!$Y$7:$Y$594=AC217,ROW('All Player Data Store'!$Y$7:$Y$594)-ROW('All Player Data Store'!$Y$7)+1),COUNTIF($AC$8:AC217,AC217))),"")</f>
        <v/>
      </c>
      <c r="M217" s="72" t="str">
        <f t="array" ref="M217">IF(ISNUMBER(AC217),INDEX('All Player Data Store'!$I$7:$I$594,SMALL(IF('All Player Data Store'!$Y$7:$Y$594=AC217,ROW('All Player Data Store'!$Y$7:$Y$594)-ROW('All Player Data Store'!$Y$7)+1),COUNTIF($AC$8:AC217,AC217))),"")</f>
        <v/>
      </c>
      <c r="N217" s="114" t="str">
        <f t="array" ref="N217">IF(ISNUMBER(AC217),INDEX('All Player Data Store'!$J$7:$J$594,SMALL(IF('All Player Data Store'!$Y$7:$Y$594=AC217,ROW('All Player Data Store'!$Y$7:$Y$594)-ROW('All Player Data Store'!$Y$7)+1),COUNTIF($AC$8:AC217,AC217))),"")</f>
        <v/>
      </c>
      <c r="O217" s="108" t="str">
        <f t="array" ref="O217">IF(ISNUMBER(AC217),INDEX('All Player Data Store'!$K$7:$K$594,SMALL(IF('All Player Data Store'!$Y$7:$Y$594=AC217,ROW('All Player Data Store'!$Y$7:$Y$594)-ROW('All Player Data Store'!$Y$7)+1),COUNTIF($AC$8:AC217,AC217))),"")</f>
        <v/>
      </c>
      <c r="P217" s="108" t="str">
        <f t="array" ref="P217">IF(ISNUMBER(AC217),INDEX('All Player Data Store'!$L$7:$L$594,SMALL(IF('All Player Data Store'!$Y$7:$Y$594=AC217,ROW('All Player Data Store'!$Y$7:$Y$594)-ROW('All Player Data Store'!$Y$7)+1),COUNTIF($AC$8:AC217,AC217))),"")</f>
        <v/>
      </c>
      <c r="Q217" s="108" t="str">
        <f t="array" ref="Q217">IF(ISNUMBER(AC217),INDEX('All Player Data Store'!$M$7:$M$594,SMALL(IF('All Player Data Store'!$Y$7:$Y$594=AC217,ROW('All Player Data Store'!$Y$7:$Y$594)-ROW('All Player Data Store'!$Y$7)+1),COUNTIF($AC$8:AC217,AC217))),"")</f>
        <v/>
      </c>
      <c r="R217" s="108" t="str">
        <f t="array" ref="R217">IF(ISNUMBER(AC217),INDEX('All Player Data Store'!$N$7:$N$594,SMALL(IF('All Player Data Store'!$Y$7:$Y$594=AC217,ROW('All Player Data Store'!$Y$7:$Y$594)-ROW('All Player Data Store'!$Y$7)+1),COUNTIF($AC$8:AC217,AC217))),"")</f>
        <v/>
      </c>
      <c r="S217" s="108" t="str">
        <f t="array" ref="S217">IF(ISNUMBER(AC217),INDEX('All Player Data Store'!$O$7:$O$594,SMALL(IF('All Player Data Store'!$Y$7:$Y$594=AC217,ROW('All Player Data Store'!$Y$7:$Y$594)-ROW('All Player Data Store'!$Y$7)+1),COUNTIF($AC$8:AC217,AC217))),"")</f>
        <v/>
      </c>
      <c r="T217" s="108" t="str">
        <f t="array" ref="T217">IF(ISNUMBER(AC217),INDEX('All Player Data Store'!$P$7:$P$594,SMALL(IF('All Player Data Store'!$Y$7:$Y$594=AC217,ROW('All Player Data Store'!$Y$7:$Y$594)-ROW('All Player Data Store'!$Y$7)+1),COUNTIF($AC$8:AC217,AC217))),"")</f>
        <v/>
      </c>
      <c r="U217" s="108" t="str">
        <f t="array" ref="U217">IF(ISNUMBER(AC217),INDEX('All Player Data Store'!$Q$7:$Q$594,SMALL(IF('All Player Data Store'!$Y$7:$Y$594=AC217,ROW('All Player Data Store'!$Y$7:$Y$594)-ROW('All Player Data Store'!$Y$7)+1),COUNTIF($AC$8:AC217,AC217))),"")</f>
        <v/>
      </c>
      <c r="V217" s="108" t="str">
        <f t="array" ref="V217">IF(ISNUMBER(AC217),INDEX('All Player Data Store'!$R$7:$R$594,SMALL(IF('All Player Data Store'!$Y$7:$Y$594=AC217,ROW('All Player Data Store'!$Y$7:$Y$594)-ROW('All Player Data Store'!$Y$7)+1),COUNTIF($AC$8:AC217,AC217))),"")</f>
        <v/>
      </c>
      <c r="W217" s="108" t="str">
        <f t="array" ref="W217">IF(ISNUMBER(AC217),INDEX('All Player Data Store'!$S$7:$S$594,SMALL(IF('All Player Data Store'!$Y$7:$Y$594=AC217,ROW('All Player Data Store'!$Y$7:$Y$594)-ROW('All Player Data Store'!$Y$7)+1),COUNTIF($AC$8:AC217,AC217))),"")</f>
        <v/>
      </c>
      <c r="X217" s="108" t="str">
        <f t="array" ref="X217">IF(ISNUMBER(AC217),INDEX('All Player Data Store'!$T$7:$T$594,SMALL(IF('All Player Data Store'!$Y$7:$Y$594=AC217,ROW('All Player Data Store'!$Y$7:$Y$594)-ROW('All Player Data Store'!$Y$7)+1),COUNTIF($AC$8:AC217,AC217))),"")</f>
        <v/>
      </c>
      <c r="Y217" s="108" t="str">
        <f t="array" ref="Y217">IF(ISNUMBER(AC217),INDEX('All Player Data Store'!$U$7:$U$594,SMALL(IF('All Player Data Store'!$Y$7:$Y$594=AC217,ROW('All Player Data Store'!$Y$7:$Y$594)-ROW('All Player Data Store'!$Y$7)+1),COUNTIF($AC$8:AC217,AC217))),"")</f>
        <v/>
      </c>
      <c r="Z217" s="108" t="str">
        <f t="array" ref="Z217">IF(ISNUMBER(AC217),INDEX('All Player Data Store'!$V$7:$V$594,SMALL(IF('All Player Data Store'!$Y$7:$Y$594=AC217,ROW('All Player Data Store'!$Y$7:$Y$594)-ROW('All Player Data Store'!$Y$7)+1),COUNTIF($AC$8:AC217,AC217))),"")</f>
        <v/>
      </c>
      <c r="AA217" s="112" t="str">
        <f t="array" ref="AA217">IF(ISNUMBER(AC217),INDEX('All Player Data Store'!$W$7:$W$594,SMALL(IF('All Player Data Store'!$Y$7:$Y$594=AC217,ROW('All Player Data Store'!$Y$7:$Y$594)-ROW('All Player Data Store'!$Y$7)+1),COUNTIF($AC$8:AC217,AC217))),"")</f>
        <v/>
      </c>
      <c r="AB217" s="108" t="str">
        <f t="array" ref="AB217">IF(ISNUMBER(AC217),INDEX('All Player Data Store'!$X$7:$X$594,SMALL(IF('All Player Data Store'!$Y$7:$Y$594=AC217,ROW('All Player Data Store'!$Y$7:$Y$594)-ROW('All Player Data Store'!$Y$7)+1),COUNTIF($AC$8:AC217,AC217))),"")</f>
        <v/>
      </c>
      <c r="AC217" s="115" t="str">
        <f>IF(ISERROR(IF(ISERROR(LARGE('All Player Data Store'!$Y$7:$Y$594,210)),"",(LARGE('All Player Data Store'!$Y$7:$Y$594,210)))),"",(IF(ISERROR(LARGE('All Player Data Store'!$Y$7:$Y$594,210)),"",(LARGE('All Player Data Store'!$Y$7:$Y$594,210)))))</f>
        <v/>
      </c>
      <c r="AD217" s="106">
        <f t="shared" si="16"/>
        <v>1</v>
      </c>
      <c r="AE217" s="107" t="str">
        <f t="array" ref="AE217">IF(ISNUMBER(AC217),INDEX('All Player Data Store'!$J$8:$J$594,SMALL(IF('All Player Data Store'!$Y$7:$Y$594=AC217,ROW('All Player Data Store'!$Y$7:$Y$594)-ROW('All Player Data Store'!$Y$7)+1),COUNTIF($AC$8:AC217,AC217))),"")</f>
        <v/>
      </c>
      <c r="AF217" s="108" t="str">
        <f t="shared" si="3"/>
        <v/>
      </c>
      <c r="AG217" s="108" t="str">
        <f t="array" ref="AG217">IF(ISNUMBER(AC217),INDEX('All Player Data Store'!$K$8:$K$594,SMALL(IF('All Player Data Store'!$Y$7:$Y$594=AC217,ROW('All Player Data Store'!$Y$7:$Y$594)-ROW('All Player Data Store'!$Y$7)+1),COUNTIF($AC$8:AC217,AC217))),"")</f>
        <v/>
      </c>
      <c r="AH217" s="108" t="str">
        <f t="shared" si="4"/>
        <v/>
      </c>
      <c r="AI217" s="108" t="str">
        <f t="array" ref="AI217">IF(ISNUMBER(AC217),INDEX('All Player Data Store'!$L$8:$L$594,SMALL(IF('All Player Data Store'!$Y$7:$Y$594=AC217,ROW('All Player Data Store'!$Y$7:$Y$594)-ROW('All Player Data Store'!$Y$7)+1),COUNTIF($AC$8:AC217,AC217))),"")</f>
        <v/>
      </c>
      <c r="AJ217" s="108" t="str">
        <f t="shared" si="5"/>
        <v/>
      </c>
      <c r="AK217" s="108" t="str">
        <f t="array" ref="AK217">IF(ISNUMBER(AC217),INDEX('All Player Data Store'!$M$8:$M$594,SMALL(IF('All Player Data Store'!$Y$7:$Y$594=AC217,ROW('All Player Data Store'!$Y$7:$Y$594)-ROW('All Player Data Store'!$Y$7)+1),COUNTIF($AC$8:AC217,AC217))),"")</f>
        <v/>
      </c>
      <c r="AL217" s="108" t="str">
        <f t="shared" si="6"/>
        <v/>
      </c>
      <c r="AM217" s="108" t="str">
        <f t="array" ref="AM217">IF(ISNUMBER(AC217),INDEX('All Player Data Store'!$N$8:$N$594,SMALL(IF('All Player Data Store'!$Y$7:$Y$594=AC217,ROW('All Player Data Store'!$Y$7:$Y$594)-ROW('All Player Data Store'!$Y$7)+1),COUNTIF($AC$8:AC217,AC217))),"")</f>
        <v/>
      </c>
      <c r="AN217" s="108" t="str">
        <f t="shared" si="7"/>
        <v/>
      </c>
      <c r="AO217" s="108" t="str">
        <f t="array" ref="AO217">IF(ISNUMBER(AC217),INDEX('All Player Data Store'!$O$8:$O$594,SMALL(IF('All Player Data Store'!$Y$7:$Y$594=AC217,ROW('All Player Data Store'!$Y$7:$Y$594)-ROW('All Player Data Store'!$Y$7)+1),COUNTIF($AC$8:AC217,AC217))),"")</f>
        <v/>
      </c>
      <c r="AP217" s="108" t="str">
        <f t="shared" si="8"/>
        <v/>
      </c>
      <c r="AQ217" s="108" t="str">
        <f t="array" ref="AQ217">IF(ISNUMBER(AC217),INDEX('All Player Data Store'!$P$8:$P$594,SMALL(IF('All Player Data Store'!$Y$7:$Y$594=AC217,ROW('All Player Data Store'!$Y$7:$Y$594)-ROW('All Player Data Store'!$Y$7)+1),COUNTIF($AC$8:AC217,AC217))),"")</f>
        <v/>
      </c>
      <c r="AR217" s="108" t="str">
        <f t="shared" si="9"/>
        <v/>
      </c>
      <c r="AS217" s="108" t="str">
        <f t="array" ref="AS217">IF(ISNUMBER(AC217),INDEX('All Player Data Store'!$Q$8:$Q$594,SMALL(IF('All Player Data Store'!$Y$7:$Y$594=AC217,ROW('All Player Data Store'!$Y$7:$Y$594)-ROW('All Player Data Store'!$Y$7)+1),COUNTIF($AC$8:AC217,AC217))),"")</f>
        <v/>
      </c>
      <c r="AT217" s="108" t="str">
        <f t="shared" si="10"/>
        <v/>
      </c>
      <c r="AU217" s="108" t="str">
        <f t="array" ref="AU217">IF(ISNUMBER(AC217),INDEX('All Player Data Store'!$R$8:$R$594,SMALL(IF('All Player Data Store'!$Y$7:$Y$594=AC217,ROW('All Player Data Store'!$Y$7:$Y$594)-ROW('All Player Data Store'!$Y$7)+1),COUNTIF($AC$8:AC217,AC217))),"")</f>
        <v/>
      </c>
      <c r="AV217" s="108" t="str">
        <f t="shared" si="11"/>
        <v/>
      </c>
      <c r="AW217" s="108" t="str">
        <f t="array" ref="AW217">IF(ISNUMBER(AC217),INDEX('All Player Data Store'!$S$8:$S$594,SMALL(IF('All Player Data Store'!$Y$7:$Y$594=AC217,ROW('All Player Data Store'!$Y$7:$Y$594)-ROW('All Player Data Store'!$Y$7)+1),COUNTIF($AC$8:AC217,AC217))),"")</f>
        <v/>
      </c>
      <c r="AX217" s="108" t="str">
        <f t="shared" si="12"/>
        <v/>
      </c>
      <c r="AY217" s="108" t="str">
        <f t="array" ref="AY217">IF(ISNUMBER(AC217),INDEX('All Player Data Store'!$T$8:$T$594,SMALL(IF('All Player Data Store'!$Y$7:$Y$594=AC217,ROW('All Player Data Store'!$Y$7:$Y$594)-ROW('All Player Data Store'!$Y$7)+1),COUNTIF($AC$8:AC217,AC217))),"")</f>
        <v/>
      </c>
      <c r="AZ217" s="108" t="str">
        <f t="shared" si="13"/>
        <v/>
      </c>
      <c r="BA217" s="108" t="str">
        <f t="array" ref="BA217">IF(ISNUMBER(AC217),INDEX('All Player Data Store'!$U$8:$U$594,SMALL(IF('All Player Data Store'!$Y$7:$Y$594=AC217,ROW('All Player Data Store'!$Y$7:$Y$594)-ROW('All Player Data Store'!$Y$7)+1),COUNTIF($AC$8:AC217,AC217))),"")</f>
        <v/>
      </c>
      <c r="BB217" s="108" t="str">
        <f t="shared" si="14"/>
        <v/>
      </c>
      <c r="BC217" s="108" t="str">
        <f t="array" ref="BC217">IF(ISNUMBER(AC217),INDEX('All Player Data Store'!$V$8:$V$594,SMALL(IF('All Player Data Store'!$Y$7:$Y$594=AC217,ROW('All Player Data Store'!$Y$7:$Y$594)-ROW('All Player Data Store'!$Y$7)+1),COUNTIF($AC$8:AC217,AC217))),"")</f>
        <v/>
      </c>
      <c r="BD217" s="108" t="str">
        <f t="shared" si="15"/>
        <v/>
      </c>
      <c r="BE217" s="1"/>
    </row>
    <row r="218" spans="2:57" ht="12" customHeight="1" x14ac:dyDescent="0.2">
      <c r="B218" s="98" t="str">
        <f t="shared" si="0"/>
        <v/>
      </c>
      <c r="C218" s="1"/>
      <c r="D218" s="68" t="str">
        <f t="shared" si="1"/>
        <v/>
      </c>
      <c r="E218" s="2"/>
      <c r="F218" s="78">
        <v>211</v>
      </c>
      <c r="G218" s="110" t="str">
        <f t="array" ref="G218">IF(ISNUMBER(AC218),INDEX('All Player Data Store'!$C$7:$C$594,SMALL(IF('All Player Data Store'!$Y$7:$Y$594=AC218,ROW('All Player Data Store'!$Y$7:$Y$594)-ROW('All Player Data Store'!$Y$7)+1),COUNTIF($AC$8:AC218,AC218))),"")</f>
        <v/>
      </c>
      <c r="H218" s="68" t="str">
        <f t="array" ref="H218">IF(ISNUMBER(AC218),INDEX('All Player Data Store'!$D$7:$D$594,SMALL(IF('All Player Data Store'!$Y$7:$Y$594=AC218,ROW('All Player Data Store'!$Y$7:$Y$594)-ROW('All Player Data Store'!$Y$7)+1),COUNTIF($AC$8:AC218,AC218))),"")</f>
        <v/>
      </c>
      <c r="I218" s="69" t="str">
        <f t="array" ref="I218">IF(ISNUMBER(AC218),INDEX('All Player Data Store'!$E$7:$E$594,SMALL(IF('All Player Data Store'!$Y$7:$Y$594=AC218,ROW('All Player Data Store'!$Y$7:$Y$594)-ROW('All Player Data Store'!$Y$7)+1),COUNTIF($AC$8:AC218,AC218))),"")</f>
        <v/>
      </c>
      <c r="J218" s="70" t="str">
        <f t="array" ref="J218">IF(ISNUMBER(AC218),INDEX('All Player Data Store'!$F$7:$F$594,SMALL(IF('All Player Data Store'!$Y$7:$Y$594=AC218,ROW('All Player Data Store'!$Y$7:$Y$594)-ROW('All Player Data Store'!$Y$7)+1),COUNTIF($AC$8:AC218,AC218))),"")</f>
        <v/>
      </c>
      <c r="K218" s="70" t="str">
        <f t="array" ref="K218">IF(ISNUMBER(AC218),INDEX('All Player Data Store'!$G$7:$G$594,SMALL(IF('All Player Data Store'!$Y$7:$Y$594=AC218,ROW('All Player Data Store'!$Y$7:$Y$594)-ROW('All Player Data Store'!$Y$7)+1),COUNTIF($AC$8:AC218,AC218))),"")</f>
        <v/>
      </c>
      <c r="L218" s="70" t="str">
        <f t="array" ref="L218">IF(ISNUMBER(AC218),INDEX('All Player Data Store'!$H$7:$H$594,SMALL(IF('All Player Data Store'!$Y$7:$Y$594=AC218,ROW('All Player Data Store'!$Y$7:$Y$594)-ROW('All Player Data Store'!$Y$7)+1),COUNTIF($AC$8:AC218,AC218))),"")</f>
        <v/>
      </c>
      <c r="M218" s="72" t="str">
        <f t="array" ref="M218">IF(ISNUMBER(AC218),INDEX('All Player Data Store'!$I$7:$I$594,SMALL(IF('All Player Data Store'!$Y$7:$Y$594=AC218,ROW('All Player Data Store'!$Y$7:$Y$594)-ROW('All Player Data Store'!$Y$7)+1),COUNTIF($AC$8:AC218,AC218))),"")</f>
        <v/>
      </c>
      <c r="N218" s="114" t="str">
        <f t="array" ref="N218">IF(ISNUMBER(AC218),INDEX('All Player Data Store'!$J$7:$J$594,SMALL(IF('All Player Data Store'!$Y$7:$Y$594=AC218,ROW('All Player Data Store'!$Y$7:$Y$594)-ROW('All Player Data Store'!$Y$7)+1),COUNTIF($AC$8:AC218,AC218))),"")</f>
        <v/>
      </c>
      <c r="O218" s="108" t="str">
        <f t="array" ref="O218">IF(ISNUMBER(AC218),INDEX('All Player Data Store'!$K$7:$K$594,SMALL(IF('All Player Data Store'!$Y$7:$Y$594=AC218,ROW('All Player Data Store'!$Y$7:$Y$594)-ROW('All Player Data Store'!$Y$7)+1),COUNTIF($AC$8:AC218,AC218))),"")</f>
        <v/>
      </c>
      <c r="P218" s="108" t="str">
        <f t="array" ref="P218">IF(ISNUMBER(AC218),INDEX('All Player Data Store'!$L$7:$L$594,SMALL(IF('All Player Data Store'!$Y$7:$Y$594=AC218,ROW('All Player Data Store'!$Y$7:$Y$594)-ROW('All Player Data Store'!$Y$7)+1),COUNTIF($AC$8:AC218,AC218))),"")</f>
        <v/>
      </c>
      <c r="Q218" s="108" t="str">
        <f t="array" ref="Q218">IF(ISNUMBER(AC218),INDEX('All Player Data Store'!$M$7:$M$594,SMALL(IF('All Player Data Store'!$Y$7:$Y$594=AC218,ROW('All Player Data Store'!$Y$7:$Y$594)-ROW('All Player Data Store'!$Y$7)+1),COUNTIF($AC$8:AC218,AC218))),"")</f>
        <v/>
      </c>
      <c r="R218" s="108" t="str">
        <f t="array" ref="R218">IF(ISNUMBER(AC218),INDEX('All Player Data Store'!$N$7:$N$594,SMALL(IF('All Player Data Store'!$Y$7:$Y$594=AC218,ROW('All Player Data Store'!$Y$7:$Y$594)-ROW('All Player Data Store'!$Y$7)+1),COUNTIF($AC$8:AC218,AC218))),"")</f>
        <v/>
      </c>
      <c r="S218" s="108" t="str">
        <f t="array" ref="S218">IF(ISNUMBER(AC218),INDEX('All Player Data Store'!$O$7:$O$594,SMALL(IF('All Player Data Store'!$Y$7:$Y$594=AC218,ROW('All Player Data Store'!$Y$7:$Y$594)-ROW('All Player Data Store'!$Y$7)+1),COUNTIF($AC$8:AC218,AC218))),"")</f>
        <v/>
      </c>
      <c r="T218" s="108" t="str">
        <f t="array" ref="T218">IF(ISNUMBER(AC218),INDEX('All Player Data Store'!$P$7:$P$594,SMALL(IF('All Player Data Store'!$Y$7:$Y$594=AC218,ROW('All Player Data Store'!$Y$7:$Y$594)-ROW('All Player Data Store'!$Y$7)+1),COUNTIF($AC$8:AC218,AC218))),"")</f>
        <v/>
      </c>
      <c r="U218" s="108" t="str">
        <f t="array" ref="U218">IF(ISNUMBER(AC218),INDEX('All Player Data Store'!$Q$7:$Q$594,SMALL(IF('All Player Data Store'!$Y$7:$Y$594=AC218,ROW('All Player Data Store'!$Y$7:$Y$594)-ROW('All Player Data Store'!$Y$7)+1),COUNTIF($AC$8:AC218,AC218))),"")</f>
        <v/>
      </c>
      <c r="V218" s="108" t="str">
        <f t="array" ref="V218">IF(ISNUMBER(AC218),INDEX('All Player Data Store'!$R$7:$R$594,SMALL(IF('All Player Data Store'!$Y$7:$Y$594=AC218,ROW('All Player Data Store'!$Y$7:$Y$594)-ROW('All Player Data Store'!$Y$7)+1),COUNTIF($AC$8:AC218,AC218))),"")</f>
        <v/>
      </c>
      <c r="W218" s="108" t="str">
        <f t="array" ref="W218">IF(ISNUMBER(AC218),INDEX('All Player Data Store'!$S$7:$S$594,SMALL(IF('All Player Data Store'!$Y$7:$Y$594=AC218,ROW('All Player Data Store'!$Y$7:$Y$594)-ROW('All Player Data Store'!$Y$7)+1),COUNTIF($AC$8:AC218,AC218))),"")</f>
        <v/>
      </c>
      <c r="X218" s="108" t="str">
        <f t="array" ref="X218">IF(ISNUMBER(AC218),INDEX('All Player Data Store'!$T$7:$T$594,SMALL(IF('All Player Data Store'!$Y$7:$Y$594=AC218,ROW('All Player Data Store'!$Y$7:$Y$594)-ROW('All Player Data Store'!$Y$7)+1),COUNTIF($AC$8:AC218,AC218))),"")</f>
        <v/>
      </c>
      <c r="Y218" s="108" t="str">
        <f t="array" ref="Y218">IF(ISNUMBER(AC218),INDEX('All Player Data Store'!$U$7:$U$594,SMALL(IF('All Player Data Store'!$Y$7:$Y$594=AC218,ROW('All Player Data Store'!$Y$7:$Y$594)-ROW('All Player Data Store'!$Y$7)+1),COUNTIF($AC$8:AC218,AC218))),"")</f>
        <v/>
      </c>
      <c r="Z218" s="108" t="str">
        <f t="array" ref="Z218">IF(ISNUMBER(AC218),INDEX('All Player Data Store'!$V$7:$V$594,SMALL(IF('All Player Data Store'!$Y$7:$Y$594=AC218,ROW('All Player Data Store'!$Y$7:$Y$594)-ROW('All Player Data Store'!$Y$7)+1),COUNTIF($AC$8:AC218,AC218))),"")</f>
        <v/>
      </c>
      <c r="AA218" s="112" t="str">
        <f t="array" ref="AA218">IF(ISNUMBER(AC218),INDEX('All Player Data Store'!$W$7:$W$594,SMALL(IF('All Player Data Store'!$Y$7:$Y$594=AC218,ROW('All Player Data Store'!$Y$7:$Y$594)-ROW('All Player Data Store'!$Y$7)+1),COUNTIF($AC$8:AC218,AC218))),"")</f>
        <v/>
      </c>
      <c r="AB218" s="108" t="str">
        <f t="array" ref="AB218">IF(ISNUMBER(AC218),INDEX('All Player Data Store'!$X$7:$X$594,SMALL(IF('All Player Data Store'!$Y$7:$Y$594=AC218,ROW('All Player Data Store'!$Y$7:$Y$594)-ROW('All Player Data Store'!$Y$7)+1),COUNTIF($AC$8:AC218,AC218))),"")</f>
        <v/>
      </c>
      <c r="AC218" s="115" t="str">
        <f>IF(ISERROR(IF(ISERROR(LARGE('All Player Data Store'!$Y$7:$Y$594,211)),"",(LARGE('All Player Data Store'!$Y$7:$Y$594,211)))),"",(IF(ISERROR(LARGE('All Player Data Store'!$Y$7:$Y$594,211)),"",(LARGE('All Player Data Store'!$Y$7:$Y$594,211)))))</f>
        <v/>
      </c>
      <c r="AD218" s="106">
        <f t="shared" si="16"/>
        <v>1</v>
      </c>
      <c r="AE218" s="107" t="str">
        <f t="array" ref="AE218">IF(ISNUMBER(AC218),INDEX('All Player Data Store'!$J$8:$J$594,SMALL(IF('All Player Data Store'!$Y$7:$Y$594=AC218,ROW('All Player Data Store'!$Y$7:$Y$594)-ROW('All Player Data Store'!$Y$7)+1),COUNTIF($AC$8:AC218,AC218))),"")</f>
        <v/>
      </c>
      <c r="AF218" s="108" t="str">
        <f t="shared" si="3"/>
        <v/>
      </c>
      <c r="AG218" s="108" t="str">
        <f t="array" ref="AG218">IF(ISNUMBER(AC218),INDEX('All Player Data Store'!$K$8:$K$594,SMALL(IF('All Player Data Store'!$Y$7:$Y$594=AC218,ROW('All Player Data Store'!$Y$7:$Y$594)-ROW('All Player Data Store'!$Y$7)+1),COUNTIF($AC$8:AC218,AC218))),"")</f>
        <v/>
      </c>
      <c r="AH218" s="108" t="str">
        <f t="shared" si="4"/>
        <v/>
      </c>
      <c r="AI218" s="108" t="str">
        <f t="array" ref="AI218">IF(ISNUMBER(AC218),INDEX('All Player Data Store'!$L$8:$L$594,SMALL(IF('All Player Data Store'!$Y$7:$Y$594=AC218,ROW('All Player Data Store'!$Y$7:$Y$594)-ROW('All Player Data Store'!$Y$7)+1),COUNTIF($AC$8:AC218,AC218))),"")</f>
        <v/>
      </c>
      <c r="AJ218" s="108" t="str">
        <f t="shared" si="5"/>
        <v/>
      </c>
      <c r="AK218" s="108" t="str">
        <f t="array" ref="AK218">IF(ISNUMBER(AC218),INDEX('All Player Data Store'!$M$8:$M$594,SMALL(IF('All Player Data Store'!$Y$7:$Y$594=AC218,ROW('All Player Data Store'!$Y$7:$Y$594)-ROW('All Player Data Store'!$Y$7)+1),COUNTIF($AC$8:AC218,AC218))),"")</f>
        <v/>
      </c>
      <c r="AL218" s="108" t="str">
        <f t="shared" si="6"/>
        <v/>
      </c>
      <c r="AM218" s="108" t="str">
        <f t="array" ref="AM218">IF(ISNUMBER(AC218),INDEX('All Player Data Store'!$N$8:$N$594,SMALL(IF('All Player Data Store'!$Y$7:$Y$594=AC218,ROW('All Player Data Store'!$Y$7:$Y$594)-ROW('All Player Data Store'!$Y$7)+1),COUNTIF($AC$8:AC218,AC218))),"")</f>
        <v/>
      </c>
      <c r="AN218" s="108" t="str">
        <f t="shared" si="7"/>
        <v/>
      </c>
      <c r="AO218" s="108" t="str">
        <f t="array" ref="AO218">IF(ISNUMBER(AC218),INDEX('All Player Data Store'!$O$8:$O$594,SMALL(IF('All Player Data Store'!$Y$7:$Y$594=AC218,ROW('All Player Data Store'!$Y$7:$Y$594)-ROW('All Player Data Store'!$Y$7)+1),COUNTIF($AC$8:AC218,AC218))),"")</f>
        <v/>
      </c>
      <c r="AP218" s="108" t="str">
        <f t="shared" si="8"/>
        <v/>
      </c>
      <c r="AQ218" s="108" t="str">
        <f t="array" ref="AQ218">IF(ISNUMBER(AC218),INDEX('All Player Data Store'!$P$8:$P$594,SMALL(IF('All Player Data Store'!$Y$7:$Y$594=AC218,ROW('All Player Data Store'!$Y$7:$Y$594)-ROW('All Player Data Store'!$Y$7)+1),COUNTIF($AC$8:AC218,AC218))),"")</f>
        <v/>
      </c>
      <c r="AR218" s="108" t="str">
        <f t="shared" si="9"/>
        <v/>
      </c>
      <c r="AS218" s="108" t="str">
        <f t="array" ref="AS218">IF(ISNUMBER(AC218),INDEX('All Player Data Store'!$Q$8:$Q$594,SMALL(IF('All Player Data Store'!$Y$7:$Y$594=AC218,ROW('All Player Data Store'!$Y$7:$Y$594)-ROW('All Player Data Store'!$Y$7)+1),COUNTIF($AC$8:AC218,AC218))),"")</f>
        <v/>
      </c>
      <c r="AT218" s="108" t="str">
        <f t="shared" si="10"/>
        <v/>
      </c>
      <c r="AU218" s="108" t="str">
        <f t="array" ref="AU218">IF(ISNUMBER(AC218),INDEX('All Player Data Store'!$R$8:$R$594,SMALL(IF('All Player Data Store'!$Y$7:$Y$594=AC218,ROW('All Player Data Store'!$Y$7:$Y$594)-ROW('All Player Data Store'!$Y$7)+1),COUNTIF($AC$8:AC218,AC218))),"")</f>
        <v/>
      </c>
      <c r="AV218" s="108" t="str">
        <f t="shared" si="11"/>
        <v/>
      </c>
      <c r="AW218" s="108" t="str">
        <f t="array" ref="AW218">IF(ISNUMBER(AC218),INDEX('All Player Data Store'!$S$8:$S$594,SMALL(IF('All Player Data Store'!$Y$7:$Y$594=AC218,ROW('All Player Data Store'!$Y$7:$Y$594)-ROW('All Player Data Store'!$Y$7)+1),COUNTIF($AC$8:AC218,AC218))),"")</f>
        <v/>
      </c>
      <c r="AX218" s="108" t="str">
        <f t="shared" si="12"/>
        <v/>
      </c>
      <c r="AY218" s="108" t="str">
        <f t="array" ref="AY218">IF(ISNUMBER(AC218),INDEX('All Player Data Store'!$T$8:$T$594,SMALL(IF('All Player Data Store'!$Y$7:$Y$594=AC218,ROW('All Player Data Store'!$Y$7:$Y$594)-ROW('All Player Data Store'!$Y$7)+1),COUNTIF($AC$8:AC218,AC218))),"")</f>
        <v/>
      </c>
      <c r="AZ218" s="108" t="str">
        <f t="shared" si="13"/>
        <v/>
      </c>
      <c r="BA218" s="108" t="str">
        <f t="array" ref="BA218">IF(ISNUMBER(AC218),INDEX('All Player Data Store'!$U$8:$U$594,SMALL(IF('All Player Data Store'!$Y$7:$Y$594=AC218,ROW('All Player Data Store'!$Y$7:$Y$594)-ROW('All Player Data Store'!$Y$7)+1),COUNTIF($AC$8:AC218,AC218))),"")</f>
        <v/>
      </c>
      <c r="BB218" s="108" t="str">
        <f t="shared" si="14"/>
        <v/>
      </c>
      <c r="BC218" s="108" t="str">
        <f t="array" ref="BC218">IF(ISNUMBER(AC218),INDEX('All Player Data Store'!$V$8:$V$594,SMALL(IF('All Player Data Store'!$Y$7:$Y$594=AC218,ROW('All Player Data Store'!$Y$7:$Y$594)-ROW('All Player Data Store'!$Y$7)+1),COUNTIF($AC$8:AC218,AC218))),"")</f>
        <v/>
      </c>
      <c r="BD218" s="108" t="str">
        <f t="shared" si="15"/>
        <v/>
      </c>
      <c r="BE218" s="1"/>
    </row>
    <row r="219" spans="2:57" ht="12" customHeight="1" x14ac:dyDescent="0.2">
      <c r="B219" s="98" t="str">
        <f t="shared" si="0"/>
        <v/>
      </c>
      <c r="C219" s="1"/>
      <c r="D219" s="68" t="str">
        <f t="shared" si="1"/>
        <v/>
      </c>
      <c r="E219" s="2"/>
      <c r="F219" s="78">
        <v>212</v>
      </c>
      <c r="G219" s="110" t="str">
        <f t="array" ref="G219">IF(ISNUMBER(AC219),INDEX('All Player Data Store'!$C$7:$C$594,SMALL(IF('All Player Data Store'!$Y$7:$Y$594=AC219,ROW('All Player Data Store'!$Y$7:$Y$594)-ROW('All Player Data Store'!$Y$7)+1),COUNTIF($AC$8:AC219,AC219))),"")</f>
        <v/>
      </c>
      <c r="H219" s="68" t="str">
        <f t="array" ref="H219">IF(ISNUMBER(AC219),INDEX('All Player Data Store'!$D$7:$D$594,SMALL(IF('All Player Data Store'!$Y$7:$Y$594=AC219,ROW('All Player Data Store'!$Y$7:$Y$594)-ROW('All Player Data Store'!$Y$7)+1),COUNTIF($AC$8:AC219,AC219))),"")</f>
        <v/>
      </c>
      <c r="I219" s="69" t="str">
        <f t="array" ref="I219">IF(ISNUMBER(AC219),INDEX('All Player Data Store'!$E$7:$E$594,SMALL(IF('All Player Data Store'!$Y$7:$Y$594=AC219,ROW('All Player Data Store'!$Y$7:$Y$594)-ROW('All Player Data Store'!$Y$7)+1),COUNTIF($AC$8:AC219,AC219))),"")</f>
        <v/>
      </c>
      <c r="J219" s="70" t="str">
        <f t="array" ref="J219">IF(ISNUMBER(AC219),INDEX('All Player Data Store'!$F$7:$F$594,SMALL(IF('All Player Data Store'!$Y$7:$Y$594=AC219,ROW('All Player Data Store'!$Y$7:$Y$594)-ROW('All Player Data Store'!$Y$7)+1),COUNTIF($AC$8:AC219,AC219))),"")</f>
        <v/>
      </c>
      <c r="K219" s="70" t="str">
        <f t="array" ref="K219">IF(ISNUMBER(AC219),INDEX('All Player Data Store'!$G$7:$G$594,SMALL(IF('All Player Data Store'!$Y$7:$Y$594=AC219,ROW('All Player Data Store'!$Y$7:$Y$594)-ROW('All Player Data Store'!$Y$7)+1),COUNTIF($AC$8:AC219,AC219))),"")</f>
        <v/>
      </c>
      <c r="L219" s="70" t="str">
        <f t="array" ref="L219">IF(ISNUMBER(AC219),INDEX('All Player Data Store'!$H$7:$H$594,SMALL(IF('All Player Data Store'!$Y$7:$Y$594=AC219,ROW('All Player Data Store'!$Y$7:$Y$594)-ROW('All Player Data Store'!$Y$7)+1),COUNTIF($AC$8:AC219,AC219))),"")</f>
        <v/>
      </c>
      <c r="M219" s="72" t="str">
        <f t="array" ref="M219">IF(ISNUMBER(AC219),INDEX('All Player Data Store'!$I$7:$I$594,SMALL(IF('All Player Data Store'!$Y$7:$Y$594=AC219,ROW('All Player Data Store'!$Y$7:$Y$594)-ROW('All Player Data Store'!$Y$7)+1),COUNTIF($AC$8:AC219,AC219))),"")</f>
        <v/>
      </c>
      <c r="N219" s="114" t="str">
        <f t="array" ref="N219">IF(ISNUMBER(AC219),INDEX('All Player Data Store'!$J$7:$J$594,SMALL(IF('All Player Data Store'!$Y$7:$Y$594=AC219,ROW('All Player Data Store'!$Y$7:$Y$594)-ROW('All Player Data Store'!$Y$7)+1),COUNTIF($AC$8:AC219,AC219))),"")</f>
        <v/>
      </c>
      <c r="O219" s="108" t="str">
        <f t="array" ref="O219">IF(ISNUMBER(AC219),INDEX('All Player Data Store'!$K$7:$K$594,SMALL(IF('All Player Data Store'!$Y$7:$Y$594=AC219,ROW('All Player Data Store'!$Y$7:$Y$594)-ROW('All Player Data Store'!$Y$7)+1),COUNTIF($AC$8:AC219,AC219))),"")</f>
        <v/>
      </c>
      <c r="P219" s="108" t="str">
        <f t="array" ref="P219">IF(ISNUMBER(AC219),INDEX('All Player Data Store'!$L$7:$L$594,SMALL(IF('All Player Data Store'!$Y$7:$Y$594=AC219,ROW('All Player Data Store'!$Y$7:$Y$594)-ROW('All Player Data Store'!$Y$7)+1),COUNTIF($AC$8:AC219,AC219))),"")</f>
        <v/>
      </c>
      <c r="Q219" s="108" t="str">
        <f t="array" ref="Q219">IF(ISNUMBER(AC219),INDEX('All Player Data Store'!$M$7:$M$594,SMALL(IF('All Player Data Store'!$Y$7:$Y$594=AC219,ROW('All Player Data Store'!$Y$7:$Y$594)-ROW('All Player Data Store'!$Y$7)+1),COUNTIF($AC$8:AC219,AC219))),"")</f>
        <v/>
      </c>
      <c r="R219" s="108" t="str">
        <f t="array" ref="R219">IF(ISNUMBER(AC219),INDEX('All Player Data Store'!$N$7:$N$594,SMALL(IF('All Player Data Store'!$Y$7:$Y$594=AC219,ROW('All Player Data Store'!$Y$7:$Y$594)-ROW('All Player Data Store'!$Y$7)+1),COUNTIF($AC$8:AC219,AC219))),"")</f>
        <v/>
      </c>
      <c r="S219" s="108" t="str">
        <f t="array" ref="S219">IF(ISNUMBER(AC219),INDEX('All Player Data Store'!$O$7:$O$594,SMALL(IF('All Player Data Store'!$Y$7:$Y$594=AC219,ROW('All Player Data Store'!$Y$7:$Y$594)-ROW('All Player Data Store'!$Y$7)+1),COUNTIF($AC$8:AC219,AC219))),"")</f>
        <v/>
      </c>
      <c r="T219" s="108" t="str">
        <f t="array" ref="T219">IF(ISNUMBER(AC219),INDEX('All Player Data Store'!$P$7:$P$594,SMALL(IF('All Player Data Store'!$Y$7:$Y$594=AC219,ROW('All Player Data Store'!$Y$7:$Y$594)-ROW('All Player Data Store'!$Y$7)+1),COUNTIF($AC$8:AC219,AC219))),"")</f>
        <v/>
      </c>
      <c r="U219" s="108" t="str">
        <f t="array" ref="U219">IF(ISNUMBER(AC219),INDEX('All Player Data Store'!$Q$7:$Q$594,SMALL(IF('All Player Data Store'!$Y$7:$Y$594=AC219,ROW('All Player Data Store'!$Y$7:$Y$594)-ROW('All Player Data Store'!$Y$7)+1),COUNTIF($AC$8:AC219,AC219))),"")</f>
        <v/>
      </c>
      <c r="V219" s="108" t="str">
        <f t="array" ref="V219">IF(ISNUMBER(AC219),INDEX('All Player Data Store'!$R$7:$R$594,SMALL(IF('All Player Data Store'!$Y$7:$Y$594=AC219,ROW('All Player Data Store'!$Y$7:$Y$594)-ROW('All Player Data Store'!$Y$7)+1),COUNTIF($AC$8:AC219,AC219))),"")</f>
        <v/>
      </c>
      <c r="W219" s="108" t="str">
        <f t="array" ref="W219">IF(ISNUMBER(AC219),INDEX('All Player Data Store'!$S$7:$S$594,SMALL(IF('All Player Data Store'!$Y$7:$Y$594=AC219,ROW('All Player Data Store'!$Y$7:$Y$594)-ROW('All Player Data Store'!$Y$7)+1),COUNTIF($AC$8:AC219,AC219))),"")</f>
        <v/>
      </c>
      <c r="X219" s="108" t="str">
        <f t="array" ref="X219">IF(ISNUMBER(AC219),INDEX('All Player Data Store'!$T$7:$T$594,SMALL(IF('All Player Data Store'!$Y$7:$Y$594=AC219,ROW('All Player Data Store'!$Y$7:$Y$594)-ROW('All Player Data Store'!$Y$7)+1),COUNTIF($AC$8:AC219,AC219))),"")</f>
        <v/>
      </c>
      <c r="Y219" s="108" t="str">
        <f t="array" ref="Y219">IF(ISNUMBER(AC219),INDEX('All Player Data Store'!$U$7:$U$594,SMALL(IF('All Player Data Store'!$Y$7:$Y$594=AC219,ROW('All Player Data Store'!$Y$7:$Y$594)-ROW('All Player Data Store'!$Y$7)+1),COUNTIF($AC$8:AC219,AC219))),"")</f>
        <v/>
      </c>
      <c r="Z219" s="108" t="str">
        <f t="array" ref="Z219">IF(ISNUMBER(AC219),INDEX('All Player Data Store'!$V$7:$V$594,SMALL(IF('All Player Data Store'!$Y$7:$Y$594=AC219,ROW('All Player Data Store'!$Y$7:$Y$594)-ROW('All Player Data Store'!$Y$7)+1),COUNTIF($AC$8:AC219,AC219))),"")</f>
        <v/>
      </c>
      <c r="AA219" s="112" t="str">
        <f t="array" ref="AA219">IF(ISNUMBER(AC219),INDEX('All Player Data Store'!$W$7:$W$594,SMALL(IF('All Player Data Store'!$Y$7:$Y$594=AC219,ROW('All Player Data Store'!$Y$7:$Y$594)-ROW('All Player Data Store'!$Y$7)+1),COUNTIF($AC$8:AC219,AC219))),"")</f>
        <v/>
      </c>
      <c r="AB219" s="108" t="str">
        <f t="array" ref="AB219">IF(ISNUMBER(AC219),INDEX('All Player Data Store'!$X$7:$X$594,SMALL(IF('All Player Data Store'!$Y$7:$Y$594=AC219,ROW('All Player Data Store'!$Y$7:$Y$594)-ROW('All Player Data Store'!$Y$7)+1),COUNTIF($AC$8:AC219,AC219))),"")</f>
        <v/>
      </c>
      <c r="AC219" s="115" t="str">
        <f>IF(ISERROR(IF(ISERROR(LARGE('All Player Data Store'!$Y$7:$Y$594,212)),"",(LARGE('All Player Data Store'!$Y$7:$Y$594,212)))),"",(IF(ISERROR(LARGE('All Player Data Store'!$Y$7:$Y$594,212)),"",(LARGE('All Player Data Store'!$Y$7:$Y$594,212)))))</f>
        <v/>
      </c>
      <c r="AD219" s="106">
        <f t="shared" si="16"/>
        <v>1</v>
      </c>
      <c r="AE219" s="107" t="str">
        <f t="array" ref="AE219">IF(ISNUMBER(AC219),INDEX('All Player Data Store'!$J$8:$J$594,SMALL(IF('All Player Data Store'!$Y$7:$Y$594=AC219,ROW('All Player Data Store'!$Y$7:$Y$594)-ROW('All Player Data Store'!$Y$7)+1),COUNTIF($AC$8:AC219,AC219))),"")</f>
        <v/>
      </c>
      <c r="AF219" s="108" t="str">
        <f t="shared" si="3"/>
        <v/>
      </c>
      <c r="AG219" s="108" t="str">
        <f t="array" ref="AG219">IF(ISNUMBER(AC219),INDEX('All Player Data Store'!$K$8:$K$594,SMALL(IF('All Player Data Store'!$Y$7:$Y$594=AC219,ROW('All Player Data Store'!$Y$7:$Y$594)-ROW('All Player Data Store'!$Y$7)+1),COUNTIF($AC$8:AC219,AC219))),"")</f>
        <v/>
      </c>
      <c r="AH219" s="108" t="str">
        <f t="shared" si="4"/>
        <v/>
      </c>
      <c r="AI219" s="108" t="str">
        <f t="array" ref="AI219">IF(ISNUMBER(AC219),INDEX('All Player Data Store'!$L$8:$L$594,SMALL(IF('All Player Data Store'!$Y$7:$Y$594=AC219,ROW('All Player Data Store'!$Y$7:$Y$594)-ROW('All Player Data Store'!$Y$7)+1),COUNTIF($AC$8:AC219,AC219))),"")</f>
        <v/>
      </c>
      <c r="AJ219" s="108" t="str">
        <f t="shared" si="5"/>
        <v/>
      </c>
      <c r="AK219" s="108" t="str">
        <f t="array" ref="AK219">IF(ISNUMBER(AC219),INDEX('All Player Data Store'!$M$8:$M$594,SMALL(IF('All Player Data Store'!$Y$7:$Y$594=AC219,ROW('All Player Data Store'!$Y$7:$Y$594)-ROW('All Player Data Store'!$Y$7)+1),COUNTIF($AC$8:AC219,AC219))),"")</f>
        <v/>
      </c>
      <c r="AL219" s="108" t="str">
        <f t="shared" si="6"/>
        <v/>
      </c>
      <c r="AM219" s="108" t="str">
        <f t="array" ref="AM219">IF(ISNUMBER(AC219),INDEX('All Player Data Store'!$N$8:$N$594,SMALL(IF('All Player Data Store'!$Y$7:$Y$594=AC219,ROW('All Player Data Store'!$Y$7:$Y$594)-ROW('All Player Data Store'!$Y$7)+1),COUNTIF($AC$8:AC219,AC219))),"")</f>
        <v/>
      </c>
      <c r="AN219" s="108" t="str">
        <f t="shared" si="7"/>
        <v/>
      </c>
      <c r="AO219" s="108" t="str">
        <f t="array" ref="AO219">IF(ISNUMBER(AC219),INDEX('All Player Data Store'!$O$8:$O$594,SMALL(IF('All Player Data Store'!$Y$7:$Y$594=AC219,ROW('All Player Data Store'!$Y$7:$Y$594)-ROW('All Player Data Store'!$Y$7)+1),COUNTIF($AC$8:AC219,AC219))),"")</f>
        <v/>
      </c>
      <c r="AP219" s="108" t="str">
        <f t="shared" si="8"/>
        <v/>
      </c>
      <c r="AQ219" s="108" t="str">
        <f t="array" ref="AQ219">IF(ISNUMBER(AC219),INDEX('All Player Data Store'!$P$8:$P$594,SMALL(IF('All Player Data Store'!$Y$7:$Y$594=AC219,ROW('All Player Data Store'!$Y$7:$Y$594)-ROW('All Player Data Store'!$Y$7)+1),COUNTIF($AC$8:AC219,AC219))),"")</f>
        <v/>
      </c>
      <c r="AR219" s="108" t="str">
        <f t="shared" si="9"/>
        <v/>
      </c>
      <c r="AS219" s="108" t="str">
        <f t="array" ref="AS219">IF(ISNUMBER(AC219),INDEX('All Player Data Store'!$Q$8:$Q$594,SMALL(IF('All Player Data Store'!$Y$7:$Y$594=AC219,ROW('All Player Data Store'!$Y$7:$Y$594)-ROW('All Player Data Store'!$Y$7)+1),COUNTIF($AC$8:AC219,AC219))),"")</f>
        <v/>
      </c>
      <c r="AT219" s="108" t="str">
        <f t="shared" si="10"/>
        <v/>
      </c>
      <c r="AU219" s="108" t="str">
        <f t="array" ref="AU219">IF(ISNUMBER(AC219),INDEX('All Player Data Store'!$R$8:$R$594,SMALL(IF('All Player Data Store'!$Y$7:$Y$594=AC219,ROW('All Player Data Store'!$Y$7:$Y$594)-ROW('All Player Data Store'!$Y$7)+1),COUNTIF($AC$8:AC219,AC219))),"")</f>
        <v/>
      </c>
      <c r="AV219" s="108" t="str">
        <f t="shared" si="11"/>
        <v/>
      </c>
      <c r="AW219" s="108" t="str">
        <f t="array" ref="AW219">IF(ISNUMBER(AC219),INDEX('All Player Data Store'!$S$8:$S$594,SMALL(IF('All Player Data Store'!$Y$7:$Y$594=AC219,ROW('All Player Data Store'!$Y$7:$Y$594)-ROW('All Player Data Store'!$Y$7)+1),COUNTIF($AC$8:AC219,AC219))),"")</f>
        <v/>
      </c>
      <c r="AX219" s="108" t="str">
        <f t="shared" si="12"/>
        <v/>
      </c>
      <c r="AY219" s="108" t="str">
        <f t="array" ref="AY219">IF(ISNUMBER(AC219),INDEX('All Player Data Store'!$T$8:$T$594,SMALL(IF('All Player Data Store'!$Y$7:$Y$594=AC219,ROW('All Player Data Store'!$Y$7:$Y$594)-ROW('All Player Data Store'!$Y$7)+1),COUNTIF($AC$8:AC219,AC219))),"")</f>
        <v/>
      </c>
      <c r="AZ219" s="108" t="str">
        <f t="shared" si="13"/>
        <v/>
      </c>
      <c r="BA219" s="108" t="str">
        <f t="array" ref="BA219">IF(ISNUMBER(AC219),INDEX('All Player Data Store'!$U$8:$U$594,SMALL(IF('All Player Data Store'!$Y$7:$Y$594=AC219,ROW('All Player Data Store'!$Y$7:$Y$594)-ROW('All Player Data Store'!$Y$7)+1),COUNTIF($AC$8:AC219,AC219))),"")</f>
        <v/>
      </c>
      <c r="BB219" s="108" t="str">
        <f t="shared" si="14"/>
        <v/>
      </c>
      <c r="BC219" s="108" t="str">
        <f t="array" ref="BC219">IF(ISNUMBER(AC219),INDEX('All Player Data Store'!$V$8:$V$594,SMALL(IF('All Player Data Store'!$Y$7:$Y$594=AC219,ROW('All Player Data Store'!$Y$7:$Y$594)-ROW('All Player Data Store'!$Y$7)+1),COUNTIF($AC$8:AC219,AC219))),"")</f>
        <v/>
      </c>
      <c r="BD219" s="108" t="str">
        <f t="shared" si="15"/>
        <v/>
      </c>
      <c r="BE219" s="1"/>
    </row>
    <row r="220" spans="2:57" ht="12" customHeight="1" x14ac:dyDescent="0.2">
      <c r="B220" s="98" t="str">
        <f t="shared" si="0"/>
        <v/>
      </c>
      <c r="C220" s="1"/>
      <c r="D220" s="68" t="str">
        <f t="shared" si="1"/>
        <v/>
      </c>
      <c r="E220" s="2"/>
      <c r="F220" s="78">
        <v>213</v>
      </c>
      <c r="G220" s="110" t="str">
        <f t="array" ref="G220">IF(ISNUMBER(AC220),INDEX('All Player Data Store'!$C$7:$C$594,SMALL(IF('All Player Data Store'!$Y$7:$Y$594=AC220,ROW('All Player Data Store'!$Y$7:$Y$594)-ROW('All Player Data Store'!$Y$7)+1),COUNTIF($AC$8:AC220,AC220))),"")</f>
        <v/>
      </c>
      <c r="H220" s="68" t="str">
        <f t="array" ref="H220">IF(ISNUMBER(AC220),INDEX('All Player Data Store'!$D$7:$D$594,SMALL(IF('All Player Data Store'!$Y$7:$Y$594=AC220,ROW('All Player Data Store'!$Y$7:$Y$594)-ROW('All Player Data Store'!$Y$7)+1),COUNTIF($AC$8:AC220,AC220))),"")</f>
        <v/>
      </c>
      <c r="I220" s="69" t="str">
        <f t="array" ref="I220">IF(ISNUMBER(AC220),INDEX('All Player Data Store'!$E$7:$E$594,SMALL(IF('All Player Data Store'!$Y$7:$Y$594=AC220,ROW('All Player Data Store'!$Y$7:$Y$594)-ROW('All Player Data Store'!$Y$7)+1),COUNTIF($AC$8:AC220,AC220))),"")</f>
        <v/>
      </c>
      <c r="J220" s="70" t="str">
        <f t="array" ref="J220">IF(ISNUMBER(AC220),INDEX('All Player Data Store'!$F$7:$F$594,SMALL(IF('All Player Data Store'!$Y$7:$Y$594=AC220,ROW('All Player Data Store'!$Y$7:$Y$594)-ROW('All Player Data Store'!$Y$7)+1),COUNTIF($AC$8:AC220,AC220))),"")</f>
        <v/>
      </c>
      <c r="K220" s="70" t="str">
        <f t="array" ref="K220">IF(ISNUMBER(AC220),INDEX('All Player Data Store'!$G$7:$G$594,SMALL(IF('All Player Data Store'!$Y$7:$Y$594=AC220,ROW('All Player Data Store'!$Y$7:$Y$594)-ROW('All Player Data Store'!$Y$7)+1),COUNTIF($AC$8:AC220,AC220))),"")</f>
        <v/>
      </c>
      <c r="L220" s="70" t="str">
        <f t="array" ref="L220">IF(ISNUMBER(AC220),INDEX('All Player Data Store'!$H$7:$H$594,SMALL(IF('All Player Data Store'!$Y$7:$Y$594=AC220,ROW('All Player Data Store'!$Y$7:$Y$594)-ROW('All Player Data Store'!$Y$7)+1),COUNTIF($AC$8:AC220,AC220))),"")</f>
        <v/>
      </c>
      <c r="M220" s="72" t="str">
        <f t="array" ref="M220">IF(ISNUMBER(AC220),INDEX('All Player Data Store'!$I$7:$I$594,SMALL(IF('All Player Data Store'!$Y$7:$Y$594=AC220,ROW('All Player Data Store'!$Y$7:$Y$594)-ROW('All Player Data Store'!$Y$7)+1),COUNTIF($AC$8:AC220,AC220))),"")</f>
        <v/>
      </c>
      <c r="N220" s="114" t="str">
        <f t="array" ref="N220">IF(ISNUMBER(AC220),INDEX('All Player Data Store'!$J$7:$J$594,SMALL(IF('All Player Data Store'!$Y$7:$Y$594=AC220,ROW('All Player Data Store'!$Y$7:$Y$594)-ROW('All Player Data Store'!$Y$7)+1),COUNTIF($AC$8:AC220,AC220))),"")</f>
        <v/>
      </c>
      <c r="O220" s="108" t="str">
        <f t="array" ref="O220">IF(ISNUMBER(AC220),INDEX('All Player Data Store'!$K$7:$K$594,SMALL(IF('All Player Data Store'!$Y$7:$Y$594=AC220,ROW('All Player Data Store'!$Y$7:$Y$594)-ROW('All Player Data Store'!$Y$7)+1),COUNTIF($AC$8:AC220,AC220))),"")</f>
        <v/>
      </c>
      <c r="P220" s="108" t="str">
        <f t="array" ref="P220">IF(ISNUMBER(AC220),INDEX('All Player Data Store'!$L$7:$L$594,SMALL(IF('All Player Data Store'!$Y$7:$Y$594=AC220,ROW('All Player Data Store'!$Y$7:$Y$594)-ROW('All Player Data Store'!$Y$7)+1),COUNTIF($AC$8:AC220,AC220))),"")</f>
        <v/>
      </c>
      <c r="Q220" s="108" t="str">
        <f t="array" ref="Q220">IF(ISNUMBER(AC220),INDEX('All Player Data Store'!$M$7:$M$594,SMALL(IF('All Player Data Store'!$Y$7:$Y$594=AC220,ROW('All Player Data Store'!$Y$7:$Y$594)-ROW('All Player Data Store'!$Y$7)+1),COUNTIF($AC$8:AC220,AC220))),"")</f>
        <v/>
      </c>
      <c r="R220" s="108" t="str">
        <f t="array" ref="R220">IF(ISNUMBER(AC220),INDEX('All Player Data Store'!$N$7:$N$594,SMALL(IF('All Player Data Store'!$Y$7:$Y$594=AC220,ROW('All Player Data Store'!$Y$7:$Y$594)-ROW('All Player Data Store'!$Y$7)+1),COUNTIF($AC$8:AC220,AC220))),"")</f>
        <v/>
      </c>
      <c r="S220" s="108" t="str">
        <f t="array" ref="S220">IF(ISNUMBER(AC220),INDEX('All Player Data Store'!$O$7:$O$594,SMALL(IF('All Player Data Store'!$Y$7:$Y$594=AC220,ROW('All Player Data Store'!$Y$7:$Y$594)-ROW('All Player Data Store'!$Y$7)+1),COUNTIF($AC$8:AC220,AC220))),"")</f>
        <v/>
      </c>
      <c r="T220" s="108" t="str">
        <f t="array" ref="T220">IF(ISNUMBER(AC220),INDEX('All Player Data Store'!$P$7:$P$594,SMALL(IF('All Player Data Store'!$Y$7:$Y$594=AC220,ROW('All Player Data Store'!$Y$7:$Y$594)-ROW('All Player Data Store'!$Y$7)+1),COUNTIF($AC$8:AC220,AC220))),"")</f>
        <v/>
      </c>
      <c r="U220" s="108" t="str">
        <f t="array" ref="U220">IF(ISNUMBER(AC220),INDEX('All Player Data Store'!$Q$7:$Q$594,SMALL(IF('All Player Data Store'!$Y$7:$Y$594=AC220,ROW('All Player Data Store'!$Y$7:$Y$594)-ROW('All Player Data Store'!$Y$7)+1),COUNTIF($AC$8:AC220,AC220))),"")</f>
        <v/>
      </c>
      <c r="V220" s="108" t="str">
        <f t="array" ref="V220">IF(ISNUMBER(AC220),INDEX('All Player Data Store'!$R$7:$R$594,SMALL(IF('All Player Data Store'!$Y$7:$Y$594=AC220,ROW('All Player Data Store'!$Y$7:$Y$594)-ROW('All Player Data Store'!$Y$7)+1),COUNTIF($AC$8:AC220,AC220))),"")</f>
        <v/>
      </c>
      <c r="W220" s="108" t="str">
        <f t="array" ref="W220">IF(ISNUMBER(AC220),INDEX('All Player Data Store'!$S$7:$S$594,SMALL(IF('All Player Data Store'!$Y$7:$Y$594=AC220,ROW('All Player Data Store'!$Y$7:$Y$594)-ROW('All Player Data Store'!$Y$7)+1),COUNTIF($AC$8:AC220,AC220))),"")</f>
        <v/>
      </c>
      <c r="X220" s="108" t="str">
        <f t="array" ref="X220">IF(ISNUMBER(AC220),INDEX('All Player Data Store'!$T$7:$T$594,SMALL(IF('All Player Data Store'!$Y$7:$Y$594=AC220,ROW('All Player Data Store'!$Y$7:$Y$594)-ROW('All Player Data Store'!$Y$7)+1),COUNTIF($AC$8:AC220,AC220))),"")</f>
        <v/>
      </c>
      <c r="Y220" s="108" t="str">
        <f t="array" ref="Y220">IF(ISNUMBER(AC220),INDEX('All Player Data Store'!$U$7:$U$594,SMALL(IF('All Player Data Store'!$Y$7:$Y$594=AC220,ROW('All Player Data Store'!$Y$7:$Y$594)-ROW('All Player Data Store'!$Y$7)+1),COUNTIF($AC$8:AC220,AC220))),"")</f>
        <v/>
      </c>
      <c r="Z220" s="108" t="str">
        <f t="array" ref="Z220">IF(ISNUMBER(AC220),INDEX('All Player Data Store'!$V$7:$V$594,SMALL(IF('All Player Data Store'!$Y$7:$Y$594=AC220,ROW('All Player Data Store'!$Y$7:$Y$594)-ROW('All Player Data Store'!$Y$7)+1),COUNTIF($AC$8:AC220,AC220))),"")</f>
        <v/>
      </c>
      <c r="AA220" s="112" t="str">
        <f t="array" ref="AA220">IF(ISNUMBER(AC220),INDEX('All Player Data Store'!$W$7:$W$594,SMALL(IF('All Player Data Store'!$Y$7:$Y$594=AC220,ROW('All Player Data Store'!$Y$7:$Y$594)-ROW('All Player Data Store'!$Y$7)+1),COUNTIF($AC$8:AC220,AC220))),"")</f>
        <v/>
      </c>
      <c r="AB220" s="108" t="str">
        <f t="array" ref="AB220">IF(ISNUMBER(AC220),INDEX('All Player Data Store'!$X$7:$X$594,SMALL(IF('All Player Data Store'!$Y$7:$Y$594=AC220,ROW('All Player Data Store'!$Y$7:$Y$594)-ROW('All Player Data Store'!$Y$7)+1),COUNTIF($AC$8:AC220,AC220))),"")</f>
        <v/>
      </c>
      <c r="AC220" s="115" t="str">
        <f>IF(ISERROR(IF(ISERROR(LARGE('All Player Data Store'!$Y$7:$Y$594,213)),"",(LARGE('All Player Data Store'!$Y$7:$Y$594,213)))),"",(IF(ISERROR(LARGE('All Player Data Store'!$Y$7:$Y$594,213)),"",(LARGE('All Player Data Store'!$Y$7:$Y$594,213)))))</f>
        <v/>
      </c>
      <c r="AD220" s="106">
        <f t="shared" si="16"/>
        <v>1</v>
      </c>
      <c r="AE220" s="107" t="str">
        <f t="array" ref="AE220">IF(ISNUMBER(AC220),INDEX('All Player Data Store'!$J$8:$J$594,SMALL(IF('All Player Data Store'!$Y$7:$Y$594=AC220,ROW('All Player Data Store'!$Y$7:$Y$594)-ROW('All Player Data Store'!$Y$7)+1),COUNTIF($AC$8:AC220,AC220))),"")</f>
        <v/>
      </c>
      <c r="AF220" s="108" t="str">
        <f t="shared" si="3"/>
        <v/>
      </c>
      <c r="AG220" s="108" t="str">
        <f t="array" ref="AG220">IF(ISNUMBER(AC220),INDEX('All Player Data Store'!$K$8:$K$594,SMALL(IF('All Player Data Store'!$Y$7:$Y$594=AC220,ROW('All Player Data Store'!$Y$7:$Y$594)-ROW('All Player Data Store'!$Y$7)+1),COUNTIF($AC$8:AC220,AC220))),"")</f>
        <v/>
      </c>
      <c r="AH220" s="108" t="str">
        <f t="shared" si="4"/>
        <v/>
      </c>
      <c r="AI220" s="108" t="str">
        <f t="array" ref="AI220">IF(ISNUMBER(AC220),INDEX('All Player Data Store'!$L$8:$L$594,SMALL(IF('All Player Data Store'!$Y$7:$Y$594=AC220,ROW('All Player Data Store'!$Y$7:$Y$594)-ROW('All Player Data Store'!$Y$7)+1),COUNTIF($AC$8:AC220,AC220))),"")</f>
        <v/>
      </c>
      <c r="AJ220" s="108" t="str">
        <f t="shared" si="5"/>
        <v/>
      </c>
      <c r="AK220" s="108" t="str">
        <f t="array" ref="AK220">IF(ISNUMBER(AC220),INDEX('All Player Data Store'!$M$8:$M$594,SMALL(IF('All Player Data Store'!$Y$7:$Y$594=AC220,ROW('All Player Data Store'!$Y$7:$Y$594)-ROW('All Player Data Store'!$Y$7)+1),COUNTIF($AC$8:AC220,AC220))),"")</f>
        <v/>
      </c>
      <c r="AL220" s="108" t="str">
        <f t="shared" si="6"/>
        <v/>
      </c>
      <c r="AM220" s="108" t="str">
        <f t="array" ref="AM220">IF(ISNUMBER(AC220),INDEX('All Player Data Store'!$N$8:$N$594,SMALL(IF('All Player Data Store'!$Y$7:$Y$594=AC220,ROW('All Player Data Store'!$Y$7:$Y$594)-ROW('All Player Data Store'!$Y$7)+1),COUNTIF($AC$8:AC220,AC220))),"")</f>
        <v/>
      </c>
      <c r="AN220" s="108" t="str">
        <f t="shared" si="7"/>
        <v/>
      </c>
      <c r="AO220" s="108" t="str">
        <f t="array" ref="AO220">IF(ISNUMBER(AC220),INDEX('All Player Data Store'!$O$8:$O$594,SMALL(IF('All Player Data Store'!$Y$7:$Y$594=AC220,ROW('All Player Data Store'!$Y$7:$Y$594)-ROW('All Player Data Store'!$Y$7)+1),COUNTIF($AC$8:AC220,AC220))),"")</f>
        <v/>
      </c>
      <c r="AP220" s="108" t="str">
        <f t="shared" si="8"/>
        <v/>
      </c>
      <c r="AQ220" s="108" t="str">
        <f t="array" ref="AQ220">IF(ISNUMBER(AC220),INDEX('All Player Data Store'!$P$8:$P$594,SMALL(IF('All Player Data Store'!$Y$7:$Y$594=AC220,ROW('All Player Data Store'!$Y$7:$Y$594)-ROW('All Player Data Store'!$Y$7)+1),COUNTIF($AC$8:AC220,AC220))),"")</f>
        <v/>
      </c>
      <c r="AR220" s="108" t="str">
        <f t="shared" si="9"/>
        <v/>
      </c>
      <c r="AS220" s="108" t="str">
        <f t="array" ref="AS220">IF(ISNUMBER(AC220),INDEX('All Player Data Store'!$Q$8:$Q$594,SMALL(IF('All Player Data Store'!$Y$7:$Y$594=AC220,ROW('All Player Data Store'!$Y$7:$Y$594)-ROW('All Player Data Store'!$Y$7)+1),COUNTIF($AC$8:AC220,AC220))),"")</f>
        <v/>
      </c>
      <c r="AT220" s="108" t="str">
        <f t="shared" si="10"/>
        <v/>
      </c>
      <c r="AU220" s="108" t="str">
        <f t="array" ref="AU220">IF(ISNUMBER(AC220),INDEX('All Player Data Store'!$R$8:$R$594,SMALL(IF('All Player Data Store'!$Y$7:$Y$594=AC220,ROW('All Player Data Store'!$Y$7:$Y$594)-ROW('All Player Data Store'!$Y$7)+1),COUNTIF($AC$8:AC220,AC220))),"")</f>
        <v/>
      </c>
      <c r="AV220" s="108" t="str">
        <f t="shared" si="11"/>
        <v/>
      </c>
      <c r="AW220" s="108" t="str">
        <f t="array" ref="AW220">IF(ISNUMBER(AC220),INDEX('All Player Data Store'!$S$8:$S$594,SMALL(IF('All Player Data Store'!$Y$7:$Y$594=AC220,ROW('All Player Data Store'!$Y$7:$Y$594)-ROW('All Player Data Store'!$Y$7)+1),COUNTIF($AC$8:AC220,AC220))),"")</f>
        <v/>
      </c>
      <c r="AX220" s="108" t="str">
        <f t="shared" si="12"/>
        <v/>
      </c>
      <c r="AY220" s="108" t="str">
        <f t="array" ref="AY220">IF(ISNUMBER(AC220),INDEX('All Player Data Store'!$T$8:$T$594,SMALL(IF('All Player Data Store'!$Y$7:$Y$594=AC220,ROW('All Player Data Store'!$Y$7:$Y$594)-ROW('All Player Data Store'!$Y$7)+1),COUNTIF($AC$8:AC220,AC220))),"")</f>
        <v/>
      </c>
      <c r="AZ220" s="108" t="str">
        <f t="shared" si="13"/>
        <v/>
      </c>
      <c r="BA220" s="108" t="str">
        <f t="array" ref="BA220">IF(ISNUMBER(AC220),INDEX('All Player Data Store'!$U$8:$U$594,SMALL(IF('All Player Data Store'!$Y$7:$Y$594=AC220,ROW('All Player Data Store'!$Y$7:$Y$594)-ROW('All Player Data Store'!$Y$7)+1),COUNTIF($AC$8:AC220,AC220))),"")</f>
        <v/>
      </c>
      <c r="BB220" s="108" t="str">
        <f t="shared" si="14"/>
        <v/>
      </c>
      <c r="BC220" s="108" t="str">
        <f t="array" ref="BC220">IF(ISNUMBER(AC220),INDEX('All Player Data Store'!$V$8:$V$594,SMALL(IF('All Player Data Store'!$Y$7:$Y$594=AC220,ROW('All Player Data Store'!$Y$7:$Y$594)-ROW('All Player Data Store'!$Y$7)+1),COUNTIF($AC$8:AC220,AC220))),"")</f>
        <v/>
      </c>
      <c r="BD220" s="108" t="str">
        <f t="shared" si="15"/>
        <v/>
      </c>
      <c r="BE220" s="1"/>
    </row>
    <row r="221" spans="2:57" ht="12" customHeight="1" x14ac:dyDescent="0.2">
      <c r="B221" s="98" t="str">
        <f t="shared" si="0"/>
        <v/>
      </c>
      <c r="C221" s="1"/>
      <c r="D221" s="68" t="str">
        <f t="shared" si="1"/>
        <v/>
      </c>
      <c r="E221" s="2"/>
      <c r="F221" s="78">
        <v>214</v>
      </c>
      <c r="G221" s="110" t="str">
        <f t="array" ref="G221">IF(ISNUMBER(AC221),INDEX('All Player Data Store'!$C$7:$C$594,SMALL(IF('All Player Data Store'!$Y$7:$Y$594=AC221,ROW('All Player Data Store'!$Y$7:$Y$594)-ROW('All Player Data Store'!$Y$7)+1),COUNTIF($AC$8:AC221,AC221))),"")</f>
        <v/>
      </c>
      <c r="H221" s="68" t="str">
        <f t="array" ref="H221">IF(ISNUMBER(AC221),INDEX('All Player Data Store'!$D$7:$D$594,SMALL(IF('All Player Data Store'!$Y$7:$Y$594=AC221,ROW('All Player Data Store'!$Y$7:$Y$594)-ROW('All Player Data Store'!$Y$7)+1),COUNTIF($AC$8:AC221,AC221))),"")</f>
        <v/>
      </c>
      <c r="I221" s="69" t="str">
        <f t="array" ref="I221">IF(ISNUMBER(AC221),INDEX('All Player Data Store'!$E$7:$E$594,SMALL(IF('All Player Data Store'!$Y$7:$Y$594=AC221,ROW('All Player Data Store'!$Y$7:$Y$594)-ROW('All Player Data Store'!$Y$7)+1),COUNTIF($AC$8:AC221,AC221))),"")</f>
        <v/>
      </c>
      <c r="J221" s="70" t="str">
        <f t="array" ref="J221">IF(ISNUMBER(AC221),INDEX('All Player Data Store'!$F$7:$F$594,SMALL(IF('All Player Data Store'!$Y$7:$Y$594=AC221,ROW('All Player Data Store'!$Y$7:$Y$594)-ROW('All Player Data Store'!$Y$7)+1),COUNTIF($AC$8:AC221,AC221))),"")</f>
        <v/>
      </c>
      <c r="K221" s="70" t="str">
        <f t="array" ref="K221">IF(ISNUMBER(AC221),INDEX('All Player Data Store'!$G$7:$G$594,SMALL(IF('All Player Data Store'!$Y$7:$Y$594=AC221,ROW('All Player Data Store'!$Y$7:$Y$594)-ROW('All Player Data Store'!$Y$7)+1),COUNTIF($AC$8:AC221,AC221))),"")</f>
        <v/>
      </c>
      <c r="L221" s="70" t="str">
        <f t="array" ref="L221">IF(ISNUMBER(AC221),INDEX('All Player Data Store'!$H$7:$H$594,SMALL(IF('All Player Data Store'!$Y$7:$Y$594=AC221,ROW('All Player Data Store'!$Y$7:$Y$594)-ROW('All Player Data Store'!$Y$7)+1),COUNTIF($AC$8:AC221,AC221))),"")</f>
        <v/>
      </c>
      <c r="M221" s="72" t="str">
        <f t="array" ref="M221">IF(ISNUMBER(AC221),INDEX('All Player Data Store'!$I$7:$I$594,SMALL(IF('All Player Data Store'!$Y$7:$Y$594=AC221,ROW('All Player Data Store'!$Y$7:$Y$594)-ROW('All Player Data Store'!$Y$7)+1),COUNTIF($AC$8:AC221,AC221))),"")</f>
        <v/>
      </c>
      <c r="N221" s="114" t="str">
        <f t="array" ref="N221">IF(ISNUMBER(AC221),INDEX('All Player Data Store'!$J$7:$J$594,SMALL(IF('All Player Data Store'!$Y$7:$Y$594=AC221,ROW('All Player Data Store'!$Y$7:$Y$594)-ROW('All Player Data Store'!$Y$7)+1),COUNTIF($AC$8:AC221,AC221))),"")</f>
        <v/>
      </c>
      <c r="O221" s="108" t="str">
        <f t="array" ref="O221">IF(ISNUMBER(AC221),INDEX('All Player Data Store'!$K$7:$K$594,SMALL(IF('All Player Data Store'!$Y$7:$Y$594=AC221,ROW('All Player Data Store'!$Y$7:$Y$594)-ROW('All Player Data Store'!$Y$7)+1),COUNTIF($AC$8:AC221,AC221))),"")</f>
        <v/>
      </c>
      <c r="P221" s="108" t="str">
        <f t="array" ref="P221">IF(ISNUMBER(AC221),INDEX('All Player Data Store'!$L$7:$L$594,SMALL(IF('All Player Data Store'!$Y$7:$Y$594=AC221,ROW('All Player Data Store'!$Y$7:$Y$594)-ROW('All Player Data Store'!$Y$7)+1),COUNTIF($AC$8:AC221,AC221))),"")</f>
        <v/>
      </c>
      <c r="Q221" s="108" t="str">
        <f t="array" ref="Q221">IF(ISNUMBER(AC221),INDEX('All Player Data Store'!$M$7:$M$594,SMALL(IF('All Player Data Store'!$Y$7:$Y$594=AC221,ROW('All Player Data Store'!$Y$7:$Y$594)-ROW('All Player Data Store'!$Y$7)+1),COUNTIF($AC$8:AC221,AC221))),"")</f>
        <v/>
      </c>
      <c r="R221" s="108" t="str">
        <f t="array" ref="R221">IF(ISNUMBER(AC221),INDEX('All Player Data Store'!$N$7:$N$594,SMALL(IF('All Player Data Store'!$Y$7:$Y$594=AC221,ROW('All Player Data Store'!$Y$7:$Y$594)-ROW('All Player Data Store'!$Y$7)+1),COUNTIF($AC$8:AC221,AC221))),"")</f>
        <v/>
      </c>
      <c r="S221" s="108" t="str">
        <f t="array" ref="S221">IF(ISNUMBER(AC221),INDEX('All Player Data Store'!$O$7:$O$594,SMALL(IF('All Player Data Store'!$Y$7:$Y$594=AC221,ROW('All Player Data Store'!$Y$7:$Y$594)-ROW('All Player Data Store'!$Y$7)+1),COUNTIF($AC$8:AC221,AC221))),"")</f>
        <v/>
      </c>
      <c r="T221" s="108" t="str">
        <f t="array" ref="T221">IF(ISNUMBER(AC221),INDEX('All Player Data Store'!$P$7:$P$594,SMALL(IF('All Player Data Store'!$Y$7:$Y$594=AC221,ROW('All Player Data Store'!$Y$7:$Y$594)-ROW('All Player Data Store'!$Y$7)+1),COUNTIF($AC$8:AC221,AC221))),"")</f>
        <v/>
      </c>
      <c r="U221" s="108" t="str">
        <f t="array" ref="U221">IF(ISNUMBER(AC221),INDEX('All Player Data Store'!$Q$7:$Q$594,SMALL(IF('All Player Data Store'!$Y$7:$Y$594=AC221,ROW('All Player Data Store'!$Y$7:$Y$594)-ROW('All Player Data Store'!$Y$7)+1),COUNTIF($AC$8:AC221,AC221))),"")</f>
        <v/>
      </c>
      <c r="V221" s="108" t="str">
        <f t="array" ref="V221">IF(ISNUMBER(AC221),INDEX('All Player Data Store'!$R$7:$R$594,SMALL(IF('All Player Data Store'!$Y$7:$Y$594=AC221,ROW('All Player Data Store'!$Y$7:$Y$594)-ROW('All Player Data Store'!$Y$7)+1),COUNTIF($AC$8:AC221,AC221))),"")</f>
        <v/>
      </c>
      <c r="W221" s="108" t="str">
        <f t="array" ref="W221">IF(ISNUMBER(AC221),INDEX('All Player Data Store'!$S$7:$S$594,SMALL(IF('All Player Data Store'!$Y$7:$Y$594=AC221,ROW('All Player Data Store'!$Y$7:$Y$594)-ROW('All Player Data Store'!$Y$7)+1),COUNTIF($AC$8:AC221,AC221))),"")</f>
        <v/>
      </c>
      <c r="X221" s="108" t="str">
        <f t="array" ref="X221">IF(ISNUMBER(AC221),INDEX('All Player Data Store'!$T$7:$T$594,SMALL(IF('All Player Data Store'!$Y$7:$Y$594=AC221,ROW('All Player Data Store'!$Y$7:$Y$594)-ROW('All Player Data Store'!$Y$7)+1),COUNTIF($AC$8:AC221,AC221))),"")</f>
        <v/>
      </c>
      <c r="Y221" s="108" t="str">
        <f t="array" ref="Y221">IF(ISNUMBER(AC221),INDEX('All Player Data Store'!$U$7:$U$594,SMALL(IF('All Player Data Store'!$Y$7:$Y$594=AC221,ROW('All Player Data Store'!$Y$7:$Y$594)-ROW('All Player Data Store'!$Y$7)+1),COUNTIF($AC$8:AC221,AC221))),"")</f>
        <v/>
      </c>
      <c r="Z221" s="108" t="str">
        <f t="array" ref="Z221">IF(ISNUMBER(AC221),INDEX('All Player Data Store'!$V$7:$V$594,SMALL(IF('All Player Data Store'!$Y$7:$Y$594=AC221,ROW('All Player Data Store'!$Y$7:$Y$594)-ROW('All Player Data Store'!$Y$7)+1),COUNTIF($AC$8:AC221,AC221))),"")</f>
        <v/>
      </c>
      <c r="AA221" s="112" t="str">
        <f t="array" ref="AA221">IF(ISNUMBER(AC221),INDEX('All Player Data Store'!$W$7:$W$594,SMALL(IF('All Player Data Store'!$Y$7:$Y$594=AC221,ROW('All Player Data Store'!$Y$7:$Y$594)-ROW('All Player Data Store'!$Y$7)+1),COUNTIF($AC$8:AC221,AC221))),"")</f>
        <v/>
      </c>
      <c r="AB221" s="108" t="str">
        <f t="array" ref="AB221">IF(ISNUMBER(AC221),INDEX('All Player Data Store'!$X$7:$X$594,SMALL(IF('All Player Data Store'!$Y$7:$Y$594=AC221,ROW('All Player Data Store'!$Y$7:$Y$594)-ROW('All Player Data Store'!$Y$7)+1),COUNTIF($AC$8:AC221,AC221))),"")</f>
        <v/>
      </c>
      <c r="AC221" s="115" t="str">
        <f>IF(ISERROR(IF(ISERROR(LARGE('All Player Data Store'!$Y$7:$Y$594,214)),"",(LARGE('All Player Data Store'!$Y$7:$Y$594,214)))),"",(IF(ISERROR(LARGE('All Player Data Store'!$Y$7:$Y$594,214)),"",(LARGE('All Player Data Store'!$Y$7:$Y$594,214)))))</f>
        <v/>
      </c>
      <c r="AD221" s="106">
        <f t="shared" si="16"/>
        <v>1</v>
      </c>
      <c r="AE221" s="107" t="str">
        <f t="array" ref="AE221">IF(ISNUMBER(AC221),INDEX('All Player Data Store'!$J$8:$J$594,SMALL(IF('All Player Data Store'!$Y$7:$Y$594=AC221,ROW('All Player Data Store'!$Y$7:$Y$594)-ROW('All Player Data Store'!$Y$7)+1),COUNTIF($AC$8:AC221,AC221))),"")</f>
        <v/>
      </c>
      <c r="AF221" s="108" t="str">
        <f t="shared" si="3"/>
        <v/>
      </c>
      <c r="AG221" s="108" t="str">
        <f t="array" ref="AG221">IF(ISNUMBER(AC221),INDEX('All Player Data Store'!$K$8:$K$594,SMALL(IF('All Player Data Store'!$Y$7:$Y$594=AC221,ROW('All Player Data Store'!$Y$7:$Y$594)-ROW('All Player Data Store'!$Y$7)+1),COUNTIF($AC$8:AC221,AC221))),"")</f>
        <v/>
      </c>
      <c r="AH221" s="108" t="str">
        <f t="shared" si="4"/>
        <v/>
      </c>
      <c r="AI221" s="108" t="str">
        <f t="array" ref="AI221">IF(ISNUMBER(AC221),INDEX('All Player Data Store'!$L$8:$L$594,SMALL(IF('All Player Data Store'!$Y$7:$Y$594=AC221,ROW('All Player Data Store'!$Y$7:$Y$594)-ROW('All Player Data Store'!$Y$7)+1),COUNTIF($AC$8:AC221,AC221))),"")</f>
        <v/>
      </c>
      <c r="AJ221" s="108" t="str">
        <f t="shared" si="5"/>
        <v/>
      </c>
      <c r="AK221" s="108" t="str">
        <f t="array" ref="AK221">IF(ISNUMBER(AC221),INDEX('All Player Data Store'!$M$8:$M$594,SMALL(IF('All Player Data Store'!$Y$7:$Y$594=AC221,ROW('All Player Data Store'!$Y$7:$Y$594)-ROW('All Player Data Store'!$Y$7)+1),COUNTIF($AC$8:AC221,AC221))),"")</f>
        <v/>
      </c>
      <c r="AL221" s="108" t="str">
        <f t="shared" si="6"/>
        <v/>
      </c>
      <c r="AM221" s="108" t="str">
        <f t="array" ref="AM221">IF(ISNUMBER(AC221),INDEX('All Player Data Store'!$N$8:$N$594,SMALL(IF('All Player Data Store'!$Y$7:$Y$594=AC221,ROW('All Player Data Store'!$Y$7:$Y$594)-ROW('All Player Data Store'!$Y$7)+1),COUNTIF($AC$8:AC221,AC221))),"")</f>
        <v/>
      </c>
      <c r="AN221" s="108" t="str">
        <f t="shared" si="7"/>
        <v/>
      </c>
      <c r="AO221" s="108" t="str">
        <f t="array" ref="AO221">IF(ISNUMBER(AC221),INDEX('All Player Data Store'!$O$8:$O$594,SMALL(IF('All Player Data Store'!$Y$7:$Y$594=AC221,ROW('All Player Data Store'!$Y$7:$Y$594)-ROW('All Player Data Store'!$Y$7)+1),COUNTIF($AC$8:AC221,AC221))),"")</f>
        <v/>
      </c>
      <c r="AP221" s="108" t="str">
        <f t="shared" si="8"/>
        <v/>
      </c>
      <c r="AQ221" s="108" t="str">
        <f t="array" ref="AQ221">IF(ISNUMBER(AC221),INDEX('All Player Data Store'!$P$8:$P$594,SMALL(IF('All Player Data Store'!$Y$7:$Y$594=AC221,ROW('All Player Data Store'!$Y$7:$Y$594)-ROW('All Player Data Store'!$Y$7)+1),COUNTIF($AC$8:AC221,AC221))),"")</f>
        <v/>
      </c>
      <c r="AR221" s="108" t="str">
        <f t="shared" si="9"/>
        <v/>
      </c>
      <c r="AS221" s="108" t="str">
        <f t="array" ref="AS221">IF(ISNUMBER(AC221),INDEX('All Player Data Store'!$Q$8:$Q$594,SMALL(IF('All Player Data Store'!$Y$7:$Y$594=AC221,ROW('All Player Data Store'!$Y$7:$Y$594)-ROW('All Player Data Store'!$Y$7)+1),COUNTIF($AC$8:AC221,AC221))),"")</f>
        <v/>
      </c>
      <c r="AT221" s="108" t="str">
        <f t="shared" si="10"/>
        <v/>
      </c>
      <c r="AU221" s="108" t="str">
        <f t="array" ref="AU221">IF(ISNUMBER(AC221),INDEX('All Player Data Store'!$R$8:$R$594,SMALL(IF('All Player Data Store'!$Y$7:$Y$594=AC221,ROW('All Player Data Store'!$Y$7:$Y$594)-ROW('All Player Data Store'!$Y$7)+1),COUNTIF($AC$8:AC221,AC221))),"")</f>
        <v/>
      </c>
      <c r="AV221" s="108" t="str">
        <f t="shared" si="11"/>
        <v/>
      </c>
      <c r="AW221" s="108" t="str">
        <f t="array" ref="AW221">IF(ISNUMBER(AC221),INDEX('All Player Data Store'!$S$8:$S$594,SMALL(IF('All Player Data Store'!$Y$7:$Y$594=AC221,ROW('All Player Data Store'!$Y$7:$Y$594)-ROW('All Player Data Store'!$Y$7)+1),COUNTIF($AC$8:AC221,AC221))),"")</f>
        <v/>
      </c>
      <c r="AX221" s="108" t="str">
        <f t="shared" si="12"/>
        <v/>
      </c>
      <c r="AY221" s="108" t="str">
        <f t="array" ref="AY221">IF(ISNUMBER(AC221),INDEX('All Player Data Store'!$T$8:$T$594,SMALL(IF('All Player Data Store'!$Y$7:$Y$594=AC221,ROW('All Player Data Store'!$Y$7:$Y$594)-ROW('All Player Data Store'!$Y$7)+1),COUNTIF($AC$8:AC221,AC221))),"")</f>
        <v/>
      </c>
      <c r="AZ221" s="108" t="str">
        <f t="shared" si="13"/>
        <v/>
      </c>
      <c r="BA221" s="108" t="str">
        <f t="array" ref="BA221">IF(ISNUMBER(AC221),INDEX('All Player Data Store'!$U$8:$U$594,SMALL(IF('All Player Data Store'!$Y$7:$Y$594=AC221,ROW('All Player Data Store'!$Y$7:$Y$594)-ROW('All Player Data Store'!$Y$7)+1),COUNTIF($AC$8:AC221,AC221))),"")</f>
        <v/>
      </c>
      <c r="BB221" s="108" t="str">
        <f t="shared" si="14"/>
        <v/>
      </c>
      <c r="BC221" s="108" t="str">
        <f t="array" ref="BC221">IF(ISNUMBER(AC221),INDEX('All Player Data Store'!$V$8:$V$594,SMALL(IF('All Player Data Store'!$Y$7:$Y$594=AC221,ROW('All Player Data Store'!$Y$7:$Y$594)-ROW('All Player Data Store'!$Y$7)+1),COUNTIF($AC$8:AC221,AC221))),"")</f>
        <v/>
      </c>
      <c r="BD221" s="108" t="str">
        <f t="shared" si="15"/>
        <v/>
      </c>
      <c r="BE221" s="1"/>
    </row>
    <row r="222" spans="2:57" ht="12" customHeight="1" x14ac:dyDescent="0.2">
      <c r="B222" s="98" t="str">
        <f t="shared" si="0"/>
        <v/>
      </c>
      <c r="C222" s="1"/>
      <c r="D222" s="68" t="str">
        <f t="shared" si="1"/>
        <v/>
      </c>
      <c r="E222" s="2"/>
      <c r="F222" s="78">
        <v>215</v>
      </c>
      <c r="G222" s="110" t="str">
        <f t="array" ref="G222">IF(ISNUMBER(AC222),INDEX('All Player Data Store'!$C$7:$C$594,SMALL(IF('All Player Data Store'!$Y$7:$Y$594=AC222,ROW('All Player Data Store'!$Y$7:$Y$594)-ROW('All Player Data Store'!$Y$7)+1),COUNTIF($AC$8:AC222,AC222))),"")</f>
        <v/>
      </c>
      <c r="H222" s="68" t="str">
        <f t="array" ref="H222">IF(ISNUMBER(AC222),INDEX('All Player Data Store'!$D$7:$D$594,SMALL(IF('All Player Data Store'!$Y$7:$Y$594=AC222,ROW('All Player Data Store'!$Y$7:$Y$594)-ROW('All Player Data Store'!$Y$7)+1),COUNTIF($AC$8:AC222,AC222))),"")</f>
        <v/>
      </c>
      <c r="I222" s="69" t="str">
        <f t="array" ref="I222">IF(ISNUMBER(AC222),INDEX('All Player Data Store'!$E$7:$E$594,SMALL(IF('All Player Data Store'!$Y$7:$Y$594=AC222,ROW('All Player Data Store'!$Y$7:$Y$594)-ROW('All Player Data Store'!$Y$7)+1),COUNTIF($AC$8:AC222,AC222))),"")</f>
        <v/>
      </c>
      <c r="J222" s="70" t="str">
        <f t="array" ref="J222">IF(ISNUMBER(AC222),INDEX('All Player Data Store'!$F$7:$F$594,SMALL(IF('All Player Data Store'!$Y$7:$Y$594=AC222,ROW('All Player Data Store'!$Y$7:$Y$594)-ROW('All Player Data Store'!$Y$7)+1),COUNTIF($AC$8:AC222,AC222))),"")</f>
        <v/>
      </c>
      <c r="K222" s="70" t="str">
        <f t="array" ref="K222">IF(ISNUMBER(AC222),INDEX('All Player Data Store'!$G$7:$G$594,SMALL(IF('All Player Data Store'!$Y$7:$Y$594=AC222,ROW('All Player Data Store'!$Y$7:$Y$594)-ROW('All Player Data Store'!$Y$7)+1),COUNTIF($AC$8:AC222,AC222))),"")</f>
        <v/>
      </c>
      <c r="L222" s="70" t="str">
        <f t="array" ref="L222">IF(ISNUMBER(AC222),INDEX('All Player Data Store'!$H$7:$H$594,SMALL(IF('All Player Data Store'!$Y$7:$Y$594=AC222,ROW('All Player Data Store'!$Y$7:$Y$594)-ROW('All Player Data Store'!$Y$7)+1),COUNTIF($AC$8:AC222,AC222))),"")</f>
        <v/>
      </c>
      <c r="M222" s="72" t="str">
        <f t="array" ref="M222">IF(ISNUMBER(AC222),INDEX('All Player Data Store'!$I$7:$I$594,SMALL(IF('All Player Data Store'!$Y$7:$Y$594=AC222,ROW('All Player Data Store'!$Y$7:$Y$594)-ROW('All Player Data Store'!$Y$7)+1),COUNTIF($AC$8:AC222,AC222))),"")</f>
        <v/>
      </c>
      <c r="N222" s="114" t="str">
        <f t="array" ref="N222">IF(ISNUMBER(AC222),INDEX('All Player Data Store'!$J$7:$J$594,SMALL(IF('All Player Data Store'!$Y$7:$Y$594=AC222,ROW('All Player Data Store'!$Y$7:$Y$594)-ROW('All Player Data Store'!$Y$7)+1),COUNTIF($AC$8:AC222,AC222))),"")</f>
        <v/>
      </c>
      <c r="O222" s="108" t="str">
        <f t="array" ref="O222">IF(ISNUMBER(AC222),INDEX('All Player Data Store'!$K$7:$K$594,SMALL(IF('All Player Data Store'!$Y$7:$Y$594=AC222,ROW('All Player Data Store'!$Y$7:$Y$594)-ROW('All Player Data Store'!$Y$7)+1),COUNTIF($AC$8:AC222,AC222))),"")</f>
        <v/>
      </c>
      <c r="P222" s="108" t="str">
        <f t="array" ref="P222">IF(ISNUMBER(AC222),INDEX('All Player Data Store'!$L$7:$L$594,SMALL(IF('All Player Data Store'!$Y$7:$Y$594=AC222,ROW('All Player Data Store'!$Y$7:$Y$594)-ROW('All Player Data Store'!$Y$7)+1),COUNTIF($AC$8:AC222,AC222))),"")</f>
        <v/>
      </c>
      <c r="Q222" s="108" t="str">
        <f t="array" ref="Q222">IF(ISNUMBER(AC222),INDEX('All Player Data Store'!$M$7:$M$594,SMALL(IF('All Player Data Store'!$Y$7:$Y$594=AC222,ROW('All Player Data Store'!$Y$7:$Y$594)-ROW('All Player Data Store'!$Y$7)+1),COUNTIF($AC$8:AC222,AC222))),"")</f>
        <v/>
      </c>
      <c r="R222" s="108" t="str">
        <f t="array" ref="R222">IF(ISNUMBER(AC222),INDEX('All Player Data Store'!$N$7:$N$594,SMALL(IF('All Player Data Store'!$Y$7:$Y$594=AC222,ROW('All Player Data Store'!$Y$7:$Y$594)-ROW('All Player Data Store'!$Y$7)+1),COUNTIF($AC$8:AC222,AC222))),"")</f>
        <v/>
      </c>
      <c r="S222" s="108" t="str">
        <f t="array" ref="S222">IF(ISNUMBER(AC222),INDEX('All Player Data Store'!$O$7:$O$594,SMALL(IF('All Player Data Store'!$Y$7:$Y$594=AC222,ROW('All Player Data Store'!$Y$7:$Y$594)-ROW('All Player Data Store'!$Y$7)+1),COUNTIF($AC$8:AC222,AC222))),"")</f>
        <v/>
      </c>
      <c r="T222" s="108" t="str">
        <f t="array" ref="T222">IF(ISNUMBER(AC222),INDEX('All Player Data Store'!$P$7:$P$594,SMALL(IF('All Player Data Store'!$Y$7:$Y$594=AC222,ROW('All Player Data Store'!$Y$7:$Y$594)-ROW('All Player Data Store'!$Y$7)+1),COUNTIF($AC$8:AC222,AC222))),"")</f>
        <v/>
      </c>
      <c r="U222" s="108" t="str">
        <f t="array" ref="U222">IF(ISNUMBER(AC222),INDEX('All Player Data Store'!$Q$7:$Q$594,SMALL(IF('All Player Data Store'!$Y$7:$Y$594=AC222,ROW('All Player Data Store'!$Y$7:$Y$594)-ROW('All Player Data Store'!$Y$7)+1),COUNTIF($AC$8:AC222,AC222))),"")</f>
        <v/>
      </c>
      <c r="V222" s="108" t="str">
        <f t="array" ref="V222">IF(ISNUMBER(AC222),INDEX('All Player Data Store'!$R$7:$R$594,SMALL(IF('All Player Data Store'!$Y$7:$Y$594=AC222,ROW('All Player Data Store'!$Y$7:$Y$594)-ROW('All Player Data Store'!$Y$7)+1),COUNTIF($AC$8:AC222,AC222))),"")</f>
        <v/>
      </c>
      <c r="W222" s="108" t="str">
        <f t="array" ref="W222">IF(ISNUMBER(AC222),INDEX('All Player Data Store'!$S$7:$S$594,SMALL(IF('All Player Data Store'!$Y$7:$Y$594=AC222,ROW('All Player Data Store'!$Y$7:$Y$594)-ROW('All Player Data Store'!$Y$7)+1),COUNTIF($AC$8:AC222,AC222))),"")</f>
        <v/>
      </c>
      <c r="X222" s="108" t="str">
        <f t="array" ref="X222">IF(ISNUMBER(AC222),INDEX('All Player Data Store'!$T$7:$T$594,SMALL(IF('All Player Data Store'!$Y$7:$Y$594=AC222,ROW('All Player Data Store'!$Y$7:$Y$594)-ROW('All Player Data Store'!$Y$7)+1),COUNTIF($AC$8:AC222,AC222))),"")</f>
        <v/>
      </c>
      <c r="Y222" s="108" t="str">
        <f t="array" ref="Y222">IF(ISNUMBER(AC222),INDEX('All Player Data Store'!$U$7:$U$594,SMALL(IF('All Player Data Store'!$Y$7:$Y$594=AC222,ROW('All Player Data Store'!$Y$7:$Y$594)-ROW('All Player Data Store'!$Y$7)+1),COUNTIF($AC$8:AC222,AC222))),"")</f>
        <v/>
      </c>
      <c r="Z222" s="108" t="str">
        <f t="array" ref="Z222">IF(ISNUMBER(AC222),INDEX('All Player Data Store'!$V$7:$V$594,SMALL(IF('All Player Data Store'!$Y$7:$Y$594=AC222,ROW('All Player Data Store'!$Y$7:$Y$594)-ROW('All Player Data Store'!$Y$7)+1),COUNTIF($AC$8:AC222,AC222))),"")</f>
        <v/>
      </c>
      <c r="AA222" s="112" t="str">
        <f t="array" ref="AA222">IF(ISNUMBER(AC222),INDEX('All Player Data Store'!$W$7:$W$594,SMALL(IF('All Player Data Store'!$Y$7:$Y$594=AC222,ROW('All Player Data Store'!$Y$7:$Y$594)-ROW('All Player Data Store'!$Y$7)+1),COUNTIF($AC$8:AC222,AC222))),"")</f>
        <v/>
      </c>
      <c r="AB222" s="108" t="str">
        <f t="array" ref="AB222">IF(ISNUMBER(AC222),INDEX('All Player Data Store'!$X$7:$X$594,SMALL(IF('All Player Data Store'!$Y$7:$Y$594=AC222,ROW('All Player Data Store'!$Y$7:$Y$594)-ROW('All Player Data Store'!$Y$7)+1),COUNTIF($AC$8:AC222,AC222))),"")</f>
        <v/>
      </c>
      <c r="AC222" s="115" t="str">
        <f>IF(ISERROR(IF(ISERROR(LARGE('All Player Data Store'!$Y$7:$Y$594,215)),"",(LARGE('All Player Data Store'!$Y$7:$Y$594,215)))),"",(IF(ISERROR(LARGE('All Player Data Store'!$Y$7:$Y$594,215)),"",(LARGE('All Player Data Store'!$Y$7:$Y$594,215)))))</f>
        <v/>
      </c>
      <c r="AD222" s="106">
        <f t="shared" si="16"/>
        <v>1</v>
      </c>
      <c r="AE222" s="107" t="str">
        <f t="array" ref="AE222">IF(ISNUMBER(AC222),INDEX('All Player Data Store'!$J$8:$J$594,SMALL(IF('All Player Data Store'!$Y$7:$Y$594=AC222,ROW('All Player Data Store'!$Y$7:$Y$594)-ROW('All Player Data Store'!$Y$7)+1),COUNTIF($AC$8:AC222,AC222))),"")</f>
        <v/>
      </c>
      <c r="AF222" s="108" t="str">
        <f t="shared" si="3"/>
        <v/>
      </c>
      <c r="AG222" s="108" t="str">
        <f t="array" ref="AG222">IF(ISNUMBER(AC222),INDEX('All Player Data Store'!$K$8:$K$594,SMALL(IF('All Player Data Store'!$Y$7:$Y$594=AC222,ROW('All Player Data Store'!$Y$7:$Y$594)-ROW('All Player Data Store'!$Y$7)+1),COUNTIF($AC$8:AC222,AC222))),"")</f>
        <v/>
      </c>
      <c r="AH222" s="108" t="str">
        <f t="shared" si="4"/>
        <v/>
      </c>
      <c r="AI222" s="108" t="str">
        <f t="array" ref="AI222">IF(ISNUMBER(AC222),INDEX('All Player Data Store'!$L$8:$L$594,SMALL(IF('All Player Data Store'!$Y$7:$Y$594=AC222,ROW('All Player Data Store'!$Y$7:$Y$594)-ROW('All Player Data Store'!$Y$7)+1),COUNTIF($AC$8:AC222,AC222))),"")</f>
        <v/>
      </c>
      <c r="AJ222" s="108" t="str">
        <f t="shared" si="5"/>
        <v/>
      </c>
      <c r="AK222" s="108" t="str">
        <f t="array" ref="AK222">IF(ISNUMBER(AC222),INDEX('All Player Data Store'!$M$8:$M$594,SMALL(IF('All Player Data Store'!$Y$7:$Y$594=AC222,ROW('All Player Data Store'!$Y$7:$Y$594)-ROW('All Player Data Store'!$Y$7)+1),COUNTIF($AC$8:AC222,AC222))),"")</f>
        <v/>
      </c>
      <c r="AL222" s="108" t="str">
        <f t="shared" si="6"/>
        <v/>
      </c>
      <c r="AM222" s="108" t="str">
        <f t="array" ref="AM222">IF(ISNUMBER(AC222),INDEX('All Player Data Store'!$N$8:$N$594,SMALL(IF('All Player Data Store'!$Y$7:$Y$594=AC222,ROW('All Player Data Store'!$Y$7:$Y$594)-ROW('All Player Data Store'!$Y$7)+1),COUNTIF($AC$8:AC222,AC222))),"")</f>
        <v/>
      </c>
      <c r="AN222" s="108" t="str">
        <f t="shared" si="7"/>
        <v/>
      </c>
      <c r="AO222" s="108" t="str">
        <f t="array" ref="AO222">IF(ISNUMBER(AC222),INDEX('All Player Data Store'!$O$8:$O$594,SMALL(IF('All Player Data Store'!$Y$7:$Y$594=AC222,ROW('All Player Data Store'!$Y$7:$Y$594)-ROW('All Player Data Store'!$Y$7)+1),COUNTIF($AC$8:AC222,AC222))),"")</f>
        <v/>
      </c>
      <c r="AP222" s="108" t="str">
        <f t="shared" si="8"/>
        <v/>
      </c>
      <c r="AQ222" s="108" t="str">
        <f t="array" ref="AQ222">IF(ISNUMBER(AC222),INDEX('All Player Data Store'!$P$8:$P$594,SMALL(IF('All Player Data Store'!$Y$7:$Y$594=AC222,ROW('All Player Data Store'!$Y$7:$Y$594)-ROW('All Player Data Store'!$Y$7)+1),COUNTIF($AC$8:AC222,AC222))),"")</f>
        <v/>
      </c>
      <c r="AR222" s="108" t="str">
        <f t="shared" si="9"/>
        <v/>
      </c>
      <c r="AS222" s="108" t="str">
        <f t="array" ref="AS222">IF(ISNUMBER(AC222),INDEX('All Player Data Store'!$Q$8:$Q$594,SMALL(IF('All Player Data Store'!$Y$7:$Y$594=AC222,ROW('All Player Data Store'!$Y$7:$Y$594)-ROW('All Player Data Store'!$Y$7)+1),COUNTIF($AC$8:AC222,AC222))),"")</f>
        <v/>
      </c>
      <c r="AT222" s="108" t="str">
        <f t="shared" si="10"/>
        <v/>
      </c>
      <c r="AU222" s="108" t="str">
        <f t="array" ref="AU222">IF(ISNUMBER(AC222),INDEX('All Player Data Store'!$R$8:$R$594,SMALL(IF('All Player Data Store'!$Y$7:$Y$594=AC222,ROW('All Player Data Store'!$Y$7:$Y$594)-ROW('All Player Data Store'!$Y$7)+1),COUNTIF($AC$8:AC222,AC222))),"")</f>
        <v/>
      </c>
      <c r="AV222" s="108" t="str">
        <f t="shared" si="11"/>
        <v/>
      </c>
      <c r="AW222" s="108" t="str">
        <f t="array" ref="AW222">IF(ISNUMBER(AC222),INDEX('All Player Data Store'!$S$8:$S$594,SMALL(IF('All Player Data Store'!$Y$7:$Y$594=AC222,ROW('All Player Data Store'!$Y$7:$Y$594)-ROW('All Player Data Store'!$Y$7)+1),COUNTIF($AC$8:AC222,AC222))),"")</f>
        <v/>
      </c>
      <c r="AX222" s="108" t="str">
        <f t="shared" si="12"/>
        <v/>
      </c>
      <c r="AY222" s="108" t="str">
        <f t="array" ref="AY222">IF(ISNUMBER(AC222),INDEX('All Player Data Store'!$T$8:$T$594,SMALL(IF('All Player Data Store'!$Y$7:$Y$594=AC222,ROW('All Player Data Store'!$Y$7:$Y$594)-ROW('All Player Data Store'!$Y$7)+1),COUNTIF($AC$8:AC222,AC222))),"")</f>
        <v/>
      </c>
      <c r="AZ222" s="108" t="str">
        <f t="shared" si="13"/>
        <v/>
      </c>
      <c r="BA222" s="108" t="str">
        <f t="array" ref="BA222">IF(ISNUMBER(AC222),INDEX('All Player Data Store'!$U$8:$U$594,SMALL(IF('All Player Data Store'!$Y$7:$Y$594=AC222,ROW('All Player Data Store'!$Y$7:$Y$594)-ROW('All Player Data Store'!$Y$7)+1),COUNTIF($AC$8:AC222,AC222))),"")</f>
        <v/>
      </c>
      <c r="BB222" s="108" t="str">
        <f t="shared" si="14"/>
        <v/>
      </c>
      <c r="BC222" s="108" t="str">
        <f t="array" ref="BC222">IF(ISNUMBER(AC222),INDEX('All Player Data Store'!$V$8:$V$594,SMALL(IF('All Player Data Store'!$Y$7:$Y$594=AC222,ROW('All Player Data Store'!$Y$7:$Y$594)-ROW('All Player Data Store'!$Y$7)+1),COUNTIF($AC$8:AC222,AC222))),"")</f>
        <v/>
      </c>
      <c r="BD222" s="108" t="str">
        <f t="shared" si="15"/>
        <v/>
      </c>
      <c r="BE222" s="1"/>
    </row>
    <row r="223" spans="2:57" ht="12" customHeight="1" x14ac:dyDescent="0.2">
      <c r="B223" s="98" t="str">
        <f t="shared" si="0"/>
        <v/>
      </c>
      <c r="C223" s="1"/>
      <c r="D223" s="68" t="str">
        <f t="shared" si="1"/>
        <v/>
      </c>
      <c r="E223" s="2"/>
      <c r="F223" s="78">
        <v>216</v>
      </c>
      <c r="G223" s="110" t="str">
        <f t="array" ref="G223">IF(ISNUMBER(AC223),INDEX('All Player Data Store'!$C$7:$C$594,SMALL(IF('All Player Data Store'!$Y$7:$Y$594=AC223,ROW('All Player Data Store'!$Y$7:$Y$594)-ROW('All Player Data Store'!$Y$7)+1),COUNTIF($AC$8:AC223,AC223))),"")</f>
        <v/>
      </c>
      <c r="H223" s="68" t="str">
        <f t="array" ref="H223">IF(ISNUMBER(AC223),INDEX('All Player Data Store'!$D$7:$D$594,SMALL(IF('All Player Data Store'!$Y$7:$Y$594=AC223,ROW('All Player Data Store'!$Y$7:$Y$594)-ROW('All Player Data Store'!$Y$7)+1),COUNTIF($AC$8:AC223,AC223))),"")</f>
        <v/>
      </c>
      <c r="I223" s="69" t="str">
        <f t="array" ref="I223">IF(ISNUMBER(AC223),INDEX('All Player Data Store'!$E$7:$E$594,SMALL(IF('All Player Data Store'!$Y$7:$Y$594=AC223,ROW('All Player Data Store'!$Y$7:$Y$594)-ROW('All Player Data Store'!$Y$7)+1),COUNTIF($AC$8:AC223,AC223))),"")</f>
        <v/>
      </c>
      <c r="J223" s="70" t="str">
        <f t="array" ref="J223">IF(ISNUMBER(AC223),INDEX('All Player Data Store'!$F$7:$F$594,SMALL(IF('All Player Data Store'!$Y$7:$Y$594=AC223,ROW('All Player Data Store'!$Y$7:$Y$594)-ROW('All Player Data Store'!$Y$7)+1),COUNTIF($AC$8:AC223,AC223))),"")</f>
        <v/>
      </c>
      <c r="K223" s="70" t="str">
        <f t="array" ref="K223">IF(ISNUMBER(AC223),INDEX('All Player Data Store'!$G$7:$G$594,SMALL(IF('All Player Data Store'!$Y$7:$Y$594=AC223,ROW('All Player Data Store'!$Y$7:$Y$594)-ROW('All Player Data Store'!$Y$7)+1),COUNTIF($AC$8:AC223,AC223))),"")</f>
        <v/>
      </c>
      <c r="L223" s="70" t="str">
        <f t="array" ref="L223">IF(ISNUMBER(AC223),INDEX('All Player Data Store'!$H$7:$H$594,SMALL(IF('All Player Data Store'!$Y$7:$Y$594=AC223,ROW('All Player Data Store'!$Y$7:$Y$594)-ROW('All Player Data Store'!$Y$7)+1),COUNTIF($AC$8:AC223,AC223))),"")</f>
        <v/>
      </c>
      <c r="M223" s="72" t="str">
        <f t="array" ref="M223">IF(ISNUMBER(AC223),INDEX('All Player Data Store'!$I$7:$I$594,SMALL(IF('All Player Data Store'!$Y$7:$Y$594=AC223,ROW('All Player Data Store'!$Y$7:$Y$594)-ROW('All Player Data Store'!$Y$7)+1),COUNTIF($AC$8:AC223,AC223))),"")</f>
        <v/>
      </c>
      <c r="N223" s="114" t="str">
        <f t="array" ref="N223">IF(ISNUMBER(AC223),INDEX('All Player Data Store'!$J$7:$J$594,SMALL(IF('All Player Data Store'!$Y$7:$Y$594=AC223,ROW('All Player Data Store'!$Y$7:$Y$594)-ROW('All Player Data Store'!$Y$7)+1),COUNTIF($AC$8:AC223,AC223))),"")</f>
        <v/>
      </c>
      <c r="O223" s="108" t="str">
        <f t="array" ref="O223">IF(ISNUMBER(AC223),INDEX('All Player Data Store'!$K$7:$K$594,SMALL(IF('All Player Data Store'!$Y$7:$Y$594=AC223,ROW('All Player Data Store'!$Y$7:$Y$594)-ROW('All Player Data Store'!$Y$7)+1),COUNTIF($AC$8:AC223,AC223))),"")</f>
        <v/>
      </c>
      <c r="P223" s="108" t="str">
        <f t="array" ref="P223">IF(ISNUMBER(AC223),INDEX('All Player Data Store'!$L$7:$L$594,SMALL(IF('All Player Data Store'!$Y$7:$Y$594=AC223,ROW('All Player Data Store'!$Y$7:$Y$594)-ROW('All Player Data Store'!$Y$7)+1),COUNTIF($AC$8:AC223,AC223))),"")</f>
        <v/>
      </c>
      <c r="Q223" s="108" t="str">
        <f t="array" ref="Q223">IF(ISNUMBER(AC223),INDEX('All Player Data Store'!$M$7:$M$594,SMALL(IF('All Player Data Store'!$Y$7:$Y$594=AC223,ROW('All Player Data Store'!$Y$7:$Y$594)-ROW('All Player Data Store'!$Y$7)+1),COUNTIF($AC$8:AC223,AC223))),"")</f>
        <v/>
      </c>
      <c r="R223" s="108" t="str">
        <f t="array" ref="R223">IF(ISNUMBER(AC223),INDEX('All Player Data Store'!$N$7:$N$594,SMALL(IF('All Player Data Store'!$Y$7:$Y$594=AC223,ROW('All Player Data Store'!$Y$7:$Y$594)-ROW('All Player Data Store'!$Y$7)+1),COUNTIF($AC$8:AC223,AC223))),"")</f>
        <v/>
      </c>
      <c r="S223" s="108" t="str">
        <f t="array" ref="S223">IF(ISNUMBER(AC223),INDEX('All Player Data Store'!$O$7:$O$594,SMALL(IF('All Player Data Store'!$Y$7:$Y$594=AC223,ROW('All Player Data Store'!$Y$7:$Y$594)-ROW('All Player Data Store'!$Y$7)+1),COUNTIF($AC$8:AC223,AC223))),"")</f>
        <v/>
      </c>
      <c r="T223" s="108" t="str">
        <f t="array" ref="T223">IF(ISNUMBER(AC223),INDEX('All Player Data Store'!$P$7:$P$594,SMALL(IF('All Player Data Store'!$Y$7:$Y$594=AC223,ROW('All Player Data Store'!$Y$7:$Y$594)-ROW('All Player Data Store'!$Y$7)+1),COUNTIF($AC$8:AC223,AC223))),"")</f>
        <v/>
      </c>
      <c r="U223" s="108" t="str">
        <f t="array" ref="U223">IF(ISNUMBER(AC223),INDEX('All Player Data Store'!$Q$7:$Q$594,SMALL(IF('All Player Data Store'!$Y$7:$Y$594=AC223,ROW('All Player Data Store'!$Y$7:$Y$594)-ROW('All Player Data Store'!$Y$7)+1),COUNTIF($AC$8:AC223,AC223))),"")</f>
        <v/>
      </c>
      <c r="V223" s="108" t="str">
        <f t="array" ref="V223">IF(ISNUMBER(AC223),INDEX('All Player Data Store'!$R$7:$R$594,SMALL(IF('All Player Data Store'!$Y$7:$Y$594=AC223,ROW('All Player Data Store'!$Y$7:$Y$594)-ROW('All Player Data Store'!$Y$7)+1),COUNTIF($AC$8:AC223,AC223))),"")</f>
        <v/>
      </c>
      <c r="W223" s="108" t="str">
        <f t="array" ref="W223">IF(ISNUMBER(AC223),INDEX('All Player Data Store'!$S$7:$S$594,SMALL(IF('All Player Data Store'!$Y$7:$Y$594=AC223,ROW('All Player Data Store'!$Y$7:$Y$594)-ROW('All Player Data Store'!$Y$7)+1),COUNTIF($AC$8:AC223,AC223))),"")</f>
        <v/>
      </c>
      <c r="X223" s="108" t="str">
        <f t="array" ref="X223">IF(ISNUMBER(AC223),INDEX('All Player Data Store'!$T$7:$T$594,SMALL(IF('All Player Data Store'!$Y$7:$Y$594=AC223,ROW('All Player Data Store'!$Y$7:$Y$594)-ROW('All Player Data Store'!$Y$7)+1),COUNTIF($AC$8:AC223,AC223))),"")</f>
        <v/>
      </c>
      <c r="Y223" s="108" t="str">
        <f t="array" ref="Y223">IF(ISNUMBER(AC223),INDEX('All Player Data Store'!$U$7:$U$594,SMALL(IF('All Player Data Store'!$Y$7:$Y$594=AC223,ROW('All Player Data Store'!$Y$7:$Y$594)-ROW('All Player Data Store'!$Y$7)+1),COUNTIF($AC$8:AC223,AC223))),"")</f>
        <v/>
      </c>
      <c r="Z223" s="108" t="str">
        <f t="array" ref="Z223">IF(ISNUMBER(AC223),INDEX('All Player Data Store'!$V$7:$V$594,SMALL(IF('All Player Data Store'!$Y$7:$Y$594=AC223,ROW('All Player Data Store'!$Y$7:$Y$594)-ROW('All Player Data Store'!$Y$7)+1),COUNTIF($AC$8:AC223,AC223))),"")</f>
        <v/>
      </c>
      <c r="AA223" s="112" t="str">
        <f t="array" ref="AA223">IF(ISNUMBER(AC223),INDEX('All Player Data Store'!$W$7:$W$594,SMALL(IF('All Player Data Store'!$Y$7:$Y$594=AC223,ROW('All Player Data Store'!$Y$7:$Y$594)-ROW('All Player Data Store'!$Y$7)+1),COUNTIF($AC$8:AC223,AC223))),"")</f>
        <v/>
      </c>
      <c r="AB223" s="108" t="str">
        <f t="array" ref="AB223">IF(ISNUMBER(AC223),INDEX('All Player Data Store'!$X$7:$X$594,SMALL(IF('All Player Data Store'!$Y$7:$Y$594=AC223,ROW('All Player Data Store'!$Y$7:$Y$594)-ROW('All Player Data Store'!$Y$7)+1),COUNTIF($AC$8:AC223,AC223))),"")</f>
        <v/>
      </c>
      <c r="AC223" s="115" t="str">
        <f>IF(ISERROR(IF(ISERROR(LARGE('All Player Data Store'!$Y$7:$Y$594,216)),"",(LARGE('All Player Data Store'!$Y$7:$Y$594,216)))),"",(IF(ISERROR(LARGE('All Player Data Store'!$Y$7:$Y$594,216)),"",(LARGE('All Player Data Store'!$Y$7:$Y$594,216)))))</f>
        <v/>
      </c>
      <c r="AD223" s="106">
        <f t="shared" si="16"/>
        <v>1</v>
      </c>
      <c r="AE223" s="107" t="str">
        <f t="array" ref="AE223">IF(ISNUMBER(AC223),INDEX('All Player Data Store'!$J$8:$J$594,SMALL(IF('All Player Data Store'!$Y$7:$Y$594=AC223,ROW('All Player Data Store'!$Y$7:$Y$594)-ROW('All Player Data Store'!$Y$7)+1),COUNTIF($AC$8:AC223,AC223))),"")</f>
        <v/>
      </c>
      <c r="AF223" s="108" t="str">
        <f t="shared" si="3"/>
        <v/>
      </c>
      <c r="AG223" s="108" t="str">
        <f t="array" ref="AG223">IF(ISNUMBER(AC223),INDEX('All Player Data Store'!$K$8:$K$594,SMALL(IF('All Player Data Store'!$Y$7:$Y$594=AC223,ROW('All Player Data Store'!$Y$7:$Y$594)-ROW('All Player Data Store'!$Y$7)+1),COUNTIF($AC$8:AC223,AC223))),"")</f>
        <v/>
      </c>
      <c r="AH223" s="108" t="str">
        <f t="shared" si="4"/>
        <v/>
      </c>
      <c r="AI223" s="108" t="str">
        <f t="array" ref="AI223">IF(ISNUMBER(AC223),INDEX('All Player Data Store'!$L$8:$L$594,SMALL(IF('All Player Data Store'!$Y$7:$Y$594=AC223,ROW('All Player Data Store'!$Y$7:$Y$594)-ROW('All Player Data Store'!$Y$7)+1),COUNTIF($AC$8:AC223,AC223))),"")</f>
        <v/>
      </c>
      <c r="AJ223" s="108" t="str">
        <f t="shared" si="5"/>
        <v/>
      </c>
      <c r="AK223" s="108" t="str">
        <f t="array" ref="AK223">IF(ISNUMBER(AC223),INDEX('All Player Data Store'!$M$8:$M$594,SMALL(IF('All Player Data Store'!$Y$7:$Y$594=AC223,ROW('All Player Data Store'!$Y$7:$Y$594)-ROW('All Player Data Store'!$Y$7)+1),COUNTIF($AC$8:AC223,AC223))),"")</f>
        <v/>
      </c>
      <c r="AL223" s="108" t="str">
        <f t="shared" si="6"/>
        <v/>
      </c>
      <c r="AM223" s="108" t="str">
        <f t="array" ref="AM223">IF(ISNUMBER(AC223),INDEX('All Player Data Store'!$N$8:$N$594,SMALL(IF('All Player Data Store'!$Y$7:$Y$594=AC223,ROW('All Player Data Store'!$Y$7:$Y$594)-ROW('All Player Data Store'!$Y$7)+1),COUNTIF($AC$8:AC223,AC223))),"")</f>
        <v/>
      </c>
      <c r="AN223" s="108" t="str">
        <f t="shared" si="7"/>
        <v/>
      </c>
      <c r="AO223" s="108" t="str">
        <f t="array" ref="AO223">IF(ISNUMBER(AC223),INDEX('All Player Data Store'!$O$8:$O$594,SMALL(IF('All Player Data Store'!$Y$7:$Y$594=AC223,ROW('All Player Data Store'!$Y$7:$Y$594)-ROW('All Player Data Store'!$Y$7)+1),COUNTIF($AC$8:AC223,AC223))),"")</f>
        <v/>
      </c>
      <c r="AP223" s="108" t="str">
        <f t="shared" si="8"/>
        <v/>
      </c>
      <c r="AQ223" s="108" t="str">
        <f t="array" ref="AQ223">IF(ISNUMBER(AC223),INDEX('All Player Data Store'!$P$8:$P$594,SMALL(IF('All Player Data Store'!$Y$7:$Y$594=AC223,ROW('All Player Data Store'!$Y$7:$Y$594)-ROW('All Player Data Store'!$Y$7)+1),COUNTIF($AC$8:AC223,AC223))),"")</f>
        <v/>
      </c>
      <c r="AR223" s="108" t="str">
        <f t="shared" si="9"/>
        <v/>
      </c>
      <c r="AS223" s="108" t="str">
        <f t="array" ref="AS223">IF(ISNUMBER(AC223),INDEX('All Player Data Store'!$Q$8:$Q$594,SMALL(IF('All Player Data Store'!$Y$7:$Y$594=AC223,ROW('All Player Data Store'!$Y$7:$Y$594)-ROW('All Player Data Store'!$Y$7)+1),COUNTIF($AC$8:AC223,AC223))),"")</f>
        <v/>
      </c>
      <c r="AT223" s="108" t="str">
        <f t="shared" si="10"/>
        <v/>
      </c>
      <c r="AU223" s="108" t="str">
        <f t="array" ref="AU223">IF(ISNUMBER(AC223),INDEX('All Player Data Store'!$R$8:$R$594,SMALL(IF('All Player Data Store'!$Y$7:$Y$594=AC223,ROW('All Player Data Store'!$Y$7:$Y$594)-ROW('All Player Data Store'!$Y$7)+1),COUNTIF($AC$8:AC223,AC223))),"")</f>
        <v/>
      </c>
      <c r="AV223" s="108" t="str">
        <f t="shared" si="11"/>
        <v/>
      </c>
      <c r="AW223" s="108" t="str">
        <f t="array" ref="AW223">IF(ISNUMBER(AC223),INDEX('All Player Data Store'!$S$8:$S$594,SMALL(IF('All Player Data Store'!$Y$7:$Y$594=AC223,ROW('All Player Data Store'!$Y$7:$Y$594)-ROW('All Player Data Store'!$Y$7)+1),COUNTIF($AC$8:AC223,AC223))),"")</f>
        <v/>
      </c>
      <c r="AX223" s="108" t="str">
        <f t="shared" si="12"/>
        <v/>
      </c>
      <c r="AY223" s="108" t="str">
        <f t="array" ref="AY223">IF(ISNUMBER(AC223),INDEX('All Player Data Store'!$T$8:$T$594,SMALL(IF('All Player Data Store'!$Y$7:$Y$594=AC223,ROW('All Player Data Store'!$Y$7:$Y$594)-ROW('All Player Data Store'!$Y$7)+1),COUNTIF($AC$8:AC223,AC223))),"")</f>
        <v/>
      </c>
      <c r="AZ223" s="108" t="str">
        <f t="shared" si="13"/>
        <v/>
      </c>
      <c r="BA223" s="108" t="str">
        <f t="array" ref="BA223">IF(ISNUMBER(AC223),INDEX('All Player Data Store'!$U$8:$U$594,SMALL(IF('All Player Data Store'!$Y$7:$Y$594=AC223,ROW('All Player Data Store'!$Y$7:$Y$594)-ROW('All Player Data Store'!$Y$7)+1),COUNTIF($AC$8:AC223,AC223))),"")</f>
        <v/>
      </c>
      <c r="BB223" s="108" t="str">
        <f t="shared" si="14"/>
        <v/>
      </c>
      <c r="BC223" s="108" t="str">
        <f t="array" ref="BC223">IF(ISNUMBER(AC223),INDEX('All Player Data Store'!$V$8:$V$594,SMALL(IF('All Player Data Store'!$Y$7:$Y$594=AC223,ROW('All Player Data Store'!$Y$7:$Y$594)-ROW('All Player Data Store'!$Y$7)+1),COUNTIF($AC$8:AC223,AC223))),"")</f>
        <v/>
      </c>
      <c r="BD223" s="108" t="str">
        <f t="shared" si="15"/>
        <v/>
      </c>
      <c r="BE223" s="1"/>
    </row>
    <row r="224" spans="2:57" ht="12" customHeight="1" x14ac:dyDescent="0.2">
      <c r="B224" s="98" t="str">
        <f t="shared" si="0"/>
        <v/>
      </c>
      <c r="C224" s="1"/>
      <c r="D224" s="68" t="str">
        <f t="shared" si="1"/>
        <v/>
      </c>
      <c r="E224" s="2"/>
      <c r="F224" s="78">
        <v>217</v>
      </c>
      <c r="G224" s="110" t="str">
        <f t="array" ref="G224">IF(ISNUMBER(AC224),INDEX('All Player Data Store'!$C$7:$C$594,SMALL(IF('All Player Data Store'!$Y$7:$Y$594=AC224,ROW('All Player Data Store'!$Y$7:$Y$594)-ROW('All Player Data Store'!$Y$7)+1),COUNTIF($AC$8:AC224,AC224))),"")</f>
        <v/>
      </c>
      <c r="H224" s="68" t="str">
        <f t="array" ref="H224">IF(ISNUMBER(AC224),INDEX('All Player Data Store'!$D$7:$D$594,SMALL(IF('All Player Data Store'!$Y$7:$Y$594=AC224,ROW('All Player Data Store'!$Y$7:$Y$594)-ROW('All Player Data Store'!$Y$7)+1),COUNTIF($AC$8:AC224,AC224))),"")</f>
        <v/>
      </c>
      <c r="I224" s="69" t="str">
        <f t="array" ref="I224">IF(ISNUMBER(AC224),INDEX('All Player Data Store'!$E$7:$E$594,SMALL(IF('All Player Data Store'!$Y$7:$Y$594=AC224,ROW('All Player Data Store'!$Y$7:$Y$594)-ROW('All Player Data Store'!$Y$7)+1),COUNTIF($AC$8:AC224,AC224))),"")</f>
        <v/>
      </c>
      <c r="J224" s="70" t="str">
        <f t="array" ref="J224">IF(ISNUMBER(AC224),INDEX('All Player Data Store'!$F$7:$F$594,SMALL(IF('All Player Data Store'!$Y$7:$Y$594=AC224,ROW('All Player Data Store'!$Y$7:$Y$594)-ROW('All Player Data Store'!$Y$7)+1),COUNTIF($AC$8:AC224,AC224))),"")</f>
        <v/>
      </c>
      <c r="K224" s="70" t="str">
        <f t="array" ref="K224">IF(ISNUMBER(AC224),INDEX('All Player Data Store'!$G$7:$G$594,SMALL(IF('All Player Data Store'!$Y$7:$Y$594=AC224,ROW('All Player Data Store'!$Y$7:$Y$594)-ROW('All Player Data Store'!$Y$7)+1),COUNTIF($AC$8:AC224,AC224))),"")</f>
        <v/>
      </c>
      <c r="L224" s="70" t="str">
        <f t="array" ref="L224">IF(ISNUMBER(AC224),INDEX('All Player Data Store'!$H$7:$H$594,SMALL(IF('All Player Data Store'!$Y$7:$Y$594=AC224,ROW('All Player Data Store'!$Y$7:$Y$594)-ROW('All Player Data Store'!$Y$7)+1),COUNTIF($AC$8:AC224,AC224))),"")</f>
        <v/>
      </c>
      <c r="M224" s="72" t="str">
        <f t="array" ref="M224">IF(ISNUMBER(AC224),INDEX('All Player Data Store'!$I$7:$I$594,SMALL(IF('All Player Data Store'!$Y$7:$Y$594=AC224,ROW('All Player Data Store'!$Y$7:$Y$594)-ROW('All Player Data Store'!$Y$7)+1),COUNTIF($AC$8:AC224,AC224))),"")</f>
        <v/>
      </c>
      <c r="N224" s="114" t="str">
        <f t="array" ref="N224">IF(ISNUMBER(AC224),INDEX('All Player Data Store'!$J$7:$J$594,SMALL(IF('All Player Data Store'!$Y$7:$Y$594=AC224,ROW('All Player Data Store'!$Y$7:$Y$594)-ROW('All Player Data Store'!$Y$7)+1),COUNTIF($AC$8:AC224,AC224))),"")</f>
        <v/>
      </c>
      <c r="O224" s="108" t="str">
        <f t="array" ref="O224">IF(ISNUMBER(AC224),INDEX('All Player Data Store'!$K$7:$K$594,SMALL(IF('All Player Data Store'!$Y$7:$Y$594=AC224,ROW('All Player Data Store'!$Y$7:$Y$594)-ROW('All Player Data Store'!$Y$7)+1),COUNTIF($AC$8:AC224,AC224))),"")</f>
        <v/>
      </c>
      <c r="P224" s="108" t="str">
        <f t="array" ref="P224">IF(ISNUMBER(AC224),INDEX('All Player Data Store'!$L$7:$L$594,SMALL(IF('All Player Data Store'!$Y$7:$Y$594=AC224,ROW('All Player Data Store'!$Y$7:$Y$594)-ROW('All Player Data Store'!$Y$7)+1),COUNTIF($AC$8:AC224,AC224))),"")</f>
        <v/>
      </c>
      <c r="Q224" s="108" t="str">
        <f t="array" ref="Q224">IF(ISNUMBER(AC224),INDEX('All Player Data Store'!$M$7:$M$594,SMALL(IF('All Player Data Store'!$Y$7:$Y$594=AC224,ROW('All Player Data Store'!$Y$7:$Y$594)-ROW('All Player Data Store'!$Y$7)+1),COUNTIF($AC$8:AC224,AC224))),"")</f>
        <v/>
      </c>
      <c r="R224" s="108" t="str">
        <f t="array" ref="R224">IF(ISNUMBER(AC224),INDEX('All Player Data Store'!$N$7:$N$594,SMALL(IF('All Player Data Store'!$Y$7:$Y$594=AC224,ROW('All Player Data Store'!$Y$7:$Y$594)-ROW('All Player Data Store'!$Y$7)+1),COUNTIF($AC$8:AC224,AC224))),"")</f>
        <v/>
      </c>
      <c r="S224" s="108" t="str">
        <f t="array" ref="S224">IF(ISNUMBER(AC224),INDEX('All Player Data Store'!$O$7:$O$594,SMALL(IF('All Player Data Store'!$Y$7:$Y$594=AC224,ROW('All Player Data Store'!$Y$7:$Y$594)-ROW('All Player Data Store'!$Y$7)+1),COUNTIF($AC$8:AC224,AC224))),"")</f>
        <v/>
      </c>
      <c r="T224" s="108" t="str">
        <f t="array" ref="T224">IF(ISNUMBER(AC224),INDEX('All Player Data Store'!$P$7:$P$594,SMALL(IF('All Player Data Store'!$Y$7:$Y$594=AC224,ROW('All Player Data Store'!$Y$7:$Y$594)-ROW('All Player Data Store'!$Y$7)+1),COUNTIF($AC$8:AC224,AC224))),"")</f>
        <v/>
      </c>
      <c r="U224" s="108" t="str">
        <f t="array" ref="U224">IF(ISNUMBER(AC224),INDEX('All Player Data Store'!$Q$7:$Q$594,SMALL(IF('All Player Data Store'!$Y$7:$Y$594=AC224,ROW('All Player Data Store'!$Y$7:$Y$594)-ROW('All Player Data Store'!$Y$7)+1),COUNTIF($AC$8:AC224,AC224))),"")</f>
        <v/>
      </c>
      <c r="V224" s="108" t="str">
        <f t="array" ref="V224">IF(ISNUMBER(AC224),INDEX('All Player Data Store'!$R$7:$R$594,SMALL(IF('All Player Data Store'!$Y$7:$Y$594=AC224,ROW('All Player Data Store'!$Y$7:$Y$594)-ROW('All Player Data Store'!$Y$7)+1),COUNTIF($AC$8:AC224,AC224))),"")</f>
        <v/>
      </c>
      <c r="W224" s="108" t="str">
        <f t="array" ref="W224">IF(ISNUMBER(AC224),INDEX('All Player Data Store'!$S$7:$S$594,SMALL(IF('All Player Data Store'!$Y$7:$Y$594=AC224,ROW('All Player Data Store'!$Y$7:$Y$594)-ROW('All Player Data Store'!$Y$7)+1),COUNTIF($AC$8:AC224,AC224))),"")</f>
        <v/>
      </c>
      <c r="X224" s="108" t="str">
        <f t="array" ref="X224">IF(ISNUMBER(AC224),INDEX('All Player Data Store'!$T$7:$T$594,SMALL(IF('All Player Data Store'!$Y$7:$Y$594=AC224,ROW('All Player Data Store'!$Y$7:$Y$594)-ROW('All Player Data Store'!$Y$7)+1),COUNTIF($AC$8:AC224,AC224))),"")</f>
        <v/>
      </c>
      <c r="Y224" s="108" t="str">
        <f t="array" ref="Y224">IF(ISNUMBER(AC224),INDEX('All Player Data Store'!$U$7:$U$594,SMALL(IF('All Player Data Store'!$Y$7:$Y$594=AC224,ROW('All Player Data Store'!$Y$7:$Y$594)-ROW('All Player Data Store'!$Y$7)+1),COUNTIF($AC$8:AC224,AC224))),"")</f>
        <v/>
      </c>
      <c r="Z224" s="108" t="str">
        <f t="array" ref="Z224">IF(ISNUMBER(AC224),INDEX('All Player Data Store'!$V$7:$V$594,SMALL(IF('All Player Data Store'!$Y$7:$Y$594=AC224,ROW('All Player Data Store'!$Y$7:$Y$594)-ROW('All Player Data Store'!$Y$7)+1),COUNTIF($AC$8:AC224,AC224))),"")</f>
        <v/>
      </c>
      <c r="AA224" s="112" t="str">
        <f t="array" ref="AA224">IF(ISNUMBER(AC224),INDEX('All Player Data Store'!$W$7:$W$594,SMALL(IF('All Player Data Store'!$Y$7:$Y$594=AC224,ROW('All Player Data Store'!$Y$7:$Y$594)-ROW('All Player Data Store'!$Y$7)+1),COUNTIF($AC$8:AC224,AC224))),"")</f>
        <v/>
      </c>
      <c r="AB224" s="108" t="str">
        <f t="array" ref="AB224">IF(ISNUMBER(AC224),INDEX('All Player Data Store'!$X$7:$X$594,SMALL(IF('All Player Data Store'!$Y$7:$Y$594=AC224,ROW('All Player Data Store'!$Y$7:$Y$594)-ROW('All Player Data Store'!$Y$7)+1),COUNTIF($AC$8:AC224,AC224))),"")</f>
        <v/>
      </c>
      <c r="AC224" s="115" t="str">
        <f>IF(ISERROR(IF(ISERROR(LARGE('All Player Data Store'!$Y$7:$Y$594,217)),"",(LARGE('All Player Data Store'!$Y$7:$Y$594,217)))),"",(IF(ISERROR(LARGE('All Player Data Store'!$Y$7:$Y$594,217)),"",(LARGE('All Player Data Store'!$Y$7:$Y$594,217)))))</f>
        <v/>
      </c>
      <c r="AD224" s="106">
        <f t="shared" si="16"/>
        <v>1</v>
      </c>
      <c r="AE224" s="107" t="str">
        <f t="array" ref="AE224">IF(ISNUMBER(AC224),INDEX('All Player Data Store'!$J$8:$J$594,SMALL(IF('All Player Data Store'!$Y$7:$Y$594=AC224,ROW('All Player Data Store'!$Y$7:$Y$594)-ROW('All Player Data Store'!$Y$7)+1),COUNTIF($AC$8:AC224,AC224))),"")</f>
        <v/>
      </c>
      <c r="AF224" s="108" t="str">
        <f t="shared" si="3"/>
        <v/>
      </c>
      <c r="AG224" s="108" t="str">
        <f t="array" ref="AG224">IF(ISNUMBER(AC224),INDEX('All Player Data Store'!$K$8:$K$594,SMALL(IF('All Player Data Store'!$Y$7:$Y$594=AC224,ROW('All Player Data Store'!$Y$7:$Y$594)-ROW('All Player Data Store'!$Y$7)+1),COUNTIF($AC$8:AC224,AC224))),"")</f>
        <v/>
      </c>
      <c r="AH224" s="108" t="str">
        <f t="shared" si="4"/>
        <v/>
      </c>
      <c r="AI224" s="108" t="str">
        <f t="array" ref="AI224">IF(ISNUMBER(AC224),INDEX('All Player Data Store'!$L$8:$L$594,SMALL(IF('All Player Data Store'!$Y$7:$Y$594=AC224,ROW('All Player Data Store'!$Y$7:$Y$594)-ROW('All Player Data Store'!$Y$7)+1),COUNTIF($AC$8:AC224,AC224))),"")</f>
        <v/>
      </c>
      <c r="AJ224" s="108" t="str">
        <f t="shared" si="5"/>
        <v/>
      </c>
      <c r="AK224" s="108" t="str">
        <f t="array" ref="AK224">IF(ISNUMBER(AC224),INDEX('All Player Data Store'!$M$8:$M$594,SMALL(IF('All Player Data Store'!$Y$7:$Y$594=AC224,ROW('All Player Data Store'!$Y$7:$Y$594)-ROW('All Player Data Store'!$Y$7)+1),COUNTIF($AC$8:AC224,AC224))),"")</f>
        <v/>
      </c>
      <c r="AL224" s="108" t="str">
        <f t="shared" si="6"/>
        <v/>
      </c>
      <c r="AM224" s="108" t="str">
        <f t="array" ref="AM224">IF(ISNUMBER(AC224),INDEX('All Player Data Store'!$N$8:$N$594,SMALL(IF('All Player Data Store'!$Y$7:$Y$594=AC224,ROW('All Player Data Store'!$Y$7:$Y$594)-ROW('All Player Data Store'!$Y$7)+1),COUNTIF($AC$8:AC224,AC224))),"")</f>
        <v/>
      </c>
      <c r="AN224" s="108" t="str">
        <f t="shared" si="7"/>
        <v/>
      </c>
      <c r="AO224" s="108" t="str">
        <f t="array" ref="AO224">IF(ISNUMBER(AC224),INDEX('All Player Data Store'!$O$8:$O$594,SMALL(IF('All Player Data Store'!$Y$7:$Y$594=AC224,ROW('All Player Data Store'!$Y$7:$Y$594)-ROW('All Player Data Store'!$Y$7)+1),COUNTIF($AC$8:AC224,AC224))),"")</f>
        <v/>
      </c>
      <c r="AP224" s="108" t="str">
        <f t="shared" si="8"/>
        <v/>
      </c>
      <c r="AQ224" s="108" t="str">
        <f t="array" ref="AQ224">IF(ISNUMBER(AC224),INDEX('All Player Data Store'!$P$8:$P$594,SMALL(IF('All Player Data Store'!$Y$7:$Y$594=AC224,ROW('All Player Data Store'!$Y$7:$Y$594)-ROW('All Player Data Store'!$Y$7)+1),COUNTIF($AC$8:AC224,AC224))),"")</f>
        <v/>
      </c>
      <c r="AR224" s="108" t="str">
        <f t="shared" si="9"/>
        <v/>
      </c>
      <c r="AS224" s="108" t="str">
        <f t="array" ref="AS224">IF(ISNUMBER(AC224),INDEX('All Player Data Store'!$Q$8:$Q$594,SMALL(IF('All Player Data Store'!$Y$7:$Y$594=AC224,ROW('All Player Data Store'!$Y$7:$Y$594)-ROW('All Player Data Store'!$Y$7)+1),COUNTIF($AC$8:AC224,AC224))),"")</f>
        <v/>
      </c>
      <c r="AT224" s="108" t="str">
        <f t="shared" si="10"/>
        <v/>
      </c>
      <c r="AU224" s="108" t="str">
        <f t="array" ref="AU224">IF(ISNUMBER(AC224),INDEX('All Player Data Store'!$R$8:$R$594,SMALL(IF('All Player Data Store'!$Y$7:$Y$594=AC224,ROW('All Player Data Store'!$Y$7:$Y$594)-ROW('All Player Data Store'!$Y$7)+1),COUNTIF($AC$8:AC224,AC224))),"")</f>
        <v/>
      </c>
      <c r="AV224" s="108" t="str">
        <f t="shared" si="11"/>
        <v/>
      </c>
      <c r="AW224" s="108" t="str">
        <f t="array" ref="AW224">IF(ISNUMBER(AC224),INDEX('All Player Data Store'!$S$8:$S$594,SMALL(IF('All Player Data Store'!$Y$7:$Y$594=AC224,ROW('All Player Data Store'!$Y$7:$Y$594)-ROW('All Player Data Store'!$Y$7)+1),COUNTIF($AC$8:AC224,AC224))),"")</f>
        <v/>
      </c>
      <c r="AX224" s="108" t="str">
        <f t="shared" si="12"/>
        <v/>
      </c>
      <c r="AY224" s="108" t="str">
        <f t="array" ref="AY224">IF(ISNUMBER(AC224),INDEX('All Player Data Store'!$T$8:$T$594,SMALL(IF('All Player Data Store'!$Y$7:$Y$594=AC224,ROW('All Player Data Store'!$Y$7:$Y$594)-ROW('All Player Data Store'!$Y$7)+1),COUNTIF($AC$8:AC224,AC224))),"")</f>
        <v/>
      </c>
      <c r="AZ224" s="108" t="str">
        <f t="shared" si="13"/>
        <v/>
      </c>
      <c r="BA224" s="108" t="str">
        <f t="array" ref="BA224">IF(ISNUMBER(AC224),INDEX('All Player Data Store'!$U$8:$U$594,SMALL(IF('All Player Data Store'!$Y$7:$Y$594=AC224,ROW('All Player Data Store'!$Y$7:$Y$594)-ROW('All Player Data Store'!$Y$7)+1),COUNTIF($AC$8:AC224,AC224))),"")</f>
        <v/>
      </c>
      <c r="BB224" s="108" t="str">
        <f t="shared" si="14"/>
        <v/>
      </c>
      <c r="BC224" s="108" t="str">
        <f t="array" ref="BC224">IF(ISNUMBER(AC224),INDEX('All Player Data Store'!$V$8:$V$594,SMALL(IF('All Player Data Store'!$Y$7:$Y$594=AC224,ROW('All Player Data Store'!$Y$7:$Y$594)-ROW('All Player Data Store'!$Y$7)+1),COUNTIF($AC$8:AC224,AC224))),"")</f>
        <v/>
      </c>
      <c r="BD224" s="108" t="str">
        <f t="shared" si="15"/>
        <v/>
      </c>
      <c r="BE224" s="1"/>
    </row>
    <row r="225" spans="2:57" ht="12.75" customHeight="1" x14ac:dyDescent="0.2">
      <c r="B225" s="116" t="str">
        <f t="shared" si="0"/>
        <v/>
      </c>
      <c r="C225" s="1"/>
      <c r="D225" s="68" t="str">
        <f t="shared" si="1"/>
        <v/>
      </c>
      <c r="E225" s="2"/>
      <c r="F225" s="78">
        <v>218</v>
      </c>
      <c r="G225" s="110" t="str">
        <f t="array" ref="G225">IF(ISNUMBER(AC225),INDEX('All Player Data Store'!$C$7:$C$594,SMALL(IF('All Player Data Store'!$Y$7:$Y$594=AC225,ROW('All Player Data Store'!$Y$7:$Y$594)-ROW('All Player Data Store'!$Y$7)+1),COUNTIF($AC$8:AC225,AC225))),"")</f>
        <v/>
      </c>
      <c r="H225" s="68" t="str">
        <f t="array" ref="H225">IF(ISNUMBER(AC225),INDEX('All Player Data Store'!$D$7:$D$594,SMALL(IF('All Player Data Store'!$Y$7:$Y$594=AC225,ROW('All Player Data Store'!$Y$7:$Y$594)-ROW('All Player Data Store'!$Y$7)+1),COUNTIF($AC$8:AC225,AC225))),"")</f>
        <v/>
      </c>
      <c r="I225" s="69" t="str">
        <f t="array" ref="I225">IF(ISNUMBER(AC225),INDEX('All Player Data Store'!$E$7:$E$594,SMALL(IF('All Player Data Store'!$Y$7:$Y$594=AC225,ROW('All Player Data Store'!$Y$7:$Y$594)-ROW('All Player Data Store'!$Y$7)+1),COUNTIF($AC$8:AC225,AC225))),"")</f>
        <v/>
      </c>
      <c r="J225" s="70" t="str">
        <f t="array" ref="J225">IF(ISNUMBER(AC225),INDEX('All Player Data Store'!$F$7:$F$594,SMALL(IF('All Player Data Store'!$Y$7:$Y$594=AC225,ROW('All Player Data Store'!$Y$7:$Y$594)-ROW('All Player Data Store'!$Y$7)+1),COUNTIF($AC$8:AC225,AC225))),"")</f>
        <v/>
      </c>
      <c r="K225" s="70" t="str">
        <f t="array" ref="K225">IF(ISNUMBER(AC225),INDEX('All Player Data Store'!$G$7:$G$594,SMALL(IF('All Player Data Store'!$Y$7:$Y$594=AC225,ROW('All Player Data Store'!$Y$7:$Y$594)-ROW('All Player Data Store'!$Y$7)+1),COUNTIF($AC$8:AC225,AC225))),"")</f>
        <v/>
      </c>
      <c r="L225" s="70" t="str">
        <f t="array" ref="L225">IF(ISNUMBER(AC225),INDEX('All Player Data Store'!$H$7:$H$594,SMALL(IF('All Player Data Store'!$Y$7:$Y$594=AC225,ROW('All Player Data Store'!$Y$7:$Y$594)-ROW('All Player Data Store'!$Y$7)+1),COUNTIF($AC$8:AC225,AC225))),"")</f>
        <v/>
      </c>
      <c r="M225" s="72" t="str">
        <f t="array" ref="M225">IF(ISNUMBER(AC225),INDEX('All Player Data Store'!$I$7:$I$594,SMALL(IF('All Player Data Store'!$Y$7:$Y$594=AC225,ROW('All Player Data Store'!$Y$7:$Y$594)-ROW('All Player Data Store'!$Y$7)+1),COUNTIF($AC$8:AC225,AC225))),"")</f>
        <v/>
      </c>
      <c r="N225" s="114" t="str">
        <f t="array" ref="N225">IF(ISNUMBER(AC225),INDEX('All Player Data Store'!$J$7:$J$594,SMALL(IF('All Player Data Store'!$Y$7:$Y$594=AC225,ROW('All Player Data Store'!$Y$7:$Y$594)-ROW('All Player Data Store'!$Y$7)+1),COUNTIF($AC$8:AC225,AC225))),"")</f>
        <v/>
      </c>
      <c r="O225" s="108" t="str">
        <f t="array" ref="O225">IF(ISNUMBER(AC225),INDEX('All Player Data Store'!$K$7:$K$594,SMALL(IF('All Player Data Store'!$Y$7:$Y$594=AC225,ROW('All Player Data Store'!$Y$7:$Y$594)-ROW('All Player Data Store'!$Y$7)+1),COUNTIF($AC$8:AC225,AC225))),"")</f>
        <v/>
      </c>
      <c r="P225" s="108" t="str">
        <f t="array" ref="P225">IF(ISNUMBER(AC225),INDEX('All Player Data Store'!$L$7:$L$594,SMALL(IF('All Player Data Store'!$Y$7:$Y$594=AC225,ROW('All Player Data Store'!$Y$7:$Y$594)-ROW('All Player Data Store'!$Y$7)+1),COUNTIF($AC$8:AC225,AC225))),"")</f>
        <v/>
      </c>
      <c r="Q225" s="108" t="str">
        <f t="array" ref="Q225">IF(ISNUMBER(AC225),INDEX('All Player Data Store'!$M$7:$M$594,SMALL(IF('All Player Data Store'!$Y$7:$Y$594=AC225,ROW('All Player Data Store'!$Y$7:$Y$594)-ROW('All Player Data Store'!$Y$7)+1),COUNTIF($AC$8:AC225,AC225))),"")</f>
        <v/>
      </c>
      <c r="R225" s="108" t="str">
        <f t="array" ref="R225">IF(ISNUMBER(AC225),INDEX('All Player Data Store'!$N$7:$N$594,SMALL(IF('All Player Data Store'!$Y$7:$Y$594=AC225,ROW('All Player Data Store'!$Y$7:$Y$594)-ROW('All Player Data Store'!$Y$7)+1),COUNTIF($AC$8:AC225,AC225))),"")</f>
        <v/>
      </c>
      <c r="S225" s="108" t="str">
        <f t="array" ref="S225">IF(ISNUMBER(AC225),INDEX('All Player Data Store'!$O$7:$O$594,SMALL(IF('All Player Data Store'!$Y$7:$Y$594=AC225,ROW('All Player Data Store'!$Y$7:$Y$594)-ROW('All Player Data Store'!$Y$7)+1),COUNTIF($AC$8:AC225,AC225))),"")</f>
        <v/>
      </c>
      <c r="T225" s="108" t="str">
        <f t="array" ref="T225">IF(ISNUMBER(AC225),INDEX('All Player Data Store'!$P$7:$P$594,SMALL(IF('All Player Data Store'!$Y$7:$Y$594=AC225,ROW('All Player Data Store'!$Y$7:$Y$594)-ROW('All Player Data Store'!$Y$7)+1),COUNTIF($AC$8:AC225,AC225))),"")</f>
        <v/>
      </c>
      <c r="U225" s="108" t="str">
        <f t="array" ref="U225">IF(ISNUMBER(AC225),INDEX('All Player Data Store'!$Q$7:$Q$594,SMALL(IF('All Player Data Store'!$Y$7:$Y$594=AC225,ROW('All Player Data Store'!$Y$7:$Y$594)-ROW('All Player Data Store'!$Y$7)+1),COUNTIF($AC$8:AC225,AC225))),"")</f>
        <v/>
      </c>
      <c r="V225" s="108" t="str">
        <f t="array" ref="V225">IF(ISNUMBER(AC225),INDEX('All Player Data Store'!$R$7:$R$594,SMALL(IF('All Player Data Store'!$Y$7:$Y$594=AC225,ROW('All Player Data Store'!$Y$7:$Y$594)-ROW('All Player Data Store'!$Y$7)+1),COUNTIF($AC$8:AC225,AC225))),"")</f>
        <v/>
      </c>
      <c r="W225" s="108" t="str">
        <f t="array" ref="W225">IF(ISNUMBER(AC225),INDEX('All Player Data Store'!$S$7:$S$594,SMALL(IF('All Player Data Store'!$Y$7:$Y$594=AC225,ROW('All Player Data Store'!$Y$7:$Y$594)-ROW('All Player Data Store'!$Y$7)+1),COUNTIF($AC$8:AC225,AC225))),"")</f>
        <v/>
      </c>
      <c r="X225" s="108" t="str">
        <f t="array" ref="X225">IF(ISNUMBER(AC225),INDEX('All Player Data Store'!$T$7:$T$594,SMALL(IF('All Player Data Store'!$Y$7:$Y$594=AC225,ROW('All Player Data Store'!$Y$7:$Y$594)-ROW('All Player Data Store'!$Y$7)+1),COUNTIF($AC$8:AC225,AC225))),"")</f>
        <v/>
      </c>
      <c r="Y225" s="108" t="str">
        <f t="array" ref="Y225">IF(ISNUMBER(AC225),INDEX('All Player Data Store'!$U$7:$U$594,SMALL(IF('All Player Data Store'!$Y$7:$Y$594=AC225,ROW('All Player Data Store'!$Y$7:$Y$594)-ROW('All Player Data Store'!$Y$7)+1),COUNTIF($AC$8:AC225,AC225))),"")</f>
        <v/>
      </c>
      <c r="Z225" s="108" t="str">
        <f t="array" ref="Z225">IF(ISNUMBER(AC225),INDEX('All Player Data Store'!$V$7:$V$594,SMALL(IF('All Player Data Store'!$Y$7:$Y$594=AC225,ROW('All Player Data Store'!$Y$7:$Y$594)-ROW('All Player Data Store'!$Y$7)+1),COUNTIF($AC$8:AC225,AC225))),"")</f>
        <v/>
      </c>
      <c r="AA225" s="112" t="str">
        <f t="array" ref="AA225">IF(ISNUMBER(AC225),INDEX('All Player Data Store'!$W$7:$W$594,SMALL(IF('All Player Data Store'!$Y$7:$Y$594=AC225,ROW('All Player Data Store'!$Y$7:$Y$594)-ROW('All Player Data Store'!$Y$7)+1),COUNTIF($AC$8:AC225,AC225))),"")</f>
        <v/>
      </c>
      <c r="AB225" s="108" t="str">
        <f t="array" ref="AB225">IF(ISNUMBER(AC225),INDEX('All Player Data Store'!$X$7:$X$594,SMALL(IF('All Player Data Store'!$Y$7:$Y$594=AC225,ROW('All Player Data Store'!$Y$7:$Y$594)-ROW('All Player Data Store'!$Y$7)+1),COUNTIF($AC$8:AC225,AC225))),"")</f>
        <v/>
      </c>
      <c r="AC225" s="115" t="str">
        <f>IF(ISERROR(IF(ISERROR(LARGE('All Player Data Store'!$Y$7:$Y$594,218)),"",(LARGE('All Player Data Store'!$Y$7:$Y$594,218)))),"",(IF(ISERROR(LARGE('All Player Data Store'!$Y$7:$Y$594,218)),"",(LARGE('All Player Data Store'!$Y$7:$Y$594,218)))))</f>
        <v/>
      </c>
      <c r="AD225" s="106">
        <f t="shared" si="16"/>
        <v>1</v>
      </c>
      <c r="AE225" s="107" t="str">
        <f t="array" ref="AE225">IF(ISNUMBER(AC225),INDEX('All Player Data Store'!$J$8:$J$594,SMALL(IF('All Player Data Store'!$Y$7:$Y$594=AC225,ROW('All Player Data Store'!$Y$7:$Y$594)-ROW('All Player Data Store'!$Y$7)+1),COUNTIF($AC$8:AC225,AC225))),"")</f>
        <v/>
      </c>
      <c r="AF225" s="108" t="str">
        <f t="shared" si="3"/>
        <v/>
      </c>
      <c r="AG225" s="108" t="str">
        <f t="array" ref="AG225">IF(ISNUMBER(AC225),INDEX('All Player Data Store'!$K$8:$K$594,SMALL(IF('All Player Data Store'!$Y$7:$Y$594=AC225,ROW('All Player Data Store'!$Y$7:$Y$594)-ROW('All Player Data Store'!$Y$7)+1),COUNTIF($AC$8:AC225,AC225))),"")</f>
        <v/>
      </c>
      <c r="AH225" s="108" t="str">
        <f t="shared" si="4"/>
        <v/>
      </c>
      <c r="AI225" s="108" t="str">
        <f t="array" ref="AI225">IF(ISNUMBER(AC225),INDEX('All Player Data Store'!$L$8:$L$594,SMALL(IF('All Player Data Store'!$Y$7:$Y$594=AC225,ROW('All Player Data Store'!$Y$7:$Y$594)-ROW('All Player Data Store'!$Y$7)+1),COUNTIF($AC$8:AC225,AC225))),"")</f>
        <v/>
      </c>
      <c r="AJ225" s="108" t="str">
        <f t="shared" si="5"/>
        <v/>
      </c>
      <c r="AK225" s="108" t="str">
        <f t="array" ref="AK225">IF(ISNUMBER(AC225),INDEX('All Player Data Store'!$M$8:$M$594,SMALL(IF('All Player Data Store'!$Y$7:$Y$594=AC225,ROW('All Player Data Store'!$Y$7:$Y$594)-ROW('All Player Data Store'!$Y$7)+1),COUNTIF($AC$8:AC225,AC225))),"")</f>
        <v/>
      </c>
      <c r="AL225" s="108" t="str">
        <f t="shared" si="6"/>
        <v/>
      </c>
      <c r="AM225" s="108" t="str">
        <f t="array" ref="AM225">IF(ISNUMBER(AC225),INDEX('All Player Data Store'!$N$8:$N$594,SMALL(IF('All Player Data Store'!$Y$7:$Y$594=AC225,ROW('All Player Data Store'!$Y$7:$Y$594)-ROW('All Player Data Store'!$Y$7)+1),COUNTIF($AC$8:AC225,AC225))),"")</f>
        <v/>
      </c>
      <c r="AN225" s="108" t="str">
        <f t="shared" si="7"/>
        <v/>
      </c>
      <c r="AO225" s="108" t="str">
        <f t="array" ref="AO225">IF(ISNUMBER(AC225),INDEX('All Player Data Store'!$O$8:$O$594,SMALL(IF('All Player Data Store'!$Y$7:$Y$594=AC225,ROW('All Player Data Store'!$Y$7:$Y$594)-ROW('All Player Data Store'!$Y$7)+1),COUNTIF($AC$8:AC225,AC225))),"")</f>
        <v/>
      </c>
      <c r="AP225" s="108" t="str">
        <f t="shared" si="8"/>
        <v/>
      </c>
      <c r="AQ225" s="108" t="str">
        <f t="array" ref="AQ225">IF(ISNUMBER(AC225),INDEX('All Player Data Store'!$P$8:$P$594,SMALL(IF('All Player Data Store'!$Y$7:$Y$594=AC225,ROW('All Player Data Store'!$Y$7:$Y$594)-ROW('All Player Data Store'!$Y$7)+1),COUNTIF($AC$8:AC225,AC225))),"")</f>
        <v/>
      </c>
      <c r="AR225" s="108" t="str">
        <f t="shared" si="9"/>
        <v/>
      </c>
      <c r="AS225" s="108" t="str">
        <f t="array" ref="AS225">IF(ISNUMBER(AC225),INDEX('All Player Data Store'!$Q$8:$Q$594,SMALL(IF('All Player Data Store'!$Y$7:$Y$594=AC225,ROW('All Player Data Store'!$Y$7:$Y$594)-ROW('All Player Data Store'!$Y$7)+1),COUNTIF($AC$8:AC225,AC225))),"")</f>
        <v/>
      </c>
      <c r="AT225" s="108" t="str">
        <f t="shared" si="10"/>
        <v/>
      </c>
      <c r="AU225" s="108" t="str">
        <f t="array" ref="AU225">IF(ISNUMBER(AC225),INDEX('All Player Data Store'!$R$8:$R$594,SMALL(IF('All Player Data Store'!$Y$7:$Y$594=AC225,ROW('All Player Data Store'!$Y$7:$Y$594)-ROW('All Player Data Store'!$Y$7)+1),COUNTIF($AC$8:AC225,AC225))),"")</f>
        <v/>
      </c>
      <c r="AV225" s="108" t="str">
        <f t="shared" si="11"/>
        <v/>
      </c>
      <c r="AW225" s="108" t="str">
        <f t="array" ref="AW225">IF(ISNUMBER(AC225),INDEX('All Player Data Store'!$S$8:$S$594,SMALL(IF('All Player Data Store'!$Y$7:$Y$594=AC225,ROW('All Player Data Store'!$Y$7:$Y$594)-ROW('All Player Data Store'!$Y$7)+1),COUNTIF($AC$8:AC225,AC225))),"")</f>
        <v/>
      </c>
      <c r="AX225" s="108" t="str">
        <f t="shared" si="12"/>
        <v/>
      </c>
      <c r="AY225" s="108" t="str">
        <f t="array" ref="AY225">IF(ISNUMBER(AC225),INDEX('All Player Data Store'!$T$8:$T$594,SMALL(IF('All Player Data Store'!$Y$7:$Y$594=AC225,ROW('All Player Data Store'!$Y$7:$Y$594)-ROW('All Player Data Store'!$Y$7)+1),COUNTIF($AC$8:AC225,AC225))),"")</f>
        <v/>
      </c>
      <c r="AZ225" s="108" t="str">
        <f t="shared" si="13"/>
        <v/>
      </c>
      <c r="BA225" s="108" t="str">
        <f t="array" ref="BA225">IF(ISNUMBER(AC225),INDEX('All Player Data Store'!$U$8:$U$594,SMALL(IF('All Player Data Store'!$Y$7:$Y$594=AC225,ROW('All Player Data Store'!$Y$7:$Y$594)-ROW('All Player Data Store'!$Y$7)+1),COUNTIF($AC$8:AC225,AC225))),"")</f>
        <v/>
      </c>
      <c r="BB225" s="108" t="str">
        <f t="shared" si="14"/>
        <v/>
      </c>
      <c r="BC225" s="108" t="str">
        <f t="array" ref="BC225">IF(ISNUMBER(AC225),INDEX('All Player Data Store'!$V$8:$V$594,SMALL(IF('All Player Data Store'!$Y$7:$Y$594=AC225,ROW('All Player Data Store'!$Y$7:$Y$594)-ROW('All Player Data Store'!$Y$7)+1),COUNTIF($AC$8:AC225,AC225))),"")</f>
        <v/>
      </c>
      <c r="BD225" s="108" t="str">
        <f t="shared" si="15"/>
        <v/>
      </c>
      <c r="BE225" s="1"/>
    </row>
    <row r="226" spans="2:57" ht="12.75" customHeight="1" x14ac:dyDescent="0.2">
      <c r="B226" s="117" t="str">
        <f t="shared" si="0"/>
        <v/>
      </c>
      <c r="C226" s="1"/>
      <c r="D226" s="68" t="str">
        <f t="shared" si="1"/>
        <v/>
      </c>
      <c r="E226" s="2"/>
      <c r="F226" s="78">
        <v>219</v>
      </c>
      <c r="G226" s="110" t="str">
        <f t="array" ref="G226">IF(ISNUMBER(AC226),INDEX('All Player Data Store'!$C$7:$C$594,SMALL(IF('All Player Data Store'!$Y$7:$Y$594=AC226,ROW('All Player Data Store'!$Y$7:$Y$594)-ROW('All Player Data Store'!$Y$7)+1),COUNTIF($AC$8:AC226,AC226))),"")</f>
        <v/>
      </c>
      <c r="H226" s="68" t="str">
        <f t="array" ref="H226">IF(ISNUMBER(AC226),INDEX('All Player Data Store'!$D$7:$D$594,SMALL(IF('All Player Data Store'!$Y$7:$Y$594=AC226,ROW('All Player Data Store'!$Y$7:$Y$594)-ROW('All Player Data Store'!$Y$7)+1),COUNTIF($AC$8:AC226,AC226))),"")</f>
        <v/>
      </c>
      <c r="I226" s="69" t="str">
        <f t="array" ref="I226">IF(ISNUMBER(AC226),INDEX('All Player Data Store'!$E$7:$E$594,SMALL(IF('All Player Data Store'!$Y$7:$Y$594=AC226,ROW('All Player Data Store'!$Y$7:$Y$594)-ROW('All Player Data Store'!$Y$7)+1),COUNTIF($AC$8:AC226,AC226))),"")</f>
        <v/>
      </c>
      <c r="J226" s="70" t="str">
        <f t="array" ref="J226">IF(ISNUMBER(AC226),INDEX('All Player Data Store'!$F$7:$F$594,SMALL(IF('All Player Data Store'!$Y$7:$Y$594=AC226,ROW('All Player Data Store'!$Y$7:$Y$594)-ROW('All Player Data Store'!$Y$7)+1),COUNTIF($AC$8:AC226,AC226))),"")</f>
        <v/>
      </c>
      <c r="K226" s="70" t="str">
        <f t="array" ref="K226">IF(ISNUMBER(AC226),INDEX('All Player Data Store'!$G$7:$G$594,SMALL(IF('All Player Data Store'!$Y$7:$Y$594=AC226,ROW('All Player Data Store'!$Y$7:$Y$594)-ROW('All Player Data Store'!$Y$7)+1),COUNTIF($AC$8:AC226,AC226))),"")</f>
        <v/>
      </c>
      <c r="L226" s="70" t="str">
        <f t="array" ref="L226">IF(ISNUMBER(AC226),INDEX('All Player Data Store'!$H$7:$H$594,SMALL(IF('All Player Data Store'!$Y$7:$Y$594=AC226,ROW('All Player Data Store'!$Y$7:$Y$594)-ROW('All Player Data Store'!$Y$7)+1),COUNTIF($AC$8:AC226,AC226))),"")</f>
        <v/>
      </c>
      <c r="M226" s="72" t="str">
        <f t="array" ref="M226">IF(ISNUMBER(AC226),INDEX('All Player Data Store'!$I$7:$I$594,SMALL(IF('All Player Data Store'!$Y$7:$Y$594=AC226,ROW('All Player Data Store'!$Y$7:$Y$594)-ROW('All Player Data Store'!$Y$7)+1),COUNTIF($AC$8:AC226,AC226))),"")</f>
        <v/>
      </c>
      <c r="N226" s="114" t="str">
        <f t="array" ref="N226">IF(ISNUMBER(AC226),INDEX('All Player Data Store'!$J$7:$J$594,SMALL(IF('All Player Data Store'!$Y$7:$Y$594=AC226,ROW('All Player Data Store'!$Y$7:$Y$594)-ROW('All Player Data Store'!$Y$7)+1),COUNTIF($AC$8:AC226,AC226))),"")</f>
        <v/>
      </c>
      <c r="O226" s="108" t="str">
        <f t="array" ref="O226">IF(ISNUMBER(AC226),INDEX('All Player Data Store'!$K$7:$K$594,SMALL(IF('All Player Data Store'!$Y$7:$Y$594=AC226,ROW('All Player Data Store'!$Y$7:$Y$594)-ROW('All Player Data Store'!$Y$7)+1),COUNTIF($AC$8:AC226,AC226))),"")</f>
        <v/>
      </c>
      <c r="P226" s="108" t="str">
        <f t="array" ref="P226">IF(ISNUMBER(AC226),INDEX('All Player Data Store'!$L$7:$L$594,SMALL(IF('All Player Data Store'!$Y$7:$Y$594=AC226,ROW('All Player Data Store'!$Y$7:$Y$594)-ROW('All Player Data Store'!$Y$7)+1),COUNTIF($AC$8:AC226,AC226))),"")</f>
        <v/>
      </c>
      <c r="Q226" s="108" t="str">
        <f t="array" ref="Q226">IF(ISNUMBER(AC226),INDEX('All Player Data Store'!$M$7:$M$594,SMALL(IF('All Player Data Store'!$Y$7:$Y$594=AC226,ROW('All Player Data Store'!$Y$7:$Y$594)-ROW('All Player Data Store'!$Y$7)+1),COUNTIF($AC$8:AC226,AC226))),"")</f>
        <v/>
      </c>
      <c r="R226" s="108" t="str">
        <f t="array" ref="R226">IF(ISNUMBER(AC226),INDEX('All Player Data Store'!$N$7:$N$594,SMALL(IF('All Player Data Store'!$Y$7:$Y$594=AC226,ROW('All Player Data Store'!$Y$7:$Y$594)-ROW('All Player Data Store'!$Y$7)+1),COUNTIF($AC$8:AC226,AC226))),"")</f>
        <v/>
      </c>
      <c r="S226" s="108" t="str">
        <f t="array" ref="S226">IF(ISNUMBER(AC226),INDEX('All Player Data Store'!$O$7:$O$594,SMALL(IF('All Player Data Store'!$Y$7:$Y$594=AC226,ROW('All Player Data Store'!$Y$7:$Y$594)-ROW('All Player Data Store'!$Y$7)+1),COUNTIF($AC$8:AC226,AC226))),"")</f>
        <v/>
      </c>
      <c r="T226" s="108" t="str">
        <f t="array" ref="T226">IF(ISNUMBER(AC226),INDEX('All Player Data Store'!$P$7:$P$594,SMALL(IF('All Player Data Store'!$Y$7:$Y$594=AC226,ROW('All Player Data Store'!$Y$7:$Y$594)-ROW('All Player Data Store'!$Y$7)+1),COUNTIF($AC$8:AC226,AC226))),"")</f>
        <v/>
      </c>
      <c r="U226" s="108" t="str">
        <f t="array" ref="U226">IF(ISNUMBER(AC226),INDEX('All Player Data Store'!$Q$7:$Q$594,SMALL(IF('All Player Data Store'!$Y$7:$Y$594=AC226,ROW('All Player Data Store'!$Y$7:$Y$594)-ROW('All Player Data Store'!$Y$7)+1),COUNTIF($AC$8:AC226,AC226))),"")</f>
        <v/>
      </c>
      <c r="V226" s="108" t="str">
        <f t="array" ref="V226">IF(ISNUMBER(AC226),INDEX('All Player Data Store'!$R$7:$R$594,SMALL(IF('All Player Data Store'!$Y$7:$Y$594=AC226,ROW('All Player Data Store'!$Y$7:$Y$594)-ROW('All Player Data Store'!$Y$7)+1),COUNTIF($AC$8:AC226,AC226))),"")</f>
        <v/>
      </c>
      <c r="W226" s="108" t="str">
        <f t="array" ref="W226">IF(ISNUMBER(AC226),INDEX('All Player Data Store'!$S$7:$S$594,SMALL(IF('All Player Data Store'!$Y$7:$Y$594=AC226,ROW('All Player Data Store'!$Y$7:$Y$594)-ROW('All Player Data Store'!$Y$7)+1),COUNTIF($AC$8:AC226,AC226))),"")</f>
        <v/>
      </c>
      <c r="X226" s="108" t="str">
        <f t="array" ref="X226">IF(ISNUMBER(AC226),INDEX('All Player Data Store'!$T$7:$T$594,SMALL(IF('All Player Data Store'!$Y$7:$Y$594=AC226,ROW('All Player Data Store'!$Y$7:$Y$594)-ROW('All Player Data Store'!$Y$7)+1),COUNTIF($AC$8:AC226,AC226))),"")</f>
        <v/>
      </c>
      <c r="Y226" s="108" t="str">
        <f t="array" ref="Y226">IF(ISNUMBER(AC226),INDEX('All Player Data Store'!$U$7:$U$594,SMALL(IF('All Player Data Store'!$Y$7:$Y$594=AC226,ROW('All Player Data Store'!$Y$7:$Y$594)-ROW('All Player Data Store'!$Y$7)+1),COUNTIF($AC$8:AC226,AC226))),"")</f>
        <v/>
      </c>
      <c r="Z226" s="108" t="str">
        <f t="array" ref="Z226">IF(ISNUMBER(AC226),INDEX('All Player Data Store'!$V$7:$V$594,SMALL(IF('All Player Data Store'!$Y$7:$Y$594=AC226,ROW('All Player Data Store'!$Y$7:$Y$594)-ROW('All Player Data Store'!$Y$7)+1),COUNTIF($AC$8:AC226,AC226))),"")</f>
        <v/>
      </c>
      <c r="AA226" s="112" t="str">
        <f t="array" ref="AA226">IF(ISNUMBER(AC226),INDEX('All Player Data Store'!$W$7:$W$594,SMALL(IF('All Player Data Store'!$Y$7:$Y$594=AC226,ROW('All Player Data Store'!$Y$7:$Y$594)-ROW('All Player Data Store'!$Y$7)+1),COUNTIF($AC$8:AC226,AC226))),"")</f>
        <v/>
      </c>
      <c r="AB226" s="108" t="str">
        <f t="array" ref="AB226">IF(ISNUMBER(AC226),INDEX('All Player Data Store'!$X$7:$X$594,SMALL(IF('All Player Data Store'!$Y$7:$Y$594=AC226,ROW('All Player Data Store'!$Y$7:$Y$594)-ROW('All Player Data Store'!$Y$7)+1),COUNTIF($AC$8:AC226,AC226))),"")</f>
        <v/>
      </c>
      <c r="AC226" s="115" t="str">
        <f>IF(ISERROR(IF(ISERROR(LARGE('All Player Data Store'!$Y$7:$Y$594,219)),"",(LARGE('All Player Data Store'!$Y$7:$Y$594,219)))),"",(IF(ISERROR(LARGE('All Player Data Store'!$Y$7:$Y$594,219)),"",(LARGE('All Player Data Store'!$Y$7:$Y$594,219)))))</f>
        <v/>
      </c>
      <c r="AD226" s="106">
        <f t="shared" si="16"/>
        <v>1</v>
      </c>
      <c r="AE226" s="107" t="str">
        <f t="array" ref="AE226">IF(ISNUMBER(AC226),INDEX('All Player Data Store'!$J$8:$J$594,SMALL(IF('All Player Data Store'!$Y$7:$Y$594=AC226,ROW('All Player Data Store'!$Y$7:$Y$594)-ROW('All Player Data Store'!$Y$7)+1),COUNTIF($AC$8:AC226,AC226))),"")</f>
        <v/>
      </c>
      <c r="AF226" s="108" t="str">
        <f t="shared" si="3"/>
        <v/>
      </c>
      <c r="AG226" s="108" t="str">
        <f t="array" ref="AG226">IF(ISNUMBER(AC226),INDEX('All Player Data Store'!$K$8:$K$594,SMALL(IF('All Player Data Store'!$Y$7:$Y$594=AC226,ROW('All Player Data Store'!$Y$7:$Y$594)-ROW('All Player Data Store'!$Y$7)+1),COUNTIF($AC$8:AC226,AC226))),"")</f>
        <v/>
      </c>
      <c r="AH226" s="108" t="str">
        <f t="shared" si="4"/>
        <v/>
      </c>
      <c r="AI226" s="108" t="str">
        <f t="array" ref="AI226">IF(ISNUMBER(AC226),INDEX('All Player Data Store'!$L$8:$L$594,SMALL(IF('All Player Data Store'!$Y$7:$Y$594=AC226,ROW('All Player Data Store'!$Y$7:$Y$594)-ROW('All Player Data Store'!$Y$7)+1),COUNTIF($AC$8:AC226,AC226))),"")</f>
        <v/>
      </c>
      <c r="AJ226" s="108" t="str">
        <f t="shared" si="5"/>
        <v/>
      </c>
      <c r="AK226" s="108" t="str">
        <f t="array" ref="AK226">IF(ISNUMBER(AC226),INDEX('All Player Data Store'!$M$8:$M$594,SMALL(IF('All Player Data Store'!$Y$7:$Y$594=AC226,ROW('All Player Data Store'!$Y$7:$Y$594)-ROW('All Player Data Store'!$Y$7)+1),COUNTIF($AC$8:AC226,AC226))),"")</f>
        <v/>
      </c>
      <c r="AL226" s="108" t="str">
        <f t="shared" si="6"/>
        <v/>
      </c>
      <c r="AM226" s="108" t="str">
        <f t="array" ref="AM226">IF(ISNUMBER(AC226),INDEX('All Player Data Store'!$N$8:$N$594,SMALL(IF('All Player Data Store'!$Y$7:$Y$594=AC226,ROW('All Player Data Store'!$Y$7:$Y$594)-ROW('All Player Data Store'!$Y$7)+1),COUNTIF($AC$8:AC226,AC226))),"")</f>
        <v/>
      </c>
      <c r="AN226" s="108" t="str">
        <f t="shared" si="7"/>
        <v/>
      </c>
      <c r="AO226" s="108" t="str">
        <f t="array" ref="AO226">IF(ISNUMBER(AC226),INDEX('All Player Data Store'!$O$8:$O$594,SMALL(IF('All Player Data Store'!$Y$7:$Y$594=AC226,ROW('All Player Data Store'!$Y$7:$Y$594)-ROW('All Player Data Store'!$Y$7)+1),COUNTIF($AC$8:AC226,AC226))),"")</f>
        <v/>
      </c>
      <c r="AP226" s="108" t="str">
        <f t="shared" si="8"/>
        <v/>
      </c>
      <c r="AQ226" s="108" t="str">
        <f t="array" ref="AQ226">IF(ISNUMBER(AC226),INDEX('All Player Data Store'!$P$8:$P$594,SMALL(IF('All Player Data Store'!$Y$7:$Y$594=AC226,ROW('All Player Data Store'!$Y$7:$Y$594)-ROW('All Player Data Store'!$Y$7)+1),COUNTIF($AC$8:AC226,AC226))),"")</f>
        <v/>
      </c>
      <c r="AR226" s="108" t="str">
        <f t="shared" si="9"/>
        <v/>
      </c>
      <c r="AS226" s="108" t="str">
        <f t="array" ref="AS226">IF(ISNUMBER(AC226),INDEX('All Player Data Store'!$Q$8:$Q$594,SMALL(IF('All Player Data Store'!$Y$7:$Y$594=AC226,ROW('All Player Data Store'!$Y$7:$Y$594)-ROW('All Player Data Store'!$Y$7)+1),COUNTIF($AC$8:AC226,AC226))),"")</f>
        <v/>
      </c>
      <c r="AT226" s="108" t="str">
        <f t="shared" si="10"/>
        <v/>
      </c>
      <c r="AU226" s="108" t="str">
        <f t="array" ref="AU226">IF(ISNUMBER(AC226),INDEX('All Player Data Store'!$R$8:$R$594,SMALL(IF('All Player Data Store'!$Y$7:$Y$594=AC226,ROW('All Player Data Store'!$Y$7:$Y$594)-ROW('All Player Data Store'!$Y$7)+1),COUNTIF($AC$8:AC226,AC226))),"")</f>
        <v/>
      </c>
      <c r="AV226" s="108" t="str">
        <f t="shared" si="11"/>
        <v/>
      </c>
      <c r="AW226" s="108" t="str">
        <f t="array" ref="AW226">IF(ISNUMBER(AC226),INDEX('All Player Data Store'!$S$8:$S$594,SMALL(IF('All Player Data Store'!$Y$7:$Y$594=AC226,ROW('All Player Data Store'!$Y$7:$Y$594)-ROW('All Player Data Store'!$Y$7)+1),COUNTIF($AC$8:AC226,AC226))),"")</f>
        <v/>
      </c>
      <c r="AX226" s="108" t="str">
        <f t="shared" si="12"/>
        <v/>
      </c>
      <c r="AY226" s="108" t="str">
        <f t="array" ref="AY226">IF(ISNUMBER(AC226),INDEX('All Player Data Store'!$T$8:$T$594,SMALL(IF('All Player Data Store'!$Y$7:$Y$594=AC226,ROW('All Player Data Store'!$Y$7:$Y$594)-ROW('All Player Data Store'!$Y$7)+1),COUNTIF($AC$8:AC226,AC226))),"")</f>
        <v/>
      </c>
      <c r="AZ226" s="108" t="str">
        <f t="shared" si="13"/>
        <v/>
      </c>
      <c r="BA226" s="108" t="str">
        <f t="array" ref="BA226">IF(ISNUMBER(AC226),INDEX('All Player Data Store'!$U$8:$U$594,SMALL(IF('All Player Data Store'!$Y$7:$Y$594=AC226,ROW('All Player Data Store'!$Y$7:$Y$594)-ROW('All Player Data Store'!$Y$7)+1),COUNTIF($AC$8:AC226,AC226))),"")</f>
        <v/>
      </c>
      <c r="BB226" s="108" t="str">
        <f t="shared" si="14"/>
        <v/>
      </c>
      <c r="BC226" s="108" t="str">
        <f t="array" ref="BC226">IF(ISNUMBER(AC226),INDEX('All Player Data Store'!$V$8:$V$594,SMALL(IF('All Player Data Store'!$Y$7:$Y$594=AC226,ROW('All Player Data Store'!$Y$7:$Y$594)-ROW('All Player Data Store'!$Y$7)+1),COUNTIF($AC$8:AC226,AC226))),"")</f>
        <v/>
      </c>
      <c r="BD226" s="108" t="str">
        <f t="shared" si="15"/>
        <v/>
      </c>
      <c r="BE226" s="1"/>
    </row>
    <row r="227" spans="2:57" ht="12" customHeight="1" x14ac:dyDescent="0.2">
      <c r="B227" s="118" t="str">
        <f t="shared" si="0"/>
        <v/>
      </c>
      <c r="C227" s="1"/>
      <c r="D227" s="68" t="str">
        <f t="shared" si="1"/>
        <v/>
      </c>
      <c r="E227" s="2"/>
      <c r="F227" s="78">
        <v>220</v>
      </c>
      <c r="G227" s="110" t="str">
        <f t="array" ref="G227">IF(ISNUMBER(AC227),INDEX('All Player Data Store'!$C$7:$C$594,SMALL(IF('All Player Data Store'!$Y$7:$Y$594=AC227,ROW('All Player Data Store'!$Y$7:$Y$594)-ROW('All Player Data Store'!$Y$7)+1),COUNTIF($AC$8:AC227,AC227))),"")</f>
        <v/>
      </c>
      <c r="H227" s="68" t="str">
        <f t="array" ref="H227">IF(ISNUMBER(AC227),INDEX('All Player Data Store'!$D$7:$D$594,SMALL(IF('All Player Data Store'!$Y$7:$Y$594=AC227,ROW('All Player Data Store'!$Y$7:$Y$594)-ROW('All Player Data Store'!$Y$7)+1),COUNTIF($AC$8:AC227,AC227))),"")</f>
        <v/>
      </c>
      <c r="I227" s="69" t="str">
        <f t="array" ref="I227">IF(ISNUMBER(AC227),INDEX('All Player Data Store'!$E$7:$E$594,SMALL(IF('All Player Data Store'!$Y$7:$Y$594=AC227,ROW('All Player Data Store'!$Y$7:$Y$594)-ROW('All Player Data Store'!$Y$7)+1),COUNTIF($AC$8:AC227,AC227))),"")</f>
        <v/>
      </c>
      <c r="J227" s="70" t="str">
        <f t="array" ref="J227">IF(ISNUMBER(AC227),INDEX('All Player Data Store'!$F$7:$F$594,SMALL(IF('All Player Data Store'!$Y$7:$Y$594=AC227,ROW('All Player Data Store'!$Y$7:$Y$594)-ROW('All Player Data Store'!$Y$7)+1),COUNTIF($AC$8:AC227,AC227))),"")</f>
        <v/>
      </c>
      <c r="K227" s="70" t="str">
        <f t="array" ref="K227">IF(ISNUMBER(AC227),INDEX('All Player Data Store'!$G$7:$G$594,SMALL(IF('All Player Data Store'!$Y$7:$Y$594=AC227,ROW('All Player Data Store'!$Y$7:$Y$594)-ROW('All Player Data Store'!$Y$7)+1),COUNTIF($AC$8:AC227,AC227))),"")</f>
        <v/>
      </c>
      <c r="L227" s="70" t="str">
        <f t="array" ref="L227">IF(ISNUMBER(AC227),INDEX('All Player Data Store'!$H$7:$H$594,SMALL(IF('All Player Data Store'!$Y$7:$Y$594=AC227,ROW('All Player Data Store'!$Y$7:$Y$594)-ROW('All Player Data Store'!$Y$7)+1),COUNTIF($AC$8:AC227,AC227))),"")</f>
        <v/>
      </c>
      <c r="M227" s="72" t="str">
        <f t="array" ref="M227">IF(ISNUMBER(AC227),INDEX('All Player Data Store'!$I$7:$I$594,SMALL(IF('All Player Data Store'!$Y$7:$Y$594=AC227,ROW('All Player Data Store'!$Y$7:$Y$594)-ROW('All Player Data Store'!$Y$7)+1),COUNTIF($AC$8:AC227,AC227))),"")</f>
        <v/>
      </c>
      <c r="N227" s="114" t="str">
        <f t="array" ref="N227">IF(ISNUMBER(AC227),INDEX('All Player Data Store'!$J$7:$J$594,SMALL(IF('All Player Data Store'!$Y$7:$Y$594=AC227,ROW('All Player Data Store'!$Y$7:$Y$594)-ROW('All Player Data Store'!$Y$7)+1),COUNTIF($AC$8:AC227,AC227))),"")</f>
        <v/>
      </c>
      <c r="O227" s="108" t="str">
        <f t="array" ref="O227">IF(ISNUMBER(AC227),INDEX('All Player Data Store'!$K$7:$K$594,SMALL(IF('All Player Data Store'!$Y$7:$Y$594=AC227,ROW('All Player Data Store'!$Y$7:$Y$594)-ROW('All Player Data Store'!$Y$7)+1),COUNTIF($AC$8:AC227,AC227))),"")</f>
        <v/>
      </c>
      <c r="P227" s="108" t="str">
        <f t="array" ref="P227">IF(ISNUMBER(AC227),INDEX('All Player Data Store'!$L$7:$L$594,SMALL(IF('All Player Data Store'!$Y$7:$Y$594=AC227,ROW('All Player Data Store'!$Y$7:$Y$594)-ROW('All Player Data Store'!$Y$7)+1),COUNTIF($AC$8:AC227,AC227))),"")</f>
        <v/>
      </c>
      <c r="Q227" s="108" t="str">
        <f t="array" ref="Q227">IF(ISNUMBER(AC227),INDEX('All Player Data Store'!$M$7:$M$594,SMALL(IF('All Player Data Store'!$Y$7:$Y$594=AC227,ROW('All Player Data Store'!$Y$7:$Y$594)-ROW('All Player Data Store'!$Y$7)+1),COUNTIF($AC$8:AC227,AC227))),"")</f>
        <v/>
      </c>
      <c r="R227" s="108" t="str">
        <f t="array" ref="R227">IF(ISNUMBER(AC227),INDEX('All Player Data Store'!$N$7:$N$594,SMALL(IF('All Player Data Store'!$Y$7:$Y$594=AC227,ROW('All Player Data Store'!$Y$7:$Y$594)-ROW('All Player Data Store'!$Y$7)+1),COUNTIF($AC$8:AC227,AC227))),"")</f>
        <v/>
      </c>
      <c r="S227" s="108" t="str">
        <f t="array" ref="S227">IF(ISNUMBER(AC227),INDEX('All Player Data Store'!$O$7:$O$594,SMALL(IF('All Player Data Store'!$Y$7:$Y$594=AC227,ROW('All Player Data Store'!$Y$7:$Y$594)-ROW('All Player Data Store'!$Y$7)+1),COUNTIF($AC$8:AC227,AC227))),"")</f>
        <v/>
      </c>
      <c r="T227" s="108" t="str">
        <f t="array" ref="T227">IF(ISNUMBER(AC227),INDEX('All Player Data Store'!$P$7:$P$594,SMALL(IF('All Player Data Store'!$Y$7:$Y$594=AC227,ROW('All Player Data Store'!$Y$7:$Y$594)-ROW('All Player Data Store'!$Y$7)+1),COUNTIF($AC$8:AC227,AC227))),"")</f>
        <v/>
      </c>
      <c r="U227" s="108" t="str">
        <f t="array" ref="U227">IF(ISNUMBER(AC227),INDEX('All Player Data Store'!$Q$7:$Q$594,SMALL(IF('All Player Data Store'!$Y$7:$Y$594=AC227,ROW('All Player Data Store'!$Y$7:$Y$594)-ROW('All Player Data Store'!$Y$7)+1),COUNTIF($AC$8:AC227,AC227))),"")</f>
        <v/>
      </c>
      <c r="V227" s="108" t="str">
        <f t="array" ref="V227">IF(ISNUMBER(AC227),INDEX('All Player Data Store'!$R$7:$R$594,SMALL(IF('All Player Data Store'!$Y$7:$Y$594=AC227,ROW('All Player Data Store'!$Y$7:$Y$594)-ROW('All Player Data Store'!$Y$7)+1),COUNTIF($AC$8:AC227,AC227))),"")</f>
        <v/>
      </c>
      <c r="W227" s="108" t="str">
        <f t="array" ref="W227">IF(ISNUMBER(AC227),INDEX('All Player Data Store'!$S$7:$S$594,SMALL(IF('All Player Data Store'!$Y$7:$Y$594=AC227,ROW('All Player Data Store'!$Y$7:$Y$594)-ROW('All Player Data Store'!$Y$7)+1),COUNTIF($AC$8:AC227,AC227))),"")</f>
        <v/>
      </c>
      <c r="X227" s="108" t="str">
        <f t="array" ref="X227">IF(ISNUMBER(AC227),INDEX('All Player Data Store'!$T$7:$T$594,SMALL(IF('All Player Data Store'!$Y$7:$Y$594=AC227,ROW('All Player Data Store'!$Y$7:$Y$594)-ROW('All Player Data Store'!$Y$7)+1),COUNTIF($AC$8:AC227,AC227))),"")</f>
        <v/>
      </c>
      <c r="Y227" s="108" t="str">
        <f t="array" ref="Y227">IF(ISNUMBER(AC227),INDEX('All Player Data Store'!$U$7:$U$594,SMALL(IF('All Player Data Store'!$Y$7:$Y$594=AC227,ROW('All Player Data Store'!$Y$7:$Y$594)-ROW('All Player Data Store'!$Y$7)+1),COUNTIF($AC$8:AC227,AC227))),"")</f>
        <v/>
      </c>
      <c r="Z227" s="108" t="str">
        <f t="array" ref="Z227">IF(ISNUMBER(AC227),INDEX('All Player Data Store'!$V$7:$V$594,SMALL(IF('All Player Data Store'!$Y$7:$Y$594=AC227,ROW('All Player Data Store'!$Y$7:$Y$594)-ROW('All Player Data Store'!$Y$7)+1),COUNTIF($AC$8:AC227,AC227))),"")</f>
        <v/>
      </c>
      <c r="AA227" s="112" t="str">
        <f t="array" ref="AA227">IF(ISNUMBER(AC227),INDEX('All Player Data Store'!$W$7:$W$594,SMALL(IF('All Player Data Store'!$Y$7:$Y$594=AC227,ROW('All Player Data Store'!$Y$7:$Y$594)-ROW('All Player Data Store'!$Y$7)+1),COUNTIF($AC$8:AC227,AC227))),"")</f>
        <v/>
      </c>
      <c r="AB227" s="108" t="str">
        <f t="array" ref="AB227">IF(ISNUMBER(AC227),INDEX('All Player Data Store'!$X$7:$X$594,SMALL(IF('All Player Data Store'!$Y$7:$Y$594=AC227,ROW('All Player Data Store'!$Y$7:$Y$594)-ROW('All Player Data Store'!$Y$7)+1),COUNTIF($AC$8:AC227,AC227))),"")</f>
        <v/>
      </c>
      <c r="AC227" s="115" t="str">
        <f>IF(ISERROR(IF(ISERROR(LARGE('All Player Data Store'!$Y$7:$Y$594,220)),"",(LARGE('All Player Data Store'!$Y$7:$Y$594,220)))),"",(IF(ISERROR(LARGE('All Player Data Store'!$Y$7:$Y$594,220)),"",(LARGE('All Player Data Store'!$Y$7:$Y$594,220)))))</f>
        <v/>
      </c>
      <c r="AD227" s="106">
        <f t="shared" si="16"/>
        <v>1</v>
      </c>
      <c r="AE227" s="107" t="str">
        <f t="array" ref="AE227">IF(ISNUMBER(AC227),INDEX('All Player Data Store'!$J$8:$J$594,SMALL(IF('All Player Data Store'!$Y$7:$Y$594=AC227,ROW('All Player Data Store'!$Y$7:$Y$594)-ROW('All Player Data Store'!$Y$7)+1),COUNTIF($AC$8:AC227,AC227))),"")</f>
        <v/>
      </c>
      <c r="AF227" s="108" t="str">
        <f t="shared" si="3"/>
        <v/>
      </c>
      <c r="AG227" s="108" t="str">
        <f t="array" ref="AG227">IF(ISNUMBER(AC227),INDEX('All Player Data Store'!$K$8:$K$594,SMALL(IF('All Player Data Store'!$Y$7:$Y$594=AC227,ROW('All Player Data Store'!$Y$7:$Y$594)-ROW('All Player Data Store'!$Y$7)+1),COUNTIF($AC$8:AC227,AC227))),"")</f>
        <v/>
      </c>
      <c r="AH227" s="108" t="str">
        <f t="shared" si="4"/>
        <v/>
      </c>
      <c r="AI227" s="108" t="str">
        <f t="array" ref="AI227">IF(ISNUMBER(AC227),INDEX('All Player Data Store'!$L$8:$L$594,SMALL(IF('All Player Data Store'!$Y$7:$Y$594=AC227,ROW('All Player Data Store'!$Y$7:$Y$594)-ROW('All Player Data Store'!$Y$7)+1),COUNTIF($AC$8:AC227,AC227))),"")</f>
        <v/>
      </c>
      <c r="AJ227" s="108" t="str">
        <f t="shared" si="5"/>
        <v/>
      </c>
      <c r="AK227" s="108" t="str">
        <f t="array" ref="AK227">IF(ISNUMBER(AC227),INDEX('All Player Data Store'!$M$8:$M$594,SMALL(IF('All Player Data Store'!$Y$7:$Y$594=AC227,ROW('All Player Data Store'!$Y$7:$Y$594)-ROW('All Player Data Store'!$Y$7)+1),COUNTIF($AC$8:AC227,AC227))),"")</f>
        <v/>
      </c>
      <c r="AL227" s="108" t="str">
        <f t="shared" si="6"/>
        <v/>
      </c>
      <c r="AM227" s="108" t="str">
        <f t="array" ref="AM227">IF(ISNUMBER(AC227),INDEX('All Player Data Store'!$N$8:$N$594,SMALL(IF('All Player Data Store'!$Y$7:$Y$594=AC227,ROW('All Player Data Store'!$Y$7:$Y$594)-ROW('All Player Data Store'!$Y$7)+1),COUNTIF($AC$8:AC227,AC227))),"")</f>
        <v/>
      </c>
      <c r="AN227" s="108" t="str">
        <f t="shared" si="7"/>
        <v/>
      </c>
      <c r="AO227" s="108" t="str">
        <f t="array" ref="AO227">IF(ISNUMBER(AC227),INDEX('All Player Data Store'!$O$8:$O$594,SMALL(IF('All Player Data Store'!$Y$7:$Y$594=AC227,ROW('All Player Data Store'!$Y$7:$Y$594)-ROW('All Player Data Store'!$Y$7)+1),COUNTIF($AC$8:AC227,AC227))),"")</f>
        <v/>
      </c>
      <c r="AP227" s="108" t="str">
        <f t="shared" si="8"/>
        <v/>
      </c>
      <c r="AQ227" s="108" t="str">
        <f t="array" ref="AQ227">IF(ISNUMBER(AC227),INDEX('All Player Data Store'!$P$8:$P$594,SMALL(IF('All Player Data Store'!$Y$7:$Y$594=AC227,ROW('All Player Data Store'!$Y$7:$Y$594)-ROW('All Player Data Store'!$Y$7)+1),COUNTIF($AC$8:AC227,AC227))),"")</f>
        <v/>
      </c>
      <c r="AR227" s="108" t="str">
        <f t="shared" si="9"/>
        <v/>
      </c>
      <c r="AS227" s="108" t="str">
        <f t="array" ref="AS227">IF(ISNUMBER(AC227),INDEX('All Player Data Store'!$Q$8:$Q$594,SMALL(IF('All Player Data Store'!$Y$7:$Y$594=AC227,ROW('All Player Data Store'!$Y$7:$Y$594)-ROW('All Player Data Store'!$Y$7)+1),COUNTIF($AC$8:AC227,AC227))),"")</f>
        <v/>
      </c>
      <c r="AT227" s="108" t="str">
        <f t="shared" si="10"/>
        <v/>
      </c>
      <c r="AU227" s="108" t="str">
        <f t="array" ref="AU227">IF(ISNUMBER(AC227),INDEX('All Player Data Store'!$R$8:$R$594,SMALL(IF('All Player Data Store'!$Y$7:$Y$594=AC227,ROW('All Player Data Store'!$Y$7:$Y$594)-ROW('All Player Data Store'!$Y$7)+1),COUNTIF($AC$8:AC227,AC227))),"")</f>
        <v/>
      </c>
      <c r="AV227" s="108" t="str">
        <f t="shared" si="11"/>
        <v/>
      </c>
      <c r="AW227" s="108" t="str">
        <f t="array" ref="AW227">IF(ISNUMBER(AC227),INDEX('All Player Data Store'!$S$8:$S$594,SMALL(IF('All Player Data Store'!$Y$7:$Y$594=AC227,ROW('All Player Data Store'!$Y$7:$Y$594)-ROW('All Player Data Store'!$Y$7)+1),COUNTIF($AC$8:AC227,AC227))),"")</f>
        <v/>
      </c>
      <c r="AX227" s="108" t="str">
        <f t="shared" si="12"/>
        <v/>
      </c>
      <c r="AY227" s="108" t="str">
        <f t="array" ref="AY227">IF(ISNUMBER(AC227),INDEX('All Player Data Store'!$T$8:$T$594,SMALL(IF('All Player Data Store'!$Y$7:$Y$594=AC227,ROW('All Player Data Store'!$Y$7:$Y$594)-ROW('All Player Data Store'!$Y$7)+1),COUNTIF($AC$8:AC227,AC227))),"")</f>
        <v/>
      </c>
      <c r="AZ227" s="108" t="str">
        <f t="shared" si="13"/>
        <v/>
      </c>
      <c r="BA227" s="108" t="str">
        <f t="array" ref="BA227">IF(ISNUMBER(AC227),INDEX('All Player Data Store'!$U$8:$U$594,SMALL(IF('All Player Data Store'!$Y$7:$Y$594=AC227,ROW('All Player Data Store'!$Y$7:$Y$594)-ROW('All Player Data Store'!$Y$7)+1),COUNTIF($AC$8:AC227,AC227))),"")</f>
        <v/>
      </c>
      <c r="BB227" s="108" t="str">
        <f t="shared" si="14"/>
        <v/>
      </c>
      <c r="BC227" s="108" t="str">
        <f t="array" ref="BC227">IF(ISNUMBER(AC227),INDEX('All Player Data Store'!$V$8:$V$594,SMALL(IF('All Player Data Store'!$Y$7:$Y$594=AC227,ROW('All Player Data Store'!$Y$7:$Y$594)-ROW('All Player Data Store'!$Y$7)+1),COUNTIF($AC$8:AC227,AC227))),"")</f>
        <v/>
      </c>
      <c r="BD227" s="108" t="str">
        <f t="shared" si="15"/>
        <v/>
      </c>
      <c r="BE227" s="1"/>
    </row>
    <row r="228" spans="2:57" ht="12" customHeight="1" x14ac:dyDescent="0.2">
      <c r="B228" s="118" t="str">
        <f t="shared" si="0"/>
        <v/>
      </c>
      <c r="C228" s="1"/>
      <c r="D228" s="68" t="str">
        <f t="shared" si="1"/>
        <v/>
      </c>
      <c r="E228" s="2"/>
      <c r="F228" s="78">
        <v>221</v>
      </c>
      <c r="G228" s="110" t="str">
        <f t="array" ref="G228">IF(ISNUMBER(AC228),INDEX('All Player Data Store'!$C$7:$C$594,SMALL(IF('All Player Data Store'!$Y$7:$Y$594=AC228,ROW('All Player Data Store'!$Y$7:$Y$594)-ROW('All Player Data Store'!$Y$7)+1),COUNTIF($AC$8:AC228,AC228))),"")</f>
        <v/>
      </c>
      <c r="H228" s="68" t="str">
        <f t="array" ref="H228">IF(ISNUMBER(AC228),INDEX('All Player Data Store'!$D$7:$D$594,SMALL(IF('All Player Data Store'!$Y$7:$Y$594=AC228,ROW('All Player Data Store'!$Y$7:$Y$594)-ROW('All Player Data Store'!$Y$7)+1),COUNTIF($AC$8:AC228,AC228))),"")</f>
        <v/>
      </c>
      <c r="I228" s="69" t="str">
        <f t="array" ref="I228">IF(ISNUMBER(AC228),INDEX('All Player Data Store'!$E$7:$E$594,SMALL(IF('All Player Data Store'!$Y$7:$Y$594=AC228,ROW('All Player Data Store'!$Y$7:$Y$594)-ROW('All Player Data Store'!$Y$7)+1),COUNTIF($AC$8:AC228,AC228))),"")</f>
        <v/>
      </c>
      <c r="J228" s="70" t="str">
        <f t="array" ref="J228">IF(ISNUMBER(AC228),INDEX('All Player Data Store'!$F$7:$F$594,SMALL(IF('All Player Data Store'!$Y$7:$Y$594=AC228,ROW('All Player Data Store'!$Y$7:$Y$594)-ROW('All Player Data Store'!$Y$7)+1),COUNTIF($AC$8:AC228,AC228))),"")</f>
        <v/>
      </c>
      <c r="K228" s="70" t="str">
        <f t="array" ref="K228">IF(ISNUMBER(AC228),INDEX('All Player Data Store'!$G$7:$G$594,SMALL(IF('All Player Data Store'!$Y$7:$Y$594=AC228,ROW('All Player Data Store'!$Y$7:$Y$594)-ROW('All Player Data Store'!$Y$7)+1),COUNTIF($AC$8:AC228,AC228))),"")</f>
        <v/>
      </c>
      <c r="L228" s="70" t="str">
        <f t="array" ref="L228">IF(ISNUMBER(AC228),INDEX('All Player Data Store'!$H$7:$H$594,SMALL(IF('All Player Data Store'!$Y$7:$Y$594=AC228,ROW('All Player Data Store'!$Y$7:$Y$594)-ROW('All Player Data Store'!$Y$7)+1),COUNTIF($AC$8:AC228,AC228))),"")</f>
        <v/>
      </c>
      <c r="M228" s="72" t="str">
        <f t="array" ref="M228">IF(ISNUMBER(AC228),INDEX('All Player Data Store'!$I$7:$I$594,SMALL(IF('All Player Data Store'!$Y$7:$Y$594=AC228,ROW('All Player Data Store'!$Y$7:$Y$594)-ROW('All Player Data Store'!$Y$7)+1),COUNTIF($AC$8:AC228,AC228))),"")</f>
        <v/>
      </c>
      <c r="N228" s="114" t="str">
        <f t="array" ref="N228">IF(ISNUMBER(AC228),INDEX('All Player Data Store'!$J$7:$J$594,SMALL(IF('All Player Data Store'!$Y$7:$Y$594=AC228,ROW('All Player Data Store'!$Y$7:$Y$594)-ROW('All Player Data Store'!$Y$7)+1),COUNTIF($AC$8:AC228,AC228))),"")</f>
        <v/>
      </c>
      <c r="O228" s="108" t="str">
        <f t="array" ref="O228">IF(ISNUMBER(AC228),INDEX('All Player Data Store'!$K$7:$K$594,SMALL(IF('All Player Data Store'!$Y$7:$Y$594=AC228,ROW('All Player Data Store'!$Y$7:$Y$594)-ROW('All Player Data Store'!$Y$7)+1),COUNTIF($AC$8:AC228,AC228))),"")</f>
        <v/>
      </c>
      <c r="P228" s="108" t="str">
        <f t="array" ref="P228">IF(ISNUMBER(AC228),INDEX('All Player Data Store'!$L$7:$L$594,SMALL(IF('All Player Data Store'!$Y$7:$Y$594=AC228,ROW('All Player Data Store'!$Y$7:$Y$594)-ROW('All Player Data Store'!$Y$7)+1),COUNTIF($AC$8:AC228,AC228))),"")</f>
        <v/>
      </c>
      <c r="Q228" s="108" t="str">
        <f t="array" ref="Q228">IF(ISNUMBER(AC228),INDEX('All Player Data Store'!$M$7:$M$594,SMALL(IF('All Player Data Store'!$Y$7:$Y$594=AC228,ROW('All Player Data Store'!$Y$7:$Y$594)-ROW('All Player Data Store'!$Y$7)+1),COUNTIF($AC$8:AC228,AC228))),"")</f>
        <v/>
      </c>
      <c r="R228" s="108" t="str">
        <f t="array" ref="R228">IF(ISNUMBER(AC228),INDEX('All Player Data Store'!$N$7:$N$594,SMALL(IF('All Player Data Store'!$Y$7:$Y$594=AC228,ROW('All Player Data Store'!$Y$7:$Y$594)-ROW('All Player Data Store'!$Y$7)+1),COUNTIF($AC$8:AC228,AC228))),"")</f>
        <v/>
      </c>
      <c r="S228" s="108" t="str">
        <f t="array" ref="S228">IF(ISNUMBER(AC228),INDEX('All Player Data Store'!$O$7:$O$594,SMALL(IF('All Player Data Store'!$Y$7:$Y$594=AC228,ROW('All Player Data Store'!$Y$7:$Y$594)-ROW('All Player Data Store'!$Y$7)+1),COUNTIF($AC$8:AC228,AC228))),"")</f>
        <v/>
      </c>
      <c r="T228" s="108" t="str">
        <f t="array" ref="T228">IF(ISNUMBER(AC228),INDEX('All Player Data Store'!$P$7:$P$594,SMALL(IF('All Player Data Store'!$Y$7:$Y$594=AC228,ROW('All Player Data Store'!$Y$7:$Y$594)-ROW('All Player Data Store'!$Y$7)+1),COUNTIF($AC$8:AC228,AC228))),"")</f>
        <v/>
      </c>
      <c r="U228" s="108" t="str">
        <f t="array" ref="U228">IF(ISNUMBER(AC228),INDEX('All Player Data Store'!$Q$7:$Q$594,SMALL(IF('All Player Data Store'!$Y$7:$Y$594=AC228,ROW('All Player Data Store'!$Y$7:$Y$594)-ROW('All Player Data Store'!$Y$7)+1),COUNTIF($AC$8:AC228,AC228))),"")</f>
        <v/>
      </c>
      <c r="V228" s="108" t="str">
        <f t="array" ref="V228">IF(ISNUMBER(AC228),INDEX('All Player Data Store'!$R$7:$R$594,SMALL(IF('All Player Data Store'!$Y$7:$Y$594=AC228,ROW('All Player Data Store'!$Y$7:$Y$594)-ROW('All Player Data Store'!$Y$7)+1),COUNTIF($AC$8:AC228,AC228))),"")</f>
        <v/>
      </c>
      <c r="W228" s="108" t="str">
        <f t="array" ref="W228">IF(ISNUMBER(AC228),INDEX('All Player Data Store'!$S$7:$S$594,SMALL(IF('All Player Data Store'!$Y$7:$Y$594=AC228,ROW('All Player Data Store'!$Y$7:$Y$594)-ROW('All Player Data Store'!$Y$7)+1),COUNTIF($AC$8:AC228,AC228))),"")</f>
        <v/>
      </c>
      <c r="X228" s="108" t="str">
        <f t="array" ref="X228">IF(ISNUMBER(AC228),INDEX('All Player Data Store'!$T$7:$T$594,SMALL(IF('All Player Data Store'!$Y$7:$Y$594=AC228,ROW('All Player Data Store'!$Y$7:$Y$594)-ROW('All Player Data Store'!$Y$7)+1),COUNTIF($AC$8:AC228,AC228))),"")</f>
        <v/>
      </c>
      <c r="Y228" s="108" t="str">
        <f t="array" ref="Y228">IF(ISNUMBER(AC228),INDEX('All Player Data Store'!$U$7:$U$594,SMALL(IF('All Player Data Store'!$Y$7:$Y$594=AC228,ROW('All Player Data Store'!$Y$7:$Y$594)-ROW('All Player Data Store'!$Y$7)+1),COUNTIF($AC$8:AC228,AC228))),"")</f>
        <v/>
      </c>
      <c r="Z228" s="108" t="str">
        <f t="array" ref="Z228">IF(ISNUMBER(AC228),INDEX('All Player Data Store'!$V$7:$V$594,SMALL(IF('All Player Data Store'!$Y$7:$Y$594=AC228,ROW('All Player Data Store'!$Y$7:$Y$594)-ROW('All Player Data Store'!$Y$7)+1),COUNTIF($AC$8:AC228,AC228))),"")</f>
        <v/>
      </c>
      <c r="AA228" s="112" t="str">
        <f t="array" ref="AA228">IF(ISNUMBER(AC228),INDEX('All Player Data Store'!$W$7:$W$594,SMALL(IF('All Player Data Store'!$Y$7:$Y$594=AC228,ROW('All Player Data Store'!$Y$7:$Y$594)-ROW('All Player Data Store'!$Y$7)+1),COUNTIF($AC$8:AC228,AC228))),"")</f>
        <v/>
      </c>
      <c r="AB228" s="108" t="str">
        <f t="array" ref="AB228">IF(ISNUMBER(AC228),INDEX('All Player Data Store'!$X$7:$X$594,SMALL(IF('All Player Data Store'!$Y$7:$Y$594=AC228,ROW('All Player Data Store'!$Y$7:$Y$594)-ROW('All Player Data Store'!$Y$7)+1),COUNTIF($AC$8:AC228,AC228))),"")</f>
        <v/>
      </c>
      <c r="AC228" s="115" t="str">
        <f>IF(ISERROR(IF(ISERROR(LARGE('All Player Data Store'!$Y$7:$Y$594,221)),"",(LARGE('All Player Data Store'!$Y$7:$Y$594,221)))),"",(IF(ISERROR(LARGE('All Player Data Store'!$Y$7:$Y$594,221)),"",(LARGE('All Player Data Store'!$Y$7:$Y$594,221)))))</f>
        <v/>
      </c>
      <c r="AD228" s="106">
        <f t="shared" si="16"/>
        <v>1</v>
      </c>
      <c r="AE228" s="107" t="str">
        <f t="array" ref="AE228">IF(ISNUMBER(AC228),INDEX('All Player Data Store'!$J$8:$J$594,SMALL(IF('All Player Data Store'!$Y$7:$Y$594=AC228,ROW('All Player Data Store'!$Y$7:$Y$594)-ROW('All Player Data Store'!$Y$7)+1),COUNTIF($AC$8:AC228,AC228))),"")</f>
        <v/>
      </c>
      <c r="AF228" s="108" t="str">
        <f t="shared" si="3"/>
        <v/>
      </c>
      <c r="AG228" s="108" t="str">
        <f t="array" ref="AG228">IF(ISNUMBER(AC228),INDEX('All Player Data Store'!$K$8:$K$594,SMALL(IF('All Player Data Store'!$Y$7:$Y$594=AC228,ROW('All Player Data Store'!$Y$7:$Y$594)-ROW('All Player Data Store'!$Y$7)+1),COUNTIF($AC$8:AC228,AC228))),"")</f>
        <v/>
      </c>
      <c r="AH228" s="108" t="str">
        <f t="shared" si="4"/>
        <v/>
      </c>
      <c r="AI228" s="108" t="str">
        <f t="array" ref="AI228">IF(ISNUMBER(AC228),INDEX('All Player Data Store'!$L$8:$L$594,SMALL(IF('All Player Data Store'!$Y$7:$Y$594=AC228,ROW('All Player Data Store'!$Y$7:$Y$594)-ROW('All Player Data Store'!$Y$7)+1),COUNTIF($AC$8:AC228,AC228))),"")</f>
        <v/>
      </c>
      <c r="AJ228" s="108" t="str">
        <f t="shared" si="5"/>
        <v/>
      </c>
      <c r="AK228" s="108" t="str">
        <f t="array" ref="AK228">IF(ISNUMBER(AC228),INDEX('All Player Data Store'!$M$8:$M$594,SMALL(IF('All Player Data Store'!$Y$7:$Y$594=AC228,ROW('All Player Data Store'!$Y$7:$Y$594)-ROW('All Player Data Store'!$Y$7)+1),COUNTIF($AC$8:AC228,AC228))),"")</f>
        <v/>
      </c>
      <c r="AL228" s="108" t="str">
        <f t="shared" si="6"/>
        <v/>
      </c>
      <c r="AM228" s="108" t="str">
        <f t="array" ref="AM228">IF(ISNUMBER(AC228),INDEX('All Player Data Store'!$N$8:$N$594,SMALL(IF('All Player Data Store'!$Y$7:$Y$594=AC228,ROW('All Player Data Store'!$Y$7:$Y$594)-ROW('All Player Data Store'!$Y$7)+1),COUNTIF($AC$8:AC228,AC228))),"")</f>
        <v/>
      </c>
      <c r="AN228" s="108" t="str">
        <f t="shared" si="7"/>
        <v/>
      </c>
      <c r="AO228" s="108" t="str">
        <f t="array" ref="AO228">IF(ISNUMBER(AC228),INDEX('All Player Data Store'!$O$8:$O$594,SMALL(IF('All Player Data Store'!$Y$7:$Y$594=AC228,ROW('All Player Data Store'!$Y$7:$Y$594)-ROW('All Player Data Store'!$Y$7)+1),COUNTIF($AC$8:AC228,AC228))),"")</f>
        <v/>
      </c>
      <c r="AP228" s="108" t="str">
        <f t="shared" si="8"/>
        <v/>
      </c>
      <c r="AQ228" s="108" t="str">
        <f t="array" ref="AQ228">IF(ISNUMBER(AC228),INDEX('All Player Data Store'!$P$8:$P$594,SMALL(IF('All Player Data Store'!$Y$7:$Y$594=AC228,ROW('All Player Data Store'!$Y$7:$Y$594)-ROW('All Player Data Store'!$Y$7)+1),COUNTIF($AC$8:AC228,AC228))),"")</f>
        <v/>
      </c>
      <c r="AR228" s="108" t="str">
        <f t="shared" si="9"/>
        <v/>
      </c>
      <c r="AS228" s="108" t="str">
        <f t="array" ref="AS228">IF(ISNUMBER(AC228),INDEX('All Player Data Store'!$Q$8:$Q$594,SMALL(IF('All Player Data Store'!$Y$7:$Y$594=AC228,ROW('All Player Data Store'!$Y$7:$Y$594)-ROW('All Player Data Store'!$Y$7)+1),COUNTIF($AC$8:AC228,AC228))),"")</f>
        <v/>
      </c>
      <c r="AT228" s="108" t="str">
        <f t="shared" si="10"/>
        <v/>
      </c>
      <c r="AU228" s="108" t="str">
        <f t="array" ref="AU228">IF(ISNUMBER(AC228),INDEX('All Player Data Store'!$R$8:$R$594,SMALL(IF('All Player Data Store'!$Y$7:$Y$594=AC228,ROW('All Player Data Store'!$Y$7:$Y$594)-ROW('All Player Data Store'!$Y$7)+1),COUNTIF($AC$8:AC228,AC228))),"")</f>
        <v/>
      </c>
      <c r="AV228" s="108" t="str">
        <f t="shared" si="11"/>
        <v/>
      </c>
      <c r="AW228" s="108" t="str">
        <f t="array" ref="AW228">IF(ISNUMBER(AC228),INDEX('All Player Data Store'!$S$8:$S$594,SMALL(IF('All Player Data Store'!$Y$7:$Y$594=AC228,ROW('All Player Data Store'!$Y$7:$Y$594)-ROW('All Player Data Store'!$Y$7)+1),COUNTIF($AC$8:AC228,AC228))),"")</f>
        <v/>
      </c>
      <c r="AX228" s="108" t="str">
        <f t="shared" si="12"/>
        <v/>
      </c>
      <c r="AY228" s="108" t="str">
        <f t="array" ref="AY228">IF(ISNUMBER(AC228),INDEX('All Player Data Store'!$T$8:$T$594,SMALL(IF('All Player Data Store'!$Y$7:$Y$594=AC228,ROW('All Player Data Store'!$Y$7:$Y$594)-ROW('All Player Data Store'!$Y$7)+1),COUNTIF($AC$8:AC228,AC228))),"")</f>
        <v/>
      </c>
      <c r="AZ228" s="108" t="str">
        <f t="shared" si="13"/>
        <v/>
      </c>
      <c r="BA228" s="108" t="str">
        <f t="array" ref="BA228">IF(ISNUMBER(AC228),INDEX('All Player Data Store'!$U$8:$U$594,SMALL(IF('All Player Data Store'!$Y$7:$Y$594=AC228,ROW('All Player Data Store'!$Y$7:$Y$594)-ROW('All Player Data Store'!$Y$7)+1),COUNTIF($AC$8:AC228,AC228))),"")</f>
        <v/>
      </c>
      <c r="BB228" s="108" t="str">
        <f t="shared" si="14"/>
        <v/>
      </c>
      <c r="BC228" s="108" t="str">
        <f t="array" ref="BC228">IF(ISNUMBER(AC228),INDEX('All Player Data Store'!$V$8:$V$594,SMALL(IF('All Player Data Store'!$Y$7:$Y$594=AC228,ROW('All Player Data Store'!$Y$7:$Y$594)-ROW('All Player Data Store'!$Y$7)+1),COUNTIF($AC$8:AC228,AC228))),"")</f>
        <v/>
      </c>
      <c r="BD228" s="108" t="str">
        <f t="shared" si="15"/>
        <v/>
      </c>
      <c r="BE228" s="1"/>
    </row>
    <row r="229" spans="2:57" ht="12" customHeight="1" x14ac:dyDescent="0.2">
      <c r="B229" s="118" t="str">
        <f t="shared" si="0"/>
        <v/>
      </c>
      <c r="C229" s="1"/>
      <c r="D229" s="68" t="str">
        <f t="shared" si="1"/>
        <v/>
      </c>
      <c r="E229" s="2"/>
      <c r="F229" s="78">
        <v>222</v>
      </c>
      <c r="G229" s="110" t="str">
        <f t="array" ref="G229">IF(ISNUMBER(AC229),INDEX('All Player Data Store'!$C$7:$C$594,SMALL(IF('All Player Data Store'!$Y$7:$Y$594=AC229,ROW('All Player Data Store'!$Y$7:$Y$594)-ROW('All Player Data Store'!$Y$7)+1),COUNTIF($AC$8:AC229,AC229))),"")</f>
        <v/>
      </c>
      <c r="H229" s="68" t="str">
        <f t="array" ref="H229">IF(ISNUMBER(AC229),INDEX('All Player Data Store'!$D$7:$D$594,SMALL(IF('All Player Data Store'!$Y$7:$Y$594=AC229,ROW('All Player Data Store'!$Y$7:$Y$594)-ROW('All Player Data Store'!$Y$7)+1),COUNTIF($AC$8:AC229,AC229))),"")</f>
        <v/>
      </c>
      <c r="I229" s="69" t="str">
        <f t="array" ref="I229">IF(ISNUMBER(AC229),INDEX('All Player Data Store'!$E$7:$E$594,SMALL(IF('All Player Data Store'!$Y$7:$Y$594=AC229,ROW('All Player Data Store'!$Y$7:$Y$594)-ROW('All Player Data Store'!$Y$7)+1),COUNTIF($AC$8:AC229,AC229))),"")</f>
        <v/>
      </c>
      <c r="J229" s="70" t="str">
        <f t="array" ref="J229">IF(ISNUMBER(AC229),INDEX('All Player Data Store'!$F$7:$F$594,SMALL(IF('All Player Data Store'!$Y$7:$Y$594=AC229,ROW('All Player Data Store'!$Y$7:$Y$594)-ROW('All Player Data Store'!$Y$7)+1),COUNTIF($AC$8:AC229,AC229))),"")</f>
        <v/>
      </c>
      <c r="K229" s="70" t="str">
        <f t="array" ref="K229">IF(ISNUMBER(AC229),INDEX('All Player Data Store'!$G$7:$G$594,SMALL(IF('All Player Data Store'!$Y$7:$Y$594=AC229,ROW('All Player Data Store'!$Y$7:$Y$594)-ROW('All Player Data Store'!$Y$7)+1),COUNTIF($AC$8:AC229,AC229))),"")</f>
        <v/>
      </c>
      <c r="L229" s="70" t="str">
        <f t="array" ref="L229">IF(ISNUMBER(AC229),INDEX('All Player Data Store'!$H$7:$H$594,SMALL(IF('All Player Data Store'!$Y$7:$Y$594=AC229,ROW('All Player Data Store'!$Y$7:$Y$594)-ROW('All Player Data Store'!$Y$7)+1),COUNTIF($AC$8:AC229,AC229))),"")</f>
        <v/>
      </c>
      <c r="M229" s="72" t="str">
        <f t="array" ref="M229">IF(ISNUMBER(AC229),INDEX('All Player Data Store'!$I$7:$I$594,SMALL(IF('All Player Data Store'!$Y$7:$Y$594=AC229,ROW('All Player Data Store'!$Y$7:$Y$594)-ROW('All Player Data Store'!$Y$7)+1),COUNTIF($AC$8:AC229,AC229))),"")</f>
        <v/>
      </c>
      <c r="N229" s="114" t="str">
        <f t="array" ref="N229">IF(ISNUMBER(AC229),INDEX('All Player Data Store'!$J$7:$J$594,SMALL(IF('All Player Data Store'!$Y$7:$Y$594=AC229,ROW('All Player Data Store'!$Y$7:$Y$594)-ROW('All Player Data Store'!$Y$7)+1),COUNTIF($AC$8:AC229,AC229))),"")</f>
        <v/>
      </c>
      <c r="O229" s="108" t="str">
        <f t="array" ref="O229">IF(ISNUMBER(AC229),INDEX('All Player Data Store'!$K$7:$K$594,SMALL(IF('All Player Data Store'!$Y$7:$Y$594=AC229,ROW('All Player Data Store'!$Y$7:$Y$594)-ROW('All Player Data Store'!$Y$7)+1),COUNTIF($AC$8:AC229,AC229))),"")</f>
        <v/>
      </c>
      <c r="P229" s="108" t="str">
        <f t="array" ref="P229">IF(ISNUMBER(AC229),INDEX('All Player Data Store'!$L$7:$L$594,SMALL(IF('All Player Data Store'!$Y$7:$Y$594=AC229,ROW('All Player Data Store'!$Y$7:$Y$594)-ROW('All Player Data Store'!$Y$7)+1),COUNTIF($AC$8:AC229,AC229))),"")</f>
        <v/>
      </c>
      <c r="Q229" s="108" t="str">
        <f t="array" ref="Q229">IF(ISNUMBER(AC229),INDEX('All Player Data Store'!$M$7:$M$594,SMALL(IF('All Player Data Store'!$Y$7:$Y$594=AC229,ROW('All Player Data Store'!$Y$7:$Y$594)-ROW('All Player Data Store'!$Y$7)+1),COUNTIF($AC$8:AC229,AC229))),"")</f>
        <v/>
      </c>
      <c r="R229" s="108" t="str">
        <f t="array" ref="R229">IF(ISNUMBER(AC229),INDEX('All Player Data Store'!$N$7:$N$594,SMALL(IF('All Player Data Store'!$Y$7:$Y$594=AC229,ROW('All Player Data Store'!$Y$7:$Y$594)-ROW('All Player Data Store'!$Y$7)+1),COUNTIF($AC$8:AC229,AC229))),"")</f>
        <v/>
      </c>
      <c r="S229" s="108" t="str">
        <f t="array" ref="S229">IF(ISNUMBER(AC229),INDEX('All Player Data Store'!$O$7:$O$594,SMALL(IF('All Player Data Store'!$Y$7:$Y$594=AC229,ROW('All Player Data Store'!$Y$7:$Y$594)-ROW('All Player Data Store'!$Y$7)+1),COUNTIF($AC$8:AC229,AC229))),"")</f>
        <v/>
      </c>
      <c r="T229" s="108" t="str">
        <f t="array" ref="T229">IF(ISNUMBER(AC229),INDEX('All Player Data Store'!$P$7:$P$594,SMALL(IF('All Player Data Store'!$Y$7:$Y$594=AC229,ROW('All Player Data Store'!$Y$7:$Y$594)-ROW('All Player Data Store'!$Y$7)+1),COUNTIF($AC$8:AC229,AC229))),"")</f>
        <v/>
      </c>
      <c r="U229" s="108" t="str">
        <f t="array" ref="U229">IF(ISNUMBER(AC229),INDEX('All Player Data Store'!$Q$7:$Q$594,SMALL(IF('All Player Data Store'!$Y$7:$Y$594=AC229,ROW('All Player Data Store'!$Y$7:$Y$594)-ROW('All Player Data Store'!$Y$7)+1),COUNTIF($AC$8:AC229,AC229))),"")</f>
        <v/>
      </c>
      <c r="V229" s="108" t="str">
        <f t="array" ref="V229">IF(ISNUMBER(AC229),INDEX('All Player Data Store'!$R$7:$R$594,SMALL(IF('All Player Data Store'!$Y$7:$Y$594=AC229,ROW('All Player Data Store'!$Y$7:$Y$594)-ROW('All Player Data Store'!$Y$7)+1),COUNTIF($AC$8:AC229,AC229))),"")</f>
        <v/>
      </c>
      <c r="W229" s="108" t="str">
        <f t="array" ref="W229">IF(ISNUMBER(AC229),INDEX('All Player Data Store'!$S$7:$S$594,SMALL(IF('All Player Data Store'!$Y$7:$Y$594=AC229,ROW('All Player Data Store'!$Y$7:$Y$594)-ROW('All Player Data Store'!$Y$7)+1),COUNTIF($AC$8:AC229,AC229))),"")</f>
        <v/>
      </c>
      <c r="X229" s="108" t="str">
        <f t="array" ref="X229">IF(ISNUMBER(AC229),INDEX('All Player Data Store'!$T$7:$T$594,SMALL(IF('All Player Data Store'!$Y$7:$Y$594=AC229,ROW('All Player Data Store'!$Y$7:$Y$594)-ROW('All Player Data Store'!$Y$7)+1),COUNTIF($AC$8:AC229,AC229))),"")</f>
        <v/>
      </c>
      <c r="Y229" s="108" t="str">
        <f t="array" ref="Y229">IF(ISNUMBER(AC229),INDEX('All Player Data Store'!$U$7:$U$594,SMALL(IF('All Player Data Store'!$Y$7:$Y$594=AC229,ROW('All Player Data Store'!$Y$7:$Y$594)-ROW('All Player Data Store'!$Y$7)+1),COUNTIF($AC$8:AC229,AC229))),"")</f>
        <v/>
      </c>
      <c r="Z229" s="108" t="str">
        <f t="array" ref="Z229">IF(ISNUMBER(AC229),INDEX('All Player Data Store'!$V$7:$V$594,SMALL(IF('All Player Data Store'!$Y$7:$Y$594=AC229,ROW('All Player Data Store'!$Y$7:$Y$594)-ROW('All Player Data Store'!$Y$7)+1),COUNTIF($AC$8:AC229,AC229))),"")</f>
        <v/>
      </c>
      <c r="AA229" s="112" t="str">
        <f t="array" ref="AA229">IF(ISNUMBER(AC229),INDEX('All Player Data Store'!$W$7:$W$594,SMALL(IF('All Player Data Store'!$Y$7:$Y$594=AC229,ROW('All Player Data Store'!$Y$7:$Y$594)-ROW('All Player Data Store'!$Y$7)+1),COUNTIF($AC$8:AC229,AC229))),"")</f>
        <v/>
      </c>
      <c r="AB229" s="108" t="str">
        <f t="array" ref="AB229">IF(ISNUMBER(AC229),INDEX('All Player Data Store'!$X$7:$X$594,SMALL(IF('All Player Data Store'!$Y$7:$Y$594=AC229,ROW('All Player Data Store'!$Y$7:$Y$594)-ROW('All Player Data Store'!$Y$7)+1),COUNTIF($AC$8:AC229,AC229))),"")</f>
        <v/>
      </c>
      <c r="AC229" s="115" t="str">
        <f>IF(ISERROR(IF(ISERROR(LARGE('All Player Data Store'!$Y$7:$Y$594,222)),"",(LARGE('All Player Data Store'!$Y$7:$Y$594,222)))),"",(IF(ISERROR(LARGE('All Player Data Store'!$Y$7:$Y$594,222)),"",(LARGE('All Player Data Store'!$Y$7:$Y$594,222)))))</f>
        <v/>
      </c>
      <c r="AD229" s="106">
        <f t="shared" si="16"/>
        <v>1</v>
      </c>
      <c r="AE229" s="107" t="str">
        <f t="array" ref="AE229">IF(ISNUMBER(AC229),INDEX('All Player Data Store'!$J$8:$J$594,SMALL(IF('All Player Data Store'!$Y$7:$Y$594=AC229,ROW('All Player Data Store'!$Y$7:$Y$594)-ROW('All Player Data Store'!$Y$7)+1),COUNTIF($AC$8:AC229,AC229))),"")</f>
        <v/>
      </c>
      <c r="AF229" s="108" t="str">
        <f t="shared" si="3"/>
        <v/>
      </c>
      <c r="AG229" s="108" t="str">
        <f t="array" ref="AG229">IF(ISNUMBER(AC229),INDEX('All Player Data Store'!$K$8:$K$594,SMALL(IF('All Player Data Store'!$Y$7:$Y$594=AC229,ROW('All Player Data Store'!$Y$7:$Y$594)-ROW('All Player Data Store'!$Y$7)+1),COUNTIF($AC$8:AC229,AC229))),"")</f>
        <v/>
      </c>
      <c r="AH229" s="108" t="str">
        <f t="shared" si="4"/>
        <v/>
      </c>
      <c r="AI229" s="108" t="str">
        <f t="array" ref="AI229">IF(ISNUMBER(AC229),INDEX('All Player Data Store'!$L$8:$L$594,SMALL(IF('All Player Data Store'!$Y$7:$Y$594=AC229,ROW('All Player Data Store'!$Y$7:$Y$594)-ROW('All Player Data Store'!$Y$7)+1),COUNTIF($AC$8:AC229,AC229))),"")</f>
        <v/>
      </c>
      <c r="AJ229" s="108" t="str">
        <f t="shared" si="5"/>
        <v/>
      </c>
      <c r="AK229" s="108" t="str">
        <f t="array" ref="AK229">IF(ISNUMBER(AC229),INDEX('All Player Data Store'!$M$8:$M$594,SMALL(IF('All Player Data Store'!$Y$7:$Y$594=AC229,ROW('All Player Data Store'!$Y$7:$Y$594)-ROW('All Player Data Store'!$Y$7)+1),COUNTIF($AC$8:AC229,AC229))),"")</f>
        <v/>
      </c>
      <c r="AL229" s="108" t="str">
        <f t="shared" si="6"/>
        <v/>
      </c>
      <c r="AM229" s="108" t="str">
        <f t="array" ref="AM229">IF(ISNUMBER(AC229),INDEX('All Player Data Store'!$N$8:$N$594,SMALL(IF('All Player Data Store'!$Y$7:$Y$594=AC229,ROW('All Player Data Store'!$Y$7:$Y$594)-ROW('All Player Data Store'!$Y$7)+1),COUNTIF($AC$8:AC229,AC229))),"")</f>
        <v/>
      </c>
      <c r="AN229" s="108" t="str">
        <f t="shared" si="7"/>
        <v/>
      </c>
      <c r="AO229" s="108" t="str">
        <f t="array" ref="AO229">IF(ISNUMBER(AC229),INDEX('All Player Data Store'!$O$8:$O$594,SMALL(IF('All Player Data Store'!$Y$7:$Y$594=AC229,ROW('All Player Data Store'!$Y$7:$Y$594)-ROW('All Player Data Store'!$Y$7)+1),COUNTIF($AC$8:AC229,AC229))),"")</f>
        <v/>
      </c>
      <c r="AP229" s="108" t="str">
        <f t="shared" si="8"/>
        <v/>
      </c>
      <c r="AQ229" s="108" t="str">
        <f t="array" ref="AQ229">IF(ISNUMBER(AC229),INDEX('All Player Data Store'!$P$8:$P$594,SMALL(IF('All Player Data Store'!$Y$7:$Y$594=AC229,ROW('All Player Data Store'!$Y$7:$Y$594)-ROW('All Player Data Store'!$Y$7)+1),COUNTIF($AC$8:AC229,AC229))),"")</f>
        <v/>
      </c>
      <c r="AR229" s="108" t="str">
        <f t="shared" si="9"/>
        <v/>
      </c>
      <c r="AS229" s="108" t="str">
        <f t="array" ref="AS229">IF(ISNUMBER(AC229),INDEX('All Player Data Store'!$Q$8:$Q$594,SMALL(IF('All Player Data Store'!$Y$7:$Y$594=AC229,ROW('All Player Data Store'!$Y$7:$Y$594)-ROW('All Player Data Store'!$Y$7)+1),COUNTIF($AC$8:AC229,AC229))),"")</f>
        <v/>
      </c>
      <c r="AT229" s="108" t="str">
        <f t="shared" si="10"/>
        <v/>
      </c>
      <c r="AU229" s="108" t="str">
        <f t="array" ref="AU229">IF(ISNUMBER(AC229),INDEX('All Player Data Store'!$R$8:$R$594,SMALL(IF('All Player Data Store'!$Y$7:$Y$594=AC229,ROW('All Player Data Store'!$Y$7:$Y$594)-ROW('All Player Data Store'!$Y$7)+1),COUNTIF($AC$8:AC229,AC229))),"")</f>
        <v/>
      </c>
      <c r="AV229" s="108" t="str">
        <f t="shared" si="11"/>
        <v/>
      </c>
      <c r="AW229" s="108" t="str">
        <f t="array" ref="AW229">IF(ISNUMBER(AC229),INDEX('All Player Data Store'!$S$8:$S$594,SMALL(IF('All Player Data Store'!$Y$7:$Y$594=AC229,ROW('All Player Data Store'!$Y$7:$Y$594)-ROW('All Player Data Store'!$Y$7)+1),COUNTIF($AC$8:AC229,AC229))),"")</f>
        <v/>
      </c>
      <c r="AX229" s="108" t="str">
        <f t="shared" si="12"/>
        <v/>
      </c>
      <c r="AY229" s="108" t="str">
        <f t="array" ref="AY229">IF(ISNUMBER(AC229),INDEX('All Player Data Store'!$T$8:$T$594,SMALL(IF('All Player Data Store'!$Y$7:$Y$594=AC229,ROW('All Player Data Store'!$Y$7:$Y$594)-ROW('All Player Data Store'!$Y$7)+1),COUNTIF($AC$8:AC229,AC229))),"")</f>
        <v/>
      </c>
      <c r="AZ229" s="108" t="str">
        <f t="shared" si="13"/>
        <v/>
      </c>
      <c r="BA229" s="108" t="str">
        <f t="array" ref="BA229">IF(ISNUMBER(AC229),INDEX('All Player Data Store'!$U$8:$U$594,SMALL(IF('All Player Data Store'!$Y$7:$Y$594=AC229,ROW('All Player Data Store'!$Y$7:$Y$594)-ROW('All Player Data Store'!$Y$7)+1),COUNTIF($AC$8:AC229,AC229))),"")</f>
        <v/>
      </c>
      <c r="BB229" s="108" t="str">
        <f t="shared" si="14"/>
        <v/>
      </c>
      <c r="BC229" s="108" t="str">
        <f t="array" ref="BC229">IF(ISNUMBER(AC229),INDEX('All Player Data Store'!$V$8:$V$594,SMALL(IF('All Player Data Store'!$Y$7:$Y$594=AC229,ROW('All Player Data Store'!$Y$7:$Y$594)-ROW('All Player Data Store'!$Y$7)+1),COUNTIF($AC$8:AC229,AC229))),"")</f>
        <v/>
      </c>
      <c r="BD229" s="108" t="str">
        <f t="shared" si="15"/>
        <v/>
      </c>
      <c r="BE229" s="1"/>
    </row>
    <row r="230" spans="2:57" ht="12" customHeight="1" x14ac:dyDescent="0.2">
      <c r="B230" s="118" t="str">
        <f t="shared" si="0"/>
        <v/>
      </c>
      <c r="C230" s="1"/>
      <c r="D230" s="68" t="str">
        <f t="shared" si="1"/>
        <v/>
      </c>
      <c r="E230" s="2"/>
      <c r="F230" s="78">
        <v>223</v>
      </c>
      <c r="G230" s="110" t="str">
        <f t="array" ref="G230">IF(ISNUMBER(AC230),INDEX('All Player Data Store'!$C$7:$C$594,SMALL(IF('All Player Data Store'!$Y$7:$Y$594=AC230,ROW('All Player Data Store'!$Y$7:$Y$594)-ROW('All Player Data Store'!$Y$7)+1),COUNTIF($AC$8:AC230,AC230))),"")</f>
        <v/>
      </c>
      <c r="H230" s="68" t="str">
        <f t="array" ref="H230">IF(ISNUMBER(AC230),INDEX('All Player Data Store'!$D$7:$D$594,SMALL(IF('All Player Data Store'!$Y$7:$Y$594=AC230,ROW('All Player Data Store'!$Y$7:$Y$594)-ROW('All Player Data Store'!$Y$7)+1),COUNTIF($AC$8:AC230,AC230))),"")</f>
        <v/>
      </c>
      <c r="I230" s="69" t="str">
        <f t="array" ref="I230">IF(ISNUMBER(AC230),INDEX('All Player Data Store'!$E$7:$E$594,SMALL(IF('All Player Data Store'!$Y$7:$Y$594=AC230,ROW('All Player Data Store'!$Y$7:$Y$594)-ROW('All Player Data Store'!$Y$7)+1),COUNTIF($AC$8:AC230,AC230))),"")</f>
        <v/>
      </c>
      <c r="J230" s="70" t="str">
        <f t="array" ref="J230">IF(ISNUMBER(AC230),INDEX('All Player Data Store'!$F$7:$F$594,SMALL(IF('All Player Data Store'!$Y$7:$Y$594=AC230,ROW('All Player Data Store'!$Y$7:$Y$594)-ROW('All Player Data Store'!$Y$7)+1),COUNTIF($AC$8:AC230,AC230))),"")</f>
        <v/>
      </c>
      <c r="K230" s="70" t="str">
        <f t="array" ref="K230">IF(ISNUMBER(AC230),INDEX('All Player Data Store'!$G$7:$G$594,SMALL(IF('All Player Data Store'!$Y$7:$Y$594=AC230,ROW('All Player Data Store'!$Y$7:$Y$594)-ROW('All Player Data Store'!$Y$7)+1),COUNTIF($AC$8:AC230,AC230))),"")</f>
        <v/>
      </c>
      <c r="L230" s="70" t="str">
        <f t="array" ref="L230">IF(ISNUMBER(AC230),INDEX('All Player Data Store'!$H$7:$H$594,SMALL(IF('All Player Data Store'!$Y$7:$Y$594=AC230,ROW('All Player Data Store'!$Y$7:$Y$594)-ROW('All Player Data Store'!$Y$7)+1),COUNTIF($AC$8:AC230,AC230))),"")</f>
        <v/>
      </c>
      <c r="M230" s="72" t="str">
        <f t="array" ref="M230">IF(ISNUMBER(AC230),INDEX('All Player Data Store'!$I$7:$I$594,SMALL(IF('All Player Data Store'!$Y$7:$Y$594=AC230,ROW('All Player Data Store'!$Y$7:$Y$594)-ROW('All Player Data Store'!$Y$7)+1),COUNTIF($AC$8:AC230,AC230))),"")</f>
        <v/>
      </c>
      <c r="N230" s="114" t="str">
        <f t="array" ref="N230">IF(ISNUMBER(AC230),INDEX('All Player Data Store'!$J$7:$J$594,SMALL(IF('All Player Data Store'!$Y$7:$Y$594=AC230,ROW('All Player Data Store'!$Y$7:$Y$594)-ROW('All Player Data Store'!$Y$7)+1),COUNTIF($AC$8:AC230,AC230))),"")</f>
        <v/>
      </c>
      <c r="O230" s="108" t="str">
        <f t="array" ref="O230">IF(ISNUMBER(AC230),INDEX('All Player Data Store'!$K$7:$K$594,SMALL(IF('All Player Data Store'!$Y$7:$Y$594=AC230,ROW('All Player Data Store'!$Y$7:$Y$594)-ROW('All Player Data Store'!$Y$7)+1),COUNTIF($AC$8:AC230,AC230))),"")</f>
        <v/>
      </c>
      <c r="P230" s="108" t="str">
        <f t="array" ref="P230">IF(ISNUMBER(AC230),INDEX('All Player Data Store'!$L$7:$L$594,SMALL(IF('All Player Data Store'!$Y$7:$Y$594=AC230,ROW('All Player Data Store'!$Y$7:$Y$594)-ROW('All Player Data Store'!$Y$7)+1),COUNTIF($AC$8:AC230,AC230))),"")</f>
        <v/>
      </c>
      <c r="Q230" s="108" t="str">
        <f t="array" ref="Q230">IF(ISNUMBER(AC230),INDEX('All Player Data Store'!$M$7:$M$594,SMALL(IF('All Player Data Store'!$Y$7:$Y$594=AC230,ROW('All Player Data Store'!$Y$7:$Y$594)-ROW('All Player Data Store'!$Y$7)+1),COUNTIF($AC$8:AC230,AC230))),"")</f>
        <v/>
      </c>
      <c r="R230" s="108" t="str">
        <f t="array" ref="R230">IF(ISNUMBER(AC230),INDEX('All Player Data Store'!$N$7:$N$594,SMALL(IF('All Player Data Store'!$Y$7:$Y$594=AC230,ROW('All Player Data Store'!$Y$7:$Y$594)-ROW('All Player Data Store'!$Y$7)+1),COUNTIF($AC$8:AC230,AC230))),"")</f>
        <v/>
      </c>
      <c r="S230" s="108" t="str">
        <f t="array" ref="S230">IF(ISNUMBER(AC230),INDEX('All Player Data Store'!$O$7:$O$594,SMALL(IF('All Player Data Store'!$Y$7:$Y$594=AC230,ROW('All Player Data Store'!$Y$7:$Y$594)-ROW('All Player Data Store'!$Y$7)+1),COUNTIF($AC$8:AC230,AC230))),"")</f>
        <v/>
      </c>
      <c r="T230" s="108" t="str">
        <f t="array" ref="T230">IF(ISNUMBER(AC230),INDEX('All Player Data Store'!$P$7:$P$594,SMALL(IF('All Player Data Store'!$Y$7:$Y$594=AC230,ROW('All Player Data Store'!$Y$7:$Y$594)-ROW('All Player Data Store'!$Y$7)+1),COUNTIF($AC$8:AC230,AC230))),"")</f>
        <v/>
      </c>
      <c r="U230" s="108" t="str">
        <f t="array" ref="U230">IF(ISNUMBER(AC230),INDEX('All Player Data Store'!$Q$7:$Q$594,SMALL(IF('All Player Data Store'!$Y$7:$Y$594=AC230,ROW('All Player Data Store'!$Y$7:$Y$594)-ROW('All Player Data Store'!$Y$7)+1),COUNTIF($AC$8:AC230,AC230))),"")</f>
        <v/>
      </c>
      <c r="V230" s="108" t="str">
        <f t="array" ref="V230">IF(ISNUMBER(AC230),INDEX('All Player Data Store'!$R$7:$R$594,SMALL(IF('All Player Data Store'!$Y$7:$Y$594=AC230,ROW('All Player Data Store'!$Y$7:$Y$594)-ROW('All Player Data Store'!$Y$7)+1),COUNTIF($AC$8:AC230,AC230))),"")</f>
        <v/>
      </c>
      <c r="W230" s="108" t="str">
        <f t="array" ref="W230">IF(ISNUMBER(AC230),INDEX('All Player Data Store'!$S$7:$S$594,SMALL(IF('All Player Data Store'!$Y$7:$Y$594=AC230,ROW('All Player Data Store'!$Y$7:$Y$594)-ROW('All Player Data Store'!$Y$7)+1),COUNTIF($AC$8:AC230,AC230))),"")</f>
        <v/>
      </c>
      <c r="X230" s="108" t="str">
        <f t="array" ref="X230">IF(ISNUMBER(AC230),INDEX('All Player Data Store'!$T$7:$T$594,SMALL(IF('All Player Data Store'!$Y$7:$Y$594=AC230,ROW('All Player Data Store'!$Y$7:$Y$594)-ROW('All Player Data Store'!$Y$7)+1),COUNTIF($AC$8:AC230,AC230))),"")</f>
        <v/>
      </c>
      <c r="Y230" s="108" t="str">
        <f t="array" ref="Y230">IF(ISNUMBER(AC230),INDEX('All Player Data Store'!$U$7:$U$594,SMALL(IF('All Player Data Store'!$Y$7:$Y$594=AC230,ROW('All Player Data Store'!$Y$7:$Y$594)-ROW('All Player Data Store'!$Y$7)+1),COUNTIF($AC$8:AC230,AC230))),"")</f>
        <v/>
      </c>
      <c r="Z230" s="108" t="str">
        <f t="array" ref="Z230">IF(ISNUMBER(AC230),INDEX('All Player Data Store'!$V$7:$V$594,SMALL(IF('All Player Data Store'!$Y$7:$Y$594=AC230,ROW('All Player Data Store'!$Y$7:$Y$594)-ROW('All Player Data Store'!$Y$7)+1),COUNTIF($AC$8:AC230,AC230))),"")</f>
        <v/>
      </c>
      <c r="AA230" s="112" t="str">
        <f t="array" ref="AA230">IF(ISNUMBER(AC230),INDEX('All Player Data Store'!$W$7:$W$594,SMALL(IF('All Player Data Store'!$Y$7:$Y$594=AC230,ROW('All Player Data Store'!$Y$7:$Y$594)-ROW('All Player Data Store'!$Y$7)+1),COUNTIF($AC$8:AC230,AC230))),"")</f>
        <v/>
      </c>
      <c r="AB230" s="108" t="str">
        <f t="array" ref="AB230">IF(ISNUMBER(AC230),INDEX('All Player Data Store'!$X$7:$X$594,SMALL(IF('All Player Data Store'!$Y$7:$Y$594=AC230,ROW('All Player Data Store'!$Y$7:$Y$594)-ROW('All Player Data Store'!$Y$7)+1),COUNTIF($AC$8:AC230,AC230))),"")</f>
        <v/>
      </c>
      <c r="AC230" s="115" t="str">
        <f>IF(ISERROR(IF(ISERROR(LARGE('All Player Data Store'!$Y$7:$Y$594,223)),"",(LARGE('All Player Data Store'!$Y$7:$Y$594,223)))),"",(IF(ISERROR(LARGE('All Player Data Store'!$Y$7:$Y$594,223)),"",(LARGE('All Player Data Store'!$Y$7:$Y$594,223)))))</f>
        <v/>
      </c>
      <c r="AD230" s="106">
        <f t="shared" si="16"/>
        <v>1</v>
      </c>
      <c r="AE230" s="107" t="str">
        <f t="array" ref="AE230">IF(ISNUMBER(AC230),INDEX('All Player Data Store'!$J$8:$J$594,SMALL(IF('All Player Data Store'!$Y$7:$Y$594=AC230,ROW('All Player Data Store'!$Y$7:$Y$594)-ROW('All Player Data Store'!$Y$7)+1),COUNTIF($AC$8:AC230,AC230))),"")</f>
        <v/>
      </c>
      <c r="AF230" s="108" t="str">
        <f t="shared" si="3"/>
        <v/>
      </c>
      <c r="AG230" s="108" t="str">
        <f t="array" ref="AG230">IF(ISNUMBER(AC230),INDEX('All Player Data Store'!$K$8:$K$594,SMALL(IF('All Player Data Store'!$Y$7:$Y$594=AC230,ROW('All Player Data Store'!$Y$7:$Y$594)-ROW('All Player Data Store'!$Y$7)+1),COUNTIF($AC$8:AC230,AC230))),"")</f>
        <v/>
      </c>
      <c r="AH230" s="108" t="str">
        <f t="shared" si="4"/>
        <v/>
      </c>
      <c r="AI230" s="108" t="str">
        <f t="array" ref="AI230">IF(ISNUMBER(AC230),INDEX('All Player Data Store'!$L$8:$L$594,SMALL(IF('All Player Data Store'!$Y$7:$Y$594=AC230,ROW('All Player Data Store'!$Y$7:$Y$594)-ROW('All Player Data Store'!$Y$7)+1),COUNTIF($AC$8:AC230,AC230))),"")</f>
        <v/>
      </c>
      <c r="AJ230" s="108" t="str">
        <f t="shared" si="5"/>
        <v/>
      </c>
      <c r="AK230" s="108" t="str">
        <f t="array" ref="AK230">IF(ISNUMBER(AC230),INDEX('All Player Data Store'!$M$8:$M$594,SMALL(IF('All Player Data Store'!$Y$7:$Y$594=AC230,ROW('All Player Data Store'!$Y$7:$Y$594)-ROW('All Player Data Store'!$Y$7)+1),COUNTIF($AC$8:AC230,AC230))),"")</f>
        <v/>
      </c>
      <c r="AL230" s="108" t="str">
        <f t="shared" si="6"/>
        <v/>
      </c>
      <c r="AM230" s="108" t="str">
        <f t="array" ref="AM230">IF(ISNUMBER(AC230),INDEX('All Player Data Store'!$N$8:$N$594,SMALL(IF('All Player Data Store'!$Y$7:$Y$594=AC230,ROW('All Player Data Store'!$Y$7:$Y$594)-ROW('All Player Data Store'!$Y$7)+1),COUNTIF($AC$8:AC230,AC230))),"")</f>
        <v/>
      </c>
      <c r="AN230" s="108" t="str">
        <f t="shared" si="7"/>
        <v/>
      </c>
      <c r="AO230" s="108" t="str">
        <f t="array" ref="AO230">IF(ISNUMBER(AC230),INDEX('All Player Data Store'!$O$8:$O$594,SMALL(IF('All Player Data Store'!$Y$7:$Y$594=AC230,ROW('All Player Data Store'!$Y$7:$Y$594)-ROW('All Player Data Store'!$Y$7)+1),COUNTIF($AC$8:AC230,AC230))),"")</f>
        <v/>
      </c>
      <c r="AP230" s="108" t="str">
        <f t="shared" si="8"/>
        <v/>
      </c>
      <c r="AQ230" s="108" t="str">
        <f t="array" ref="AQ230">IF(ISNUMBER(AC230),INDEX('All Player Data Store'!$P$8:$P$594,SMALL(IF('All Player Data Store'!$Y$7:$Y$594=AC230,ROW('All Player Data Store'!$Y$7:$Y$594)-ROW('All Player Data Store'!$Y$7)+1),COUNTIF($AC$8:AC230,AC230))),"")</f>
        <v/>
      </c>
      <c r="AR230" s="108" t="str">
        <f t="shared" si="9"/>
        <v/>
      </c>
      <c r="AS230" s="108" t="str">
        <f t="array" ref="AS230">IF(ISNUMBER(AC230),INDEX('All Player Data Store'!$Q$8:$Q$594,SMALL(IF('All Player Data Store'!$Y$7:$Y$594=AC230,ROW('All Player Data Store'!$Y$7:$Y$594)-ROW('All Player Data Store'!$Y$7)+1),COUNTIF($AC$8:AC230,AC230))),"")</f>
        <v/>
      </c>
      <c r="AT230" s="108" t="str">
        <f t="shared" si="10"/>
        <v/>
      </c>
      <c r="AU230" s="108" t="str">
        <f t="array" ref="AU230">IF(ISNUMBER(AC230),INDEX('All Player Data Store'!$R$8:$R$594,SMALL(IF('All Player Data Store'!$Y$7:$Y$594=AC230,ROW('All Player Data Store'!$Y$7:$Y$594)-ROW('All Player Data Store'!$Y$7)+1),COUNTIF($AC$8:AC230,AC230))),"")</f>
        <v/>
      </c>
      <c r="AV230" s="108" t="str">
        <f t="shared" si="11"/>
        <v/>
      </c>
      <c r="AW230" s="108" t="str">
        <f t="array" ref="AW230">IF(ISNUMBER(AC230),INDEX('All Player Data Store'!$S$8:$S$594,SMALL(IF('All Player Data Store'!$Y$7:$Y$594=AC230,ROW('All Player Data Store'!$Y$7:$Y$594)-ROW('All Player Data Store'!$Y$7)+1),COUNTIF($AC$8:AC230,AC230))),"")</f>
        <v/>
      </c>
      <c r="AX230" s="108" t="str">
        <f t="shared" si="12"/>
        <v/>
      </c>
      <c r="AY230" s="108" t="str">
        <f t="array" ref="AY230">IF(ISNUMBER(AC230),INDEX('All Player Data Store'!$T$8:$T$594,SMALL(IF('All Player Data Store'!$Y$7:$Y$594=AC230,ROW('All Player Data Store'!$Y$7:$Y$594)-ROW('All Player Data Store'!$Y$7)+1),COUNTIF($AC$8:AC230,AC230))),"")</f>
        <v/>
      </c>
      <c r="AZ230" s="108" t="str">
        <f t="shared" si="13"/>
        <v/>
      </c>
      <c r="BA230" s="108" t="str">
        <f t="array" ref="BA230">IF(ISNUMBER(AC230),INDEX('All Player Data Store'!$U$8:$U$594,SMALL(IF('All Player Data Store'!$Y$7:$Y$594=AC230,ROW('All Player Data Store'!$Y$7:$Y$594)-ROW('All Player Data Store'!$Y$7)+1),COUNTIF($AC$8:AC230,AC230))),"")</f>
        <v/>
      </c>
      <c r="BB230" s="108" t="str">
        <f t="shared" si="14"/>
        <v/>
      </c>
      <c r="BC230" s="108" t="str">
        <f t="array" ref="BC230">IF(ISNUMBER(AC230),INDEX('All Player Data Store'!$V$8:$V$594,SMALL(IF('All Player Data Store'!$Y$7:$Y$594=AC230,ROW('All Player Data Store'!$Y$7:$Y$594)-ROW('All Player Data Store'!$Y$7)+1),COUNTIF($AC$8:AC230,AC230))),"")</f>
        <v/>
      </c>
      <c r="BD230" s="108" t="str">
        <f t="shared" si="15"/>
        <v/>
      </c>
      <c r="BE230" s="1"/>
    </row>
    <row r="231" spans="2:57" ht="12" customHeight="1" x14ac:dyDescent="0.2">
      <c r="B231" s="118" t="str">
        <f t="shared" si="0"/>
        <v/>
      </c>
      <c r="C231" s="1"/>
      <c r="D231" s="68" t="str">
        <f t="shared" si="1"/>
        <v/>
      </c>
      <c r="E231" s="2"/>
      <c r="F231" s="78">
        <v>224</v>
      </c>
      <c r="G231" s="110" t="str">
        <f t="array" ref="G231">IF(ISNUMBER(AC231),INDEX('All Player Data Store'!$C$7:$C$594,SMALL(IF('All Player Data Store'!$Y$7:$Y$594=AC231,ROW('All Player Data Store'!$Y$7:$Y$594)-ROW('All Player Data Store'!$Y$7)+1),COUNTIF($AC$8:AC231,AC231))),"")</f>
        <v/>
      </c>
      <c r="H231" s="68" t="str">
        <f t="array" ref="H231">IF(ISNUMBER(AC231),INDEX('All Player Data Store'!$D$7:$D$594,SMALL(IF('All Player Data Store'!$Y$7:$Y$594=AC231,ROW('All Player Data Store'!$Y$7:$Y$594)-ROW('All Player Data Store'!$Y$7)+1),COUNTIF($AC$8:AC231,AC231))),"")</f>
        <v/>
      </c>
      <c r="I231" s="69" t="str">
        <f t="array" ref="I231">IF(ISNUMBER(AC231),INDEX('All Player Data Store'!$E$7:$E$594,SMALL(IF('All Player Data Store'!$Y$7:$Y$594=AC231,ROW('All Player Data Store'!$Y$7:$Y$594)-ROW('All Player Data Store'!$Y$7)+1),COUNTIF($AC$8:AC231,AC231))),"")</f>
        <v/>
      </c>
      <c r="J231" s="70" t="str">
        <f t="array" ref="J231">IF(ISNUMBER(AC231),INDEX('All Player Data Store'!$F$7:$F$594,SMALL(IF('All Player Data Store'!$Y$7:$Y$594=AC231,ROW('All Player Data Store'!$Y$7:$Y$594)-ROW('All Player Data Store'!$Y$7)+1),COUNTIF($AC$8:AC231,AC231))),"")</f>
        <v/>
      </c>
      <c r="K231" s="70" t="str">
        <f t="array" ref="K231">IF(ISNUMBER(AC231),INDEX('All Player Data Store'!$G$7:$G$594,SMALL(IF('All Player Data Store'!$Y$7:$Y$594=AC231,ROW('All Player Data Store'!$Y$7:$Y$594)-ROW('All Player Data Store'!$Y$7)+1),COUNTIF($AC$8:AC231,AC231))),"")</f>
        <v/>
      </c>
      <c r="L231" s="70" t="str">
        <f t="array" ref="L231">IF(ISNUMBER(AC231),INDEX('All Player Data Store'!$H$7:$H$594,SMALL(IF('All Player Data Store'!$Y$7:$Y$594=AC231,ROW('All Player Data Store'!$Y$7:$Y$594)-ROW('All Player Data Store'!$Y$7)+1),COUNTIF($AC$8:AC231,AC231))),"")</f>
        <v/>
      </c>
      <c r="M231" s="72" t="str">
        <f t="array" ref="M231">IF(ISNUMBER(AC231),INDEX('All Player Data Store'!$I$7:$I$594,SMALL(IF('All Player Data Store'!$Y$7:$Y$594=AC231,ROW('All Player Data Store'!$Y$7:$Y$594)-ROW('All Player Data Store'!$Y$7)+1),COUNTIF($AC$8:AC231,AC231))),"")</f>
        <v/>
      </c>
      <c r="N231" s="114" t="str">
        <f t="array" ref="N231">IF(ISNUMBER(AC231),INDEX('All Player Data Store'!$J$7:$J$594,SMALL(IF('All Player Data Store'!$Y$7:$Y$594=AC231,ROW('All Player Data Store'!$Y$7:$Y$594)-ROW('All Player Data Store'!$Y$7)+1),COUNTIF($AC$8:AC231,AC231))),"")</f>
        <v/>
      </c>
      <c r="O231" s="108" t="str">
        <f t="array" ref="O231">IF(ISNUMBER(AC231),INDEX('All Player Data Store'!$K$7:$K$594,SMALL(IF('All Player Data Store'!$Y$7:$Y$594=AC231,ROW('All Player Data Store'!$Y$7:$Y$594)-ROW('All Player Data Store'!$Y$7)+1),COUNTIF($AC$8:AC231,AC231))),"")</f>
        <v/>
      </c>
      <c r="P231" s="108" t="str">
        <f t="array" ref="P231">IF(ISNUMBER(AC231),INDEX('All Player Data Store'!$L$7:$L$594,SMALL(IF('All Player Data Store'!$Y$7:$Y$594=AC231,ROW('All Player Data Store'!$Y$7:$Y$594)-ROW('All Player Data Store'!$Y$7)+1),COUNTIF($AC$8:AC231,AC231))),"")</f>
        <v/>
      </c>
      <c r="Q231" s="108" t="str">
        <f t="array" ref="Q231">IF(ISNUMBER(AC231),INDEX('All Player Data Store'!$M$7:$M$594,SMALL(IF('All Player Data Store'!$Y$7:$Y$594=AC231,ROW('All Player Data Store'!$Y$7:$Y$594)-ROW('All Player Data Store'!$Y$7)+1),COUNTIF($AC$8:AC231,AC231))),"")</f>
        <v/>
      </c>
      <c r="R231" s="108" t="str">
        <f t="array" ref="R231">IF(ISNUMBER(AC231),INDEX('All Player Data Store'!$N$7:$N$594,SMALL(IF('All Player Data Store'!$Y$7:$Y$594=AC231,ROW('All Player Data Store'!$Y$7:$Y$594)-ROW('All Player Data Store'!$Y$7)+1),COUNTIF($AC$8:AC231,AC231))),"")</f>
        <v/>
      </c>
      <c r="S231" s="108" t="str">
        <f t="array" ref="S231">IF(ISNUMBER(AC231),INDEX('All Player Data Store'!$O$7:$O$594,SMALL(IF('All Player Data Store'!$Y$7:$Y$594=AC231,ROW('All Player Data Store'!$Y$7:$Y$594)-ROW('All Player Data Store'!$Y$7)+1),COUNTIF($AC$8:AC231,AC231))),"")</f>
        <v/>
      </c>
      <c r="T231" s="108" t="str">
        <f t="array" ref="T231">IF(ISNUMBER(AC231),INDEX('All Player Data Store'!$P$7:$P$594,SMALL(IF('All Player Data Store'!$Y$7:$Y$594=AC231,ROW('All Player Data Store'!$Y$7:$Y$594)-ROW('All Player Data Store'!$Y$7)+1),COUNTIF($AC$8:AC231,AC231))),"")</f>
        <v/>
      </c>
      <c r="U231" s="108" t="str">
        <f t="array" ref="U231">IF(ISNUMBER(AC231),INDEX('All Player Data Store'!$Q$7:$Q$594,SMALL(IF('All Player Data Store'!$Y$7:$Y$594=AC231,ROW('All Player Data Store'!$Y$7:$Y$594)-ROW('All Player Data Store'!$Y$7)+1),COUNTIF($AC$8:AC231,AC231))),"")</f>
        <v/>
      </c>
      <c r="V231" s="108" t="str">
        <f t="array" ref="V231">IF(ISNUMBER(AC231),INDEX('All Player Data Store'!$R$7:$R$594,SMALL(IF('All Player Data Store'!$Y$7:$Y$594=AC231,ROW('All Player Data Store'!$Y$7:$Y$594)-ROW('All Player Data Store'!$Y$7)+1),COUNTIF($AC$8:AC231,AC231))),"")</f>
        <v/>
      </c>
      <c r="W231" s="108" t="str">
        <f t="array" ref="W231">IF(ISNUMBER(AC231),INDEX('All Player Data Store'!$S$7:$S$594,SMALL(IF('All Player Data Store'!$Y$7:$Y$594=AC231,ROW('All Player Data Store'!$Y$7:$Y$594)-ROW('All Player Data Store'!$Y$7)+1),COUNTIF($AC$8:AC231,AC231))),"")</f>
        <v/>
      </c>
      <c r="X231" s="108" t="str">
        <f t="array" ref="X231">IF(ISNUMBER(AC231),INDEX('All Player Data Store'!$T$7:$T$594,SMALL(IF('All Player Data Store'!$Y$7:$Y$594=AC231,ROW('All Player Data Store'!$Y$7:$Y$594)-ROW('All Player Data Store'!$Y$7)+1),COUNTIF($AC$8:AC231,AC231))),"")</f>
        <v/>
      </c>
      <c r="Y231" s="108" t="str">
        <f t="array" ref="Y231">IF(ISNUMBER(AC231),INDEX('All Player Data Store'!$U$7:$U$594,SMALL(IF('All Player Data Store'!$Y$7:$Y$594=AC231,ROW('All Player Data Store'!$Y$7:$Y$594)-ROW('All Player Data Store'!$Y$7)+1),COUNTIF($AC$8:AC231,AC231))),"")</f>
        <v/>
      </c>
      <c r="Z231" s="108" t="str">
        <f t="array" ref="Z231">IF(ISNUMBER(AC231),INDEX('All Player Data Store'!$V$7:$V$594,SMALL(IF('All Player Data Store'!$Y$7:$Y$594=AC231,ROW('All Player Data Store'!$Y$7:$Y$594)-ROW('All Player Data Store'!$Y$7)+1),COUNTIF($AC$8:AC231,AC231))),"")</f>
        <v/>
      </c>
      <c r="AA231" s="112" t="str">
        <f t="array" ref="AA231">IF(ISNUMBER(AC231),INDEX('All Player Data Store'!$W$7:$W$594,SMALL(IF('All Player Data Store'!$Y$7:$Y$594=AC231,ROW('All Player Data Store'!$Y$7:$Y$594)-ROW('All Player Data Store'!$Y$7)+1),COUNTIF($AC$8:AC231,AC231))),"")</f>
        <v/>
      </c>
      <c r="AB231" s="108" t="str">
        <f t="array" ref="AB231">IF(ISNUMBER(AC231),INDEX('All Player Data Store'!$X$7:$X$594,SMALL(IF('All Player Data Store'!$Y$7:$Y$594=AC231,ROW('All Player Data Store'!$Y$7:$Y$594)-ROW('All Player Data Store'!$Y$7)+1),COUNTIF($AC$8:AC231,AC231))),"")</f>
        <v/>
      </c>
      <c r="AC231" s="115" t="str">
        <f>IF(ISERROR(IF(ISERROR(LARGE('All Player Data Store'!$Y$7:$Y$594,224)),"",(LARGE('All Player Data Store'!$Y$7:$Y$594,224)))),"",(IF(ISERROR(LARGE('All Player Data Store'!$Y$7:$Y$594,224)),"",(LARGE('All Player Data Store'!$Y$7:$Y$594,224)))))</f>
        <v/>
      </c>
      <c r="AD231" s="106">
        <f t="shared" si="16"/>
        <v>1</v>
      </c>
      <c r="AE231" s="107" t="str">
        <f t="array" ref="AE231">IF(ISNUMBER(AC231),INDEX('All Player Data Store'!$J$8:$J$594,SMALL(IF('All Player Data Store'!$Y$7:$Y$594=AC231,ROW('All Player Data Store'!$Y$7:$Y$594)-ROW('All Player Data Store'!$Y$7)+1),COUNTIF($AC$8:AC231,AC231))),"")</f>
        <v/>
      </c>
      <c r="AF231" s="108" t="str">
        <f t="shared" si="3"/>
        <v/>
      </c>
      <c r="AG231" s="108" t="str">
        <f t="array" ref="AG231">IF(ISNUMBER(AC231),INDEX('All Player Data Store'!$K$8:$K$594,SMALL(IF('All Player Data Store'!$Y$7:$Y$594=AC231,ROW('All Player Data Store'!$Y$7:$Y$594)-ROW('All Player Data Store'!$Y$7)+1),COUNTIF($AC$8:AC231,AC231))),"")</f>
        <v/>
      </c>
      <c r="AH231" s="108" t="str">
        <f t="shared" si="4"/>
        <v/>
      </c>
      <c r="AI231" s="108" t="str">
        <f t="array" ref="AI231">IF(ISNUMBER(AC231),INDEX('All Player Data Store'!$L$8:$L$594,SMALL(IF('All Player Data Store'!$Y$7:$Y$594=AC231,ROW('All Player Data Store'!$Y$7:$Y$594)-ROW('All Player Data Store'!$Y$7)+1),COUNTIF($AC$8:AC231,AC231))),"")</f>
        <v/>
      </c>
      <c r="AJ231" s="108" t="str">
        <f t="shared" si="5"/>
        <v/>
      </c>
      <c r="AK231" s="108" t="str">
        <f t="array" ref="AK231">IF(ISNUMBER(AC231),INDEX('All Player Data Store'!$M$8:$M$594,SMALL(IF('All Player Data Store'!$Y$7:$Y$594=AC231,ROW('All Player Data Store'!$Y$7:$Y$594)-ROW('All Player Data Store'!$Y$7)+1),COUNTIF($AC$8:AC231,AC231))),"")</f>
        <v/>
      </c>
      <c r="AL231" s="108" t="str">
        <f t="shared" si="6"/>
        <v/>
      </c>
      <c r="AM231" s="108" t="str">
        <f t="array" ref="AM231">IF(ISNUMBER(AC231),INDEX('All Player Data Store'!$N$8:$N$594,SMALL(IF('All Player Data Store'!$Y$7:$Y$594=AC231,ROW('All Player Data Store'!$Y$7:$Y$594)-ROW('All Player Data Store'!$Y$7)+1),COUNTIF($AC$8:AC231,AC231))),"")</f>
        <v/>
      </c>
      <c r="AN231" s="108" t="str">
        <f t="shared" si="7"/>
        <v/>
      </c>
      <c r="AO231" s="108" t="str">
        <f t="array" ref="AO231">IF(ISNUMBER(AC231),INDEX('All Player Data Store'!$O$8:$O$594,SMALL(IF('All Player Data Store'!$Y$7:$Y$594=AC231,ROW('All Player Data Store'!$Y$7:$Y$594)-ROW('All Player Data Store'!$Y$7)+1),COUNTIF($AC$8:AC231,AC231))),"")</f>
        <v/>
      </c>
      <c r="AP231" s="108" t="str">
        <f t="shared" si="8"/>
        <v/>
      </c>
      <c r="AQ231" s="108" t="str">
        <f t="array" ref="AQ231">IF(ISNUMBER(AC231),INDEX('All Player Data Store'!$P$8:$P$594,SMALL(IF('All Player Data Store'!$Y$7:$Y$594=AC231,ROW('All Player Data Store'!$Y$7:$Y$594)-ROW('All Player Data Store'!$Y$7)+1),COUNTIF($AC$8:AC231,AC231))),"")</f>
        <v/>
      </c>
      <c r="AR231" s="108" t="str">
        <f t="shared" si="9"/>
        <v/>
      </c>
      <c r="AS231" s="108" t="str">
        <f t="array" ref="AS231">IF(ISNUMBER(AC231),INDEX('All Player Data Store'!$Q$8:$Q$594,SMALL(IF('All Player Data Store'!$Y$7:$Y$594=AC231,ROW('All Player Data Store'!$Y$7:$Y$594)-ROW('All Player Data Store'!$Y$7)+1),COUNTIF($AC$8:AC231,AC231))),"")</f>
        <v/>
      </c>
      <c r="AT231" s="108" t="str">
        <f t="shared" si="10"/>
        <v/>
      </c>
      <c r="AU231" s="108" t="str">
        <f t="array" ref="AU231">IF(ISNUMBER(AC231),INDEX('All Player Data Store'!$R$8:$R$594,SMALL(IF('All Player Data Store'!$Y$7:$Y$594=AC231,ROW('All Player Data Store'!$Y$7:$Y$594)-ROW('All Player Data Store'!$Y$7)+1),COUNTIF($AC$8:AC231,AC231))),"")</f>
        <v/>
      </c>
      <c r="AV231" s="108" t="str">
        <f t="shared" si="11"/>
        <v/>
      </c>
      <c r="AW231" s="108" t="str">
        <f t="array" ref="AW231">IF(ISNUMBER(AC231),INDEX('All Player Data Store'!$S$8:$S$594,SMALL(IF('All Player Data Store'!$Y$7:$Y$594=AC231,ROW('All Player Data Store'!$Y$7:$Y$594)-ROW('All Player Data Store'!$Y$7)+1),COUNTIF($AC$8:AC231,AC231))),"")</f>
        <v/>
      </c>
      <c r="AX231" s="108" t="str">
        <f t="shared" si="12"/>
        <v/>
      </c>
      <c r="AY231" s="108" t="str">
        <f t="array" ref="AY231">IF(ISNUMBER(AC231),INDEX('All Player Data Store'!$T$8:$T$594,SMALL(IF('All Player Data Store'!$Y$7:$Y$594=AC231,ROW('All Player Data Store'!$Y$7:$Y$594)-ROW('All Player Data Store'!$Y$7)+1),COUNTIF($AC$8:AC231,AC231))),"")</f>
        <v/>
      </c>
      <c r="AZ231" s="108" t="str">
        <f t="shared" si="13"/>
        <v/>
      </c>
      <c r="BA231" s="108" t="str">
        <f t="array" ref="BA231">IF(ISNUMBER(AC231),INDEX('All Player Data Store'!$U$8:$U$594,SMALL(IF('All Player Data Store'!$Y$7:$Y$594=AC231,ROW('All Player Data Store'!$Y$7:$Y$594)-ROW('All Player Data Store'!$Y$7)+1),COUNTIF($AC$8:AC231,AC231))),"")</f>
        <v/>
      </c>
      <c r="BB231" s="108" t="str">
        <f t="shared" si="14"/>
        <v/>
      </c>
      <c r="BC231" s="108" t="str">
        <f t="array" ref="BC231">IF(ISNUMBER(AC231),INDEX('All Player Data Store'!$V$8:$V$594,SMALL(IF('All Player Data Store'!$Y$7:$Y$594=AC231,ROW('All Player Data Store'!$Y$7:$Y$594)-ROW('All Player Data Store'!$Y$7)+1),COUNTIF($AC$8:AC231,AC231))),"")</f>
        <v/>
      </c>
      <c r="BD231" s="108" t="str">
        <f t="shared" si="15"/>
        <v/>
      </c>
      <c r="BE231" s="1"/>
    </row>
    <row r="232" spans="2:57" ht="12" customHeight="1" x14ac:dyDescent="0.2">
      <c r="B232" s="118" t="str">
        <f t="shared" si="0"/>
        <v/>
      </c>
      <c r="C232" s="1"/>
      <c r="D232" s="68" t="str">
        <f t="shared" si="1"/>
        <v/>
      </c>
      <c r="E232" s="2"/>
      <c r="F232" s="78">
        <v>225</v>
      </c>
      <c r="G232" s="110" t="str">
        <f t="array" ref="G232">IF(ISNUMBER(AC232),INDEX('All Player Data Store'!$C$7:$C$594,SMALL(IF('All Player Data Store'!$Y$7:$Y$594=AC232,ROW('All Player Data Store'!$Y$7:$Y$594)-ROW('All Player Data Store'!$Y$7)+1),COUNTIF($AC$8:AC232,AC232))),"")</f>
        <v/>
      </c>
      <c r="H232" s="68" t="str">
        <f t="array" ref="H232">IF(ISNUMBER(AC232),INDEX('All Player Data Store'!$D$7:$D$594,SMALL(IF('All Player Data Store'!$Y$7:$Y$594=AC232,ROW('All Player Data Store'!$Y$7:$Y$594)-ROW('All Player Data Store'!$Y$7)+1),COUNTIF($AC$8:AC232,AC232))),"")</f>
        <v/>
      </c>
      <c r="I232" s="69" t="str">
        <f t="array" ref="I232">IF(ISNUMBER(AC232),INDEX('All Player Data Store'!$E$7:$E$594,SMALL(IF('All Player Data Store'!$Y$7:$Y$594=AC232,ROW('All Player Data Store'!$Y$7:$Y$594)-ROW('All Player Data Store'!$Y$7)+1),COUNTIF($AC$8:AC232,AC232))),"")</f>
        <v/>
      </c>
      <c r="J232" s="70" t="str">
        <f t="array" ref="J232">IF(ISNUMBER(AC232),INDEX('All Player Data Store'!$F$7:$F$594,SMALL(IF('All Player Data Store'!$Y$7:$Y$594=AC232,ROW('All Player Data Store'!$Y$7:$Y$594)-ROW('All Player Data Store'!$Y$7)+1),COUNTIF($AC$8:AC232,AC232))),"")</f>
        <v/>
      </c>
      <c r="K232" s="70" t="str">
        <f t="array" ref="K232">IF(ISNUMBER(AC232),INDEX('All Player Data Store'!$G$7:$G$594,SMALL(IF('All Player Data Store'!$Y$7:$Y$594=AC232,ROW('All Player Data Store'!$Y$7:$Y$594)-ROW('All Player Data Store'!$Y$7)+1),COUNTIF($AC$8:AC232,AC232))),"")</f>
        <v/>
      </c>
      <c r="L232" s="70" t="str">
        <f t="array" ref="L232">IF(ISNUMBER(AC232),INDEX('All Player Data Store'!$H$7:$H$594,SMALL(IF('All Player Data Store'!$Y$7:$Y$594=AC232,ROW('All Player Data Store'!$Y$7:$Y$594)-ROW('All Player Data Store'!$Y$7)+1),COUNTIF($AC$8:AC232,AC232))),"")</f>
        <v/>
      </c>
      <c r="M232" s="72" t="str">
        <f t="array" ref="M232">IF(ISNUMBER(AC232),INDEX('All Player Data Store'!$I$7:$I$594,SMALL(IF('All Player Data Store'!$Y$7:$Y$594=AC232,ROW('All Player Data Store'!$Y$7:$Y$594)-ROW('All Player Data Store'!$Y$7)+1),COUNTIF($AC$8:AC232,AC232))),"")</f>
        <v/>
      </c>
      <c r="N232" s="114" t="str">
        <f t="array" ref="N232">IF(ISNUMBER(AC232),INDEX('All Player Data Store'!$J$7:$J$594,SMALL(IF('All Player Data Store'!$Y$7:$Y$594=AC232,ROW('All Player Data Store'!$Y$7:$Y$594)-ROW('All Player Data Store'!$Y$7)+1),COUNTIF($AC$8:AC232,AC232))),"")</f>
        <v/>
      </c>
      <c r="O232" s="108" t="str">
        <f t="array" ref="O232">IF(ISNUMBER(AC232),INDEX('All Player Data Store'!$K$7:$K$594,SMALL(IF('All Player Data Store'!$Y$7:$Y$594=AC232,ROW('All Player Data Store'!$Y$7:$Y$594)-ROW('All Player Data Store'!$Y$7)+1),COUNTIF($AC$8:AC232,AC232))),"")</f>
        <v/>
      </c>
      <c r="P232" s="108" t="str">
        <f t="array" ref="P232">IF(ISNUMBER(AC232),INDEX('All Player Data Store'!$L$7:$L$594,SMALL(IF('All Player Data Store'!$Y$7:$Y$594=AC232,ROW('All Player Data Store'!$Y$7:$Y$594)-ROW('All Player Data Store'!$Y$7)+1),COUNTIF($AC$8:AC232,AC232))),"")</f>
        <v/>
      </c>
      <c r="Q232" s="108" t="str">
        <f t="array" ref="Q232">IF(ISNUMBER(AC232),INDEX('All Player Data Store'!$M$7:$M$594,SMALL(IF('All Player Data Store'!$Y$7:$Y$594=AC232,ROW('All Player Data Store'!$Y$7:$Y$594)-ROW('All Player Data Store'!$Y$7)+1),COUNTIF($AC$8:AC232,AC232))),"")</f>
        <v/>
      </c>
      <c r="R232" s="108" t="str">
        <f t="array" ref="R232">IF(ISNUMBER(AC232),INDEX('All Player Data Store'!$N$7:$N$594,SMALL(IF('All Player Data Store'!$Y$7:$Y$594=AC232,ROW('All Player Data Store'!$Y$7:$Y$594)-ROW('All Player Data Store'!$Y$7)+1),COUNTIF($AC$8:AC232,AC232))),"")</f>
        <v/>
      </c>
      <c r="S232" s="108" t="str">
        <f t="array" ref="S232">IF(ISNUMBER(AC232),INDEX('All Player Data Store'!$O$7:$O$594,SMALL(IF('All Player Data Store'!$Y$7:$Y$594=AC232,ROW('All Player Data Store'!$Y$7:$Y$594)-ROW('All Player Data Store'!$Y$7)+1),COUNTIF($AC$8:AC232,AC232))),"")</f>
        <v/>
      </c>
      <c r="T232" s="108" t="str">
        <f t="array" ref="T232">IF(ISNUMBER(AC232),INDEX('All Player Data Store'!$P$7:$P$594,SMALL(IF('All Player Data Store'!$Y$7:$Y$594=AC232,ROW('All Player Data Store'!$Y$7:$Y$594)-ROW('All Player Data Store'!$Y$7)+1),COUNTIF($AC$8:AC232,AC232))),"")</f>
        <v/>
      </c>
      <c r="U232" s="108" t="str">
        <f t="array" ref="U232">IF(ISNUMBER(AC232),INDEX('All Player Data Store'!$Q$7:$Q$594,SMALL(IF('All Player Data Store'!$Y$7:$Y$594=AC232,ROW('All Player Data Store'!$Y$7:$Y$594)-ROW('All Player Data Store'!$Y$7)+1),COUNTIF($AC$8:AC232,AC232))),"")</f>
        <v/>
      </c>
      <c r="V232" s="108" t="str">
        <f t="array" ref="V232">IF(ISNUMBER(AC232),INDEX('All Player Data Store'!$R$7:$R$594,SMALL(IF('All Player Data Store'!$Y$7:$Y$594=AC232,ROW('All Player Data Store'!$Y$7:$Y$594)-ROW('All Player Data Store'!$Y$7)+1),COUNTIF($AC$8:AC232,AC232))),"")</f>
        <v/>
      </c>
      <c r="W232" s="108" t="str">
        <f t="array" ref="W232">IF(ISNUMBER(AC232),INDEX('All Player Data Store'!$S$7:$S$594,SMALL(IF('All Player Data Store'!$Y$7:$Y$594=AC232,ROW('All Player Data Store'!$Y$7:$Y$594)-ROW('All Player Data Store'!$Y$7)+1),COUNTIF($AC$8:AC232,AC232))),"")</f>
        <v/>
      </c>
      <c r="X232" s="108" t="str">
        <f t="array" ref="X232">IF(ISNUMBER(AC232),INDEX('All Player Data Store'!$T$7:$T$594,SMALL(IF('All Player Data Store'!$Y$7:$Y$594=AC232,ROW('All Player Data Store'!$Y$7:$Y$594)-ROW('All Player Data Store'!$Y$7)+1),COUNTIF($AC$8:AC232,AC232))),"")</f>
        <v/>
      </c>
      <c r="Y232" s="108" t="str">
        <f t="array" ref="Y232">IF(ISNUMBER(AC232),INDEX('All Player Data Store'!$U$7:$U$594,SMALL(IF('All Player Data Store'!$Y$7:$Y$594=AC232,ROW('All Player Data Store'!$Y$7:$Y$594)-ROW('All Player Data Store'!$Y$7)+1),COUNTIF($AC$8:AC232,AC232))),"")</f>
        <v/>
      </c>
      <c r="Z232" s="108" t="str">
        <f t="array" ref="Z232">IF(ISNUMBER(AC232),INDEX('All Player Data Store'!$V$7:$V$594,SMALL(IF('All Player Data Store'!$Y$7:$Y$594=AC232,ROW('All Player Data Store'!$Y$7:$Y$594)-ROW('All Player Data Store'!$Y$7)+1),COUNTIF($AC$8:AC232,AC232))),"")</f>
        <v/>
      </c>
      <c r="AA232" s="112" t="str">
        <f t="array" ref="AA232">IF(ISNUMBER(AC232),INDEX('All Player Data Store'!$W$7:$W$594,SMALL(IF('All Player Data Store'!$Y$7:$Y$594=AC232,ROW('All Player Data Store'!$Y$7:$Y$594)-ROW('All Player Data Store'!$Y$7)+1),COUNTIF($AC$8:AC232,AC232))),"")</f>
        <v/>
      </c>
      <c r="AB232" s="108" t="str">
        <f t="array" ref="AB232">IF(ISNUMBER(AC232),INDEX('All Player Data Store'!$X$7:$X$594,SMALL(IF('All Player Data Store'!$Y$7:$Y$594=AC232,ROW('All Player Data Store'!$Y$7:$Y$594)-ROW('All Player Data Store'!$Y$7)+1),COUNTIF($AC$8:AC232,AC232))),"")</f>
        <v/>
      </c>
      <c r="AC232" s="115" t="str">
        <f>IF(ISERROR(IF(ISERROR(LARGE('All Player Data Store'!$Y$7:$Y$594,225)),"",(LARGE('All Player Data Store'!$Y$7:$Y$594,225)))),"",(IF(ISERROR(LARGE('All Player Data Store'!$Y$7:$Y$594,225)),"",(LARGE('All Player Data Store'!$Y$7:$Y$594,225)))))</f>
        <v/>
      </c>
      <c r="AD232" s="106">
        <f t="shared" si="16"/>
        <v>1</v>
      </c>
      <c r="AE232" s="107" t="str">
        <f t="array" ref="AE232">IF(ISNUMBER(AC232),INDEX('All Player Data Store'!$J$8:$J$594,SMALL(IF('All Player Data Store'!$Y$7:$Y$594=AC232,ROW('All Player Data Store'!$Y$7:$Y$594)-ROW('All Player Data Store'!$Y$7)+1),COUNTIF($AC$8:AC232,AC232))),"")</f>
        <v/>
      </c>
      <c r="AF232" s="108" t="str">
        <f t="shared" si="3"/>
        <v/>
      </c>
      <c r="AG232" s="108" t="str">
        <f t="array" ref="AG232">IF(ISNUMBER(AC232),INDEX('All Player Data Store'!$K$8:$K$594,SMALL(IF('All Player Data Store'!$Y$7:$Y$594=AC232,ROW('All Player Data Store'!$Y$7:$Y$594)-ROW('All Player Data Store'!$Y$7)+1),COUNTIF($AC$8:AC232,AC232))),"")</f>
        <v/>
      </c>
      <c r="AH232" s="108" t="str">
        <f t="shared" si="4"/>
        <v/>
      </c>
      <c r="AI232" s="108" t="str">
        <f t="array" ref="AI232">IF(ISNUMBER(AC232),INDEX('All Player Data Store'!$L$8:$L$594,SMALL(IF('All Player Data Store'!$Y$7:$Y$594=AC232,ROW('All Player Data Store'!$Y$7:$Y$594)-ROW('All Player Data Store'!$Y$7)+1),COUNTIF($AC$8:AC232,AC232))),"")</f>
        <v/>
      </c>
      <c r="AJ232" s="108" t="str">
        <f t="shared" si="5"/>
        <v/>
      </c>
      <c r="AK232" s="108" t="str">
        <f t="array" ref="AK232">IF(ISNUMBER(AC232),INDEX('All Player Data Store'!$M$8:$M$594,SMALL(IF('All Player Data Store'!$Y$7:$Y$594=AC232,ROW('All Player Data Store'!$Y$7:$Y$594)-ROW('All Player Data Store'!$Y$7)+1),COUNTIF($AC$8:AC232,AC232))),"")</f>
        <v/>
      </c>
      <c r="AL232" s="108" t="str">
        <f t="shared" si="6"/>
        <v/>
      </c>
      <c r="AM232" s="108" t="str">
        <f t="array" ref="AM232">IF(ISNUMBER(AC232),INDEX('All Player Data Store'!$N$8:$N$594,SMALL(IF('All Player Data Store'!$Y$7:$Y$594=AC232,ROW('All Player Data Store'!$Y$7:$Y$594)-ROW('All Player Data Store'!$Y$7)+1),COUNTIF($AC$8:AC232,AC232))),"")</f>
        <v/>
      </c>
      <c r="AN232" s="108" t="str">
        <f t="shared" si="7"/>
        <v/>
      </c>
      <c r="AO232" s="108" t="str">
        <f t="array" ref="AO232">IF(ISNUMBER(AC232),INDEX('All Player Data Store'!$O$8:$O$594,SMALL(IF('All Player Data Store'!$Y$7:$Y$594=AC232,ROW('All Player Data Store'!$Y$7:$Y$594)-ROW('All Player Data Store'!$Y$7)+1),COUNTIF($AC$8:AC232,AC232))),"")</f>
        <v/>
      </c>
      <c r="AP232" s="108" t="str">
        <f t="shared" si="8"/>
        <v/>
      </c>
      <c r="AQ232" s="108" t="str">
        <f t="array" ref="AQ232">IF(ISNUMBER(AC232),INDEX('All Player Data Store'!$P$8:$P$594,SMALL(IF('All Player Data Store'!$Y$7:$Y$594=AC232,ROW('All Player Data Store'!$Y$7:$Y$594)-ROW('All Player Data Store'!$Y$7)+1),COUNTIF($AC$8:AC232,AC232))),"")</f>
        <v/>
      </c>
      <c r="AR232" s="108" t="str">
        <f t="shared" si="9"/>
        <v/>
      </c>
      <c r="AS232" s="108" t="str">
        <f t="array" ref="AS232">IF(ISNUMBER(AC232),INDEX('All Player Data Store'!$Q$8:$Q$594,SMALL(IF('All Player Data Store'!$Y$7:$Y$594=AC232,ROW('All Player Data Store'!$Y$7:$Y$594)-ROW('All Player Data Store'!$Y$7)+1),COUNTIF($AC$8:AC232,AC232))),"")</f>
        <v/>
      </c>
      <c r="AT232" s="108" t="str">
        <f t="shared" si="10"/>
        <v/>
      </c>
      <c r="AU232" s="108" t="str">
        <f t="array" ref="AU232">IF(ISNUMBER(AC232),INDEX('All Player Data Store'!$R$8:$R$594,SMALL(IF('All Player Data Store'!$Y$7:$Y$594=AC232,ROW('All Player Data Store'!$Y$7:$Y$594)-ROW('All Player Data Store'!$Y$7)+1),COUNTIF($AC$8:AC232,AC232))),"")</f>
        <v/>
      </c>
      <c r="AV232" s="108" t="str">
        <f t="shared" si="11"/>
        <v/>
      </c>
      <c r="AW232" s="108" t="str">
        <f t="array" ref="AW232">IF(ISNUMBER(AC232),INDEX('All Player Data Store'!$S$8:$S$594,SMALL(IF('All Player Data Store'!$Y$7:$Y$594=AC232,ROW('All Player Data Store'!$Y$7:$Y$594)-ROW('All Player Data Store'!$Y$7)+1),COUNTIF($AC$8:AC232,AC232))),"")</f>
        <v/>
      </c>
      <c r="AX232" s="108" t="str">
        <f t="shared" si="12"/>
        <v/>
      </c>
      <c r="AY232" s="108" t="str">
        <f t="array" ref="AY232">IF(ISNUMBER(AC232),INDEX('All Player Data Store'!$T$8:$T$594,SMALL(IF('All Player Data Store'!$Y$7:$Y$594=AC232,ROW('All Player Data Store'!$Y$7:$Y$594)-ROW('All Player Data Store'!$Y$7)+1),COUNTIF($AC$8:AC232,AC232))),"")</f>
        <v/>
      </c>
      <c r="AZ232" s="108" t="str">
        <f t="shared" si="13"/>
        <v/>
      </c>
      <c r="BA232" s="108" t="str">
        <f t="array" ref="BA232">IF(ISNUMBER(AC232),INDEX('All Player Data Store'!$U$8:$U$594,SMALL(IF('All Player Data Store'!$Y$7:$Y$594=AC232,ROW('All Player Data Store'!$Y$7:$Y$594)-ROW('All Player Data Store'!$Y$7)+1),COUNTIF($AC$8:AC232,AC232))),"")</f>
        <v/>
      </c>
      <c r="BB232" s="108" t="str">
        <f t="shared" si="14"/>
        <v/>
      </c>
      <c r="BC232" s="108" t="str">
        <f t="array" ref="BC232">IF(ISNUMBER(AC232),INDEX('All Player Data Store'!$V$8:$V$594,SMALL(IF('All Player Data Store'!$Y$7:$Y$594=AC232,ROW('All Player Data Store'!$Y$7:$Y$594)-ROW('All Player Data Store'!$Y$7)+1),COUNTIF($AC$8:AC232,AC232))),"")</f>
        <v/>
      </c>
      <c r="BD232" s="108" t="str">
        <f t="shared" si="15"/>
        <v/>
      </c>
      <c r="BE232" s="1"/>
    </row>
    <row r="233" spans="2:57" ht="12" customHeight="1" x14ac:dyDescent="0.2">
      <c r="B233" s="118" t="str">
        <f t="shared" si="0"/>
        <v/>
      </c>
      <c r="C233" s="1"/>
      <c r="D233" s="68" t="str">
        <f t="shared" si="1"/>
        <v/>
      </c>
      <c r="E233" s="2"/>
      <c r="F233" s="78">
        <v>226</v>
      </c>
      <c r="G233" s="110" t="str">
        <f t="array" ref="G233">IF(ISNUMBER(AC233),INDEX('All Player Data Store'!$C$7:$C$594,SMALL(IF('All Player Data Store'!$Y$7:$Y$594=AC233,ROW('All Player Data Store'!$Y$7:$Y$594)-ROW('All Player Data Store'!$Y$7)+1),COUNTIF($AC$8:AC233,AC233))),"")</f>
        <v/>
      </c>
      <c r="H233" s="68" t="str">
        <f t="array" ref="H233">IF(ISNUMBER(AC233),INDEX('All Player Data Store'!$D$7:$D$594,SMALL(IF('All Player Data Store'!$Y$7:$Y$594=AC233,ROW('All Player Data Store'!$Y$7:$Y$594)-ROW('All Player Data Store'!$Y$7)+1),COUNTIF($AC$8:AC233,AC233))),"")</f>
        <v/>
      </c>
      <c r="I233" s="69" t="str">
        <f t="array" ref="I233">IF(ISNUMBER(AC233),INDEX('All Player Data Store'!$E$7:$E$594,SMALL(IF('All Player Data Store'!$Y$7:$Y$594=AC233,ROW('All Player Data Store'!$Y$7:$Y$594)-ROW('All Player Data Store'!$Y$7)+1),COUNTIF($AC$8:AC233,AC233))),"")</f>
        <v/>
      </c>
      <c r="J233" s="70" t="str">
        <f t="array" ref="J233">IF(ISNUMBER(AC233),INDEX('All Player Data Store'!$F$7:$F$594,SMALL(IF('All Player Data Store'!$Y$7:$Y$594=AC233,ROW('All Player Data Store'!$Y$7:$Y$594)-ROW('All Player Data Store'!$Y$7)+1),COUNTIF($AC$8:AC233,AC233))),"")</f>
        <v/>
      </c>
      <c r="K233" s="70" t="str">
        <f t="array" ref="K233">IF(ISNUMBER(AC233),INDEX('All Player Data Store'!$G$7:$G$594,SMALL(IF('All Player Data Store'!$Y$7:$Y$594=AC233,ROW('All Player Data Store'!$Y$7:$Y$594)-ROW('All Player Data Store'!$Y$7)+1),COUNTIF($AC$8:AC233,AC233))),"")</f>
        <v/>
      </c>
      <c r="L233" s="70" t="str">
        <f t="array" ref="L233">IF(ISNUMBER(AC233),INDEX('All Player Data Store'!$H$7:$H$594,SMALL(IF('All Player Data Store'!$Y$7:$Y$594=AC233,ROW('All Player Data Store'!$Y$7:$Y$594)-ROW('All Player Data Store'!$Y$7)+1),COUNTIF($AC$8:AC233,AC233))),"")</f>
        <v/>
      </c>
      <c r="M233" s="72" t="str">
        <f t="array" ref="M233">IF(ISNUMBER(AC233),INDEX('All Player Data Store'!$I$7:$I$594,SMALL(IF('All Player Data Store'!$Y$7:$Y$594=AC233,ROW('All Player Data Store'!$Y$7:$Y$594)-ROW('All Player Data Store'!$Y$7)+1),COUNTIF($AC$8:AC233,AC233))),"")</f>
        <v/>
      </c>
      <c r="N233" s="114" t="str">
        <f t="array" ref="N233">IF(ISNUMBER(AC233),INDEX('All Player Data Store'!$J$7:$J$594,SMALL(IF('All Player Data Store'!$Y$7:$Y$594=AC233,ROW('All Player Data Store'!$Y$7:$Y$594)-ROW('All Player Data Store'!$Y$7)+1),COUNTIF($AC$8:AC233,AC233))),"")</f>
        <v/>
      </c>
      <c r="O233" s="108" t="str">
        <f t="array" ref="O233">IF(ISNUMBER(AC233),INDEX('All Player Data Store'!$K$7:$K$594,SMALL(IF('All Player Data Store'!$Y$7:$Y$594=AC233,ROW('All Player Data Store'!$Y$7:$Y$594)-ROW('All Player Data Store'!$Y$7)+1),COUNTIF($AC$8:AC233,AC233))),"")</f>
        <v/>
      </c>
      <c r="P233" s="108" t="str">
        <f t="array" ref="P233">IF(ISNUMBER(AC233),INDEX('All Player Data Store'!$L$7:$L$594,SMALL(IF('All Player Data Store'!$Y$7:$Y$594=AC233,ROW('All Player Data Store'!$Y$7:$Y$594)-ROW('All Player Data Store'!$Y$7)+1),COUNTIF($AC$8:AC233,AC233))),"")</f>
        <v/>
      </c>
      <c r="Q233" s="108" t="str">
        <f t="array" ref="Q233">IF(ISNUMBER(AC233),INDEX('All Player Data Store'!$M$7:$M$594,SMALL(IF('All Player Data Store'!$Y$7:$Y$594=AC233,ROW('All Player Data Store'!$Y$7:$Y$594)-ROW('All Player Data Store'!$Y$7)+1),COUNTIF($AC$8:AC233,AC233))),"")</f>
        <v/>
      </c>
      <c r="R233" s="108" t="str">
        <f t="array" ref="R233">IF(ISNUMBER(AC233),INDEX('All Player Data Store'!$N$7:$N$594,SMALL(IF('All Player Data Store'!$Y$7:$Y$594=AC233,ROW('All Player Data Store'!$Y$7:$Y$594)-ROW('All Player Data Store'!$Y$7)+1),COUNTIF($AC$8:AC233,AC233))),"")</f>
        <v/>
      </c>
      <c r="S233" s="108" t="str">
        <f t="array" ref="S233">IF(ISNUMBER(AC233),INDEX('All Player Data Store'!$O$7:$O$594,SMALL(IF('All Player Data Store'!$Y$7:$Y$594=AC233,ROW('All Player Data Store'!$Y$7:$Y$594)-ROW('All Player Data Store'!$Y$7)+1),COUNTIF($AC$8:AC233,AC233))),"")</f>
        <v/>
      </c>
      <c r="T233" s="108" t="str">
        <f t="array" ref="T233">IF(ISNUMBER(AC233),INDEX('All Player Data Store'!$P$7:$P$594,SMALL(IF('All Player Data Store'!$Y$7:$Y$594=AC233,ROW('All Player Data Store'!$Y$7:$Y$594)-ROW('All Player Data Store'!$Y$7)+1),COUNTIF($AC$8:AC233,AC233))),"")</f>
        <v/>
      </c>
      <c r="U233" s="108" t="str">
        <f t="array" ref="U233">IF(ISNUMBER(AC233),INDEX('All Player Data Store'!$Q$7:$Q$594,SMALL(IF('All Player Data Store'!$Y$7:$Y$594=AC233,ROW('All Player Data Store'!$Y$7:$Y$594)-ROW('All Player Data Store'!$Y$7)+1),COUNTIF($AC$8:AC233,AC233))),"")</f>
        <v/>
      </c>
      <c r="V233" s="108" t="str">
        <f t="array" ref="V233">IF(ISNUMBER(AC233),INDEX('All Player Data Store'!$R$7:$R$594,SMALL(IF('All Player Data Store'!$Y$7:$Y$594=AC233,ROW('All Player Data Store'!$Y$7:$Y$594)-ROW('All Player Data Store'!$Y$7)+1),COUNTIF($AC$8:AC233,AC233))),"")</f>
        <v/>
      </c>
      <c r="W233" s="108" t="str">
        <f t="array" ref="W233">IF(ISNUMBER(AC233),INDEX('All Player Data Store'!$S$7:$S$594,SMALL(IF('All Player Data Store'!$Y$7:$Y$594=AC233,ROW('All Player Data Store'!$Y$7:$Y$594)-ROW('All Player Data Store'!$Y$7)+1),COUNTIF($AC$8:AC233,AC233))),"")</f>
        <v/>
      </c>
      <c r="X233" s="108" t="str">
        <f t="array" ref="X233">IF(ISNUMBER(AC233),INDEX('All Player Data Store'!$T$7:$T$594,SMALL(IF('All Player Data Store'!$Y$7:$Y$594=AC233,ROW('All Player Data Store'!$Y$7:$Y$594)-ROW('All Player Data Store'!$Y$7)+1),COUNTIF($AC$8:AC233,AC233))),"")</f>
        <v/>
      </c>
      <c r="Y233" s="108" t="str">
        <f t="array" ref="Y233">IF(ISNUMBER(AC233),INDEX('All Player Data Store'!$U$7:$U$594,SMALL(IF('All Player Data Store'!$Y$7:$Y$594=AC233,ROW('All Player Data Store'!$Y$7:$Y$594)-ROW('All Player Data Store'!$Y$7)+1),COUNTIF($AC$8:AC233,AC233))),"")</f>
        <v/>
      </c>
      <c r="Z233" s="108" t="str">
        <f t="array" ref="Z233">IF(ISNUMBER(AC233),INDEX('All Player Data Store'!$V$7:$V$594,SMALL(IF('All Player Data Store'!$Y$7:$Y$594=AC233,ROW('All Player Data Store'!$Y$7:$Y$594)-ROW('All Player Data Store'!$Y$7)+1),COUNTIF($AC$8:AC233,AC233))),"")</f>
        <v/>
      </c>
      <c r="AA233" s="112" t="str">
        <f t="array" ref="AA233">IF(ISNUMBER(AC233),INDEX('All Player Data Store'!$W$7:$W$594,SMALL(IF('All Player Data Store'!$Y$7:$Y$594=AC233,ROW('All Player Data Store'!$Y$7:$Y$594)-ROW('All Player Data Store'!$Y$7)+1),COUNTIF($AC$8:AC233,AC233))),"")</f>
        <v/>
      </c>
      <c r="AB233" s="108" t="str">
        <f t="array" ref="AB233">IF(ISNUMBER(AC233),INDEX('All Player Data Store'!$X$7:$X$594,SMALL(IF('All Player Data Store'!$Y$7:$Y$594=AC233,ROW('All Player Data Store'!$Y$7:$Y$594)-ROW('All Player Data Store'!$Y$7)+1),COUNTIF($AC$8:AC233,AC233))),"")</f>
        <v/>
      </c>
      <c r="AC233" s="115" t="str">
        <f>IF(ISERROR(IF(ISERROR(LARGE('All Player Data Store'!$Y$7:$Y$594,226)),"",(LARGE('All Player Data Store'!$Y$7:$Y$594,226)))),"",(IF(ISERROR(LARGE('All Player Data Store'!$Y$7:$Y$594,226)),"",(LARGE('All Player Data Store'!$Y$7:$Y$594,226)))))</f>
        <v/>
      </c>
      <c r="AD233" s="106">
        <f t="shared" si="16"/>
        <v>1</v>
      </c>
      <c r="AE233" s="107" t="str">
        <f t="array" ref="AE233">IF(ISNUMBER(AC233),INDEX('All Player Data Store'!$J$8:$J$594,SMALL(IF('All Player Data Store'!$Y$7:$Y$594=AC233,ROW('All Player Data Store'!$Y$7:$Y$594)-ROW('All Player Data Store'!$Y$7)+1),COUNTIF($AC$8:AC233,AC233))),"")</f>
        <v/>
      </c>
      <c r="AF233" s="108" t="str">
        <f t="shared" si="3"/>
        <v/>
      </c>
      <c r="AG233" s="108" t="str">
        <f t="array" ref="AG233">IF(ISNUMBER(AC233),INDEX('All Player Data Store'!$K$8:$K$594,SMALL(IF('All Player Data Store'!$Y$7:$Y$594=AC233,ROW('All Player Data Store'!$Y$7:$Y$594)-ROW('All Player Data Store'!$Y$7)+1),COUNTIF($AC$8:AC233,AC233))),"")</f>
        <v/>
      </c>
      <c r="AH233" s="108" t="str">
        <f t="shared" si="4"/>
        <v/>
      </c>
      <c r="AI233" s="108" t="str">
        <f t="array" ref="AI233">IF(ISNUMBER(AC233),INDEX('All Player Data Store'!$L$8:$L$594,SMALL(IF('All Player Data Store'!$Y$7:$Y$594=AC233,ROW('All Player Data Store'!$Y$7:$Y$594)-ROW('All Player Data Store'!$Y$7)+1),COUNTIF($AC$8:AC233,AC233))),"")</f>
        <v/>
      </c>
      <c r="AJ233" s="108" t="str">
        <f t="shared" si="5"/>
        <v/>
      </c>
      <c r="AK233" s="108" t="str">
        <f t="array" ref="AK233">IF(ISNUMBER(AC233),INDEX('All Player Data Store'!$M$8:$M$594,SMALL(IF('All Player Data Store'!$Y$7:$Y$594=AC233,ROW('All Player Data Store'!$Y$7:$Y$594)-ROW('All Player Data Store'!$Y$7)+1),COUNTIF($AC$8:AC233,AC233))),"")</f>
        <v/>
      </c>
      <c r="AL233" s="108" t="str">
        <f t="shared" si="6"/>
        <v/>
      </c>
      <c r="AM233" s="108" t="str">
        <f t="array" ref="AM233">IF(ISNUMBER(AC233),INDEX('All Player Data Store'!$N$8:$N$594,SMALL(IF('All Player Data Store'!$Y$7:$Y$594=AC233,ROW('All Player Data Store'!$Y$7:$Y$594)-ROW('All Player Data Store'!$Y$7)+1),COUNTIF($AC$8:AC233,AC233))),"")</f>
        <v/>
      </c>
      <c r="AN233" s="108" t="str">
        <f t="shared" si="7"/>
        <v/>
      </c>
      <c r="AO233" s="108" t="str">
        <f t="array" ref="AO233">IF(ISNUMBER(AC233),INDEX('All Player Data Store'!$O$8:$O$594,SMALL(IF('All Player Data Store'!$Y$7:$Y$594=AC233,ROW('All Player Data Store'!$Y$7:$Y$594)-ROW('All Player Data Store'!$Y$7)+1),COUNTIF($AC$8:AC233,AC233))),"")</f>
        <v/>
      </c>
      <c r="AP233" s="108" t="str">
        <f t="shared" si="8"/>
        <v/>
      </c>
      <c r="AQ233" s="108" t="str">
        <f t="array" ref="AQ233">IF(ISNUMBER(AC233),INDEX('All Player Data Store'!$P$8:$P$594,SMALL(IF('All Player Data Store'!$Y$7:$Y$594=AC233,ROW('All Player Data Store'!$Y$7:$Y$594)-ROW('All Player Data Store'!$Y$7)+1),COUNTIF($AC$8:AC233,AC233))),"")</f>
        <v/>
      </c>
      <c r="AR233" s="108" t="str">
        <f t="shared" si="9"/>
        <v/>
      </c>
      <c r="AS233" s="108" t="str">
        <f t="array" ref="AS233">IF(ISNUMBER(AC233),INDEX('All Player Data Store'!$Q$8:$Q$594,SMALL(IF('All Player Data Store'!$Y$7:$Y$594=AC233,ROW('All Player Data Store'!$Y$7:$Y$594)-ROW('All Player Data Store'!$Y$7)+1),COUNTIF($AC$8:AC233,AC233))),"")</f>
        <v/>
      </c>
      <c r="AT233" s="108" t="str">
        <f t="shared" si="10"/>
        <v/>
      </c>
      <c r="AU233" s="108" t="str">
        <f t="array" ref="AU233">IF(ISNUMBER(AC233),INDEX('All Player Data Store'!$R$8:$R$594,SMALL(IF('All Player Data Store'!$Y$7:$Y$594=AC233,ROW('All Player Data Store'!$Y$7:$Y$594)-ROW('All Player Data Store'!$Y$7)+1),COUNTIF($AC$8:AC233,AC233))),"")</f>
        <v/>
      </c>
      <c r="AV233" s="108" t="str">
        <f t="shared" si="11"/>
        <v/>
      </c>
      <c r="AW233" s="108" t="str">
        <f t="array" ref="AW233">IF(ISNUMBER(AC233),INDEX('All Player Data Store'!$S$8:$S$594,SMALL(IF('All Player Data Store'!$Y$7:$Y$594=AC233,ROW('All Player Data Store'!$Y$7:$Y$594)-ROW('All Player Data Store'!$Y$7)+1),COUNTIF($AC$8:AC233,AC233))),"")</f>
        <v/>
      </c>
      <c r="AX233" s="108" t="str">
        <f t="shared" si="12"/>
        <v/>
      </c>
      <c r="AY233" s="108" t="str">
        <f t="array" ref="AY233">IF(ISNUMBER(AC233),INDEX('All Player Data Store'!$T$8:$T$594,SMALL(IF('All Player Data Store'!$Y$7:$Y$594=AC233,ROW('All Player Data Store'!$Y$7:$Y$594)-ROW('All Player Data Store'!$Y$7)+1),COUNTIF($AC$8:AC233,AC233))),"")</f>
        <v/>
      </c>
      <c r="AZ233" s="108" t="str">
        <f t="shared" si="13"/>
        <v/>
      </c>
      <c r="BA233" s="108" t="str">
        <f t="array" ref="BA233">IF(ISNUMBER(AC233),INDEX('All Player Data Store'!$U$8:$U$594,SMALL(IF('All Player Data Store'!$Y$7:$Y$594=AC233,ROW('All Player Data Store'!$Y$7:$Y$594)-ROW('All Player Data Store'!$Y$7)+1),COUNTIF($AC$8:AC233,AC233))),"")</f>
        <v/>
      </c>
      <c r="BB233" s="108" t="str">
        <f t="shared" si="14"/>
        <v/>
      </c>
      <c r="BC233" s="108" t="str">
        <f t="array" ref="BC233">IF(ISNUMBER(AC233),INDEX('All Player Data Store'!$V$8:$V$594,SMALL(IF('All Player Data Store'!$Y$7:$Y$594=AC233,ROW('All Player Data Store'!$Y$7:$Y$594)-ROW('All Player Data Store'!$Y$7)+1),COUNTIF($AC$8:AC233,AC233))),"")</f>
        <v/>
      </c>
      <c r="BD233" s="108" t="str">
        <f t="shared" si="15"/>
        <v/>
      </c>
      <c r="BE233" s="1"/>
    </row>
    <row r="234" spans="2:57" ht="12" customHeight="1" x14ac:dyDescent="0.2">
      <c r="B234" s="118" t="str">
        <f t="shared" si="0"/>
        <v/>
      </c>
      <c r="C234" s="1"/>
      <c r="D234" s="68" t="str">
        <f t="shared" si="1"/>
        <v/>
      </c>
      <c r="E234" s="2"/>
      <c r="F234" s="78">
        <v>227</v>
      </c>
      <c r="G234" s="110" t="str">
        <f t="array" ref="G234">IF(ISNUMBER(AC234),INDEX('All Player Data Store'!$C$7:$C$594,SMALL(IF('All Player Data Store'!$Y$7:$Y$594=AC234,ROW('All Player Data Store'!$Y$7:$Y$594)-ROW('All Player Data Store'!$Y$7)+1),COUNTIF($AC$8:AC234,AC234))),"")</f>
        <v/>
      </c>
      <c r="H234" s="68" t="str">
        <f t="array" ref="H234">IF(ISNUMBER(AC234),INDEX('All Player Data Store'!$D$7:$D$594,SMALL(IF('All Player Data Store'!$Y$7:$Y$594=AC234,ROW('All Player Data Store'!$Y$7:$Y$594)-ROW('All Player Data Store'!$Y$7)+1),COUNTIF($AC$8:AC234,AC234))),"")</f>
        <v/>
      </c>
      <c r="I234" s="69" t="str">
        <f t="array" ref="I234">IF(ISNUMBER(AC234),INDEX('All Player Data Store'!$E$7:$E$594,SMALL(IF('All Player Data Store'!$Y$7:$Y$594=AC234,ROW('All Player Data Store'!$Y$7:$Y$594)-ROW('All Player Data Store'!$Y$7)+1),COUNTIF($AC$8:AC234,AC234))),"")</f>
        <v/>
      </c>
      <c r="J234" s="70" t="str">
        <f t="array" ref="J234">IF(ISNUMBER(AC234),INDEX('All Player Data Store'!$F$7:$F$594,SMALL(IF('All Player Data Store'!$Y$7:$Y$594=AC234,ROW('All Player Data Store'!$Y$7:$Y$594)-ROW('All Player Data Store'!$Y$7)+1),COUNTIF($AC$8:AC234,AC234))),"")</f>
        <v/>
      </c>
      <c r="K234" s="70" t="str">
        <f t="array" ref="K234">IF(ISNUMBER(AC234),INDEX('All Player Data Store'!$G$7:$G$594,SMALL(IF('All Player Data Store'!$Y$7:$Y$594=AC234,ROW('All Player Data Store'!$Y$7:$Y$594)-ROW('All Player Data Store'!$Y$7)+1),COUNTIF($AC$8:AC234,AC234))),"")</f>
        <v/>
      </c>
      <c r="L234" s="70" t="str">
        <f t="array" ref="L234">IF(ISNUMBER(AC234),INDEX('All Player Data Store'!$H$7:$H$594,SMALL(IF('All Player Data Store'!$Y$7:$Y$594=AC234,ROW('All Player Data Store'!$Y$7:$Y$594)-ROW('All Player Data Store'!$Y$7)+1),COUNTIF($AC$8:AC234,AC234))),"")</f>
        <v/>
      </c>
      <c r="M234" s="72" t="str">
        <f t="array" ref="M234">IF(ISNUMBER(AC234),INDEX('All Player Data Store'!$I$7:$I$594,SMALL(IF('All Player Data Store'!$Y$7:$Y$594=AC234,ROW('All Player Data Store'!$Y$7:$Y$594)-ROW('All Player Data Store'!$Y$7)+1),COUNTIF($AC$8:AC234,AC234))),"")</f>
        <v/>
      </c>
      <c r="N234" s="114" t="str">
        <f t="array" ref="N234">IF(ISNUMBER(AC234),INDEX('All Player Data Store'!$J$7:$J$594,SMALL(IF('All Player Data Store'!$Y$7:$Y$594=AC234,ROW('All Player Data Store'!$Y$7:$Y$594)-ROW('All Player Data Store'!$Y$7)+1),COUNTIF($AC$8:AC234,AC234))),"")</f>
        <v/>
      </c>
      <c r="O234" s="108" t="str">
        <f t="array" ref="O234">IF(ISNUMBER(AC234),INDEX('All Player Data Store'!$K$7:$K$594,SMALL(IF('All Player Data Store'!$Y$7:$Y$594=AC234,ROW('All Player Data Store'!$Y$7:$Y$594)-ROW('All Player Data Store'!$Y$7)+1),COUNTIF($AC$8:AC234,AC234))),"")</f>
        <v/>
      </c>
      <c r="P234" s="108" t="str">
        <f t="array" ref="P234">IF(ISNUMBER(AC234),INDEX('All Player Data Store'!$L$7:$L$594,SMALL(IF('All Player Data Store'!$Y$7:$Y$594=AC234,ROW('All Player Data Store'!$Y$7:$Y$594)-ROW('All Player Data Store'!$Y$7)+1),COUNTIF($AC$8:AC234,AC234))),"")</f>
        <v/>
      </c>
      <c r="Q234" s="108" t="str">
        <f t="array" ref="Q234">IF(ISNUMBER(AC234),INDEX('All Player Data Store'!$M$7:$M$594,SMALL(IF('All Player Data Store'!$Y$7:$Y$594=AC234,ROW('All Player Data Store'!$Y$7:$Y$594)-ROW('All Player Data Store'!$Y$7)+1),COUNTIF($AC$8:AC234,AC234))),"")</f>
        <v/>
      </c>
      <c r="R234" s="108" t="str">
        <f t="array" ref="R234">IF(ISNUMBER(AC234),INDEX('All Player Data Store'!$N$7:$N$594,SMALL(IF('All Player Data Store'!$Y$7:$Y$594=AC234,ROW('All Player Data Store'!$Y$7:$Y$594)-ROW('All Player Data Store'!$Y$7)+1),COUNTIF($AC$8:AC234,AC234))),"")</f>
        <v/>
      </c>
      <c r="S234" s="108" t="str">
        <f t="array" ref="S234">IF(ISNUMBER(AC234),INDEX('All Player Data Store'!$O$7:$O$594,SMALL(IF('All Player Data Store'!$Y$7:$Y$594=AC234,ROW('All Player Data Store'!$Y$7:$Y$594)-ROW('All Player Data Store'!$Y$7)+1),COUNTIF($AC$8:AC234,AC234))),"")</f>
        <v/>
      </c>
      <c r="T234" s="108" t="str">
        <f t="array" ref="T234">IF(ISNUMBER(AC234),INDEX('All Player Data Store'!$P$7:$P$594,SMALL(IF('All Player Data Store'!$Y$7:$Y$594=AC234,ROW('All Player Data Store'!$Y$7:$Y$594)-ROW('All Player Data Store'!$Y$7)+1),COUNTIF($AC$8:AC234,AC234))),"")</f>
        <v/>
      </c>
      <c r="U234" s="108" t="str">
        <f t="array" ref="U234">IF(ISNUMBER(AC234),INDEX('All Player Data Store'!$Q$7:$Q$594,SMALL(IF('All Player Data Store'!$Y$7:$Y$594=AC234,ROW('All Player Data Store'!$Y$7:$Y$594)-ROW('All Player Data Store'!$Y$7)+1),COUNTIF($AC$8:AC234,AC234))),"")</f>
        <v/>
      </c>
      <c r="V234" s="108" t="str">
        <f t="array" ref="V234">IF(ISNUMBER(AC234),INDEX('All Player Data Store'!$R$7:$R$594,SMALL(IF('All Player Data Store'!$Y$7:$Y$594=AC234,ROW('All Player Data Store'!$Y$7:$Y$594)-ROW('All Player Data Store'!$Y$7)+1),COUNTIF($AC$8:AC234,AC234))),"")</f>
        <v/>
      </c>
      <c r="W234" s="108" t="str">
        <f t="array" ref="W234">IF(ISNUMBER(AC234),INDEX('All Player Data Store'!$S$7:$S$594,SMALL(IF('All Player Data Store'!$Y$7:$Y$594=AC234,ROW('All Player Data Store'!$Y$7:$Y$594)-ROW('All Player Data Store'!$Y$7)+1),COUNTIF($AC$8:AC234,AC234))),"")</f>
        <v/>
      </c>
      <c r="X234" s="108" t="str">
        <f t="array" ref="X234">IF(ISNUMBER(AC234),INDEX('All Player Data Store'!$T$7:$T$594,SMALL(IF('All Player Data Store'!$Y$7:$Y$594=AC234,ROW('All Player Data Store'!$Y$7:$Y$594)-ROW('All Player Data Store'!$Y$7)+1),COUNTIF($AC$8:AC234,AC234))),"")</f>
        <v/>
      </c>
      <c r="Y234" s="108" t="str">
        <f t="array" ref="Y234">IF(ISNUMBER(AC234),INDEX('All Player Data Store'!$U$7:$U$594,SMALL(IF('All Player Data Store'!$Y$7:$Y$594=AC234,ROW('All Player Data Store'!$Y$7:$Y$594)-ROW('All Player Data Store'!$Y$7)+1),COUNTIF($AC$8:AC234,AC234))),"")</f>
        <v/>
      </c>
      <c r="Z234" s="108" t="str">
        <f t="array" ref="Z234">IF(ISNUMBER(AC234),INDEX('All Player Data Store'!$V$7:$V$594,SMALL(IF('All Player Data Store'!$Y$7:$Y$594=AC234,ROW('All Player Data Store'!$Y$7:$Y$594)-ROW('All Player Data Store'!$Y$7)+1),COUNTIF($AC$8:AC234,AC234))),"")</f>
        <v/>
      </c>
      <c r="AA234" s="112" t="str">
        <f t="array" ref="AA234">IF(ISNUMBER(AC234),INDEX('All Player Data Store'!$W$7:$W$594,SMALL(IF('All Player Data Store'!$Y$7:$Y$594=AC234,ROW('All Player Data Store'!$Y$7:$Y$594)-ROW('All Player Data Store'!$Y$7)+1),COUNTIF($AC$8:AC234,AC234))),"")</f>
        <v/>
      </c>
      <c r="AB234" s="108" t="str">
        <f t="array" ref="AB234">IF(ISNUMBER(AC234),INDEX('All Player Data Store'!$X$7:$X$594,SMALL(IF('All Player Data Store'!$Y$7:$Y$594=AC234,ROW('All Player Data Store'!$Y$7:$Y$594)-ROW('All Player Data Store'!$Y$7)+1),COUNTIF($AC$8:AC234,AC234))),"")</f>
        <v/>
      </c>
      <c r="AC234" s="115" t="str">
        <f>IF(ISERROR(IF(ISERROR(LARGE('All Player Data Store'!$Y$7:$Y$594,227)),"",(LARGE('All Player Data Store'!$Y$7:$Y$594,227)))),"",(IF(ISERROR(LARGE('All Player Data Store'!$Y$7:$Y$594,227)),"",(LARGE('All Player Data Store'!$Y$7:$Y$594,227)))))</f>
        <v/>
      </c>
      <c r="AD234" s="106">
        <f t="shared" si="16"/>
        <v>1</v>
      </c>
      <c r="AE234" s="107" t="str">
        <f t="array" ref="AE234">IF(ISNUMBER(AC234),INDEX('All Player Data Store'!$J$8:$J$594,SMALL(IF('All Player Data Store'!$Y$7:$Y$594=AC234,ROW('All Player Data Store'!$Y$7:$Y$594)-ROW('All Player Data Store'!$Y$7)+1),COUNTIF($AC$8:AC234,AC234))),"")</f>
        <v/>
      </c>
      <c r="AF234" s="108" t="str">
        <f t="shared" si="3"/>
        <v/>
      </c>
      <c r="AG234" s="108" t="str">
        <f t="array" ref="AG234">IF(ISNUMBER(AC234),INDEX('All Player Data Store'!$K$8:$K$594,SMALL(IF('All Player Data Store'!$Y$7:$Y$594=AC234,ROW('All Player Data Store'!$Y$7:$Y$594)-ROW('All Player Data Store'!$Y$7)+1),COUNTIF($AC$8:AC234,AC234))),"")</f>
        <v/>
      </c>
      <c r="AH234" s="108" t="str">
        <f t="shared" si="4"/>
        <v/>
      </c>
      <c r="AI234" s="108" t="str">
        <f t="array" ref="AI234">IF(ISNUMBER(AC234),INDEX('All Player Data Store'!$L$8:$L$594,SMALL(IF('All Player Data Store'!$Y$7:$Y$594=AC234,ROW('All Player Data Store'!$Y$7:$Y$594)-ROW('All Player Data Store'!$Y$7)+1),COUNTIF($AC$8:AC234,AC234))),"")</f>
        <v/>
      </c>
      <c r="AJ234" s="108" t="str">
        <f t="shared" si="5"/>
        <v/>
      </c>
      <c r="AK234" s="108" t="str">
        <f t="array" ref="AK234">IF(ISNUMBER(AC234),INDEX('All Player Data Store'!$M$8:$M$594,SMALL(IF('All Player Data Store'!$Y$7:$Y$594=AC234,ROW('All Player Data Store'!$Y$7:$Y$594)-ROW('All Player Data Store'!$Y$7)+1),COUNTIF($AC$8:AC234,AC234))),"")</f>
        <v/>
      </c>
      <c r="AL234" s="108" t="str">
        <f t="shared" si="6"/>
        <v/>
      </c>
      <c r="AM234" s="108" t="str">
        <f t="array" ref="AM234">IF(ISNUMBER(AC234),INDEX('All Player Data Store'!$N$8:$N$594,SMALL(IF('All Player Data Store'!$Y$7:$Y$594=AC234,ROW('All Player Data Store'!$Y$7:$Y$594)-ROW('All Player Data Store'!$Y$7)+1),COUNTIF($AC$8:AC234,AC234))),"")</f>
        <v/>
      </c>
      <c r="AN234" s="108" t="str">
        <f t="shared" si="7"/>
        <v/>
      </c>
      <c r="AO234" s="108" t="str">
        <f t="array" ref="AO234">IF(ISNUMBER(AC234),INDEX('All Player Data Store'!$O$8:$O$594,SMALL(IF('All Player Data Store'!$Y$7:$Y$594=AC234,ROW('All Player Data Store'!$Y$7:$Y$594)-ROW('All Player Data Store'!$Y$7)+1),COUNTIF($AC$8:AC234,AC234))),"")</f>
        <v/>
      </c>
      <c r="AP234" s="108" t="str">
        <f t="shared" si="8"/>
        <v/>
      </c>
      <c r="AQ234" s="108" t="str">
        <f t="array" ref="AQ234">IF(ISNUMBER(AC234),INDEX('All Player Data Store'!$P$8:$P$594,SMALL(IF('All Player Data Store'!$Y$7:$Y$594=AC234,ROW('All Player Data Store'!$Y$7:$Y$594)-ROW('All Player Data Store'!$Y$7)+1),COUNTIF($AC$8:AC234,AC234))),"")</f>
        <v/>
      </c>
      <c r="AR234" s="108" t="str">
        <f t="shared" si="9"/>
        <v/>
      </c>
      <c r="AS234" s="108" t="str">
        <f t="array" ref="AS234">IF(ISNUMBER(AC234),INDEX('All Player Data Store'!$Q$8:$Q$594,SMALL(IF('All Player Data Store'!$Y$7:$Y$594=AC234,ROW('All Player Data Store'!$Y$7:$Y$594)-ROW('All Player Data Store'!$Y$7)+1),COUNTIF($AC$8:AC234,AC234))),"")</f>
        <v/>
      </c>
      <c r="AT234" s="108" t="str">
        <f t="shared" si="10"/>
        <v/>
      </c>
      <c r="AU234" s="108" t="str">
        <f t="array" ref="AU234">IF(ISNUMBER(AC234),INDEX('All Player Data Store'!$R$8:$R$594,SMALL(IF('All Player Data Store'!$Y$7:$Y$594=AC234,ROW('All Player Data Store'!$Y$7:$Y$594)-ROW('All Player Data Store'!$Y$7)+1),COUNTIF($AC$8:AC234,AC234))),"")</f>
        <v/>
      </c>
      <c r="AV234" s="108" t="str">
        <f t="shared" si="11"/>
        <v/>
      </c>
      <c r="AW234" s="108" t="str">
        <f t="array" ref="AW234">IF(ISNUMBER(AC234),INDEX('All Player Data Store'!$S$8:$S$594,SMALL(IF('All Player Data Store'!$Y$7:$Y$594=AC234,ROW('All Player Data Store'!$Y$7:$Y$594)-ROW('All Player Data Store'!$Y$7)+1),COUNTIF($AC$8:AC234,AC234))),"")</f>
        <v/>
      </c>
      <c r="AX234" s="108" t="str">
        <f t="shared" si="12"/>
        <v/>
      </c>
      <c r="AY234" s="108" t="str">
        <f t="array" ref="AY234">IF(ISNUMBER(AC234),INDEX('All Player Data Store'!$T$8:$T$594,SMALL(IF('All Player Data Store'!$Y$7:$Y$594=AC234,ROW('All Player Data Store'!$Y$7:$Y$594)-ROW('All Player Data Store'!$Y$7)+1),COUNTIF($AC$8:AC234,AC234))),"")</f>
        <v/>
      </c>
      <c r="AZ234" s="108" t="str">
        <f t="shared" si="13"/>
        <v/>
      </c>
      <c r="BA234" s="108" t="str">
        <f t="array" ref="BA234">IF(ISNUMBER(AC234),INDEX('All Player Data Store'!$U$8:$U$594,SMALL(IF('All Player Data Store'!$Y$7:$Y$594=AC234,ROW('All Player Data Store'!$Y$7:$Y$594)-ROW('All Player Data Store'!$Y$7)+1),COUNTIF($AC$8:AC234,AC234))),"")</f>
        <v/>
      </c>
      <c r="BB234" s="108" t="str">
        <f t="shared" si="14"/>
        <v/>
      </c>
      <c r="BC234" s="108" t="str">
        <f t="array" ref="BC234">IF(ISNUMBER(AC234),INDEX('All Player Data Store'!$V$8:$V$594,SMALL(IF('All Player Data Store'!$Y$7:$Y$594=AC234,ROW('All Player Data Store'!$Y$7:$Y$594)-ROW('All Player Data Store'!$Y$7)+1),COUNTIF($AC$8:AC234,AC234))),"")</f>
        <v/>
      </c>
      <c r="BD234" s="108" t="str">
        <f t="shared" si="15"/>
        <v/>
      </c>
      <c r="BE234" s="1"/>
    </row>
    <row r="235" spans="2:57" ht="12" customHeight="1" x14ac:dyDescent="0.2">
      <c r="B235" s="118" t="str">
        <f t="shared" si="0"/>
        <v/>
      </c>
      <c r="C235" s="1"/>
      <c r="D235" s="68" t="str">
        <f t="shared" si="1"/>
        <v/>
      </c>
      <c r="E235" s="2"/>
      <c r="F235" s="78">
        <v>228</v>
      </c>
      <c r="G235" s="110" t="str">
        <f t="array" ref="G235">IF(ISNUMBER(AC235),INDEX('All Player Data Store'!$C$7:$C$594,SMALL(IF('All Player Data Store'!$Y$7:$Y$594=AC235,ROW('All Player Data Store'!$Y$7:$Y$594)-ROW('All Player Data Store'!$Y$7)+1),COUNTIF($AC$8:AC235,AC235))),"")</f>
        <v/>
      </c>
      <c r="H235" s="68" t="str">
        <f t="array" ref="H235">IF(ISNUMBER(AC235),INDEX('All Player Data Store'!$D$7:$D$594,SMALL(IF('All Player Data Store'!$Y$7:$Y$594=AC235,ROW('All Player Data Store'!$Y$7:$Y$594)-ROW('All Player Data Store'!$Y$7)+1),COUNTIF($AC$8:AC235,AC235))),"")</f>
        <v/>
      </c>
      <c r="I235" s="69" t="str">
        <f t="array" ref="I235">IF(ISNUMBER(AC235),INDEX('All Player Data Store'!$E$7:$E$594,SMALL(IF('All Player Data Store'!$Y$7:$Y$594=AC235,ROW('All Player Data Store'!$Y$7:$Y$594)-ROW('All Player Data Store'!$Y$7)+1),COUNTIF($AC$8:AC235,AC235))),"")</f>
        <v/>
      </c>
      <c r="J235" s="70" t="str">
        <f t="array" ref="J235">IF(ISNUMBER(AC235),INDEX('All Player Data Store'!$F$7:$F$594,SMALL(IF('All Player Data Store'!$Y$7:$Y$594=AC235,ROW('All Player Data Store'!$Y$7:$Y$594)-ROW('All Player Data Store'!$Y$7)+1),COUNTIF($AC$8:AC235,AC235))),"")</f>
        <v/>
      </c>
      <c r="K235" s="70" t="str">
        <f t="array" ref="K235">IF(ISNUMBER(AC235),INDEX('All Player Data Store'!$G$7:$G$594,SMALL(IF('All Player Data Store'!$Y$7:$Y$594=AC235,ROW('All Player Data Store'!$Y$7:$Y$594)-ROW('All Player Data Store'!$Y$7)+1),COUNTIF($AC$8:AC235,AC235))),"")</f>
        <v/>
      </c>
      <c r="L235" s="70" t="str">
        <f t="array" ref="L235">IF(ISNUMBER(AC235),INDEX('All Player Data Store'!$H$7:$H$594,SMALL(IF('All Player Data Store'!$Y$7:$Y$594=AC235,ROW('All Player Data Store'!$Y$7:$Y$594)-ROW('All Player Data Store'!$Y$7)+1),COUNTIF($AC$8:AC235,AC235))),"")</f>
        <v/>
      </c>
      <c r="M235" s="72" t="str">
        <f t="array" ref="M235">IF(ISNUMBER(AC235),INDEX('All Player Data Store'!$I$7:$I$594,SMALL(IF('All Player Data Store'!$Y$7:$Y$594=AC235,ROW('All Player Data Store'!$Y$7:$Y$594)-ROW('All Player Data Store'!$Y$7)+1),COUNTIF($AC$8:AC235,AC235))),"")</f>
        <v/>
      </c>
      <c r="N235" s="114" t="str">
        <f t="array" ref="N235">IF(ISNUMBER(AC235),INDEX('All Player Data Store'!$J$7:$J$594,SMALL(IF('All Player Data Store'!$Y$7:$Y$594=AC235,ROW('All Player Data Store'!$Y$7:$Y$594)-ROW('All Player Data Store'!$Y$7)+1),COUNTIF($AC$8:AC235,AC235))),"")</f>
        <v/>
      </c>
      <c r="O235" s="108" t="str">
        <f t="array" ref="O235">IF(ISNUMBER(AC235),INDEX('All Player Data Store'!$K$7:$K$594,SMALL(IF('All Player Data Store'!$Y$7:$Y$594=AC235,ROW('All Player Data Store'!$Y$7:$Y$594)-ROW('All Player Data Store'!$Y$7)+1),COUNTIF($AC$8:AC235,AC235))),"")</f>
        <v/>
      </c>
      <c r="P235" s="108" t="str">
        <f t="array" ref="P235">IF(ISNUMBER(AC235),INDEX('All Player Data Store'!$L$7:$L$594,SMALL(IF('All Player Data Store'!$Y$7:$Y$594=AC235,ROW('All Player Data Store'!$Y$7:$Y$594)-ROW('All Player Data Store'!$Y$7)+1),COUNTIF($AC$8:AC235,AC235))),"")</f>
        <v/>
      </c>
      <c r="Q235" s="108" t="str">
        <f t="array" ref="Q235">IF(ISNUMBER(AC235),INDEX('All Player Data Store'!$M$7:$M$594,SMALL(IF('All Player Data Store'!$Y$7:$Y$594=AC235,ROW('All Player Data Store'!$Y$7:$Y$594)-ROW('All Player Data Store'!$Y$7)+1),COUNTIF($AC$8:AC235,AC235))),"")</f>
        <v/>
      </c>
      <c r="R235" s="108" t="str">
        <f t="array" ref="R235">IF(ISNUMBER(AC235),INDEX('All Player Data Store'!$N$7:$N$594,SMALL(IF('All Player Data Store'!$Y$7:$Y$594=AC235,ROW('All Player Data Store'!$Y$7:$Y$594)-ROW('All Player Data Store'!$Y$7)+1),COUNTIF($AC$8:AC235,AC235))),"")</f>
        <v/>
      </c>
      <c r="S235" s="108" t="str">
        <f t="array" ref="S235">IF(ISNUMBER(AC235),INDEX('All Player Data Store'!$O$7:$O$594,SMALL(IF('All Player Data Store'!$Y$7:$Y$594=AC235,ROW('All Player Data Store'!$Y$7:$Y$594)-ROW('All Player Data Store'!$Y$7)+1),COUNTIF($AC$8:AC235,AC235))),"")</f>
        <v/>
      </c>
      <c r="T235" s="108" t="str">
        <f t="array" ref="T235">IF(ISNUMBER(AC235),INDEX('All Player Data Store'!$P$7:$P$594,SMALL(IF('All Player Data Store'!$Y$7:$Y$594=AC235,ROW('All Player Data Store'!$Y$7:$Y$594)-ROW('All Player Data Store'!$Y$7)+1),COUNTIF($AC$8:AC235,AC235))),"")</f>
        <v/>
      </c>
      <c r="U235" s="108" t="str">
        <f t="array" ref="U235">IF(ISNUMBER(AC235),INDEX('All Player Data Store'!$Q$7:$Q$594,SMALL(IF('All Player Data Store'!$Y$7:$Y$594=AC235,ROW('All Player Data Store'!$Y$7:$Y$594)-ROW('All Player Data Store'!$Y$7)+1),COUNTIF($AC$8:AC235,AC235))),"")</f>
        <v/>
      </c>
      <c r="V235" s="108" t="str">
        <f t="array" ref="V235">IF(ISNUMBER(AC235),INDEX('All Player Data Store'!$R$7:$R$594,SMALL(IF('All Player Data Store'!$Y$7:$Y$594=AC235,ROW('All Player Data Store'!$Y$7:$Y$594)-ROW('All Player Data Store'!$Y$7)+1),COUNTIF($AC$8:AC235,AC235))),"")</f>
        <v/>
      </c>
      <c r="W235" s="108" t="str">
        <f t="array" ref="W235">IF(ISNUMBER(AC235),INDEX('All Player Data Store'!$S$7:$S$594,SMALL(IF('All Player Data Store'!$Y$7:$Y$594=AC235,ROW('All Player Data Store'!$Y$7:$Y$594)-ROW('All Player Data Store'!$Y$7)+1),COUNTIF($AC$8:AC235,AC235))),"")</f>
        <v/>
      </c>
      <c r="X235" s="108" t="str">
        <f t="array" ref="X235">IF(ISNUMBER(AC235),INDEX('All Player Data Store'!$T$7:$T$594,SMALL(IF('All Player Data Store'!$Y$7:$Y$594=AC235,ROW('All Player Data Store'!$Y$7:$Y$594)-ROW('All Player Data Store'!$Y$7)+1),COUNTIF($AC$8:AC235,AC235))),"")</f>
        <v/>
      </c>
      <c r="Y235" s="108" t="str">
        <f t="array" ref="Y235">IF(ISNUMBER(AC235),INDEX('All Player Data Store'!$U$7:$U$594,SMALL(IF('All Player Data Store'!$Y$7:$Y$594=AC235,ROW('All Player Data Store'!$Y$7:$Y$594)-ROW('All Player Data Store'!$Y$7)+1),COUNTIF($AC$8:AC235,AC235))),"")</f>
        <v/>
      </c>
      <c r="Z235" s="108" t="str">
        <f t="array" ref="Z235">IF(ISNUMBER(AC235),INDEX('All Player Data Store'!$V$7:$V$594,SMALL(IF('All Player Data Store'!$Y$7:$Y$594=AC235,ROW('All Player Data Store'!$Y$7:$Y$594)-ROW('All Player Data Store'!$Y$7)+1),COUNTIF($AC$8:AC235,AC235))),"")</f>
        <v/>
      </c>
      <c r="AA235" s="112" t="str">
        <f t="array" ref="AA235">IF(ISNUMBER(AC235),INDEX('All Player Data Store'!$W$7:$W$594,SMALL(IF('All Player Data Store'!$Y$7:$Y$594=AC235,ROW('All Player Data Store'!$Y$7:$Y$594)-ROW('All Player Data Store'!$Y$7)+1),COUNTIF($AC$8:AC235,AC235))),"")</f>
        <v/>
      </c>
      <c r="AB235" s="108" t="str">
        <f t="array" ref="AB235">IF(ISNUMBER(AC235),INDEX('All Player Data Store'!$X$7:$X$594,SMALL(IF('All Player Data Store'!$Y$7:$Y$594=AC235,ROW('All Player Data Store'!$Y$7:$Y$594)-ROW('All Player Data Store'!$Y$7)+1),COUNTIF($AC$8:AC235,AC235))),"")</f>
        <v/>
      </c>
      <c r="AC235" s="115" t="str">
        <f>IF(ISERROR(IF(ISERROR(LARGE('All Player Data Store'!$Y$7:$Y$594,228)),"",(LARGE('All Player Data Store'!$Y$7:$Y$594,228)))),"",(IF(ISERROR(LARGE('All Player Data Store'!$Y$7:$Y$594,228)),"",(LARGE('All Player Data Store'!$Y$7:$Y$594,228)))))</f>
        <v/>
      </c>
      <c r="AD235" s="106">
        <f t="shared" si="16"/>
        <v>1</v>
      </c>
      <c r="AE235" s="107" t="str">
        <f t="array" ref="AE235">IF(ISNUMBER(AC235),INDEX('All Player Data Store'!$J$8:$J$594,SMALL(IF('All Player Data Store'!$Y$7:$Y$594=AC235,ROW('All Player Data Store'!$Y$7:$Y$594)-ROW('All Player Data Store'!$Y$7)+1),COUNTIF($AC$8:AC235,AC235))),"")</f>
        <v/>
      </c>
      <c r="AF235" s="108" t="str">
        <f t="shared" si="3"/>
        <v/>
      </c>
      <c r="AG235" s="108" t="str">
        <f t="array" ref="AG235">IF(ISNUMBER(AC235),INDEX('All Player Data Store'!$K$8:$K$594,SMALL(IF('All Player Data Store'!$Y$7:$Y$594=AC235,ROW('All Player Data Store'!$Y$7:$Y$594)-ROW('All Player Data Store'!$Y$7)+1),COUNTIF($AC$8:AC235,AC235))),"")</f>
        <v/>
      </c>
      <c r="AH235" s="108" t="str">
        <f t="shared" si="4"/>
        <v/>
      </c>
      <c r="AI235" s="108" t="str">
        <f t="array" ref="AI235">IF(ISNUMBER(AC235),INDEX('All Player Data Store'!$L$8:$L$594,SMALL(IF('All Player Data Store'!$Y$7:$Y$594=AC235,ROW('All Player Data Store'!$Y$7:$Y$594)-ROW('All Player Data Store'!$Y$7)+1),COUNTIF($AC$8:AC235,AC235))),"")</f>
        <v/>
      </c>
      <c r="AJ235" s="108" t="str">
        <f t="shared" si="5"/>
        <v/>
      </c>
      <c r="AK235" s="108" t="str">
        <f t="array" ref="AK235">IF(ISNUMBER(AC235),INDEX('All Player Data Store'!$M$8:$M$594,SMALL(IF('All Player Data Store'!$Y$7:$Y$594=AC235,ROW('All Player Data Store'!$Y$7:$Y$594)-ROW('All Player Data Store'!$Y$7)+1),COUNTIF($AC$8:AC235,AC235))),"")</f>
        <v/>
      </c>
      <c r="AL235" s="108" t="str">
        <f t="shared" si="6"/>
        <v/>
      </c>
      <c r="AM235" s="108" t="str">
        <f t="array" ref="AM235">IF(ISNUMBER(AC235),INDEX('All Player Data Store'!$N$8:$N$594,SMALL(IF('All Player Data Store'!$Y$7:$Y$594=AC235,ROW('All Player Data Store'!$Y$7:$Y$594)-ROW('All Player Data Store'!$Y$7)+1),COUNTIF($AC$8:AC235,AC235))),"")</f>
        <v/>
      </c>
      <c r="AN235" s="108" t="str">
        <f t="shared" si="7"/>
        <v/>
      </c>
      <c r="AO235" s="108" t="str">
        <f t="array" ref="AO235">IF(ISNUMBER(AC235),INDEX('All Player Data Store'!$O$8:$O$594,SMALL(IF('All Player Data Store'!$Y$7:$Y$594=AC235,ROW('All Player Data Store'!$Y$7:$Y$594)-ROW('All Player Data Store'!$Y$7)+1),COUNTIF($AC$8:AC235,AC235))),"")</f>
        <v/>
      </c>
      <c r="AP235" s="108" t="str">
        <f t="shared" si="8"/>
        <v/>
      </c>
      <c r="AQ235" s="108" t="str">
        <f t="array" ref="AQ235">IF(ISNUMBER(AC235),INDEX('All Player Data Store'!$P$8:$P$594,SMALL(IF('All Player Data Store'!$Y$7:$Y$594=AC235,ROW('All Player Data Store'!$Y$7:$Y$594)-ROW('All Player Data Store'!$Y$7)+1),COUNTIF($AC$8:AC235,AC235))),"")</f>
        <v/>
      </c>
      <c r="AR235" s="108" t="str">
        <f t="shared" si="9"/>
        <v/>
      </c>
      <c r="AS235" s="108" t="str">
        <f t="array" ref="AS235">IF(ISNUMBER(AC235),INDEX('All Player Data Store'!$Q$8:$Q$594,SMALL(IF('All Player Data Store'!$Y$7:$Y$594=AC235,ROW('All Player Data Store'!$Y$7:$Y$594)-ROW('All Player Data Store'!$Y$7)+1),COUNTIF($AC$8:AC235,AC235))),"")</f>
        <v/>
      </c>
      <c r="AT235" s="108" t="str">
        <f t="shared" si="10"/>
        <v/>
      </c>
      <c r="AU235" s="108" t="str">
        <f t="array" ref="AU235">IF(ISNUMBER(AC235),INDEX('All Player Data Store'!$R$8:$R$594,SMALL(IF('All Player Data Store'!$Y$7:$Y$594=AC235,ROW('All Player Data Store'!$Y$7:$Y$594)-ROW('All Player Data Store'!$Y$7)+1),COUNTIF($AC$8:AC235,AC235))),"")</f>
        <v/>
      </c>
      <c r="AV235" s="108" t="str">
        <f t="shared" si="11"/>
        <v/>
      </c>
      <c r="AW235" s="108" t="str">
        <f t="array" ref="AW235">IF(ISNUMBER(AC235),INDEX('All Player Data Store'!$S$8:$S$594,SMALL(IF('All Player Data Store'!$Y$7:$Y$594=AC235,ROW('All Player Data Store'!$Y$7:$Y$594)-ROW('All Player Data Store'!$Y$7)+1),COUNTIF($AC$8:AC235,AC235))),"")</f>
        <v/>
      </c>
      <c r="AX235" s="108" t="str">
        <f t="shared" si="12"/>
        <v/>
      </c>
      <c r="AY235" s="108" t="str">
        <f t="array" ref="AY235">IF(ISNUMBER(AC235),INDEX('All Player Data Store'!$T$8:$T$594,SMALL(IF('All Player Data Store'!$Y$7:$Y$594=AC235,ROW('All Player Data Store'!$Y$7:$Y$594)-ROW('All Player Data Store'!$Y$7)+1),COUNTIF($AC$8:AC235,AC235))),"")</f>
        <v/>
      </c>
      <c r="AZ235" s="108" t="str">
        <f t="shared" si="13"/>
        <v/>
      </c>
      <c r="BA235" s="108" t="str">
        <f t="array" ref="BA235">IF(ISNUMBER(AC235),INDEX('All Player Data Store'!$U$8:$U$594,SMALL(IF('All Player Data Store'!$Y$7:$Y$594=AC235,ROW('All Player Data Store'!$Y$7:$Y$594)-ROW('All Player Data Store'!$Y$7)+1),COUNTIF($AC$8:AC235,AC235))),"")</f>
        <v/>
      </c>
      <c r="BB235" s="108" t="str">
        <f t="shared" si="14"/>
        <v/>
      </c>
      <c r="BC235" s="108" t="str">
        <f t="array" ref="BC235">IF(ISNUMBER(AC235),INDEX('All Player Data Store'!$V$8:$V$594,SMALL(IF('All Player Data Store'!$Y$7:$Y$594=AC235,ROW('All Player Data Store'!$Y$7:$Y$594)-ROW('All Player Data Store'!$Y$7)+1),COUNTIF($AC$8:AC235,AC235))),"")</f>
        <v/>
      </c>
      <c r="BD235" s="108" t="str">
        <f t="shared" si="15"/>
        <v/>
      </c>
      <c r="BE235" s="1"/>
    </row>
    <row r="236" spans="2:57" ht="12" customHeight="1" x14ac:dyDescent="0.2">
      <c r="B236" s="118" t="str">
        <f t="shared" si="0"/>
        <v/>
      </c>
      <c r="C236" s="1"/>
      <c r="D236" s="68" t="str">
        <f t="shared" si="1"/>
        <v/>
      </c>
      <c r="E236" s="2"/>
      <c r="F236" s="78">
        <v>229</v>
      </c>
      <c r="G236" s="110" t="str">
        <f t="array" ref="G236">IF(ISNUMBER(AC236),INDEX('All Player Data Store'!$C$7:$C$594,SMALL(IF('All Player Data Store'!$Y$7:$Y$594=AC236,ROW('All Player Data Store'!$Y$7:$Y$594)-ROW('All Player Data Store'!$Y$7)+1),COUNTIF($AC$8:AC236,AC236))),"")</f>
        <v/>
      </c>
      <c r="H236" s="68" t="str">
        <f t="array" ref="H236">IF(ISNUMBER(AC236),INDEX('All Player Data Store'!$D$7:$D$594,SMALL(IF('All Player Data Store'!$Y$7:$Y$594=AC236,ROW('All Player Data Store'!$Y$7:$Y$594)-ROW('All Player Data Store'!$Y$7)+1),COUNTIF($AC$8:AC236,AC236))),"")</f>
        <v/>
      </c>
      <c r="I236" s="69" t="str">
        <f t="array" ref="I236">IF(ISNUMBER(AC236),INDEX('All Player Data Store'!$E$7:$E$594,SMALL(IF('All Player Data Store'!$Y$7:$Y$594=AC236,ROW('All Player Data Store'!$Y$7:$Y$594)-ROW('All Player Data Store'!$Y$7)+1),COUNTIF($AC$8:AC236,AC236))),"")</f>
        <v/>
      </c>
      <c r="J236" s="70" t="str">
        <f t="array" ref="J236">IF(ISNUMBER(AC236),INDEX('All Player Data Store'!$F$7:$F$594,SMALL(IF('All Player Data Store'!$Y$7:$Y$594=AC236,ROW('All Player Data Store'!$Y$7:$Y$594)-ROW('All Player Data Store'!$Y$7)+1),COUNTIF($AC$8:AC236,AC236))),"")</f>
        <v/>
      </c>
      <c r="K236" s="70" t="str">
        <f t="array" ref="K236">IF(ISNUMBER(AC236),INDEX('All Player Data Store'!$G$7:$G$594,SMALL(IF('All Player Data Store'!$Y$7:$Y$594=AC236,ROW('All Player Data Store'!$Y$7:$Y$594)-ROW('All Player Data Store'!$Y$7)+1),COUNTIF($AC$8:AC236,AC236))),"")</f>
        <v/>
      </c>
      <c r="L236" s="70" t="str">
        <f t="array" ref="L236">IF(ISNUMBER(AC236),INDEX('All Player Data Store'!$H$7:$H$594,SMALL(IF('All Player Data Store'!$Y$7:$Y$594=AC236,ROW('All Player Data Store'!$Y$7:$Y$594)-ROW('All Player Data Store'!$Y$7)+1),COUNTIF($AC$8:AC236,AC236))),"")</f>
        <v/>
      </c>
      <c r="M236" s="72" t="str">
        <f t="array" ref="M236">IF(ISNUMBER(AC236),INDEX('All Player Data Store'!$I$7:$I$594,SMALL(IF('All Player Data Store'!$Y$7:$Y$594=AC236,ROW('All Player Data Store'!$Y$7:$Y$594)-ROW('All Player Data Store'!$Y$7)+1),COUNTIF($AC$8:AC236,AC236))),"")</f>
        <v/>
      </c>
      <c r="N236" s="114" t="str">
        <f t="array" ref="N236">IF(ISNUMBER(AC236),INDEX('All Player Data Store'!$J$7:$J$594,SMALL(IF('All Player Data Store'!$Y$7:$Y$594=AC236,ROW('All Player Data Store'!$Y$7:$Y$594)-ROW('All Player Data Store'!$Y$7)+1),COUNTIF($AC$8:AC236,AC236))),"")</f>
        <v/>
      </c>
      <c r="O236" s="108" t="str">
        <f t="array" ref="O236">IF(ISNUMBER(AC236),INDEX('All Player Data Store'!$K$7:$K$594,SMALL(IF('All Player Data Store'!$Y$7:$Y$594=AC236,ROW('All Player Data Store'!$Y$7:$Y$594)-ROW('All Player Data Store'!$Y$7)+1),COUNTIF($AC$8:AC236,AC236))),"")</f>
        <v/>
      </c>
      <c r="P236" s="108" t="str">
        <f t="array" ref="P236">IF(ISNUMBER(AC236),INDEX('All Player Data Store'!$L$7:$L$594,SMALL(IF('All Player Data Store'!$Y$7:$Y$594=AC236,ROW('All Player Data Store'!$Y$7:$Y$594)-ROW('All Player Data Store'!$Y$7)+1),COUNTIF($AC$8:AC236,AC236))),"")</f>
        <v/>
      </c>
      <c r="Q236" s="108" t="str">
        <f t="array" ref="Q236">IF(ISNUMBER(AC236),INDEX('All Player Data Store'!$M$7:$M$594,SMALL(IF('All Player Data Store'!$Y$7:$Y$594=AC236,ROW('All Player Data Store'!$Y$7:$Y$594)-ROW('All Player Data Store'!$Y$7)+1),COUNTIF($AC$8:AC236,AC236))),"")</f>
        <v/>
      </c>
      <c r="R236" s="108" t="str">
        <f t="array" ref="R236">IF(ISNUMBER(AC236),INDEX('All Player Data Store'!$N$7:$N$594,SMALL(IF('All Player Data Store'!$Y$7:$Y$594=AC236,ROW('All Player Data Store'!$Y$7:$Y$594)-ROW('All Player Data Store'!$Y$7)+1),COUNTIF($AC$8:AC236,AC236))),"")</f>
        <v/>
      </c>
      <c r="S236" s="108" t="str">
        <f t="array" ref="S236">IF(ISNUMBER(AC236),INDEX('All Player Data Store'!$O$7:$O$594,SMALL(IF('All Player Data Store'!$Y$7:$Y$594=AC236,ROW('All Player Data Store'!$Y$7:$Y$594)-ROW('All Player Data Store'!$Y$7)+1),COUNTIF($AC$8:AC236,AC236))),"")</f>
        <v/>
      </c>
      <c r="T236" s="108" t="str">
        <f t="array" ref="T236">IF(ISNUMBER(AC236),INDEX('All Player Data Store'!$P$7:$P$594,SMALL(IF('All Player Data Store'!$Y$7:$Y$594=AC236,ROW('All Player Data Store'!$Y$7:$Y$594)-ROW('All Player Data Store'!$Y$7)+1),COUNTIF($AC$8:AC236,AC236))),"")</f>
        <v/>
      </c>
      <c r="U236" s="108" t="str">
        <f t="array" ref="U236">IF(ISNUMBER(AC236),INDEX('All Player Data Store'!$Q$7:$Q$594,SMALL(IF('All Player Data Store'!$Y$7:$Y$594=AC236,ROW('All Player Data Store'!$Y$7:$Y$594)-ROW('All Player Data Store'!$Y$7)+1),COUNTIF($AC$8:AC236,AC236))),"")</f>
        <v/>
      </c>
      <c r="V236" s="108" t="str">
        <f t="array" ref="V236">IF(ISNUMBER(AC236),INDEX('All Player Data Store'!$R$7:$R$594,SMALL(IF('All Player Data Store'!$Y$7:$Y$594=AC236,ROW('All Player Data Store'!$Y$7:$Y$594)-ROW('All Player Data Store'!$Y$7)+1),COUNTIF($AC$8:AC236,AC236))),"")</f>
        <v/>
      </c>
      <c r="W236" s="108" t="str">
        <f t="array" ref="W236">IF(ISNUMBER(AC236),INDEX('All Player Data Store'!$S$7:$S$594,SMALL(IF('All Player Data Store'!$Y$7:$Y$594=AC236,ROW('All Player Data Store'!$Y$7:$Y$594)-ROW('All Player Data Store'!$Y$7)+1),COUNTIF($AC$8:AC236,AC236))),"")</f>
        <v/>
      </c>
      <c r="X236" s="108" t="str">
        <f t="array" ref="X236">IF(ISNUMBER(AC236),INDEX('All Player Data Store'!$T$7:$T$594,SMALL(IF('All Player Data Store'!$Y$7:$Y$594=AC236,ROW('All Player Data Store'!$Y$7:$Y$594)-ROW('All Player Data Store'!$Y$7)+1),COUNTIF($AC$8:AC236,AC236))),"")</f>
        <v/>
      </c>
      <c r="Y236" s="108" t="str">
        <f t="array" ref="Y236">IF(ISNUMBER(AC236),INDEX('All Player Data Store'!$U$7:$U$594,SMALL(IF('All Player Data Store'!$Y$7:$Y$594=AC236,ROW('All Player Data Store'!$Y$7:$Y$594)-ROW('All Player Data Store'!$Y$7)+1),COUNTIF($AC$8:AC236,AC236))),"")</f>
        <v/>
      </c>
      <c r="Z236" s="108" t="str">
        <f t="array" ref="Z236">IF(ISNUMBER(AC236),INDEX('All Player Data Store'!$V$7:$V$594,SMALL(IF('All Player Data Store'!$Y$7:$Y$594=AC236,ROW('All Player Data Store'!$Y$7:$Y$594)-ROW('All Player Data Store'!$Y$7)+1),COUNTIF($AC$8:AC236,AC236))),"")</f>
        <v/>
      </c>
      <c r="AA236" s="112" t="str">
        <f t="array" ref="AA236">IF(ISNUMBER(AC236),INDEX('All Player Data Store'!$W$7:$W$594,SMALL(IF('All Player Data Store'!$Y$7:$Y$594=AC236,ROW('All Player Data Store'!$Y$7:$Y$594)-ROW('All Player Data Store'!$Y$7)+1),COUNTIF($AC$8:AC236,AC236))),"")</f>
        <v/>
      </c>
      <c r="AB236" s="108" t="str">
        <f t="array" ref="AB236">IF(ISNUMBER(AC236),INDEX('All Player Data Store'!$X$7:$X$594,SMALL(IF('All Player Data Store'!$Y$7:$Y$594=AC236,ROW('All Player Data Store'!$Y$7:$Y$594)-ROW('All Player Data Store'!$Y$7)+1),COUNTIF($AC$8:AC236,AC236))),"")</f>
        <v/>
      </c>
      <c r="AC236" s="115" t="str">
        <f>IF(ISERROR(IF(ISERROR(LARGE('All Player Data Store'!$Y$7:$Y$594,229)),"",(LARGE('All Player Data Store'!$Y$7:$Y$594,229)))),"",(IF(ISERROR(LARGE('All Player Data Store'!$Y$7:$Y$594,229)),"",(LARGE('All Player Data Store'!$Y$7:$Y$594,229)))))</f>
        <v/>
      </c>
      <c r="AD236" s="106">
        <f t="shared" si="16"/>
        <v>1</v>
      </c>
      <c r="AE236" s="107" t="str">
        <f t="array" ref="AE236">IF(ISNUMBER(AC236),INDEX('All Player Data Store'!$J$8:$J$594,SMALL(IF('All Player Data Store'!$Y$7:$Y$594=AC236,ROW('All Player Data Store'!$Y$7:$Y$594)-ROW('All Player Data Store'!$Y$7)+1),COUNTIF($AC$8:AC236,AC236))),"")</f>
        <v/>
      </c>
      <c r="AF236" s="108" t="str">
        <f t="shared" si="3"/>
        <v/>
      </c>
      <c r="AG236" s="108" t="str">
        <f t="array" ref="AG236">IF(ISNUMBER(AC236),INDEX('All Player Data Store'!$K$8:$K$594,SMALL(IF('All Player Data Store'!$Y$7:$Y$594=AC236,ROW('All Player Data Store'!$Y$7:$Y$594)-ROW('All Player Data Store'!$Y$7)+1),COUNTIF($AC$8:AC236,AC236))),"")</f>
        <v/>
      </c>
      <c r="AH236" s="108" t="str">
        <f t="shared" si="4"/>
        <v/>
      </c>
      <c r="AI236" s="108" t="str">
        <f t="array" ref="AI236">IF(ISNUMBER(AC236),INDEX('All Player Data Store'!$L$8:$L$594,SMALL(IF('All Player Data Store'!$Y$7:$Y$594=AC236,ROW('All Player Data Store'!$Y$7:$Y$594)-ROW('All Player Data Store'!$Y$7)+1),COUNTIF($AC$8:AC236,AC236))),"")</f>
        <v/>
      </c>
      <c r="AJ236" s="108" t="str">
        <f t="shared" si="5"/>
        <v/>
      </c>
      <c r="AK236" s="108" t="str">
        <f t="array" ref="AK236">IF(ISNUMBER(AC236),INDEX('All Player Data Store'!$M$8:$M$594,SMALL(IF('All Player Data Store'!$Y$7:$Y$594=AC236,ROW('All Player Data Store'!$Y$7:$Y$594)-ROW('All Player Data Store'!$Y$7)+1),COUNTIF($AC$8:AC236,AC236))),"")</f>
        <v/>
      </c>
      <c r="AL236" s="108" t="str">
        <f t="shared" si="6"/>
        <v/>
      </c>
      <c r="AM236" s="108" t="str">
        <f t="array" ref="AM236">IF(ISNUMBER(AC236),INDEX('All Player Data Store'!$N$8:$N$594,SMALL(IF('All Player Data Store'!$Y$7:$Y$594=AC236,ROW('All Player Data Store'!$Y$7:$Y$594)-ROW('All Player Data Store'!$Y$7)+1),COUNTIF($AC$8:AC236,AC236))),"")</f>
        <v/>
      </c>
      <c r="AN236" s="108" t="str">
        <f t="shared" si="7"/>
        <v/>
      </c>
      <c r="AO236" s="108" t="str">
        <f t="array" ref="AO236">IF(ISNUMBER(AC236),INDEX('All Player Data Store'!$O$8:$O$594,SMALL(IF('All Player Data Store'!$Y$7:$Y$594=AC236,ROW('All Player Data Store'!$Y$7:$Y$594)-ROW('All Player Data Store'!$Y$7)+1),COUNTIF($AC$8:AC236,AC236))),"")</f>
        <v/>
      </c>
      <c r="AP236" s="108" t="str">
        <f t="shared" si="8"/>
        <v/>
      </c>
      <c r="AQ236" s="108" t="str">
        <f t="array" ref="AQ236">IF(ISNUMBER(AC236),INDEX('All Player Data Store'!$P$8:$P$594,SMALL(IF('All Player Data Store'!$Y$7:$Y$594=AC236,ROW('All Player Data Store'!$Y$7:$Y$594)-ROW('All Player Data Store'!$Y$7)+1),COUNTIF($AC$8:AC236,AC236))),"")</f>
        <v/>
      </c>
      <c r="AR236" s="108" t="str">
        <f t="shared" si="9"/>
        <v/>
      </c>
      <c r="AS236" s="108" t="str">
        <f t="array" ref="AS236">IF(ISNUMBER(AC236),INDEX('All Player Data Store'!$Q$8:$Q$594,SMALL(IF('All Player Data Store'!$Y$7:$Y$594=AC236,ROW('All Player Data Store'!$Y$7:$Y$594)-ROW('All Player Data Store'!$Y$7)+1),COUNTIF($AC$8:AC236,AC236))),"")</f>
        <v/>
      </c>
      <c r="AT236" s="108" t="str">
        <f t="shared" si="10"/>
        <v/>
      </c>
      <c r="AU236" s="108" t="str">
        <f t="array" ref="AU236">IF(ISNUMBER(AC236),INDEX('All Player Data Store'!$R$8:$R$594,SMALL(IF('All Player Data Store'!$Y$7:$Y$594=AC236,ROW('All Player Data Store'!$Y$7:$Y$594)-ROW('All Player Data Store'!$Y$7)+1),COUNTIF($AC$8:AC236,AC236))),"")</f>
        <v/>
      </c>
      <c r="AV236" s="108" t="str">
        <f t="shared" si="11"/>
        <v/>
      </c>
      <c r="AW236" s="108" t="str">
        <f t="array" ref="AW236">IF(ISNUMBER(AC236),INDEX('All Player Data Store'!$S$8:$S$594,SMALL(IF('All Player Data Store'!$Y$7:$Y$594=AC236,ROW('All Player Data Store'!$Y$7:$Y$594)-ROW('All Player Data Store'!$Y$7)+1),COUNTIF($AC$8:AC236,AC236))),"")</f>
        <v/>
      </c>
      <c r="AX236" s="108" t="str">
        <f t="shared" si="12"/>
        <v/>
      </c>
      <c r="AY236" s="108" t="str">
        <f t="array" ref="AY236">IF(ISNUMBER(AC236),INDEX('All Player Data Store'!$T$8:$T$594,SMALL(IF('All Player Data Store'!$Y$7:$Y$594=AC236,ROW('All Player Data Store'!$Y$7:$Y$594)-ROW('All Player Data Store'!$Y$7)+1),COUNTIF($AC$8:AC236,AC236))),"")</f>
        <v/>
      </c>
      <c r="AZ236" s="108" t="str">
        <f t="shared" si="13"/>
        <v/>
      </c>
      <c r="BA236" s="108" t="str">
        <f t="array" ref="BA236">IF(ISNUMBER(AC236),INDEX('All Player Data Store'!$U$8:$U$594,SMALL(IF('All Player Data Store'!$Y$7:$Y$594=AC236,ROW('All Player Data Store'!$Y$7:$Y$594)-ROW('All Player Data Store'!$Y$7)+1),COUNTIF($AC$8:AC236,AC236))),"")</f>
        <v/>
      </c>
      <c r="BB236" s="108" t="str">
        <f t="shared" si="14"/>
        <v/>
      </c>
      <c r="BC236" s="108" t="str">
        <f t="array" ref="BC236">IF(ISNUMBER(AC236),INDEX('All Player Data Store'!$V$8:$V$594,SMALL(IF('All Player Data Store'!$Y$7:$Y$594=AC236,ROW('All Player Data Store'!$Y$7:$Y$594)-ROW('All Player Data Store'!$Y$7)+1),COUNTIF($AC$8:AC236,AC236))),"")</f>
        <v/>
      </c>
      <c r="BD236" s="108" t="str">
        <f t="shared" si="15"/>
        <v/>
      </c>
      <c r="BE236" s="1"/>
    </row>
    <row r="237" spans="2:57" ht="12" customHeight="1" x14ac:dyDescent="0.2">
      <c r="B237" s="118" t="str">
        <f t="shared" si="0"/>
        <v/>
      </c>
      <c r="C237" s="1"/>
      <c r="D237" s="68" t="str">
        <f t="shared" si="1"/>
        <v/>
      </c>
      <c r="E237" s="2"/>
      <c r="F237" s="78">
        <v>230</v>
      </c>
      <c r="G237" s="110" t="str">
        <f t="array" ref="G237">IF(ISNUMBER(AC237),INDEX('All Player Data Store'!$C$7:$C$594,SMALL(IF('All Player Data Store'!$Y$7:$Y$594=AC237,ROW('All Player Data Store'!$Y$7:$Y$594)-ROW('All Player Data Store'!$Y$7)+1),COUNTIF($AC$8:AC237,AC237))),"")</f>
        <v/>
      </c>
      <c r="H237" s="68" t="str">
        <f t="array" ref="H237">IF(ISNUMBER(AC237),INDEX('All Player Data Store'!$D$7:$D$594,SMALL(IF('All Player Data Store'!$Y$7:$Y$594=AC237,ROW('All Player Data Store'!$Y$7:$Y$594)-ROW('All Player Data Store'!$Y$7)+1),COUNTIF($AC$8:AC237,AC237))),"")</f>
        <v/>
      </c>
      <c r="I237" s="69" t="str">
        <f t="array" ref="I237">IF(ISNUMBER(AC237),INDEX('All Player Data Store'!$E$7:$E$594,SMALL(IF('All Player Data Store'!$Y$7:$Y$594=AC237,ROW('All Player Data Store'!$Y$7:$Y$594)-ROW('All Player Data Store'!$Y$7)+1),COUNTIF($AC$8:AC237,AC237))),"")</f>
        <v/>
      </c>
      <c r="J237" s="70" t="str">
        <f t="array" ref="J237">IF(ISNUMBER(AC237),INDEX('All Player Data Store'!$F$7:$F$594,SMALL(IF('All Player Data Store'!$Y$7:$Y$594=AC237,ROW('All Player Data Store'!$Y$7:$Y$594)-ROW('All Player Data Store'!$Y$7)+1),COUNTIF($AC$8:AC237,AC237))),"")</f>
        <v/>
      </c>
      <c r="K237" s="70" t="str">
        <f t="array" ref="K237">IF(ISNUMBER(AC237),INDEX('All Player Data Store'!$G$7:$G$594,SMALL(IF('All Player Data Store'!$Y$7:$Y$594=AC237,ROW('All Player Data Store'!$Y$7:$Y$594)-ROW('All Player Data Store'!$Y$7)+1),COUNTIF($AC$8:AC237,AC237))),"")</f>
        <v/>
      </c>
      <c r="L237" s="70" t="str">
        <f t="array" ref="L237">IF(ISNUMBER(AC237),INDEX('All Player Data Store'!$H$7:$H$594,SMALL(IF('All Player Data Store'!$Y$7:$Y$594=AC237,ROW('All Player Data Store'!$Y$7:$Y$594)-ROW('All Player Data Store'!$Y$7)+1),COUNTIF($AC$8:AC237,AC237))),"")</f>
        <v/>
      </c>
      <c r="M237" s="72" t="str">
        <f t="array" ref="M237">IF(ISNUMBER(AC237),INDEX('All Player Data Store'!$I$7:$I$594,SMALL(IF('All Player Data Store'!$Y$7:$Y$594=AC237,ROW('All Player Data Store'!$Y$7:$Y$594)-ROW('All Player Data Store'!$Y$7)+1),COUNTIF($AC$8:AC237,AC237))),"")</f>
        <v/>
      </c>
      <c r="N237" s="114" t="str">
        <f t="array" ref="N237">IF(ISNUMBER(AC237),INDEX('All Player Data Store'!$J$7:$J$594,SMALL(IF('All Player Data Store'!$Y$7:$Y$594=AC237,ROW('All Player Data Store'!$Y$7:$Y$594)-ROW('All Player Data Store'!$Y$7)+1),COUNTIF($AC$8:AC237,AC237))),"")</f>
        <v/>
      </c>
      <c r="O237" s="108" t="str">
        <f t="array" ref="O237">IF(ISNUMBER(AC237),INDEX('All Player Data Store'!$K$7:$K$594,SMALL(IF('All Player Data Store'!$Y$7:$Y$594=AC237,ROW('All Player Data Store'!$Y$7:$Y$594)-ROW('All Player Data Store'!$Y$7)+1),COUNTIF($AC$8:AC237,AC237))),"")</f>
        <v/>
      </c>
      <c r="P237" s="108" t="str">
        <f t="array" ref="P237">IF(ISNUMBER(AC237),INDEX('All Player Data Store'!$L$7:$L$594,SMALL(IF('All Player Data Store'!$Y$7:$Y$594=AC237,ROW('All Player Data Store'!$Y$7:$Y$594)-ROW('All Player Data Store'!$Y$7)+1),COUNTIF($AC$8:AC237,AC237))),"")</f>
        <v/>
      </c>
      <c r="Q237" s="108" t="str">
        <f t="array" ref="Q237">IF(ISNUMBER(AC237),INDEX('All Player Data Store'!$M$7:$M$594,SMALL(IF('All Player Data Store'!$Y$7:$Y$594=AC237,ROW('All Player Data Store'!$Y$7:$Y$594)-ROW('All Player Data Store'!$Y$7)+1),COUNTIF($AC$8:AC237,AC237))),"")</f>
        <v/>
      </c>
      <c r="R237" s="108" t="str">
        <f t="array" ref="R237">IF(ISNUMBER(AC237),INDEX('All Player Data Store'!$N$7:$N$594,SMALL(IF('All Player Data Store'!$Y$7:$Y$594=AC237,ROW('All Player Data Store'!$Y$7:$Y$594)-ROW('All Player Data Store'!$Y$7)+1),COUNTIF($AC$8:AC237,AC237))),"")</f>
        <v/>
      </c>
      <c r="S237" s="108" t="str">
        <f t="array" ref="S237">IF(ISNUMBER(AC237),INDEX('All Player Data Store'!$O$7:$O$594,SMALL(IF('All Player Data Store'!$Y$7:$Y$594=AC237,ROW('All Player Data Store'!$Y$7:$Y$594)-ROW('All Player Data Store'!$Y$7)+1),COUNTIF($AC$8:AC237,AC237))),"")</f>
        <v/>
      </c>
      <c r="T237" s="108" t="str">
        <f t="array" ref="T237">IF(ISNUMBER(AC237),INDEX('All Player Data Store'!$P$7:$P$594,SMALL(IF('All Player Data Store'!$Y$7:$Y$594=AC237,ROW('All Player Data Store'!$Y$7:$Y$594)-ROW('All Player Data Store'!$Y$7)+1),COUNTIF($AC$8:AC237,AC237))),"")</f>
        <v/>
      </c>
      <c r="U237" s="108" t="str">
        <f t="array" ref="U237">IF(ISNUMBER(AC237),INDEX('All Player Data Store'!$Q$7:$Q$594,SMALL(IF('All Player Data Store'!$Y$7:$Y$594=AC237,ROW('All Player Data Store'!$Y$7:$Y$594)-ROW('All Player Data Store'!$Y$7)+1),COUNTIF($AC$8:AC237,AC237))),"")</f>
        <v/>
      </c>
      <c r="V237" s="108" t="str">
        <f t="array" ref="V237">IF(ISNUMBER(AC237),INDEX('All Player Data Store'!$R$7:$R$594,SMALL(IF('All Player Data Store'!$Y$7:$Y$594=AC237,ROW('All Player Data Store'!$Y$7:$Y$594)-ROW('All Player Data Store'!$Y$7)+1),COUNTIF($AC$8:AC237,AC237))),"")</f>
        <v/>
      </c>
      <c r="W237" s="108" t="str">
        <f t="array" ref="W237">IF(ISNUMBER(AC237),INDEX('All Player Data Store'!$S$7:$S$594,SMALL(IF('All Player Data Store'!$Y$7:$Y$594=AC237,ROW('All Player Data Store'!$Y$7:$Y$594)-ROW('All Player Data Store'!$Y$7)+1),COUNTIF($AC$8:AC237,AC237))),"")</f>
        <v/>
      </c>
      <c r="X237" s="108" t="str">
        <f t="array" ref="X237">IF(ISNUMBER(AC237),INDEX('All Player Data Store'!$T$7:$T$594,SMALL(IF('All Player Data Store'!$Y$7:$Y$594=AC237,ROW('All Player Data Store'!$Y$7:$Y$594)-ROW('All Player Data Store'!$Y$7)+1),COUNTIF($AC$8:AC237,AC237))),"")</f>
        <v/>
      </c>
      <c r="Y237" s="108" t="str">
        <f t="array" ref="Y237">IF(ISNUMBER(AC237),INDEX('All Player Data Store'!$U$7:$U$594,SMALL(IF('All Player Data Store'!$Y$7:$Y$594=AC237,ROW('All Player Data Store'!$Y$7:$Y$594)-ROW('All Player Data Store'!$Y$7)+1),COUNTIF($AC$8:AC237,AC237))),"")</f>
        <v/>
      </c>
      <c r="Z237" s="108" t="str">
        <f t="array" ref="Z237">IF(ISNUMBER(AC237),INDEX('All Player Data Store'!$V$7:$V$594,SMALL(IF('All Player Data Store'!$Y$7:$Y$594=AC237,ROW('All Player Data Store'!$Y$7:$Y$594)-ROW('All Player Data Store'!$Y$7)+1),COUNTIF($AC$8:AC237,AC237))),"")</f>
        <v/>
      </c>
      <c r="AA237" s="112" t="str">
        <f t="array" ref="AA237">IF(ISNUMBER(AC237),INDEX('All Player Data Store'!$W$7:$W$594,SMALL(IF('All Player Data Store'!$Y$7:$Y$594=AC237,ROW('All Player Data Store'!$Y$7:$Y$594)-ROW('All Player Data Store'!$Y$7)+1),COUNTIF($AC$8:AC237,AC237))),"")</f>
        <v/>
      </c>
      <c r="AB237" s="108" t="str">
        <f t="array" ref="AB237">IF(ISNUMBER(AC237),INDEX('All Player Data Store'!$X$7:$X$594,SMALL(IF('All Player Data Store'!$Y$7:$Y$594=AC237,ROW('All Player Data Store'!$Y$7:$Y$594)-ROW('All Player Data Store'!$Y$7)+1),COUNTIF($AC$8:AC237,AC237))),"")</f>
        <v/>
      </c>
      <c r="AC237" s="115" t="str">
        <f>IF(ISERROR(IF(ISERROR(LARGE('All Player Data Store'!$Y$7:$Y$594,230)),"",(LARGE('All Player Data Store'!$Y$7:$Y$594,230)))),"",(IF(ISERROR(LARGE('All Player Data Store'!$Y$7:$Y$594,230)),"",(LARGE('All Player Data Store'!$Y$7:$Y$594,230)))))</f>
        <v/>
      </c>
      <c r="AD237" s="106">
        <f t="shared" si="16"/>
        <v>1</v>
      </c>
      <c r="AE237" s="107" t="str">
        <f t="array" ref="AE237">IF(ISNUMBER(AC237),INDEX('All Player Data Store'!$J$8:$J$594,SMALL(IF('All Player Data Store'!$Y$7:$Y$594=AC237,ROW('All Player Data Store'!$Y$7:$Y$594)-ROW('All Player Data Store'!$Y$7)+1),COUNTIF($AC$8:AC237,AC237))),"")</f>
        <v/>
      </c>
      <c r="AF237" s="108" t="str">
        <f t="shared" si="3"/>
        <v/>
      </c>
      <c r="AG237" s="108" t="str">
        <f t="array" ref="AG237">IF(ISNUMBER(AC237),INDEX('All Player Data Store'!$K$8:$K$594,SMALL(IF('All Player Data Store'!$Y$7:$Y$594=AC237,ROW('All Player Data Store'!$Y$7:$Y$594)-ROW('All Player Data Store'!$Y$7)+1),COUNTIF($AC$8:AC237,AC237))),"")</f>
        <v/>
      </c>
      <c r="AH237" s="108" t="str">
        <f t="shared" si="4"/>
        <v/>
      </c>
      <c r="AI237" s="108" t="str">
        <f t="array" ref="AI237">IF(ISNUMBER(AC237),INDEX('All Player Data Store'!$L$8:$L$594,SMALL(IF('All Player Data Store'!$Y$7:$Y$594=AC237,ROW('All Player Data Store'!$Y$7:$Y$594)-ROW('All Player Data Store'!$Y$7)+1),COUNTIF($AC$8:AC237,AC237))),"")</f>
        <v/>
      </c>
      <c r="AJ237" s="108" t="str">
        <f t="shared" si="5"/>
        <v/>
      </c>
      <c r="AK237" s="108" t="str">
        <f t="array" ref="AK237">IF(ISNUMBER(AC237),INDEX('All Player Data Store'!$M$8:$M$594,SMALL(IF('All Player Data Store'!$Y$7:$Y$594=AC237,ROW('All Player Data Store'!$Y$7:$Y$594)-ROW('All Player Data Store'!$Y$7)+1),COUNTIF($AC$8:AC237,AC237))),"")</f>
        <v/>
      </c>
      <c r="AL237" s="108" t="str">
        <f t="shared" si="6"/>
        <v/>
      </c>
      <c r="AM237" s="108" t="str">
        <f t="array" ref="AM237">IF(ISNUMBER(AC237),INDEX('All Player Data Store'!$N$8:$N$594,SMALL(IF('All Player Data Store'!$Y$7:$Y$594=AC237,ROW('All Player Data Store'!$Y$7:$Y$594)-ROW('All Player Data Store'!$Y$7)+1),COUNTIF($AC$8:AC237,AC237))),"")</f>
        <v/>
      </c>
      <c r="AN237" s="108" t="str">
        <f t="shared" si="7"/>
        <v/>
      </c>
      <c r="AO237" s="108" t="str">
        <f t="array" ref="AO237">IF(ISNUMBER(AC237),INDEX('All Player Data Store'!$O$8:$O$594,SMALL(IF('All Player Data Store'!$Y$7:$Y$594=AC237,ROW('All Player Data Store'!$Y$7:$Y$594)-ROW('All Player Data Store'!$Y$7)+1),COUNTIF($AC$8:AC237,AC237))),"")</f>
        <v/>
      </c>
      <c r="AP237" s="108" t="str">
        <f t="shared" si="8"/>
        <v/>
      </c>
      <c r="AQ237" s="108" t="str">
        <f t="array" ref="AQ237">IF(ISNUMBER(AC237),INDEX('All Player Data Store'!$P$8:$P$594,SMALL(IF('All Player Data Store'!$Y$7:$Y$594=AC237,ROW('All Player Data Store'!$Y$7:$Y$594)-ROW('All Player Data Store'!$Y$7)+1),COUNTIF($AC$8:AC237,AC237))),"")</f>
        <v/>
      </c>
      <c r="AR237" s="108" t="str">
        <f t="shared" si="9"/>
        <v/>
      </c>
      <c r="AS237" s="108" t="str">
        <f t="array" ref="AS237">IF(ISNUMBER(AC237),INDEX('All Player Data Store'!$Q$8:$Q$594,SMALL(IF('All Player Data Store'!$Y$7:$Y$594=AC237,ROW('All Player Data Store'!$Y$7:$Y$594)-ROW('All Player Data Store'!$Y$7)+1),COUNTIF($AC$8:AC237,AC237))),"")</f>
        <v/>
      </c>
      <c r="AT237" s="108" t="str">
        <f t="shared" si="10"/>
        <v/>
      </c>
      <c r="AU237" s="108" t="str">
        <f t="array" ref="AU237">IF(ISNUMBER(AC237),INDEX('All Player Data Store'!$R$8:$R$594,SMALL(IF('All Player Data Store'!$Y$7:$Y$594=AC237,ROW('All Player Data Store'!$Y$7:$Y$594)-ROW('All Player Data Store'!$Y$7)+1),COUNTIF($AC$8:AC237,AC237))),"")</f>
        <v/>
      </c>
      <c r="AV237" s="108" t="str">
        <f t="shared" si="11"/>
        <v/>
      </c>
      <c r="AW237" s="108" t="str">
        <f t="array" ref="AW237">IF(ISNUMBER(AC237),INDEX('All Player Data Store'!$S$8:$S$594,SMALL(IF('All Player Data Store'!$Y$7:$Y$594=AC237,ROW('All Player Data Store'!$Y$7:$Y$594)-ROW('All Player Data Store'!$Y$7)+1),COUNTIF($AC$8:AC237,AC237))),"")</f>
        <v/>
      </c>
      <c r="AX237" s="108" t="str">
        <f t="shared" si="12"/>
        <v/>
      </c>
      <c r="AY237" s="108" t="str">
        <f t="array" ref="AY237">IF(ISNUMBER(AC237),INDEX('All Player Data Store'!$T$8:$T$594,SMALL(IF('All Player Data Store'!$Y$7:$Y$594=AC237,ROW('All Player Data Store'!$Y$7:$Y$594)-ROW('All Player Data Store'!$Y$7)+1),COUNTIF($AC$8:AC237,AC237))),"")</f>
        <v/>
      </c>
      <c r="AZ237" s="108" t="str">
        <f t="shared" si="13"/>
        <v/>
      </c>
      <c r="BA237" s="108" t="str">
        <f t="array" ref="BA237">IF(ISNUMBER(AC237),INDEX('All Player Data Store'!$U$8:$U$594,SMALL(IF('All Player Data Store'!$Y$7:$Y$594=AC237,ROW('All Player Data Store'!$Y$7:$Y$594)-ROW('All Player Data Store'!$Y$7)+1),COUNTIF($AC$8:AC237,AC237))),"")</f>
        <v/>
      </c>
      <c r="BB237" s="108" t="str">
        <f t="shared" si="14"/>
        <v/>
      </c>
      <c r="BC237" s="108" t="str">
        <f t="array" ref="BC237">IF(ISNUMBER(AC237),INDEX('All Player Data Store'!$V$8:$V$594,SMALL(IF('All Player Data Store'!$Y$7:$Y$594=AC237,ROW('All Player Data Store'!$Y$7:$Y$594)-ROW('All Player Data Store'!$Y$7)+1),COUNTIF($AC$8:AC237,AC237))),"")</f>
        <v/>
      </c>
      <c r="BD237" s="108" t="str">
        <f t="shared" si="15"/>
        <v/>
      </c>
      <c r="BE237" s="1"/>
    </row>
    <row r="238" spans="2:57" ht="12" customHeight="1" x14ac:dyDescent="0.2">
      <c r="B238" s="118" t="str">
        <f t="shared" si="0"/>
        <v/>
      </c>
      <c r="C238" s="1"/>
      <c r="D238" s="68" t="str">
        <f t="shared" si="1"/>
        <v/>
      </c>
      <c r="E238" s="2"/>
      <c r="F238" s="78">
        <v>231</v>
      </c>
      <c r="G238" s="110" t="str">
        <f t="array" ref="G238">IF(ISNUMBER(AC238),INDEX('All Player Data Store'!$C$7:$C$594,SMALL(IF('All Player Data Store'!$Y$7:$Y$594=AC238,ROW('All Player Data Store'!$Y$7:$Y$594)-ROW('All Player Data Store'!$Y$7)+1),COUNTIF($AC$8:AC238,AC238))),"")</f>
        <v/>
      </c>
      <c r="H238" s="68" t="str">
        <f t="array" ref="H238">IF(ISNUMBER(AC238),INDEX('All Player Data Store'!$D$7:$D$594,SMALL(IF('All Player Data Store'!$Y$7:$Y$594=AC238,ROW('All Player Data Store'!$Y$7:$Y$594)-ROW('All Player Data Store'!$Y$7)+1),COUNTIF($AC$8:AC238,AC238))),"")</f>
        <v/>
      </c>
      <c r="I238" s="69" t="str">
        <f t="array" ref="I238">IF(ISNUMBER(AC238),INDEX('All Player Data Store'!$E$7:$E$594,SMALL(IF('All Player Data Store'!$Y$7:$Y$594=AC238,ROW('All Player Data Store'!$Y$7:$Y$594)-ROW('All Player Data Store'!$Y$7)+1),COUNTIF($AC$8:AC238,AC238))),"")</f>
        <v/>
      </c>
      <c r="J238" s="70" t="str">
        <f t="array" ref="J238">IF(ISNUMBER(AC238),INDEX('All Player Data Store'!$F$7:$F$594,SMALL(IF('All Player Data Store'!$Y$7:$Y$594=AC238,ROW('All Player Data Store'!$Y$7:$Y$594)-ROW('All Player Data Store'!$Y$7)+1),COUNTIF($AC$8:AC238,AC238))),"")</f>
        <v/>
      </c>
      <c r="K238" s="70" t="str">
        <f t="array" ref="K238">IF(ISNUMBER(AC238),INDEX('All Player Data Store'!$G$7:$G$594,SMALL(IF('All Player Data Store'!$Y$7:$Y$594=AC238,ROW('All Player Data Store'!$Y$7:$Y$594)-ROW('All Player Data Store'!$Y$7)+1),COUNTIF($AC$8:AC238,AC238))),"")</f>
        <v/>
      </c>
      <c r="L238" s="70" t="str">
        <f t="array" ref="L238">IF(ISNUMBER(AC238),INDEX('All Player Data Store'!$H$7:$H$594,SMALL(IF('All Player Data Store'!$Y$7:$Y$594=AC238,ROW('All Player Data Store'!$Y$7:$Y$594)-ROW('All Player Data Store'!$Y$7)+1),COUNTIF($AC$8:AC238,AC238))),"")</f>
        <v/>
      </c>
      <c r="M238" s="72" t="str">
        <f t="array" ref="M238">IF(ISNUMBER(AC238),INDEX('All Player Data Store'!$I$7:$I$594,SMALL(IF('All Player Data Store'!$Y$7:$Y$594=AC238,ROW('All Player Data Store'!$Y$7:$Y$594)-ROW('All Player Data Store'!$Y$7)+1),COUNTIF($AC$8:AC238,AC238))),"")</f>
        <v/>
      </c>
      <c r="N238" s="114" t="str">
        <f t="array" ref="N238">IF(ISNUMBER(AC238),INDEX('All Player Data Store'!$J$7:$J$594,SMALL(IF('All Player Data Store'!$Y$7:$Y$594=AC238,ROW('All Player Data Store'!$Y$7:$Y$594)-ROW('All Player Data Store'!$Y$7)+1),COUNTIF($AC$8:AC238,AC238))),"")</f>
        <v/>
      </c>
      <c r="O238" s="108" t="str">
        <f t="array" ref="O238">IF(ISNUMBER(AC238),INDEX('All Player Data Store'!$K$7:$K$594,SMALL(IF('All Player Data Store'!$Y$7:$Y$594=AC238,ROW('All Player Data Store'!$Y$7:$Y$594)-ROW('All Player Data Store'!$Y$7)+1),COUNTIF($AC$8:AC238,AC238))),"")</f>
        <v/>
      </c>
      <c r="P238" s="108" t="str">
        <f t="array" ref="P238">IF(ISNUMBER(AC238),INDEX('All Player Data Store'!$L$7:$L$594,SMALL(IF('All Player Data Store'!$Y$7:$Y$594=AC238,ROW('All Player Data Store'!$Y$7:$Y$594)-ROW('All Player Data Store'!$Y$7)+1),COUNTIF($AC$8:AC238,AC238))),"")</f>
        <v/>
      </c>
      <c r="Q238" s="108" t="str">
        <f t="array" ref="Q238">IF(ISNUMBER(AC238),INDEX('All Player Data Store'!$M$7:$M$594,SMALL(IF('All Player Data Store'!$Y$7:$Y$594=AC238,ROW('All Player Data Store'!$Y$7:$Y$594)-ROW('All Player Data Store'!$Y$7)+1),COUNTIF($AC$8:AC238,AC238))),"")</f>
        <v/>
      </c>
      <c r="R238" s="108" t="str">
        <f t="array" ref="R238">IF(ISNUMBER(AC238),INDEX('All Player Data Store'!$N$7:$N$594,SMALL(IF('All Player Data Store'!$Y$7:$Y$594=AC238,ROW('All Player Data Store'!$Y$7:$Y$594)-ROW('All Player Data Store'!$Y$7)+1),COUNTIF($AC$8:AC238,AC238))),"")</f>
        <v/>
      </c>
      <c r="S238" s="108" t="str">
        <f t="array" ref="S238">IF(ISNUMBER(AC238),INDEX('All Player Data Store'!$O$7:$O$594,SMALL(IF('All Player Data Store'!$Y$7:$Y$594=AC238,ROW('All Player Data Store'!$Y$7:$Y$594)-ROW('All Player Data Store'!$Y$7)+1),COUNTIF($AC$8:AC238,AC238))),"")</f>
        <v/>
      </c>
      <c r="T238" s="108" t="str">
        <f t="array" ref="T238">IF(ISNUMBER(AC238),INDEX('All Player Data Store'!$P$7:$P$594,SMALL(IF('All Player Data Store'!$Y$7:$Y$594=AC238,ROW('All Player Data Store'!$Y$7:$Y$594)-ROW('All Player Data Store'!$Y$7)+1),COUNTIF($AC$8:AC238,AC238))),"")</f>
        <v/>
      </c>
      <c r="U238" s="108" t="str">
        <f t="array" ref="U238">IF(ISNUMBER(AC238),INDEX('All Player Data Store'!$Q$7:$Q$594,SMALL(IF('All Player Data Store'!$Y$7:$Y$594=AC238,ROW('All Player Data Store'!$Y$7:$Y$594)-ROW('All Player Data Store'!$Y$7)+1),COUNTIF($AC$8:AC238,AC238))),"")</f>
        <v/>
      </c>
      <c r="V238" s="108" t="str">
        <f t="array" ref="V238">IF(ISNUMBER(AC238),INDEX('All Player Data Store'!$R$7:$R$594,SMALL(IF('All Player Data Store'!$Y$7:$Y$594=AC238,ROW('All Player Data Store'!$Y$7:$Y$594)-ROW('All Player Data Store'!$Y$7)+1),COUNTIF($AC$8:AC238,AC238))),"")</f>
        <v/>
      </c>
      <c r="W238" s="108" t="str">
        <f t="array" ref="W238">IF(ISNUMBER(AC238),INDEX('All Player Data Store'!$S$7:$S$594,SMALL(IF('All Player Data Store'!$Y$7:$Y$594=AC238,ROW('All Player Data Store'!$Y$7:$Y$594)-ROW('All Player Data Store'!$Y$7)+1),COUNTIF($AC$8:AC238,AC238))),"")</f>
        <v/>
      </c>
      <c r="X238" s="108" t="str">
        <f t="array" ref="X238">IF(ISNUMBER(AC238),INDEX('All Player Data Store'!$T$7:$T$594,SMALL(IF('All Player Data Store'!$Y$7:$Y$594=AC238,ROW('All Player Data Store'!$Y$7:$Y$594)-ROW('All Player Data Store'!$Y$7)+1),COUNTIF($AC$8:AC238,AC238))),"")</f>
        <v/>
      </c>
      <c r="Y238" s="108" t="str">
        <f t="array" ref="Y238">IF(ISNUMBER(AC238),INDEX('All Player Data Store'!$U$7:$U$594,SMALL(IF('All Player Data Store'!$Y$7:$Y$594=AC238,ROW('All Player Data Store'!$Y$7:$Y$594)-ROW('All Player Data Store'!$Y$7)+1),COUNTIF($AC$8:AC238,AC238))),"")</f>
        <v/>
      </c>
      <c r="Z238" s="108" t="str">
        <f t="array" ref="Z238">IF(ISNUMBER(AC238),INDEX('All Player Data Store'!$V$7:$V$594,SMALL(IF('All Player Data Store'!$Y$7:$Y$594=AC238,ROW('All Player Data Store'!$Y$7:$Y$594)-ROW('All Player Data Store'!$Y$7)+1),COUNTIF($AC$8:AC238,AC238))),"")</f>
        <v/>
      </c>
      <c r="AA238" s="112" t="str">
        <f t="array" ref="AA238">IF(ISNUMBER(AC238),INDEX('All Player Data Store'!$W$7:$W$594,SMALL(IF('All Player Data Store'!$Y$7:$Y$594=AC238,ROW('All Player Data Store'!$Y$7:$Y$594)-ROW('All Player Data Store'!$Y$7)+1),COUNTIF($AC$8:AC238,AC238))),"")</f>
        <v/>
      </c>
      <c r="AB238" s="108" t="str">
        <f t="array" ref="AB238">IF(ISNUMBER(AC238),INDEX('All Player Data Store'!$X$7:$X$594,SMALL(IF('All Player Data Store'!$Y$7:$Y$594=AC238,ROW('All Player Data Store'!$Y$7:$Y$594)-ROW('All Player Data Store'!$Y$7)+1),COUNTIF($AC$8:AC238,AC238))),"")</f>
        <v/>
      </c>
      <c r="AC238" s="115" t="str">
        <f>IF(ISERROR(IF(ISERROR(LARGE('All Player Data Store'!$Y$7:$Y$594,231)),"",(LARGE('All Player Data Store'!$Y$7:$Y$594,231)))),"",(IF(ISERROR(LARGE('All Player Data Store'!$Y$7:$Y$594,231)),"",(LARGE('All Player Data Store'!$Y$7:$Y$594,231)))))</f>
        <v/>
      </c>
      <c r="AD238" s="106">
        <f t="shared" si="16"/>
        <v>1</v>
      </c>
      <c r="AE238" s="107" t="str">
        <f t="array" ref="AE238">IF(ISNUMBER(AC238),INDEX('All Player Data Store'!$J$8:$J$594,SMALL(IF('All Player Data Store'!$Y$7:$Y$594=AC238,ROW('All Player Data Store'!$Y$7:$Y$594)-ROW('All Player Data Store'!$Y$7)+1),COUNTIF($AC$8:AC238,AC238))),"")</f>
        <v/>
      </c>
      <c r="AF238" s="108" t="str">
        <f t="shared" si="3"/>
        <v/>
      </c>
      <c r="AG238" s="108" t="str">
        <f t="array" ref="AG238">IF(ISNUMBER(AC238),INDEX('All Player Data Store'!$K$8:$K$594,SMALL(IF('All Player Data Store'!$Y$7:$Y$594=AC238,ROW('All Player Data Store'!$Y$7:$Y$594)-ROW('All Player Data Store'!$Y$7)+1),COUNTIF($AC$8:AC238,AC238))),"")</f>
        <v/>
      </c>
      <c r="AH238" s="108" t="str">
        <f t="shared" si="4"/>
        <v/>
      </c>
      <c r="AI238" s="108" t="str">
        <f t="array" ref="AI238">IF(ISNUMBER(AC238),INDEX('All Player Data Store'!$L$8:$L$594,SMALL(IF('All Player Data Store'!$Y$7:$Y$594=AC238,ROW('All Player Data Store'!$Y$7:$Y$594)-ROW('All Player Data Store'!$Y$7)+1),COUNTIF($AC$8:AC238,AC238))),"")</f>
        <v/>
      </c>
      <c r="AJ238" s="108" t="str">
        <f t="shared" si="5"/>
        <v/>
      </c>
      <c r="AK238" s="108" t="str">
        <f t="array" ref="AK238">IF(ISNUMBER(AC238),INDEX('All Player Data Store'!$M$8:$M$594,SMALL(IF('All Player Data Store'!$Y$7:$Y$594=AC238,ROW('All Player Data Store'!$Y$7:$Y$594)-ROW('All Player Data Store'!$Y$7)+1),COUNTIF($AC$8:AC238,AC238))),"")</f>
        <v/>
      </c>
      <c r="AL238" s="108" t="str">
        <f t="shared" si="6"/>
        <v/>
      </c>
      <c r="AM238" s="108" t="str">
        <f t="array" ref="AM238">IF(ISNUMBER(AC238),INDEX('All Player Data Store'!$N$8:$N$594,SMALL(IF('All Player Data Store'!$Y$7:$Y$594=AC238,ROW('All Player Data Store'!$Y$7:$Y$594)-ROW('All Player Data Store'!$Y$7)+1),COUNTIF($AC$8:AC238,AC238))),"")</f>
        <v/>
      </c>
      <c r="AN238" s="108" t="str">
        <f t="shared" si="7"/>
        <v/>
      </c>
      <c r="AO238" s="108" t="str">
        <f t="array" ref="AO238">IF(ISNUMBER(AC238),INDEX('All Player Data Store'!$O$8:$O$594,SMALL(IF('All Player Data Store'!$Y$7:$Y$594=AC238,ROW('All Player Data Store'!$Y$7:$Y$594)-ROW('All Player Data Store'!$Y$7)+1),COUNTIF($AC$8:AC238,AC238))),"")</f>
        <v/>
      </c>
      <c r="AP238" s="108" t="str">
        <f t="shared" si="8"/>
        <v/>
      </c>
      <c r="AQ238" s="108" t="str">
        <f t="array" ref="AQ238">IF(ISNUMBER(AC238),INDEX('All Player Data Store'!$P$8:$P$594,SMALL(IF('All Player Data Store'!$Y$7:$Y$594=AC238,ROW('All Player Data Store'!$Y$7:$Y$594)-ROW('All Player Data Store'!$Y$7)+1),COUNTIF($AC$8:AC238,AC238))),"")</f>
        <v/>
      </c>
      <c r="AR238" s="108" t="str">
        <f t="shared" si="9"/>
        <v/>
      </c>
      <c r="AS238" s="108" t="str">
        <f t="array" ref="AS238">IF(ISNUMBER(AC238),INDEX('All Player Data Store'!$Q$8:$Q$594,SMALL(IF('All Player Data Store'!$Y$7:$Y$594=AC238,ROW('All Player Data Store'!$Y$7:$Y$594)-ROW('All Player Data Store'!$Y$7)+1),COUNTIF($AC$8:AC238,AC238))),"")</f>
        <v/>
      </c>
      <c r="AT238" s="108" t="str">
        <f t="shared" si="10"/>
        <v/>
      </c>
      <c r="AU238" s="108" t="str">
        <f t="array" ref="AU238">IF(ISNUMBER(AC238),INDEX('All Player Data Store'!$R$8:$R$594,SMALL(IF('All Player Data Store'!$Y$7:$Y$594=AC238,ROW('All Player Data Store'!$Y$7:$Y$594)-ROW('All Player Data Store'!$Y$7)+1),COUNTIF($AC$8:AC238,AC238))),"")</f>
        <v/>
      </c>
      <c r="AV238" s="108" t="str">
        <f t="shared" si="11"/>
        <v/>
      </c>
      <c r="AW238" s="108" t="str">
        <f t="array" ref="AW238">IF(ISNUMBER(AC238),INDEX('All Player Data Store'!$S$8:$S$594,SMALL(IF('All Player Data Store'!$Y$7:$Y$594=AC238,ROW('All Player Data Store'!$Y$7:$Y$594)-ROW('All Player Data Store'!$Y$7)+1),COUNTIF($AC$8:AC238,AC238))),"")</f>
        <v/>
      </c>
      <c r="AX238" s="108" t="str">
        <f t="shared" si="12"/>
        <v/>
      </c>
      <c r="AY238" s="108" t="str">
        <f t="array" ref="AY238">IF(ISNUMBER(AC238),INDEX('All Player Data Store'!$T$8:$T$594,SMALL(IF('All Player Data Store'!$Y$7:$Y$594=AC238,ROW('All Player Data Store'!$Y$7:$Y$594)-ROW('All Player Data Store'!$Y$7)+1),COUNTIF($AC$8:AC238,AC238))),"")</f>
        <v/>
      </c>
      <c r="AZ238" s="108" t="str">
        <f t="shared" si="13"/>
        <v/>
      </c>
      <c r="BA238" s="108" t="str">
        <f t="array" ref="BA238">IF(ISNUMBER(AC238),INDEX('All Player Data Store'!$U$8:$U$594,SMALL(IF('All Player Data Store'!$Y$7:$Y$594=AC238,ROW('All Player Data Store'!$Y$7:$Y$594)-ROW('All Player Data Store'!$Y$7)+1),COUNTIF($AC$8:AC238,AC238))),"")</f>
        <v/>
      </c>
      <c r="BB238" s="108" t="str">
        <f t="shared" si="14"/>
        <v/>
      </c>
      <c r="BC238" s="108" t="str">
        <f t="array" ref="BC238">IF(ISNUMBER(AC238),INDEX('All Player Data Store'!$V$8:$V$594,SMALL(IF('All Player Data Store'!$Y$7:$Y$594=AC238,ROW('All Player Data Store'!$Y$7:$Y$594)-ROW('All Player Data Store'!$Y$7)+1),COUNTIF($AC$8:AC238,AC238))),"")</f>
        <v/>
      </c>
      <c r="BD238" s="108" t="str">
        <f t="shared" si="15"/>
        <v/>
      </c>
      <c r="BE238" s="1"/>
    </row>
    <row r="239" spans="2:57" ht="12" customHeight="1" x14ac:dyDescent="0.2">
      <c r="B239" s="118" t="str">
        <f t="shared" si="0"/>
        <v/>
      </c>
      <c r="C239" s="1"/>
      <c r="D239" s="68" t="str">
        <f t="shared" si="1"/>
        <v/>
      </c>
      <c r="E239" s="2"/>
      <c r="F239" s="78">
        <v>232</v>
      </c>
      <c r="G239" s="110" t="str">
        <f t="array" ref="G239">IF(ISNUMBER(AC239),INDEX('All Player Data Store'!$C$7:$C$594,SMALL(IF('All Player Data Store'!$Y$7:$Y$594=AC239,ROW('All Player Data Store'!$Y$7:$Y$594)-ROW('All Player Data Store'!$Y$7)+1),COUNTIF($AC$8:AC239,AC239))),"")</f>
        <v/>
      </c>
      <c r="H239" s="68" t="str">
        <f t="array" ref="H239">IF(ISNUMBER(AC239),INDEX('All Player Data Store'!$D$7:$D$594,SMALL(IF('All Player Data Store'!$Y$7:$Y$594=AC239,ROW('All Player Data Store'!$Y$7:$Y$594)-ROW('All Player Data Store'!$Y$7)+1),COUNTIF($AC$8:AC239,AC239))),"")</f>
        <v/>
      </c>
      <c r="I239" s="69" t="str">
        <f t="array" ref="I239">IF(ISNUMBER(AC239),INDEX('All Player Data Store'!$E$7:$E$594,SMALL(IF('All Player Data Store'!$Y$7:$Y$594=AC239,ROW('All Player Data Store'!$Y$7:$Y$594)-ROW('All Player Data Store'!$Y$7)+1),COUNTIF($AC$8:AC239,AC239))),"")</f>
        <v/>
      </c>
      <c r="J239" s="70" t="str">
        <f t="array" ref="J239">IF(ISNUMBER(AC239),INDEX('All Player Data Store'!$F$7:$F$594,SMALL(IF('All Player Data Store'!$Y$7:$Y$594=AC239,ROW('All Player Data Store'!$Y$7:$Y$594)-ROW('All Player Data Store'!$Y$7)+1),COUNTIF($AC$8:AC239,AC239))),"")</f>
        <v/>
      </c>
      <c r="K239" s="70" t="str">
        <f t="array" ref="K239">IF(ISNUMBER(AC239),INDEX('All Player Data Store'!$G$7:$G$594,SMALL(IF('All Player Data Store'!$Y$7:$Y$594=AC239,ROW('All Player Data Store'!$Y$7:$Y$594)-ROW('All Player Data Store'!$Y$7)+1),COUNTIF($AC$8:AC239,AC239))),"")</f>
        <v/>
      </c>
      <c r="L239" s="70" t="str">
        <f t="array" ref="L239">IF(ISNUMBER(AC239),INDEX('All Player Data Store'!$H$7:$H$594,SMALL(IF('All Player Data Store'!$Y$7:$Y$594=AC239,ROW('All Player Data Store'!$Y$7:$Y$594)-ROW('All Player Data Store'!$Y$7)+1),COUNTIF($AC$8:AC239,AC239))),"")</f>
        <v/>
      </c>
      <c r="M239" s="72" t="str">
        <f t="array" ref="M239">IF(ISNUMBER(AC239),INDEX('All Player Data Store'!$I$7:$I$594,SMALL(IF('All Player Data Store'!$Y$7:$Y$594=AC239,ROW('All Player Data Store'!$Y$7:$Y$594)-ROW('All Player Data Store'!$Y$7)+1),COUNTIF($AC$8:AC239,AC239))),"")</f>
        <v/>
      </c>
      <c r="N239" s="114" t="str">
        <f t="array" ref="N239">IF(ISNUMBER(AC239),INDEX('All Player Data Store'!$J$7:$J$594,SMALL(IF('All Player Data Store'!$Y$7:$Y$594=AC239,ROW('All Player Data Store'!$Y$7:$Y$594)-ROW('All Player Data Store'!$Y$7)+1),COUNTIF($AC$8:AC239,AC239))),"")</f>
        <v/>
      </c>
      <c r="O239" s="108" t="str">
        <f t="array" ref="O239">IF(ISNUMBER(AC239),INDEX('All Player Data Store'!$K$7:$K$594,SMALL(IF('All Player Data Store'!$Y$7:$Y$594=AC239,ROW('All Player Data Store'!$Y$7:$Y$594)-ROW('All Player Data Store'!$Y$7)+1),COUNTIF($AC$8:AC239,AC239))),"")</f>
        <v/>
      </c>
      <c r="P239" s="108" t="str">
        <f t="array" ref="P239">IF(ISNUMBER(AC239),INDEX('All Player Data Store'!$L$7:$L$594,SMALL(IF('All Player Data Store'!$Y$7:$Y$594=AC239,ROW('All Player Data Store'!$Y$7:$Y$594)-ROW('All Player Data Store'!$Y$7)+1),COUNTIF($AC$8:AC239,AC239))),"")</f>
        <v/>
      </c>
      <c r="Q239" s="108" t="str">
        <f t="array" ref="Q239">IF(ISNUMBER(AC239),INDEX('All Player Data Store'!$M$7:$M$594,SMALL(IF('All Player Data Store'!$Y$7:$Y$594=AC239,ROW('All Player Data Store'!$Y$7:$Y$594)-ROW('All Player Data Store'!$Y$7)+1),COUNTIF($AC$8:AC239,AC239))),"")</f>
        <v/>
      </c>
      <c r="R239" s="108" t="str">
        <f t="array" ref="R239">IF(ISNUMBER(AC239),INDEX('All Player Data Store'!$N$7:$N$594,SMALL(IF('All Player Data Store'!$Y$7:$Y$594=AC239,ROW('All Player Data Store'!$Y$7:$Y$594)-ROW('All Player Data Store'!$Y$7)+1),COUNTIF($AC$8:AC239,AC239))),"")</f>
        <v/>
      </c>
      <c r="S239" s="108" t="str">
        <f t="array" ref="S239">IF(ISNUMBER(AC239),INDEX('All Player Data Store'!$O$7:$O$594,SMALL(IF('All Player Data Store'!$Y$7:$Y$594=AC239,ROW('All Player Data Store'!$Y$7:$Y$594)-ROW('All Player Data Store'!$Y$7)+1),COUNTIF($AC$8:AC239,AC239))),"")</f>
        <v/>
      </c>
      <c r="T239" s="108" t="str">
        <f t="array" ref="T239">IF(ISNUMBER(AC239),INDEX('All Player Data Store'!$P$7:$P$594,SMALL(IF('All Player Data Store'!$Y$7:$Y$594=AC239,ROW('All Player Data Store'!$Y$7:$Y$594)-ROW('All Player Data Store'!$Y$7)+1),COUNTIF($AC$8:AC239,AC239))),"")</f>
        <v/>
      </c>
      <c r="U239" s="108" t="str">
        <f t="array" ref="U239">IF(ISNUMBER(AC239),INDEX('All Player Data Store'!$Q$7:$Q$594,SMALL(IF('All Player Data Store'!$Y$7:$Y$594=AC239,ROW('All Player Data Store'!$Y$7:$Y$594)-ROW('All Player Data Store'!$Y$7)+1),COUNTIF($AC$8:AC239,AC239))),"")</f>
        <v/>
      </c>
      <c r="V239" s="108" t="str">
        <f t="array" ref="V239">IF(ISNUMBER(AC239),INDEX('All Player Data Store'!$R$7:$R$594,SMALL(IF('All Player Data Store'!$Y$7:$Y$594=AC239,ROW('All Player Data Store'!$Y$7:$Y$594)-ROW('All Player Data Store'!$Y$7)+1),COUNTIF($AC$8:AC239,AC239))),"")</f>
        <v/>
      </c>
      <c r="W239" s="108" t="str">
        <f t="array" ref="W239">IF(ISNUMBER(AC239),INDEX('All Player Data Store'!$S$7:$S$594,SMALL(IF('All Player Data Store'!$Y$7:$Y$594=AC239,ROW('All Player Data Store'!$Y$7:$Y$594)-ROW('All Player Data Store'!$Y$7)+1),COUNTIF($AC$8:AC239,AC239))),"")</f>
        <v/>
      </c>
      <c r="X239" s="108" t="str">
        <f t="array" ref="X239">IF(ISNUMBER(AC239),INDEX('All Player Data Store'!$T$7:$T$594,SMALL(IF('All Player Data Store'!$Y$7:$Y$594=AC239,ROW('All Player Data Store'!$Y$7:$Y$594)-ROW('All Player Data Store'!$Y$7)+1),COUNTIF($AC$8:AC239,AC239))),"")</f>
        <v/>
      </c>
      <c r="Y239" s="108" t="str">
        <f t="array" ref="Y239">IF(ISNUMBER(AC239),INDEX('All Player Data Store'!$U$7:$U$594,SMALL(IF('All Player Data Store'!$Y$7:$Y$594=AC239,ROW('All Player Data Store'!$Y$7:$Y$594)-ROW('All Player Data Store'!$Y$7)+1),COUNTIF($AC$8:AC239,AC239))),"")</f>
        <v/>
      </c>
      <c r="Z239" s="108" t="str">
        <f t="array" ref="Z239">IF(ISNUMBER(AC239),INDEX('All Player Data Store'!$V$7:$V$594,SMALL(IF('All Player Data Store'!$Y$7:$Y$594=AC239,ROW('All Player Data Store'!$Y$7:$Y$594)-ROW('All Player Data Store'!$Y$7)+1),COUNTIF($AC$8:AC239,AC239))),"")</f>
        <v/>
      </c>
      <c r="AA239" s="112" t="str">
        <f t="array" ref="AA239">IF(ISNUMBER(AC239),INDEX('All Player Data Store'!$W$7:$W$594,SMALL(IF('All Player Data Store'!$Y$7:$Y$594=AC239,ROW('All Player Data Store'!$Y$7:$Y$594)-ROW('All Player Data Store'!$Y$7)+1),COUNTIF($AC$8:AC239,AC239))),"")</f>
        <v/>
      </c>
      <c r="AB239" s="108" t="str">
        <f t="array" ref="AB239">IF(ISNUMBER(AC239),INDEX('All Player Data Store'!$X$7:$X$594,SMALL(IF('All Player Data Store'!$Y$7:$Y$594=AC239,ROW('All Player Data Store'!$Y$7:$Y$594)-ROW('All Player Data Store'!$Y$7)+1),COUNTIF($AC$8:AC239,AC239))),"")</f>
        <v/>
      </c>
      <c r="AC239" s="115" t="str">
        <f>IF(ISERROR(IF(ISERROR(LARGE('All Player Data Store'!$Y$7:$Y$594,232)),"",(LARGE('All Player Data Store'!$Y$7:$Y$594,232)))),"",(IF(ISERROR(LARGE('All Player Data Store'!$Y$7:$Y$594,232)),"",(LARGE('All Player Data Store'!$Y$7:$Y$594,232)))))</f>
        <v/>
      </c>
      <c r="AD239" s="106">
        <f t="shared" si="16"/>
        <v>1</v>
      </c>
      <c r="AE239" s="107" t="str">
        <f t="array" ref="AE239">IF(ISNUMBER(AC239),INDEX('All Player Data Store'!$J$8:$J$594,SMALL(IF('All Player Data Store'!$Y$7:$Y$594=AC239,ROW('All Player Data Store'!$Y$7:$Y$594)-ROW('All Player Data Store'!$Y$7)+1),COUNTIF($AC$8:AC239,AC239))),"")</f>
        <v/>
      </c>
      <c r="AF239" s="108" t="str">
        <f t="shared" si="3"/>
        <v/>
      </c>
      <c r="AG239" s="108" t="str">
        <f t="array" ref="AG239">IF(ISNUMBER(AC239),INDEX('All Player Data Store'!$K$8:$K$594,SMALL(IF('All Player Data Store'!$Y$7:$Y$594=AC239,ROW('All Player Data Store'!$Y$7:$Y$594)-ROW('All Player Data Store'!$Y$7)+1),COUNTIF($AC$8:AC239,AC239))),"")</f>
        <v/>
      </c>
      <c r="AH239" s="108" t="str">
        <f t="shared" si="4"/>
        <v/>
      </c>
      <c r="AI239" s="108" t="str">
        <f t="array" ref="AI239">IF(ISNUMBER(AC239),INDEX('All Player Data Store'!$L$8:$L$594,SMALL(IF('All Player Data Store'!$Y$7:$Y$594=AC239,ROW('All Player Data Store'!$Y$7:$Y$594)-ROW('All Player Data Store'!$Y$7)+1),COUNTIF($AC$8:AC239,AC239))),"")</f>
        <v/>
      </c>
      <c r="AJ239" s="108" t="str">
        <f t="shared" si="5"/>
        <v/>
      </c>
      <c r="AK239" s="108" t="str">
        <f t="array" ref="AK239">IF(ISNUMBER(AC239),INDEX('All Player Data Store'!$M$8:$M$594,SMALL(IF('All Player Data Store'!$Y$7:$Y$594=AC239,ROW('All Player Data Store'!$Y$7:$Y$594)-ROW('All Player Data Store'!$Y$7)+1),COUNTIF($AC$8:AC239,AC239))),"")</f>
        <v/>
      </c>
      <c r="AL239" s="108" t="str">
        <f t="shared" si="6"/>
        <v/>
      </c>
      <c r="AM239" s="108" t="str">
        <f t="array" ref="AM239">IF(ISNUMBER(AC239),INDEX('All Player Data Store'!$N$8:$N$594,SMALL(IF('All Player Data Store'!$Y$7:$Y$594=AC239,ROW('All Player Data Store'!$Y$7:$Y$594)-ROW('All Player Data Store'!$Y$7)+1),COUNTIF($AC$8:AC239,AC239))),"")</f>
        <v/>
      </c>
      <c r="AN239" s="108" t="str">
        <f t="shared" si="7"/>
        <v/>
      </c>
      <c r="AO239" s="108" t="str">
        <f t="array" ref="AO239">IF(ISNUMBER(AC239),INDEX('All Player Data Store'!$O$8:$O$594,SMALL(IF('All Player Data Store'!$Y$7:$Y$594=AC239,ROW('All Player Data Store'!$Y$7:$Y$594)-ROW('All Player Data Store'!$Y$7)+1),COUNTIF($AC$8:AC239,AC239))),"")</f>
        <v/>
      </c>
      <c r="AP239" s="108" t="str">
        <f t="shared" si="8"/>
        <v/>
      </c>
      <c r="AQ239" s="108" t="str">
        <f t="array" ref="AQ239">IF(ISNUMBER(AC239),INDEX('All Player Data Store'!$P$8:$P$594,SMALL(IF('All Player Data Store'!$Y$7:$Y$594=AC239,ROW('All Player Data Store'!$Y$7:$Y$594)-ROW('All Player Data Store'!$Y$7)+1),COUNTIF($AC$8:AC239,AC239))),"")</f>
        <v/>
      </c>
      <c r="AR239" s="108" t="str">
        <f t="shared" si="9"/>
        <v/>
      </c>
      <c r="AS239" s="108" t="str">
        <f t="array" ref="AS239">IF(ISNUMBER(AC239),INDEX('All Player Data Store'!$Q$8:$Q$594,SMALL(IF('All Player Data Store'!$Y$7:$Y$594=AC239,ROW('All Player Data Store'!$Y$7:$Y$594)-ROW('All Player Data Store'!$Y$7)+1),COUNTIF($AC$8:AC239,AC239))),"")</f>
        <v/>
      </c>
      <c r="AT239" s="108" t="str">
        <f t="shared" si="10"/>
        <v/>
      </c>
      <c r="AU239" s="108" t="str">
        <f t="array" ref="AU239">IF(ISNUMBER(AC239),INDEX('All Player Data Store'!$R$8:$R$594,SMALL(IF('All Player Data Store'!$Y$7:$Y$594=AC239,ROW('All Player Data Store'!$Y$7:$Y$594)-ROW('All Player Data Store'!$Y$7)+1),COUNTIF($AC$8:AC239,AC239))),"")</f>
        <v/>
      </c>
      <c r="AV239" s="108" t="str">
        <f t="shared" si="11"/>
        <v/>
      </c>
      <c r="AW239" s="108" t="str">
        <f t="array" ref="AW239">IF(ISNUMBER(AC239),INDEX('All Player Data Store'!$S$8:$S$594,SMALL(IF('All Player Data Store'!$Y$7:$Y$594=AC239,ROW('All Player Data Store'!$Y$7:$Y$594)-ROW('All Player Data Store'!$Y$7)+1),COUNTIF($AC$8:AC239,AC239))),"")</f>
        <v/>
      </c>
      <c r="AX239" s="108" t="str">
        <f t="shared" si="12"/>
        <v/>
      </c>
      <c r="AY239" s="108" t="str">
        <f t="array" ref="AY239">IF(ISNUMBER(AC239),INDEX('All Player Data Store'!$T$8:$T$594,SMALL(IF('All Player Data Store'!$Y$7:$Y$594=AC239,ROW('All Player Data Store'!$Y$7:$Y$594)-ROW('All Player Data Store'!$Y$7)+1),COUNTIF($AC$8:AC239,AC239))),"")</f>
        <v/>
      </c>
      <c r="AZ239" s="108" t="str">
        <f t="shared" si="13"/>
        <v/>
      </c>
      <c r="BA239" s="108" t="str">
        <f t="array" ref="BA239">IF(ISNUMBER(AC239),INDEX('All Player Data Store'!$U$8:$U$594,SMALL(IF('All Player Data Store'!$Y$7:$Y$594=AC239,ROW('All Player Data Store'!$Y$7:$Y$594)-ROW('All Player Data Store'!$Y$7)+1),COUNTIF($AC$8:AC239,AC239))),"")</f>
        <v/>
      </c>
      <c r="BB239" s="108" t="str">
        <f t="shared" si="14"/>
        <v/>
      </c>
      <c r="BC239" s="108" t="str">
        <f t="array" ref="BC239">IF(ISNUMBER(AC239),INDEX('All Player Data Store'!$V$8:$V$594,SMALL(IF('All Player Data Store'!$Y$7:$Y$594=AC239,ROW('All Player Data Store'!$Y$7:$Y$594)-ROW('All Player Data Store'!$Y$7)+1),COUNTIF($AC$8:AC239,AC239))),"")</f>
        <v/>
      </c>
      <c r="BD239" s="108" t="str">
        <f t="shared" si="15"/>
        <v/>
      </c>
      <c r="BE239" s="1"/>
    </row>
    <row r="240" spans="2:57" ht="12" customHeight="1" x14ac:dyDescent="0.2">
      <c r="B240" s="118" t="str">
        <f t="shared" si="0"/>
        <v/>
      </c>
      <c r="C240" s="1"/>
      <c r="D240" s="68" t="str">
        <f t="shared" si="1"/>
        <v/>
      </c>
      <c r="E240" s="2"/>
      <c r="F240" s="78">
        <v>233</v>
      </c>
      <c r="G240" s="110" t="str">
        <f t="array" ref="G240">IF(ISNUMBER(AC240),INDEX('All Player Data Store'!$C$7:$C$594,SMALL(IF('All Player Data Store'!$Y$7:$Y$594=AC240,ROW('All Player Data Store'!$Y$7:$Y$594)-ROW('All Player Data Store'!$Y$7)+1),COUNTIF($AC$8:AC240,AC240))),"")</f>
        <v/>
      </c>
      <c r="H240" s="68" t="str">
        <f t="array" ref="H240">IF(ISNUMBER(AC240),INDEX('All Player Data Store'!$D$7:$D$594,SMALL(IF('All Player Data Store'!$Y$7:$Y$594=AC240,ROW('All Player Data Store'!$Y$7:$Y$594)-ROW('All Player Data Store'!$Y$7)+1),COUNTIF($AC$8:AC240,AC240))),"")</f>
        <v/>
      </c>
      <c r="I240" s="69" t="str">
        <f t="array" ref="I240">IF(ISNUMBER(AC240),INDEX('All Player Data Store'!$E$7:$E$594,SMALL(IF('All Player Data Store'!$Y$7:$Y$594=AC240,ROW('All Player Data Store'!$Y$7:$Y$594)-ROW('All Player Data Store'!$Y$7)+1),COUNTIF($AC$8:AC240,AC240))),"")</f>
        <v/>
      </c>
      <c r="J240" s="70" t="str">
        <f t="array" ref="J240">IF(ISNUMBER(AC240),INDEX('All Player Data Store'!$F$7:$F$594,SMALL(IF('All Player Data Store'!$Y$7:$Y$594=AC240,ROW('All Player Data Store'!$Y$7:$Y$594)-ROW('All Player Data Store'!$Y$7)+1),COUNTIF($AC$8:AC240,AC240))),"")</f>
        <v/>
      </c>
      <c r="K240" s="70" t="str">
        <f t="array" ref="K240">IF(ISNUMBER(AC240),INDEX('All Player Data Store'!$G$7:$G$594,SMALL(IF('All Player Data Store'!$Y$7:$Y$594=AC240,ROW('All Player Data Store'!$Y$7:$Y$594)-ROW('All Player Data Store'!$Y$7)+1),COUNTIF($AC$8:AC240,AC240))),"")</f>
        <v/>
      </c>
      <c r="L240" s="70" t="str">
        <f t="array" ref="L240">IF(ISNUMBER(AC240),INDEX('All Player Data Store'!$H$7:$H$594,SMALL(IF('All Player Data Store'!$Y$7:$Y$594=AC240,ROW('All Player Data Store'!$Y$7:$Y$594)-ROW('All Player Data Store'!$Y$7)+1),COUNTIF($AC$8:AC240,AC240))),"")</f>
        <v/>
      </c>
      <c r="M240" s="72" t="str">
        <f t="array" ref="M240">IF(ISNUMBER(AC240),INDEX('All Player Data Store'!$I$7:$I$594,SMALL(IF('All Player Data Store'!$Y$7:$Y$594=AC240,ROW('All Player Data Store'!$Y$7:$Y$594)-ROW('All Player Data Store'!$Y$7)+1),COUNTIF($AC$8:AC240,AC240))),"")</f>
        <v/>
      </c>
      <c r="N240" s="114" t="str">
        <f t="array" ref="N240">IF(ISNUMBER(AC240),INDEX('All Player Data Store'!$J$7:$J$594,SMALL(IF('All Player Data Store'!$Y$7:$Y$594=AC240,ROW('All Player Data Store'!$Y$7:$Y$594)-ROW('All Player Data Store'!$Y$7)+1),COUNTIF($AC$8:AC240,AC240))),"")</f>
        <v/>
      </c>
      <c r="O240" s="108" t="str">
        <f t="array" ref="O240">IF(ISNUMBER(AC240),INDEX('All Player Data Store'!$K$7:$K$594,SMALL(IF('All Player Data Store'!$Y$7:$Y$594=AC240,ROW('All Player Data Store'!$Y$7:$Y$594)-ROW('All Player Data Store'!$Y$7)+1),COUNTIF($AC$8:AC240,AC240))),"")</f>
        <v/>
      </c>
      <c r="P240" s="108" t="str">
        <f t="array" ref="P240">IF(ISNUMBER(AC240),INDEX('All Player Data Store'!$L$7:$L$594,SMALL(IF('All Player Data Store'!$Y$7:$Y$594=AC240,ROW('All Player Data Store'!$Y$7:$Y$594)-ROW('All Player Data Store'!$Y$7)+1),COUNTIF($AC$8:AC240,AC240))),"")</f>
        <v/>
      </c>
      <c r="Q240" s="108" t="str">
        <f t="array" ref="Q240">IF(ISNUMBER(AC240),INDEX('All Player Data Store'!$M$7:$M$594,SMALL(IF('All Player Data Store'!$Y$7:$Y$594=AC240,ROW('All Player Data Store'!$Y$7:$Y$594)-ROW('All Player Data Store'!$Y$7)+1),COUNTIF($AC$8:AC240,AC240))),"")</f>
        <v/>
      </c>
      <c r="R240" s="108" t="str">
        <f t="array" ref="R240">IF(ISNUMBER(AC240),INDEX('All Player Data Store'!$N$7:$N$594,SMALL(IF('All Player Data Store'!$Y$7:$Y$594=AC240,ROW('All Player Data Store'!$Y$7:$Y$594)-ROW('All Player Data Store'!$Y$7)+1),COUNTIF($AC$8:AC240,AC240))),"")</f>
        <v/>
      </c>
      <c r="S240" s="108" t="str">
        <f t="array" ref="S240">IF(ISNUMBER(AC240),INDEX('All Player Data Store'!$O$7:$O$594,SMALL(IF('All Player Data Store'!$Y$7:$Y$594=AC240,ROW('All Player Data Store'!$Y$7:$Y$594)-ROW('All Player Data Store'!$Y$7)+1),COUNTIF($AC$8:AC240,AC240))),"")</f>
        <v/>
      </c>
      <c r="T240" s="108" t="str">
        <f t="array" ref="T240">IF(ISNUMBER(AC240),INDEX('All Player Data Store'!$P$7:$P$594,SMALL(IF('All Player Data Store'!$Y$7:$Y$594=AC240,ROW('All Player Data Store'!$Y$7:$Y$594)-ROW('All Player Data Store'!$Y$7)+1),COUNTIF($AC$8:AC240,AC240))),"")</f>
        <v/>
      </c>
      <c r="U240" s="108" t="str">
        <f t="array" ref="U240">IF(ISNUMBER(AC240),INDEX('All Player Data Store'!$Q$7:$Q$594,SMALL(IF('All Player Data Store'!$Y$7:$Y$594=AC240,ROW('All Player Data Store'!$Y$7:$Y$594)-ROW('All Player Data Store'!$Y$7)+1),COUNTIF($AC$8:AC240,AC240))),"")</f>
        <v/>
      </c>
      <c r="V240" s="108" t="str">
        <f t="array" ref="V240">IF(ISNUMBER(AC240),INDEX('All Player Data Store'!$R$7:$R$594,SMALL(IF('All Player Data Store'!$Y$7:$Y$594=AC240,ROW('All Player Data Store'!$Y$7:$Y$594)-ROW('All Player Data Store'!$Y$7)+1),COUNTIF($AC$8:AC240,AC240))),"")</f>
        <v/>
      </c>
      <c r="W240" s="108" t="str">
        <f t="array" ref="W240">IF(ISNUMBER(AC240),INDEX('All Player Data Store'!$S$7:$S$594,SMALL(IF('All Player Data Store'!$Y$7:$Y$594=AC240,ROW('All Player Data Store'!$Y$7:$Y$594)-ROW('All Player Data Store'!$Y$7)+1),COUNTIF($AC$8:AC240,AC240))),"")</f>
        <v/>
      </c>
      <c r="X240" s="108" t="str">
        <f t="array" ref="X240">IF(ISNUMBER(AC240),INDEX('All Player Data Store'!$T$7:$T$594,SMALL(IF('All Player Data Store'!$Y$7:$Y$594=AC240,ROW('All Player Data Store'!$Y$7:$Y$594)-ROW('All Player Data Store'!$Y$7)+1),COUNTIF($AC$8:AC240,AC240))),"")</f>
        <v/>
      </c>
      <c r="Y240" s="108" t="str">
        <f t="array" ref="Y240">IF(ISNUMBER(AC240),INDEX('All Player Data Store'!$U$7:$U$594,SMALL(IF('All Player Data Store'!$Y$7:$Y$594=AC240,ROW('All Player Data Store'!$Y$7:$Y$594)-ROW('All Player Data Store'!$Y$7)+1),COUNTIF($AC$8:AC240,AC240))),"")</f>
        <v/>
      </c>
      <c r="Z240" s="108" t="str">
        <f t="array" ref="Z240">IF(ISNUMBER(AC240),INDEX('All Player Data Store'!$V$7:$V$594,SMALL(IF('All Player Data Store'!$Y$7:$Y$594=AC240,ROW('All Player Data Store'!$Y$7:$Y$594)-ROW('All Player Data Store'!$Y$7)+1),COUNTIF($AC$8:AC240,AC240))),"")</f>
        <v/>
      </c>
      <c r="AA240" s="112" t="str">
        <f t="array" ref="AA240">IF(ISNUMBER(AC240),INDEX('All Player Data Store'!$W$7:$W$594,SMALL(IF('All Player Data Store'!$Y$7:$Y$594=AC240,ROW('All Player Data Store'!$Y$7:$Y$594)-ROW('All Player Data Store'!$Y$7)+1),COUNTIF($AC$8:AC240,AC240))),"")</f>
        <v/>
      </c>
      <c r="AB240" s="108" t="str">
        <f t="array" ref="AB240">IF(ISNUMBER(AC240),INDEX('All Player Data Store'!$X$7:$X$594,SMALL(IF('All Player Data Store'!$Y$7:$Y$594=AC240,ROW('All Player Data Store'!$Y$7:$Y$594)-ROW('All Player Data Store'!$Y$7)+1),COUNTIF($AC$8:AC240,AC240))),"")</f>
        <v/>
      </c>
      <c r="AC240" s="115" t="str">
        <f>IF(ISERROR(IF(ISERROR(LARGE('All Player Data Store'!$Y$7:$Y$594,233)),"",(LARGE('All Player Data Store'!$Y$7:$Y$594,233)))),"",(IF(ISERROR(LARGE('All Player Data Store'!$Y$7:$Y$594,233)),"",(LARGE('All Player Data Store'!$Y$7:$Y$594,233)))))</f>
        <v/>
      </c>
      <c r="AD240" s="106">
        <f t="shared" si="16"/>
        <v>1</v>
      </c>
      <c r="AE240" s="107" t="str">
        <f t="array" ref="AE240">IF(ISNUMBER(AC240),INDEX('All Player Data Store'!$J$8:$J$594,SMALL(IF('All Player Data Store'!$Y$7:$Y$594=AC240,ROW('All Player Data Store'!$Y$7:$Y$594)-ROW('All Player Data Store'!$Y$7)+1),COUNTIF($AC$8:AC240,AC240))),"")</f>
        <v/>
      </c>
      <c r="AF240" s="108" t="str">
        <f t="shared" si="3"/>
        <v/>
      </c>
      <c r="AG240" s="108" t="str">
        <f t="array" ref="AG240">IF(ISNUMBER(AC240),INDEX('All Player Data Store'!$K$8:$K$594,SMALL(IF('All Player Data Store'!$Y$7:$Y$594=AC240,ROW('All Player Data Store'!$Y$7:$Y$594)-ROW('All Player Data Store'!$Y$7)+1),COUNTIF($AC$8:AC240,AC240))),"")</f>
        <v/>
      </c>
      <c r="AH240" s="108" t="str">
        <f t="shared" si="4"/>
        <v/>
      </c>
      <c r="AI240" s="108" t="str">
        <f t="array" ref="AI240">IF(ISNUMBER(AC240),INDEX('All Player Data Store'!$L$8:$L$594,SMALL(IF('All Player Data Store'!$Y$7:$Y$594=AC240,ROW('All Player Data Store'!$Y$7:$Y$594)-ROW('All Player Data Store'!$Y$7)+1),COUNTIF($AC$8:AC240,AC240))),"")</f>
        <v/>
      </c>
      <c r="AJ240" s="108" t="str">
        <f t="shared" si="5"/>
        <v/>
      </c>
      <c r="AK240" s="108" t="str">
        <f t="array" ref="AK240">IF(ISNUMBER(AC240),INDEX('All Player Data Store'!$M$8:$M$594,SMALL(IF('All Player Data Store'!$Y$7:$Y$594=AC240,ROW('All Player Data Store'!$Y$7:$Y$594)-ROW('All Player Data Store'!$Y$7)+1),COUNTIF($AC$8:AC240,AC240))),"")</f>
        <v/>
      </c>
      <c r="AL240" s="108" t="str">
        <f t="shared" si="6"/>
        <v/>
      </c>
      <c r="AM240" s="108" t="str">
        <f t="array" ref="AM240">IF(ISNUMBER(AC240),INDEX('All Player Data Store'!$N$8:$N$594,SMALL(IF('All Player Data Store'!$Y$7:$Y$594=AC240,ROW('All Player Data Store'!$Y$7:$Y$594)-ROW('All Player Data Store'!$Y$7)+1),COUNTIF($AC$8:AC240,AC240))),"")</f>
        <v/>
      </c>
      <c r="AN240" s="108" t="str">
        <f t="shared" si="7"/>
        <v/>
      </c>
      <c r="AO240" s="108" t="str">
        <f t="array" ref="AO240">IF(ISNUMBER(AC240),INDEX('All Player Data Store'!$O$8:$O$594,SMALL(IF('All Player Data Store'!$Y$7:$Y$594=AC240,ROW('All Player Data Store'!$Y$7:$Y$594)-ROW('All Player Data Store'!$Y$7)+1),COUNTIF($AC$8:AC240,AC240))),"")</f>
        <v/>
      </c>
      <c r="AP240" s="108" t="str">
        <f t="shared" si="8"/>
        <v/>
      </c>
      <c r="AQ240" s="108" t="str">
        <f t="array" ref="AQ240">IF(ISNUMBER(AC240),INDEX('All Player Data Store'!$P$8:$P$594,SMALL(IF('All Player Data Store'!$Y$7:$Y$594=AC240,ROW('All Player Data Store'!$Y$7:$Y$594)-ROW('All Player Data Store'!$Y$7)+1),COUNTIF($AC$8:AC240,AC240))),"")</f>
        <v/>
      </c>
      <c r="AR240" s="108" t="str">
        <f t="shared" si="9"/>
        <v/>
      </c>
      <c r="AS240" s="108" t="str">
        <f t="array" ref="AS240">IF(ISNUMBER(AC240),INDEX('All Player Data Store'!$Q$8:$Q$594,SMALL(IF('All Player Data Store'!$Y$7:$Y$594=AC240,ROW('All Player Data Store'!$Y$7:$Y$594)-ROW('All Player Data Store'!$Y$7)+1),COUNTIF($AC$8:AC240,AC240))),"")</f>
        <v/>
      </c>
      <c r="AT240" s="108" t="str">
        <f t="shared" si="10"/>
        <v/>
      </c>
      <c r="AU240" s="108" t="str">
        <f t="array" ref="AU240">IF(ISNUMBER(AC240),INDEX('All Player Data Store'!$R$8:$R$594,SMALL(IF('All Player Data Store'!$Y$7:$Y$594=AC240,ROW('All Player Data Store'!$Y$7:$Y$594)-ROW('All Player Data Store'!$Y$7)+1),COUNTIF($AC$8:AC240,AC240))),"")</f>
        <v/>
      </c>
      <c r="AV240" s="108" t="str">
        <f t="shared" si="11"/>
        <v/>
      </c>
      <c r="AW240" s="108" t="str">
        <f t="array" ref="AW240">IF(ISNUMBER(AC240),INDEX('All Player Data Store'!$S$8:$S$594,SMALL(IF('All Player Data Store'!$Y$7:$Y$594=AC240,ROW('All Player Data Store'!$Y$7:$Y$594)-ROW('All Player Data Store'!$Y$7)+1),COUNTIF($AC$8:AC240,AC240))),"")</f>
        <v/>
      </c>
      <c r="AX240" s="108" t="str">
        <f t="shared" si="12"/>
        <v/>
      </c>
      <c r="AY240" s="108" t="str">
        <f t="array" ref="AY240">IF(ISNUMBER(AC240),INDEX('All Player Data Store'!$T$8:$T$594,SMALL(IF('All Player Data Store'!$Y$7:$Y$594=AC240,ROW('All Player Data Store'!$Y$7:$Y$594)-ROW('All Player Data Store'!$Y$7)+1),COUNTIF($AC$8:AC240,AC240))),"")</f>
        <v/>
      </c>
      <c r="AZ240" s="108" t="str">
        <f t="shared" si="13"/>
        <v/>
      </c>
      <c r="BA240" s="108" t="str">
        <f t="array" ref="BA240">IF(ISNUMBER(AC240),INDEX('All Player Data Store'!$U$8:$U$594,SMALL(IF('All Player Data Store'!$Y$7:$Y$594=AC240,ROW('All Player Data Store'!$Y$7:$Y$594)-ROW('All Player Data Store'!$Y$7)+1),COUNTIF($AC$8:AC240,AC240))),"")</f>
        <v/>
      </c>
      <c r="BB240" s="108" t="str">
        <f t="shared" si="14"/>
        <v/>
      </c>
      <c r="BC240" s="108" t="str">
        <f t="array" ref="BC240">IF(ISNUMBER(AC240),INDEX('All Player Data Store'!$V$8:$V$594,SMALL(IF('All Player Data Store'!$Y$7:$Y$594=AC240,ROW('All Player Data Store'!$Y$7:$Y$594)-ROW('All Player Data Store'!$Y$7)+1),COUNTIF($AC$8:AC240,AC240))),"")</f>
        <v/>
      </c>
      <c r="BD240" s="108" t="str">
        <f t="shared" si="15"/>
        <v/>
      </c>
      <c r="BE240" s="1"/>
    </row>
    <row r="241" spans="2:57" ht="12" customHeight="1" x14ac:dyDescent="0.2">
      <c r="B241" s="118" t="str">
        <f t="shared" si="0"/>
        <v/>
      </c>
      <c r="C241" s="1"/>
      <c r="D241" s="68" t="str">
        <f t="shared" si="1"/>
        <v/>
      </c>
      <c r="E241" s="2"/>
      <c r="F241" s="78">
        <v>234</v>
      </c>
      <c r="G241" s="110" t="str">
        <f t="array" ref="G241">IF(ISNUMBER(AC241),INDEX('All Player Data Store'!$C$7:$C$594,SMALL(IF('All Player Data Store'!$Y$7:$Y$594=AC241,ROW('All Player Data Store'!$Y$7:$Y$594)-ROW('All Player Data Store'!$Y$7)+1),COUNTIF($AC$8:AC241,AC241))),"")</f>
        <v/>
      </c>
      <c r="H241" s="68" t="str">
        <f t="array" ref="H241">IF(ISNUMBER(AC241),INDEX('All Player Data Store'!$D$7:$D$594,SMALL(IF('All Player Data Store'!$Y$7:$Y$594=AC241,ROW('All Player Data Store'!$Y$7:$Y$594)-ROW('All Player Data Store'!$Y$7)+1),COUNTIF($AC$8:AC241,AC241))),"")</f>
        <v/>
      </c>
      <c r="I241" s="69" t="str">
        <f t="array" ref="I241">IF(ISNUMBER(AC241),INDEX('All Player Data Store'!$E$7:$E$594,SMALL(IF('All Player Data Store'!$Y$7:$Y$594=AC241,ROW('All Player Data Store'!$Y$7:$Y$594)-ROW('All Player Data Store'!$Y$7)+1),COUNTIF($AC$8:AC241,AC241))),"")</f>
        <v/>
      </c>
      <c r="J241" s="70" t="str">
        <f t="array" ref="J241">IF(ISNUMBER(AC241),INDEX('All Player Data Store'!$F$7:$F$594,SMALL(IF('All Player Data Store'!$Y$7:$Y$594=AC241,ROW('All Player Data Store'!$Y$7:$Y$594)-ROW('All Player Data Store'!$Y$7)+1),COUNTIF($AC$8:AC241,AC241))),"")</f>
        <v/>
      </c>
      <c r="K241" s="70" t="str">
        <f t="array" ref="K241">IF(ISNUMBER(AC241),INDEX('All Player Data Store'!$G$7:$G$594,SMALL(IF('All Player Data Store'!$Y$7:$Y$594=AC241,ROW('All Player Data Store'!$Y$7:$Y$594)-ROW('All Player Data Store'!$Y$7)+1),COUNTIF($AC$8:AC241,AC241))),"")</f>
        <v/>
      </c>
      <c r="L241" s="70" t="str">
        <f t="array" ref="L241">IF(ISNUMBER(AC241),INDEX('All Player Data Store'!$H$7:$H$594,SMALL(IF('All Player Data Store'!$Y$7:$Y$594=AC241,ROW('All Player Data Store'!$Y$7:$Y$594)-ROW('All Player Data Store'!$Y$7)+1),COUNTIF($AC$8:AC241,AC241))),"")</f>
        <v/>
      </c>
      <c r="M241" s="72" t="str">
        <f t="array" ref="M241">IF(ISNUMBER(AC241),INDEX('All Player Data Store'!$I$7:$I$594,SMALL(IF('All Player Data Store'!$Y$7:$Y$594=AC241,ROW('All Player Data Store'!$Y$7:$Y$594)-ROW('All Player Data Store'!$Y$7)+1),COUNTIF($AC$8:AC241,AC241))),"")</f>
        <v/>
      </c>
      <c r="N241" s="114" t="str">
        <f t="array" ref="N241">IF(ISNUMBER(AC241),INDEX('All Player Data Store'!$J$7:$J$594,SMALL(IF('All Player Data Store'!$Y$7:$Y$594=AC241,ROW('All Player Data Store'!$Y$7:$Y$594)-ROW('All Player Data Store'!$Y$7)+1),COUNTIF($AC$8:AC241,AC241))),"")</f>
        <v/>
      </c>
      <c r="O241" s="108" t="str">
        <f t="array" ref="O241">IF(ISNUMBER(AC241),INDEX('All Player Data Store'!$K$7:$K$594,SMALL(IF('All Player Data Store'!$Y$7:$Y$594=AC241,ROW('All Player Data Store'!$Y$7:$Y$594)-ROW('All Player Data Store'!$Y$7)+1),COUNTIF($AC$8:AC241,AC241))),"")</f>
        <v/>
      </c>
      <c r="P241" s="108" t="str">
        <f t="array" ref="P241">IF(ISNUMBER(AC241),INDEX('All Player Data Store'!$L$7:$L$594,SMALL(IF('All Player Data Store'!$Y$7:$Y$594=AC241,ROW('All Player Data Store'!$Y$7:$Y$594)-ROW('All Player Data Store'!$Y$7)+1),COUNTIF($AC$8:AC241,AC241))),"")</f>
        <v/>
      </c>
      <c r="Q241" s="108" t="str">
        <f t="array" ref="Q241">IF(ISNUMBER(AC241),INDEX('All Player Data Store'!$M$7:$M$594,SMALL(IF('All Player Data Store'!$Y$7:$Y$594=AC241,ROW('All Player Data Store'!$Y$7:$Y$594)-ROW('All Player Data Store'!$Y$7)+1),COUNTIF($AC$8:AC241,AC241))),"")</f>
        <v/>
      </c>
      <c r="R241" s="108" t="str">
        <f t="array" ref="R241">IF(ISNUMBER(AC241),INDEX('All Player Data Store'!$N$7:$N$594,SMALL(IF('All Player Data Store'!$Y$7:$Y$594=AC241,ROW('All Player Data Store'!$Y$7:$Y$594)-ROW('All Player Data Store'!$Y$7)+1),COUNTIF($AC$8:AC241,AC241))),"")</f>
        <v/>
      </c>
      <c r="S241" s="108" t="str">
        <f t="array" ref="S241">IF(ISNUMBER(AC241),INDEX('All Player Data Store'!$O$7:$O$594,SMALL(IF('All Player Data Store'!$Y$7:$Y$594=AC241,ROW('All Player Data Store'!$Y$7:$Y$594)-ROW('All Player Data Store'!$Y$7)+1),COUNTIF($AC$8:AC241,AC241))),"")</f>
        <v/>
      </c>
      <c r="T241" s="108" t="str">
        <f t="array" ref="T241">IF(ISNUMBER(AC241),INDEX('All Player Data Store'!$P$7:$P$594,SMALL(IF('All Player Data Store'!$Y$7:$Y$594=AC241,ROW('All Player Data Store'!$Y$7:$Y$594)-ROW('All Player Data Store'!$Y$7)+1),COUNTIF($AC$8:AC241,AC241))),"")</f>
        <v/>
      </c>
      <c r="U241" s="108" t="str">
        <f t="array" ref="U241">IF(ISNUMBER(AC241),INDEX('All Player Data Store'!$Q$7:$Q$594,SMALL(IF('All Player Data Store'!$Y$7:$Y$594=AC241,ROW('All Player Data Store'!$Y$7:$Y$594)-ROW('All Player Data Store'!$Y$7)+1),COUNTIF($AC$8:AC241,AC241))),"")</f>
        <v/>
      </c>
      <c r="V241" s="108" t="str">
        <f t="array" ref="V241">IF(ISNUMBER(AC241),INDEX('All Player Data Store'!$R$7:$R$594,SMALL(IF('All Player Data Store'!$Y$7:$Y$594=AC241,ROW('All Player Data Store'!$Y$7:$Y$594)-ROW('All Player Data Store'!$Y$7)+1),COUNTIF($AC$8:AC241,AC241))),"")</f>
        <v/>
      </c>
      <c r="W241" s="108" t="str">
        <f t="array" ref="W241">IF(ISNUMBER(AC241),INDEX('All Player Data Store'!$S$7:$S$594,SMALL(IF('All Player Data Store'!$Y$7:$Y$594=AC241,ROW('All Player Data Store'!$Y$7:$Y$594)-ROW('All Player Data Store'!$Y$7)+1),COUNTIF($AC$8:AC241,AC241))),"")</f>
        <v/>
      </c>
      <c r="X241" s="108" t="str">
        <f t="array" ref="X241">IF(ISNUMBER(AC241),INDEX('All Player Data Store'!$T$7:$T$594,SMALL(IF('All Player Data Store'!$Y$7:$Y$594=AC241,ROW('All Player Data Store'!$Y$7:$Y$594)-ROW('All Player Data Store'!$Y$7)+1),COUNTIF($AC$8:AC241,AC241))),"")</f>
        <v/>
      </c>
      <c r="Y241" s="108" t="str">
        <f t="array" ref="Y241">IF(ISNUMBER(AC241),INDEX('All Player Data Store'!$U$7:$U$594,SMALL(IF('All Player Data Store'!$Y$7:$Y$594=AC241,ROW('All Player Data Store'!$Y$7:$Y$594)-ROW('All Player Data Store'!$Y$7)+1),COUNTIF($AC$8:AC241,AC241))),"")</f>
        <v/>
      </c>
      <c r="Z241" s="108" t="str">
        <f t="array" ref="Z241">IF(ISNUMBER(AC241),INDEX('All Player Data Store'!$V$7:$V$594,SMALL(IF('All Player Data Store'!$Y$7:$Y$594=AC241,ROW('All Player Data Store'!$Y$7:$Y$594)-ROW('All Player Data Store'!$Y$7)+1),COUNTIF($AC$8:AC241,AC241))),"")</f>
        <v/>
      </c>
      <c r="AA241" s="112" t="str">
        <f t="array" ref="AA241">IF(ISNUMBER(AC241),INDEX('All Player Data Store'!$W$7:$W$594,SMALL(IF('All Player Data Store'!$Y$7:$Y$594=AC241,ROW('All Player Data Store'!$Y$7:$Y$594)-ROW('All Player Data Store'!$Y$7)+1),COUNTIF($AC$8:AC241,AC241))),"")</f>
        <v/>
      </c>
      <c r="AB241" s="108" t="str">
        <f t="array" ref="AB241">IF(ISNUMBER(AC241),INDEX('All Player Data Store'!$X$7:$X$594,SMALL(IF('All Player Data Store'!$Y$7:$Y$594=AC241,ROW('All Player Data Store'!$Y$7:$Y$594)-ROW('All Player Data Store'!$Y$7)+1),COUNTIF($AC$8:AC241,AC241))),"")</f>
        <v/>
      </c>
      <c r="AC241" s="115" t="str">
        <f>IF(ISERROR(IF(ISERROR(LARGE('All Player Data Store'!$Y$7:$Y$594,234)),"",(LARGE('All Player Data Store'!$Y$7:$Y$594,234)))),"",(IF(ISERROR(LARGE('All Player Data Store'!$Y$7:$Y$594,234)),"",(LARGE('All Player Data Store'!$Y$7:$Y$594,234)))))</f>
        <v/>
      </c>
      <c r="AD241" s="106">
        <f t="shared" si="16"/>
        <v>1</v>
      </c>
      <c r="AE241" s="107" t="str">
        <f t="array" ref="AE241">IF(ISNUMBER(AC241),INDEX('All Player Data Store'!$J$8:$J$594,SMALL(IF('All Player Data Store'!$Y$7:$Y$594=AC241,ROW('All Player Data Store'!$Y$7:$Y$594)-ROW('All Player Data Store'!$Y$7)+1),COUNTIF($AC$8:AC241,AC241))),"")</f>
        <v/>
      </c>
      <c r="AF241" s="108" t="str">
        <f t="shared" si="3"/>
        <v/>
      </c>
      <c r="AG241" s="108" t="str">
        <f t="array" ref="AG241">IF(ISNUMBER(AC241),INDEX('All Player Data Store'!$K$8:$K$594,SMALL(IF('All Player Data Store'!$Y$7:$Y$594=AC241,ROW('All Player Data Store'!$Y$7:$Y$594)-ROW('All Player Data Store'!$Y$7)+1),COUNTIF($AC$8:AC241,AC241))),"")</f>
        <v/>
      </c>
      <c r="AH241" s="108" t="str">
        <f t="shared" si="4"/>
        <v/>
      </c>
      <c r="AI241" s="108" t="str">
        <f t="array" ref="AI241">IF(ISNUMBER(AC241),INDEX('All Player Data Store'!$L$8:$L$594,SMALL(IF('All Player Data Store'!$Y$7:$Y$594=AC241,ROW('All Player Data Store'!$Y$7:$Y$594)-ROW('All Player Data Store'!$Y$7)+1),COUNTIF($AC$8:AC241,AC241))),"")</f>
        <v/>
      </c>
      <c r="AJ241" s="108" t="str">
        <f t="shared" si="5"/>
        <v/>
      </c>
      <c r="AK241" s="108" t="str">
        <f t="array" ref="AK241">IF(ISNUMBER(AC241),INDEX('All Player Data Store'!$M$8:$M$594,SMALL(IF('All Player Data Store'!$Y$7:$Y$594=AC241,ROW('All Player Data Store'!$Y$7:$Y$594)-ROW('All Player Data Store'!$Y$7)+1),COUNTIF($AC$8:AC241,AC241))),"")</f>
        <v/>
      </c>
      <c r="AL241" s="108" t="str">
        <f t="shared" si="6"/>
        <v/>
      </c>
      <c r="AM241" s="108" t="str">
        <f t="array" ref="AM241">IF(ISNUMBER(AC241),INDEX('All Player Data Store'!$N$8:$N$594,SMALL(IF('All Player Data Store'!$Y$7:$Y$594=AC241,ROW('All Player Data Store'!$Y$7:$Y$594)-ROW('All Player Data Store'!$Y$7)+1),COUNTIF($AC$8:AC241,AC241))),"")</f>
        <v/>
      </c>
      <c r="AN241" s="108" t="str">
        <f t="shared" si="7"/>
        <v/>
      </c>
      <c r="AO241" s="108" t="str">
        <f t="array" ref="AO241">IF(ISNUMBER(AC241),INDEX('All Player Data Store'!$O$8:$O$594,SMALL(IF('All Player Data Store'!$Y$7:$Y$594=AC241,ROW('All Player Data Store'!$Y$7:$Y$594)-ROW('All Player Data Store'!$Y$7)+1),COUNTIF($AC$8:AC241,AC241))),"")</f>
        <v/>
      </c>
      <c r="AP241" s="108" t="str">
        <f t="shared" si="8"/>
        <v/>
      </c>
      <c r="AQ241" s="108" t="str">
        <f t="array" ref="AQ241">IF(ISNUMBER(AC241),INDEX('All Player Data Store'!$P$8:$P$594,SMALL(IF('All Player Data Store'!$Y$7:$Y$594=AC241,ROW('All Player Data Store'!$Y$7:$Y$594)-ROW('All Player Data Store'!$Y$7)+1),COUNTIF($AC$8:AC241,AC241))),"")</f>
        <v/>
      </c>
      <c r="AR241" s="108" t="str">
        <f t="shared" si="9"/>
        <v/>
      </c>
      <c r="AS241" s="108" t="str">
        <f t="array" ref="AS241">IF(ISNUMBER(AC241),INDEX('All Player Data Store'!$Q$8:$Q$594,SMALL(IF('All Player Data Store'!$Y$7:$Y$594=AC241,ROW('All Player Data Store'!$Y$7:$Y$594)-ROW('All Player Data Store'!$Y$7)+1),COUNTIF($AC$8:AC241,AC241))),"")</f>
        <v/>
      </c>
      <c r="AT241" s="108" t="str">
        <f t="shared" si="10"/>
        <v/>
      </c>
      <c r="AU241" s="108" t="str">
        <f t="array" ref="AU241">IF(ISNUMBER(AC241),INDEX('All Player Data Store'!$R$8:$R$594,SMALL(IF('All Player Data Store'!$Y$7:$Y$594=AC241,ROW('All Player Data Store'!$Y$7:$Y$594)-ROW('All Player Data Store'!$Y$7)+1),COUNTIF($AC$8:AC241,AC241))),"")</f>
        <v/>
      </c>
      <c r="AV241" s="108" t="str">
        <f t="shared" si="11"/>
        <v/>
      </c>
      <c r="AW241" s="108" t="str">
        <f t="array" ref="AW241">IF(ISNUMBER(AC241),INDEX('All Player Data Store'!$S$8:$S$594,SMALL(IF('All Player Data Store'!$Y$7:$Y$594=AC241,ROW('All Player Data Store'!$Y$7:$Y$594)-ROW('All Player Data Store'!$Y$7)+1),COUNTIF($AC$8:AC241,AC241))),"")</f>
        <v/>
      </c>
      <c r="AX241" s="108" t="str">
        <f t="shared" si="12"/>
        <v/>
      </c>
      <c r="AY241" s="108" t="str">
        <f t="array" ref="AY241">IF(ISNUMBER(AC241),INDEX('All Player Data Store'!$T$8:$T$594,SMALL(IF('All Player Data Store'!$Y$7:$Y$594=AC241,ROW('All Player Data Store'!$Y$7:$Y$594)-ROW('All Player Data Store'!$Y$7)+1),COUNTIF($AC$8:AC241,AC241))),"")</f>
        <v/>
      </c>
      <c r="AZ241" s="108" t="str">
        <f t="shared" si="13"/>
        <v/>
      </c>
      <c r="BA241" s="108" t="str">
        <f t="array" ref="BA241">IF(ISNUMBER(AC241),INDEX('All Player Data Store'!$U$8:$U$594,SMALL(IF('All Player Data Store'!$Y$7:$Y$594=AC241,ROW('All Player Data Store'!$Y$7:$Y$594)-ROW('All Player Data Store'!$Y$7)+1),COUNTIF($AC$8:AC241,AC241))),"")</f>
        <v/>
      </c>
      <c r="BB241" s="108" t="str">
        <f t="shared" si="14"/>
        <v/>
      </c>
      <c r="BC241" s="108" t="str">
        <f t="array" ref="BC241">IF(ISNUMBER(AC241),INDEX('All Player Data Store'!$V$8:$V$594,SMALL(IF('All Player Data Store'!$Y$7:$Y$594=AC241,ROW('All Player Data Store'!$Y$7:$Y$594)-ROW('All Player Data Store'!$Y$7)+1),COUNTIF($AC$8:AC241,AC241))),"")</f>
        <v/>
      </c>
      <c r="BD241" s="108" t="str">
        <f t="shared" si="15"/>
        <v/>
      </c>
      <c r="BE241" s="1"/>
    </row>
    <row r="242" spans="2:57" ht="12" customHeight="1" x14ac:dyDescent="0.2">
      <c r="B242" s="118" t="str">
        <f t="shared" si="0"/>
        <v/>
      </c>
      <c r="C242" s="1"/>
      <c r="D242" s="68" t="str">
        <f t="shared" si="1"/>
        <v/>
      </c>
      <c r="E242" s="2"/>
      <c r="F242" s="78">
        <v>235</v>
      </c>
      <c r="G242" s="110" t="str">
        <f t="array" ref="G242">IF(ISNUMBER(AC242),INDEX('All Player Data Store'!$C$7:$C$594,SMALL(IF('All Player Data Store'!$Y$7:$Y$594=AC242,ROW('All Player Data Store'!$Y$7:$Y$594)-ROW('All Player Data Store'!$Y$7)+1),COUNTIF($AC$8:AC242,AC242))),"")</f>
        <v/>
      </c>
      <c r="H242" s="68" t="str">
        <f t="array" ref="H242">IF(ISNUMBER(AC242),INDEX('All Player Data Store'!$D$7:$D$594,SMALL(IF('All Player Data Store'!$Y$7:$Y$594=AC242,ROW('All Player Data Store'!$Y$7:$Y$594)-ROW('All Player Data Store'!$Y$7)+1),COUNTIF($AC$8:AC242,AC242))),"")</f>
        <v/>
      </c>
      <c r="I242" s="69" t="str">
        <f t="array" ref="I242">IF(ISNUMBER(AC242),INDEX('All Player Data Store'!$E$7:$E$594,SMALL(IF('All Player Data Store'!$Y$7:$Y$594=AC242,ROW('All Player Data Store'!$Y$7:$Y$594)-ROW('All Player Data Store'!$Y$7)+1),COUNTIF($AC$8:AC242,AC242))),"")</f>
        <v/>
      </c>
      <c r="J242" s="70" t="str">
        <f t="array" ref="J242">IF(ISNUMBER(AC242),INDEX('All Player Data Store'!$F$7:$F$594,SMALL(IF('All Player Data Store'!$Y$7:$Y$594=AC242,ROW('All Player Data Store'!$Y$7:$Y$594)-ROW('All Player Data Store'!$Y$7)+1),COUNTIF($AC$8:AC242,AC242))),"")</f>
        <v/>
      </c>
      <c r="K242" s="70" t="str">
        <f t="array" ref="K242">IF(ISNUMBER(AC242),INDEX('All Player Data Store'!$G$7:$G$594,SMALL(IF('All Player Data Store'!$Y$7:$Y$594=AC242,ROW('All Player Data Store'!$Y$7:$Y$594)-ROW('All Player Data Store'!$Y$7)+1),COUNTIF($AC$8:AC242,AC242))),"")</f>
        <v/>
      </c>
      <c r="L242" s="70" t="str">
        <f t="array" ref="L242">IF(ISNUMBER(AC242),INDEX('All Player Data Store'!$H$7:$H$594,SMALL(IF('All Player Data Store'!$Y$7:$Y$594=AC242,ROW('All Player Data Store'!$Y$7:$Y$594)-ROW('All Player Data Store'!$Y$7)+1),COUNTIF($AC$8:AC242,AC242))),"")</f>
        <v/>
      </c>
      <c r="M242" s="72" t="str">
        <f t="array" ref="M242">IF(ISNUMBER(AC242),INDEX('All Player Data Store'!$I$7:$I$594,SMALL(IF('All Player Data Store'!$Y$7:$Y$594=AC242,ROW('All Player Data Store'!$Y$7:$Y$594)-ROW('All Player Data Store'!$Y$7)+1),COUNTIF($AC$8:AC242,AC242))),"")</f>
        <v/>
      </c>
      <c r="N242" s="114" t="str">
        <f t="array" ref="N242">IF(ISNUMBER(AC242),INDEX('All Player Data Store'!$J$7:$J$594,SMALL(IF('All Player Data Store'!$Y$7:$Y$594=AC242,ROW('All Player Data Store'!$Y$7:$Y$594)-ROW('All Player Data Store'!$Y$7)+1),COUNTIF($AC$8:AC242,AC242))),"")</f>
        <v/>
      </c>
      <c r="O242" s="108" t="str">
        <f t="array" ref="O242">IF(ISNUMBER(AC242),INDEX('All Player Data Store'!$K$7:$K$594,SMALL(IF('All Player Data Store'!$Y$7:$Y$594=AC242,ROW('All Player Data Store'!$Y$7:$Y$594)-ROW('All Player Data Store'!$Y$7)+1),COUNTIF($AC$8:AC242,AC242))),"")</f>
        <v/>
      </c>
      <c r="P242" s="108" t="str">
        <f t="array" ref="P242">IF(ISNUMBER(AC242),INDEX('All Player Data Store'!$L$7:$L$594,SMALL(IF('All Player Data Store'!$Y$7:$Y$594=AC242,ROW('All Player Data Store'!$Y$7:$Y$594)-ROW('All Player Data Store'!$Y$7)+1),COUNTIF($AC$8:AC242,AC242))),"")</f>
        <v/>
      </c>
      <c r="Q242" s="108" t="str">
        <f t="array" ref="Q242">IF(ISNUMBER(AC242),INDEX('All Player Data Store'!$M$7:$M$594,SMALL(IF('All Player Data Store'!$Y$7:$Y$594=AC242,ROW('All Player Data Store'!$Y$7:$Y$594)-ROW('All Player Data Store'!$Y$7)+1),COUNTIF($AC$8:AC242,AC242))),"")</f>
        <v/>
      </c>
      <c r="R242" s="108" t="str">
        <f t="array" ref="R242">IF(ISNUMBER(AC242),INDEX('All Player Data Store'!$N$7:$N$594,SMALL(IF('All Player Data Store'!$Y$7:$Y$594=AC242,ROW('All Player Data Store'!$Y$7:$Y$594)-ROW('All Player Data Store'!$Y$7)+1),COUNTIF($AC$8:AC242,AC242))),"")</f>
        <v/>
      </c>
      <c r="S242" s="108" t="str">
        <f t="array" ref="S242">IF(ISNUMBER(AC242),INDEX('All Player Data Store'!$O$7:$O$594,SMALL(IF('All Player Data Store'!$Y$7:$Y$594=AC242,ROW('All Player Data Store'!$Y$7:$Y$594)-ROW('All Player Data Store'!$Y$7)+1),COUNTIF($AC$8:AC242,AC242))),"")</f>
        <v/>
      </c>
      <c r="T242" s="108" t="str">
        <f t="array" ref="T242">IF(ISNUMBER(AC242),INDEX('All Player Data Store'!$P$7:$P$594,SMALL(IF('All Player Data Store'!$Y$7:$Y$594=AC242,ROW('All Player Data Store'!$Y$7:$Y$594)-ROW('All Player Data Store'!$Y$7)+1),COUNTIF($AC$8:AC242,AC242))),"")</f>
        <v/>
      </c>
      <c r="U242" s="108" t="str">
        <f t="array" ref="U242">IF(ISNUMBER(AC242),INDEX('All Player Data Store'!$Q$7:$Q$594,SMALL(IF('All Player Data Store'!$Y$7:$Y$594=AC242,ROW('All Player Data Store'!$Y$7:$Y$594)-ROW('All Player Data Store'!$Y$7)+1),COUNTIF($AC$8:AC242,AC242))),"")</f>
        <v/>
      </c>
      <c r="V242" s="108" t="str">
        <f t="array" ref="V242">IF(ISNUMBER(AC242),INDEX('All Player Data Store'!$R$7:$R$594,SMALL(IF('All Player Data Store'!$Y$7:$Y$594=AC242,ROW('All Player Data Store'!$Y$7:$Y$594)-ROW('All Player Data Store'!$Y$7)+1),COUNTIF($AC$8:AC242,AC242))),"")</f>
        <v/>
      </c>
      <c r="W242" s="108" t="str">
        <f t="array" ref="W242">IF(ISNUMBER(AC242),INDEX('All Player Data Store'!$S$7:$S$594,SMALL(IF('All Player Data Store'!$Y$7:$Y$594=AC242,ROW('All Player Data Store'!$Y$7:$Y$594)-ROW('All Player Data Store'!$Y$7)+1),COUNTIF($AC$8:AC242,AC242))),"")</f>
        <v/>
      </c>
      <c r="X242" s="108" t="str">
        <f t="array" ref="X242">IF(ISNUMBER(AC242),INDEX('All Player Data Store'!$T$7:$T$594,SMALL(IF('All Player Data Store'!$Y$7:$Y$594=AC242,ROW('All Player Data Store'!$Y$7:$Y$594)-ROW('All Player Data Store'!$Y$7)+1),COUNTIF($AC$8:AC242,AC242))),"")</f>
        <v/>
      </c>
      <c r="Y242" s="108" t="str">
        <f t="array" ref="Y242">IF(ISNUMBER(AC242),INDEX('All Player Data Store'!$U$7:$U$594,SMALL(IF('All Player Data Store'!$Y$7:$Y$594=AC242,ROW('All Player Data Store'!$Y$7:$Y$594)-ROW('All Player Data Store'!$Y$7)+1),COUNTIF($AC$8:AC242,AC242))),"")</f>
        <v/>
      </c>
      <c r="Z242" s="108" t="str">
        <f t="array" ref="Z242">IF(ISNUMBER(AC242),INDEX('All Player Data Store'!$V$7:$V$594,SMALL(IF('All Player Data Store'!$Y$7:$Y$594=AC242,ROW('All Player Data Store'!$Y$7:$Y$594)-ROW('All Player Data Store'!$Y$7)+1),COUNTIF($AC$8:AC242,AC242))),"")</f>
        <v/>
      </c>
      <c r="AA242" s="112" t="str">
        <f t="array" ref="AA242">IF(ISNUMBER(AC242),INDEX('All Player Data Store'!$W$7:$W$594,SMALL(IF('All Player Data Store'!$Y$7:$Y$594=AC242,ROW('All Player Data Store'!$Y$7:$Y$594)-ROW('All Player Data Store'!$Y$7)+1),COUNTIF($AC$8:AC242,AC242))),"")</f>
        <v/>
      </c>
      <c r="AB242" s="108" t="str">
        <f t="array" ref="AB242">IF(ISNUMBER(AC242),INDEX('All Player Data Store'!$X$7:$X$594,SMALL(IF('All Player Data Store'!$Y$7:$Y$594=AC242,ROW('All Player Data Store'!$Y$7:$Y$594)-ROW('All Player Data Store'!$Y$7)+1),COUNTIF($AC$8:AC242,AC242))),"")</f>
        <v/>
      </c>
      <c r="AC242" s="115" t="str">
        <f>IF(ISERROR(IF(ISERROR(LARGE('All Player Data Store'!$Y$7:$Y$594,235)),"",(LARGE('All Player Data Store'!$Y$7:$Y$594,235)))),"",(IF(ISERROR(LARGE('All Player Data Store'!$Y$7:$Y$594,235)),"",(LARGE('All Player Data Store'!$Y$7:$Y$594,235)))))</f>
        <v/>
      </c>
      <c r="AD242" s="106">
        <f t="shared" si="16"/>
        <v>1</v>
      </c>
      <c r="AE242" s="107" t="str">
        <f t="array" ref="AE242">IF(ISNUMBER(AC242),INDEX('All Player Data Store'!$J$8:$J$594,SMALL(IF('All Player Data Store'!$Y$7:$Y$594=AC242,ROW('All Player Data Store'!$Y$7:$Y$594)-ROW('All Player Data Store'!$Y$7)+1),COUNTIF($AC$8:AC242,AC242))),"")</f>
        <v/>
      </c>
      <c r="AF242" s="108" t="str">
        <f t="shared" si="3"/>
        <v/>
      </c>
      <c r="AG242" s="108" t="str">
        <f t="array" ref="AG242">IF(ISNUMBER(AC242),INDEX('All Player Data Store'!$K$8:$K$594,SMALL(IF('All Player Data Store'!$Y$7:$Y$594=AC242,ROW('All Player Data Store'!$Y$7:$Y$594)-ROW('All Player Data Store'!$Y$7)+1),COUNTIF($AC$8:AC242,AC242))),"")</f>
        <v/>
      </c>
      <c r="AH242" s="108" t="str">
        <f t="shared" si="4"/>
        <v/>
      </c>
      <c r="AI242" s="108" t="str">
        <f t="array" ref="AI242">IF(ISNUMBER(AC242),INDEX('All Player Data Store'!$L$8:$L$594,SMALL(IF('All Player Data Store'!$Y$7:$Y$594=AC242,ROW('All Player Data Store'!$Y$7:$Y$594)-ROW('All Player Data Store'!$Y$7)+1),COUNTIF($AC$8:AC242,AC242))),"")</f>
        <v/>
      </c>
      <c r="AJ242" s="108" t="str">
        <f t="shared" si="5"/>
        <v/>
      </c>
      <c r="AK242" s="108" t="str">
        <f t="array" ref="AK242">IF(ISNUMBER(AC242),INDEX('All Player Data Store'!$M$8:$M$594,SMALL(IF('All Player Data Store'!$Y$7:$Y$594=AC242,ROW('All Player Data Store'!$Y$7:$Y$594)-ROW('All Player Data Store'!$Y$7)+1),COUNTIF($AC$8:AC242,AC242))),"")</f>
        <v/>
      </c>
      <c r="AL242" s="108" t="str">
        <f t="shared" si="6"/>
        <v/>
      </c>
      <c r="AM242" s="108" t="str">
        <f t="array" ref="AM242">IF(ISNUMBER(AC242),INDEX('All Player Data Store'!$N$8:$N$594,SMALL(IF('All Player Data Store'!$Y$7:$Y$594=AC242,ROW('All Player Data Store'!$Y$7:$Y$594)-ROW('All Player Data Store'!$Y$7)+1),COUNTIF($AC$8:AC242,AC242))),"")</f>
        <v/>
      </c>
      <c r="AN242" s="108" t="str">
        <f t="shared" si="7"/>
        <v/>
      </c>
      <c r="AO242" s="108" t="str">
        <f t="array" ref="AO242">IF(ISNUMBER(AC242),INDEX('All Player Data Store'!$O$8:$O$594,SMALL(IF('All Player Data Store'!$Y$7:$Y$594=AC242,ROW('All Player Data Store'!$Y$7:$Y$594)-ROW('All Player Data Store'!$Y$7)+1),COUNTIF($AC$8:AC242,AC242))),"")</f>
        <v/>
      </c>
      <c r="AP242" s="108" t="str">
        <f t="shared" si="8"/>
        <v/>
      </c>
      <c r="AQ242" s="108" t="str">
        <f t="array" ref="AQ242">IF(ISNUMBER(AC242),INDEX('All Player Data Store'!$P$8:$P$594,SMALL(IF('All Player Data Store'!$Y$7:$Y$594=AC242,ROW('All Player Data Store'!$Y$7:$Y$594)-ROW('All Player Data Store'!$Y$7)+1),COUNTIF($AC$8:AC242,AC242))),"")</f>
        <v/>
      </c>
      <c r="AR242" s="108" t="str">
        <f t="shared" si="9"/>
        <v/>
      </c>
      <c r="AS242" s="108" t="str">
        <f t="array" ref="AS242">IF(ISNUMBER(AC242),INDEX('All Player Data Store'!$Q$8:$Q$594,SMALL(IF('All Player Data Store'!$Y$7:$Y$594=AC242,ROW('All Player Data Store'!$Y$7:$Y$594)-ROW('All Player Data Store'!$Y$7)+1),COUNTIF($AC$8:AC242,AC242))),"")</f>
        <v/>
      </c>
      <c r="AT242" s="108" t="str">
        <f t="shared" si="10"/>
        <v/>
      </c>
      <c r="AU242" s="108" t="str">
        <f t="array" ref="AU242">IF(ISNUMBER(AC242),INDEX('All Player Data Store'!$R$8:$R$594,SMALL(IF('All Player Data Store'!$Y$7:$Y$594=AC242,ROW('All Player Data Store'!$Y$7:$Y$594)-ROW('All Player Data Store'!$Y$7)+1),COUNTIF($AC$8:AC242,AC242))),"")</f>
        <v/>
      </c>
      <c r="AV242" s="108" t="str">
        <f t="shared" si="11"/>
        <v/>
      </c>
      <c r="AW242" s="108" t="str">
        <f t="array" ref="AW242">IF(ISNUMBER(AC242),INDEX('All Player Data Store'!$S$8:$S$594,SMALL(IF('All Player Data Store'!$Y$7:$Y$594=AC242,ROW('All Player Data Store'!$Y$7:$Y$594)-ROW('All Player Data Store'!$Y$7)+1),COUNTIF($AC$8:AC242,AC242))),"")</f>
        <v/>
      </c>
      <c r="AX242" s="108" t="str">
        <f t="shared" si="12"/>
        <v/>
      </c>
      <c r="AY242" s="108" t="str">
        <f t="array" ref="AY242">IF(ISNUMBER(AC242),INDEX('All Player Data Store'!$T$8:$T$594,SMALL(IF('All Player Data Store'!$Y$7:$Y$594=AC242,ROW('All Player Data Store'!$Y$7:$Y$594)-ROW('All Player Data Store'!$Y$7)+1),COUNTIF($AC$8:AC242,AC242))),"")</f>
        <v/>
      </c>
      <c r="AZ242" s="108" t="str">
        <f t="shared" si="13"/>
        <v/>
      </c>
      <c r="BA242" s="108" t="str">
        <f t="array" ref="BA242">IF(ISNUMBER(AC242),INDEX('All Player Data Store'!$U$8:$U$594,SMALL(IF('All Player Data Store'!$Y$7:$Y$594=AC242,ROW('All Player Data Store'!$Y$7:$Y$594)-ROW('All Player Data Store'!$Y$7)+1),COUNTIF($AC$8:AC242,AC242))),"")</f>
        <v/>
      </c>
      <c r="BB242" s="108" t="str">
        <f t="shared" si="14"/>
        <v/>
      </c>
      <c r="BC242" s="108" t="str">
        <f t="array" ref="BC242">IF(ISNUMBER(AC242),INDEX('All Player Data Store'!$V$8:$V$594,SMALL(IF('All Player Data Store'!$Y$7:$Y$594=AC242,ROW('All Player Data Store'!$Y$7:$Y$594)-ROW('All Player Data Store'!$Y$7)+1),COUNTIF($AC$8:AC242,AC242))),"")</f>
        <v/>
      </c>
      <c r="BD242" s="108" t="str">
        <f t="shared" si="15"/>
        <v/>
      </c>
      <c r="BE242" s="1"/>
    </row>
    <row r="243" spans="2:57" ht="12" customHeight="1" x14ac:dyDescent="0.2">
      <c r="B243" s="118" t="str">
        <f t="shared" si="0"/>
        <v/>
      </c>
      <c r="C243" s="1"/>
      <c r="D243" s="68" t="str">
        <f t="shared" si="1"/>
        <v/>
      </c>
      <c r="E243" s="2"/>
      <c r="F243" s="78">
        <v>236</v>
      </c>
      <c r="G243" s="110" t="str">
        <f t="array" ref="G243">IF(ISNUMBER(AC243),INDEX('All Player Data Store'!$C$7:$C$594,SMALL(IF('All Player Data Store'!$Y$7:$Y$594=AC243,ROW('All Player Data Store'!$Y$7:$Y$594)-ROW('All Player Data Store'!$Y$7)+1),COUNTIF($AC$8:AC243,AC243))),"")</f>
        <v/>
      </c>
      <c r="H243" s="68" t="str">
        <f t="array" ref="H243">IF(ISNUMBER(AC243),INDEX('All Player Data Store'!$D$7:$D$594,SMALL(IF('All Player Data Store'!$Y$7:$Y$594=AC243,ROW('All Player Data Store'!$Y$7:$Y$594)-ROW('All Player Data Store'!$Y$7)+1),COUNTIF($AC$8:AC243,AC243))),"")</f>
        <v/>
      </c>
      <c r="I243" s="69" t="str">
        <f t="array" ref="I243">IF(ISNUMBER(AC243),INDEX('All Player Data Store'!$E$7:$E$594,SMALL(IF('All Player Data Store'!$Y$7:$Y$594=AC243,ROW('All Player Data Store'!$Y$7:$Y$594)-ROW('All Player Data Store'!$Y$7)+1),COUNTIF($AC$8:AC243,AC243))),"")</f>
        <v/>
      </c>
      <c r="J243" s="70" t="str">
        <f t="array" ref="J243">IF(ISNUMBER(AC243),INDEX('All Player Data Store'!$F$7:$F$594,SMALL(IF('All Player Data Store'!$Y$7:$Y$594=AC243,ROW('All Player Data Store'!$Y$7:$Y$594)-ROW('All Player Data Store'!$Y$7)+1),COUNTIF($AC$8:AC243,AC243))),"")</f>
        <v/>
      </c>
      <c r="K243" s="70" t="str">
        <f t="array" ref="K243">IF(ISNUMBER(AC243),INDEX('All Player Data Store'!$G$7:$G$594,SMALL(IF('All Player Data Store'!$Y$7:$Y$594=AC243,ROW('All Player Data Store'!$Y$7:$Y$594)-ROW('All Player Data Store'!$Y$7)+1),COUNTIF($AC$8:AC243,AC243))),"")</f>
        <v/>
      </c>
      <c r="L243" s="70" t="str">
        <f t="array" ref="L243">IF(ISNUMBER(AC243),INDEX('All Player Data Store'!$H$7:$H$594,SMALL(IF('All Player Data Store'!$Y$7:$Y$594=AC243,ROW('All Player Data Store'!$Y$7:$Y$594)-ROW('All Player Data Store'!$Y$7)+1),COUNTIF($AC$8:AC243,AC243))),"")</f>
        <v/>
      </c>
      <c r="M243" s="72" t="str">
        <f t="array" ref="M243">IF(ISNUMBER(AC243),INDEX('All Player Data Store'!$I$7:$I$594,SMALL(IF('All Player Data Store'!$Y$7:$Y$594=AC243,ROW('All Player Data Store'!$Y$7:$Y$594)-ROW('All Player Data Store'!$Y$7)+1),COUNTIF($AC$8:AC243,AC243))),"")</f>
        <v/>
      </c>
      <c r="N243" s="114" t="str">
        <f t="array" ref="N243">IF(ISNUMBER(AC243),INDEX('All Player Data Store'!$J$7:$J$594,SMALL(IF('All Player Data Store'!$Y$7:$Y$594=AC243,ROW('All Player Data Store'!$Y$7:$Y$594)-ROW('All Player Data Store'!$Y$7)+1),COUNTIF($AC$8:AC243,AC243))),"")</f>
        <v/>
      </c>
      <c r="O243" s="108" t="str">
        <f t="array" ref="O243">IF(ISNUMBER(AC243),INDEX('All Player Data Store'!$K$7:$K$594,SMALL(IF('All Player Data Store'!$Y$7:$Y$594=AC243,ROW('All Player Data Store'!$Y$7:$Y$594)-ROW('All Player Data Store'!$Y$7)+1),COUNTIF($AC$8:AC243,AC243))),"")</f>
        <v/>
      </c>
      <c r="P243" s="108" t="str">
        <f t="array" ref="P243">IF(ISNUMBER(AC243),INDEX('All Player Data Store'!$L$7:$L$594,SMALL(IF('All Player Data Store'!$Y$7:$Y$594=AC243,ROW('All Player Data Store'!$Y$7:$Y$594)-ROW('All Player Data Store'!$Y$7)+1),COUNTIF($AC$8:AC243,AC243))),"")</f>
        <v/>
      </c>
      <c r="Q243" s="108" t="str">
        <f t="array" ref="Q243">IF(ISNUMBER(AC243),INDEX('All Player Data Store'!$M$7:$M$594,SMALL(IF('All Player Data Store'!$Y$7:$Y$594=AC243,ROW('All Player Data Store'!$Y$7:$Y$594)-ROW('All Player Data Store'!$Y$7)+1),COUNTIF($AC$8:AC243,AC243))),"")</f>
        <v/>
      </c>
      <c r="R243" s="108" t="str">
        <f t="array" ref="R243">IF(ISNUMBER(AC243),INDEX('All Player Data Store'!$N$7:$N$594,SMALL(IF('All Player Data Store'!$Y$7:$Y$594=AC243,ROW('All Player Data Store'!$Y$7:$Y$594)-ROW('All Player Data Store'!$Y$7)+1),COUNTIF($AC$8:AC243,AC243))),"")</f>
        <v/>
      </c>
      <c r="S243" s="108" t="str">
        <f t="array" ref="S243">IF(ISNUMBER(AC243),INDEX('All Player Data Store'!$O$7:$O$594,SMALL(IF('All Player Data Store'!$Y$7:$Y$594=AC243,ROW('All Player Data Store'!$Y$7:$Y$594)-ROW('All Player Data Store'!$Y$7)+1),COUNTIF($AC$8:AC243,AC243))),"")</f>
        <v/>
      </c>
      <c r="T243" s="108" t="str">
        <f t="array" ref="T243">IF(ISNUMBER(AC243),INDEX('All Player Data Store'!$P$7:$P$594,SMALL(IF('All Player Data Store'!$Y$7:$Y$594=AC243,ROW('All Player Data Store'!$Y$7:$Y$594)-ROW('All Player Data Store'!$Y$7)+1),COUNTIF($AC$8:AC243,AC243))),"")</f>
        <v/>
      </c>
      <c r="U243" s="108" t="str">
        <f t="array" ref="U243">IF(ISNUMBER(AC243),INDEX('All Player Data Store'!$Q$7:$Q$594,SMALL(IF('All Player Data Store'!$Y$7:$Y$594=AC243,ROW('All Player Data Store'!$Y$7:$Y$594)-ROW('All Player Data Store'!$Y$7)+1),COUNTIF($AC$8:AC243,AC243))),"")</f>
        <v/>
      </c>
      <c r="V243" s="108" t="str">
        <f t="array" ref="V243">IF(ISNUMBER(AC243),INDEX('All Player Data Store'!$R$7:$R$594,SMALL(IF('All Player Data Store'!$Y$7:$Y$594=AC243,ROW('All Player Data Store'!$Y$7:$Y$594)-ROW('All Player Data Store'!$Y$7)+1),COUNTIF($AC$8:AC243,AC243))),"")</f>
        <v/>
      </c>
      <c r="W243" s="108" t="str">
        <f t="array" ref="W243">IF(ISNUMBER(AC243),INDEX('All Player Data Store'!$S$7:$S$594,SMALL(IF('All Player Data Store'!$Y$7:$Y$594=AC243,ROW('All Player Data Store'!$Y$7:$Y$594)-ROW('All Player Data Store'!$Y$7)+1),COUNTIF($AC$8:AC243,AC243))),"")</f>
        <v/>
      </c>
      <c r="X243" s="108" t="str">
        <f t="array" ref="X243">IF(ISNUMBER(AC243),INDEX('All Player Data Store'!$T$7:$T$594,SMALL(IF('All Player Data Store'!$Y$7:$Y$594=AC243,ROW('All Player Data Store'!$Y$7:$Y$594)-ROW('All Player Data Store'!$Y$7)+1),COUNTIF($AC$8:AC243,AC243))),"")</f>
        <v/>
      </c>
      <c r="Y243" s="108" t="str">
        <f t="array" ref="Y243">IF(ISNUMBER(AC243),INDEX('All Player Data Store'!$U$7:$U$594,SMALL(IF('All Player Data Store'!$Y$7:$Y$594=AC243,ROW('All Player Data Store'!$Y$7:$Y$594)-ROW('All Player Data Store'!$Y$7)+1),COUNTIF($AC$8:AC243,AC243))),"")</f>
        <v/>
      </c>
      <c r="Z243" s="108" t="str">
        <f t="array" ref="Z243">IF(ISNUMBER(AC243),INDEX('All Player Data Store'!$V$7:$V$594,SMALL(IF('All Player Data Store'!$Y$7:$Y$594=AC243,ROW('All Player Data Store'!$Y$7:$Y$594)-ROW('All Player Data Store'!$Y$7)+1),COUNTIF($AC$8:AC243,AC243))),"")</f>
        <v/>
      </c>
      <c r="AA243" s="112" t="str">
        <f t="array" ref="AA243">IF(ISNUMBER(AC243),INDEX('All Player Data Store'!$W$7:$W$594,SMALL(IF('All Player Data Store'!$Y$7:$Y$594=AC243,ROW('All Player Data Store'!$Y$7:$Y$594)-ROW('All Player Data Store'!$Y$7)+1),COUNTIF($AC$8:AC243,AC243))),"")</f>
        <v/>
      </c>
      <c r="AB243" s="108" t="str">
        <f t="array" ref="AB243">IF(ISNUMBER(AC243),INDEX('All Player Data Store'!$X$7:$X$594,SMALL(IF('All Player Data Store'!$Y$7:$Y$594=AC243,ROW('All Player Data Store'!$Y$7:$Y$594)-ROW('All Player Data Store'!$Y$7)+1),COUNTIF($AC$8:AC243,AC243))),"")</f>
        <v/>
      </c>
      <c r="AC243" s="115" t="str">
        <f>IF(ISERROR(IF(ISERROR(LARGE('All Player Data Store'!$Y$7:$Y$594,236)),"",(LARGE('All Player Data Store'!$Y$7:$Y$594,236)))),"",(IF(ISERROR(LARGE('All Player Data Store'!$Y$7:$Y$594,236)),"",(LARGE('All Player Data Store'!$Y$7:$Y$594,236)))))</f>
        <v/>
      </c>
      <c r="AD243" s="106">
        <f t="shared" si="16"/>
        <v>1</v>
      </c>
      <c r="AE243" s="107" t="str">
        <f t="array" ref="AE243">IF(ISNUMBER(AC243),INDEX('All Player Data Store'!$J$8:$J$594,SMALL(IF('All Player Data Store'!$Y$7:$Y$594=AC243,ROW('All Player Data Store'!$Y$7:$Y$594)-ROW('All Player Data Store'!$Y$7)+1),COUNTIF($AC$8:AC243,AC243))),"")</f>
        <v/>
      </c>
      <c r="AF243" s="108" t="str">
        <f t="shared" si="3"/>
        <v/>
      </c>
      <c r="AG243" s="108" t="str">
        <f t="array" ref="AG243">IF(ISNUMBER(AC243),INDEX('All Player Data Store'!$K$8:$K$594,SMALL(IF('All Player Data Store'!$Y$7:$Y$594=AC243,ROW('All Player Data Store'!$Y$7:$Y$594)-ROW('All Player Data Store'!$Y$7)+1),COUNTIF($AC$8:AC243,AC243))),"")</f>
        <v/>
      </c>
      <c r="AH243" s="108" t="str">
        <f t="shared" si="4"/>
        <v/>
      </c>
      <c r="AI243" s="108" t="str">
        <f t="array" ref="AI243">IF(ISNUMBER(AC243),INDEX('All Player Data Store'!$L$8:$L$594,SMALL(IF('All Player Data Store'!$Y$7:$Y$594=AC243,ROW('All Player Data Store'!$Y$7:$Y$594)-ROW('All Player Data Store'!$Y$7)+1),COUNTIF($AC$8:AC243,AC243))),"")</f>
        <v/>
      </c>
      <c r="AJ243" s="108" t="str">
        <f t="shared" si="5"/>
        <v/>
      </c>
      <c r="AK243" s="108" t="str">
        <f t="array" ref="AK243">IF(ISNUMBER(AC243),INDEX('All Player Data Store'!$M$8:$M$594,SMALL(IF('All Player Data Store'!$Y$7:$Y$594=AC243,ROW('All Player Data Store'!$Y$7:$Y$594)-ROW('All Player Data Store'!$Y$7)+1),COUNTIF($AC$8:AC243,AC243))),"")</f>
        <v/>
      </c>
      <c r="AL243" s="108" t="str">
        <f t="shared" si="6"/>
        <v/>
      </c>
      <c r="AM243" s="108" t="str">
        <f t="array" ref="AM243">IF(ISNUMBER(AC243),INDEX('All Player Data Store'!$N$8:$N$594,SMALL(IF('All Player Data Store'!$Y$7:$Y$594=AC243,ROW('All Player Data Store'!$Y$7:$Y$594)-ROW('All Player Data Store'!$Y$7)+1),COUNTIF($AC$8:AC243,AC243))),"")</f>
        <v/>
      </c>
      <c r="AN243" s="108" t="str">
        <f t="shared" si="7"/>
        <v/>
      </c>
      <c r="AO243" s="108" t="str">
        <f t="array" ref="AO243">IF(ISNUMBER(AC243),INDEX('All Player Data Store'!$O$8:$O$594,SMALL(IF('All Player Data Store'!$Y$7:$Y$594=AC243,ROW('All Player Data Store'!$Y$7:$Y$594)-ROW('All Player Data Store'!$Y$7)+1),COUNTIF($AC$8:AC243,AC243))),"")</f>
        <v/>
      </c>
      <c r="AP243" s="108" t="str">
        <f t="shared" si="8"/>
        <v/>
      </c>
      <c r="AQ243" s="108" t="str">
        <f t="array" ref="AQ243">IF(ISNUMBER(AC243),INDEX('All Player Data Store'!$P$8:$P$594,SMALL(IF('All Player Data Store'!$Y$7:$Y$594=AC243,ROW('All Player Data Store'!$Y$7:$Y$594)-ROW('All Player Data Store'!$Y$7)+1),COUNTIF($AC$8:AC243,AC243))),"")</f>
        <v/>
      </c>
      <c r="AR243" s="108" t="str">
        <f t="shared" si="9"/>
        <v/>
      </c>
      <c r="AS243" s="108" t="str">
        <f t="array" ref="AS243">IF(ISNUMBER(AC243),INDEX('All Player Data Store'!$Q$8:$Q$594,SMALL(IF('All Player Data Store'!$Y$7:$Y$594=AC243,ROW('All Player Data Store'!$Y$7:$Y$594)-ROW('All Player Data Store'!$Y$7)+1),COUNTIF($AC$8:AC243,AC243))),"")</f>
        <v/>
      </c>
      <c r="AT243" s="108" t="str">
        <f t="shared" si="10"/>
        <v/>
      </c>
      <c r="AU243" s="108" t="str">
        <f t="array" ref="AU243">IF(ISNUMBER(AC243),INDEX('All Player Data Store'!$R$8:$R$594,SMALL(IF('All Player Data Store'!$Y$7:$Y$594=AC243,ROW('All Player Data Store'!$Y$7:$Y$594)-ROW('All Player Data Store'!$Y$7)+1),COUNTIF($AC$8:AC243,AC243))),"")</f>
        <v/>
      </c>
      <c r="AV243" s="108" t="str">
        <f t="shared" si="11"/>
        <v/>
      </c>
      <c r="AW243" s="108" t="str">
        <f t="array" ref="AW243">IF(ISNUMBER(AC243),INDEX('All Player Data Store'!$S$8:$S$594,SMALL(IF('All Player Data Store'!$Y$7:$Y$594=AC243,ROW('All Player Data Store'!$Y$7:$Y$594)-ROW('All Player Data Store'!$Y$7)+1),COUNTIF($AC$8:AC243,AC243))),"")</f>
        <v/>
      </c>
      <c r="AX243" s="108" t="str">
        <f t="shared" si="12"/>
        <v/>
      </c>
      <c r="AY243" s="108" t="str">
        <f t="array" ref="AY243">IF(ISNUMBER(AC243),INDEX('All Player Data Store'!$T$8:$T$594,SMALL(IF('All Player Data Store'!$Y$7:$Y$594=AC243,ROW('All Player Data Store'!$Y$7:$Y$594)-ROW('All Player Data Store'!$Y$7)+1),COUNTIF($AC$8:AC243,AC243))),"")</f>
        <v/>
      </c>
      <c r="AZ243" s="108" t="str">
        <f t="shared" si="13"/>
        <v/>
      </c>
      <c r="BA243" s="108" t="str">
        <f t="array" ref="BA243">IF(ISNUMBER(AC243),INDEX('All Player Data Store'!$U$8:$U$594,SMALL(IF('All Player Data Store'!$Y$7:$Y$594=AC243,ROW('All Player Data Store'!$Y$7:$Y$594)-ROW('All Player Data Store'!$Y$7)+1),COUNTIF($AC$8:AC243,AC243))),"")</f>
        <v/>
      </c>
      <c r="BB243" s="108" t="str">
        <f t="shared" si="14"/>
        <v/>
      </c>
      <c r="BC243" s="108" t="str">
        <f t="array" ref="BC243">IF(ISNUMBER(AC243),INDEX('All Player Data Store'!$V$8:$V$594,SMALL(IF('All Player Data Store'!$Y$7:$Y$594=AC243,ROW('All Player Data Store'!$Y$7:$Y$594)-ROW('All Player Data Store'!$Y$7)+1),COUNTIF($AC$8:AC243,AC243))),"")</f>
        <v/>
      </c>
      <c r="BD243" s="108" t="str">
        <f t="shared" si="15"/>
        <v/>
      </c>
      <c r="BE243" s="1"/>
    </row>
    <row r="244" spans="2:57" ht="12" customHeight="1" x14ac:dyDescent="0.2">
      <c r="B244" s="118" t="str">
        <f t="shared" si="0"/>
        <v/>
      </c>
      <c r="C244" s="1"/>
      <c r="D244" s="68" t="str">
        <f t="shared" si="1"/>
        <v/>
      </c>
      <c r="E244" s="2"/>
      <c r="F244" s="78">
        <v>237</v>
      </c>
      <c r="G244" s="110" t="str">
        <f t="array" ref="G244">IF(ISNUMBER(AC244),INDEX('All Player Data Store'!$C$7:$C$594,SMALL(IF('All Player Data Store'!$Y$7:$Y$594=AC244,ROW('All Player Data Store'!$Y$7:$Y$594)-ROW('All Player Data Store'!$Y$7)+1),COUNTIF($AC$8:AC244,AC244))),"")</f>
        <v/>
      </c>
      <c r="H244" s="68" t="str">
        <f t="array" ref="H244">IF(ISNUMBER(AC244),INDEX('All Player Data Store'!$D$7:$D$594,SMALL(IF('All Player Data Store'!$Y$7:$Y$594=AC244,ROW('All Player Data Store'!$Y$7:$Y$594)-ROW('All Player Data Store'!$Y$7)+1),COUNTIF($AC$8:AC244,AC244))),"")</f>
        <v/>
      </c>
      <c r="I244" s="69" t="str">
        <f t="array" ref="I244">IF(ISNUMBER(AC244),INDEX('All Player Data Store'!$E$7:$E$594,SMALL(IF('All Player Data Store'!$Y$7:$Y$594=AC244,ROW('All Player Data Store'!$Y$7:$Y$594)-ROW('All Player Data Store'!$Y$7)+1),COUNTIF($AC$8:AC244,AC244))),"")</f>
        <v/>
      </c>
      <c r="J244" s="70" t="str">
        <f t="array" ref="J244">IF(ISNUMBER(AC244),INDEX('All Player Data Store'!$F$7:$F$594,SMALL(IF('All Player Data Store'!$Y$7:$Y$594=AC244,ROW('All Player Data Store'!$Y$7:$Y$594)-ROW('All Player Data Store'!$Y$7)+1),COUNTIF($AC$8:AC244,AC244))),"")</f>
        <v/>
      </c>
      <c r="K244" s="70" t="str">
        <f t="array" ref="K244">IF(ISNUMBER(AC244),INDEX('All Player Data Store'!$G$7:$G$594,SMALL(IF('All Player Data Store'!$Y$7:$Y$594=AC244,ROW('All Player Data Store'!$Y$7:$Y$594)-ROW('All Player Data Store'!$Y$7)+1),COUNTIF($AC$8:AC244,AC244))),"")</f>
        <v/>
      </c>
      <c r="L244" s="70" t="str">
        <f t="array" ref="L244">IF(ISNUMBER(AC244),INDEX('All Player Data Store'!$H$7:$H$594,SMALL(IF('All Player Data Store'!$Y$7:$Y$594=AC244,ROW('All Player Data Store'!$Y$7:$Y$594)-ROW('All Player Data Store'!$Y$7)+1),COUNTIF($AC$8:AC244,AC244))),"")</f>
        <v/>
      </c>
      <c r="M244" s="72" t="str">
        <f t="array" ref="M244">IF(ISNUMBER(AC244),INDEX('All Player Data Store'!$I$7:$I$594,SMALL(IF('All Player Data Store'!$Y$7:$Y$594=AC244,ROW('All Player Data Store'!$Y$7:$Y$594)-ROW('All Player Data Store'!$Y$7)+1),COUNTIF($AC$8:AC244,AC244))),"")</f>
        <v/>
      </c>
      <c r="N244" s="114" t="str">
        <f t="array" ref="N244">IF(ISNUMBER(AC244),INDEX('All Player Data Store'!$J$7:$J$594,SMALL(IF('All Player Data Store'!$Y$7:$Y$594=AC244,ROW('All Player Data Store'!$Y$7:$Y$594)-ROW('All Player Data Store'!$Y$7)+1),COUNTIF($AC$8:AC244,AC244))),"")</f>
        <v/>
      </c>
      <c r="O244" s="108" t="str">
        <f t="array" ref="O244">IF(ISNUMBER(AC244),INDEX('All Player Data Store'!$K$7:$K$594,SMALL(IF('All Player Data Store'!$Y$7:$Y$594=AC244,ROW('All Player Data Store'!$Y$7:$Y$594)-ROW('All Player Data Store'!$Y$7)+1),COUNTIF($AC$8:AC244,AC244))),"")</f>
        <v/>
      </c>
      <c r="P244" s="108" t="str">
        <f t="array" ref="P244">IF(ISNUMBER(AC244),INDEX('All Player Data Store'!$L$7:$L$594,SMALL(IF('All Player Data Store'!$Y$7:$Y$594=AC244,ROW('All Player Data Store'!$Y$7:$Y$594)-ROW('All Player Data Store'!$Y$7)+1),COUNTIF($AC$8:AC244,AC244))),"")</f>
        <v/>
      </c>
      <c r="Q244" s="108" t="str">
        <f t="array" ref="Q244">IF(ISNUMBER(AC244),INDEX('All Player Data Store'!$M$7:$M$594,SMALL(IF('All Player Data Store'!$Y$7:$Y$594=AC244,ROW('All Player Data Store'!$Y$7:$Y$594)-ROW('All Player Data Store'!$Y$7)+1),COUNTIF($AC$8:AC244,AC244))),"")</f>
        <v/>
      </c>
      <c r="R244" s="108" t="str">
        <f t="array" ref="R244">IF(ISNUMBER(AC244),INDEX('All Player Data Store'!$N$7:$N$594,SMALL(IF('All Player Data Store'!$Y$7:$Y$594=AC244,ROW('All Player Data Store'!$Y$7:$Y$594)-ROW('All Player Data Store'!$Y$7)+1),COUNTIF($AC$8:AC244,AC244))),"")</f>
        <v/>
      </c>
      <c r="S244" s="108" t="str">
        <f t="array" ref="S244">IF(ISNUMBER(AC244),INDEX('All Player Data Store'!$O$7:$O$594,SMALL(IF('All Player Data Store'!$Y$7:$Y$594=AC244,ROW('All Player Data Store'!$Y$7:$Y$594)-ROW('All Player Data Store'!$Y$7)+1),COUNTIF($AC$8:AC244,AC244))),"")</f>
        <v/>
      </c>
      <c r="T244" s="108" t="str">
        <f t="array" ref="T244">IF(ISNUMBER(AC244),INDEX('All Player Data Store'!$P$7:$P$594,SMALL(IF('All Player Data Store'!$Y$7:$Y$594=AC244,ROW('All Player Data Store'!$Y$7:$Y$594)-ROW('All Player Data Store'!$Y$7)+1),COUNTIF($AC$8:AC244,AC244))),"")</f>
        <v/>
      </c>
      <c r="U244" s="108" t="str">
        <f t="array" ref="U244">IF(ISNUMBER(AC244),INDEX('All Player Data Store'!$Q$7:$Q$594,SMALL(IF('All Player Data Store'!$Y$7:$Y$594=AC244,ROW('All Player Data Store'!$Y$7:$Y$594)-ROW('All Player Data Store'!$Y$7)+1),COUNTIF($AC$8:AC244,AC244))),"")</f>
        <v/>
      </c>
      <c r="V244" s="108" t="str">
        <f t="array" ref="V244">IF(ISNUMBER(AC244),INDEX('All Player Data Store'!$R$7:$R$594,SMALL(IF('All Player Data Store'!$Y$7:$Y$594=AC244,ROW('All Player Data Store'!$Y$7:$Y$594)-ROW('All Player Data Store'!$Y$7)+1),COUNTIF($AC$8:AC244,AC244))),"")</f>
        <v/>
      </c>
      <c r="W244" s="108" t="str">
        <f t="array" ref="W244">IF(ISNUMBER(AC244),INDEX('All Player Data Store'!$S$7:$S$594,SMALL(IF('All Player Data Store'!$Y$7:$Y$594=AC244,ROW('All Player Data Store'!$Y$7:$Y$594)-ROW('All Player Data Store'!$Y$7)+1),COUNTIF($AC$8:AC244,AC244))),"")</f>
        <v/>
      </c>
      <c r="X244" s="108" t="str">
        <f t="array" ref="X244">IF(ISNUMBER(AC244),INDEX('All Player Data Store'!$T$7:$T$594,SMALL(IF('All Player Data Store'!$Y$7:$Y$594=AC244,ROW('All Player Data Store'!$Y$7:$Y$594)-ROW('All Player Data Store'!$Y$7)+1),COUNTIF($AC$8:AC244,AC244))),"")</f>
        <v/>
      </c>
      <c r="Y244" s="108" t="str">
        <f t="array" ref="Y244">IF(ISNUMBER(AC244),INDEX('All Player Data Store'!$U$7:$U$594,SMALL(IF('All Player Data Store'!$Y$7:$Y$594=AC244,ROW('All Player Data Store'!$Y$7:$Y$594)-ROW('All Player Data Store'!$Y$7)+1),COUNTIF($AC$8:AC244,AC244))),"")</f>
        <v/>
      </c>
      <c r="Z244" s="108" t="str">
        <f t="array" ref="Z244">IF(ISNUMBER(AC244),INDEX('All Player Data Store'!$V$7:$V$594,SMALL(IF('All Player Data Store'!$Y$7:$Y$594=AC244,ROW('All Player Data Store'!$Y$7:$Y$594)-ROW('All Player Data Store'!$Y$7)+1),COUNTIF($AC$8:AC244,AC244))),"")</f>
        <v/>
      </c>
      <c r="AA244" s="112" t="str">
        <f t="array" ref="AA244">IF(ISNUMBER(AC244),INDEX('All Player Data Store'!$W$7:$W$594,SMALL(IF('All Player Data Store'!$Y$7:$Y$594=AC244,ROW('All Player Data Store'!$Y$7:$Y$594)-ROW('All Player Data Store'!$Y$7)+1),COUNTIF($AC$8:AC244,AC244))),"")</f>
        <v/>
      </c>
      <c r="AB244" s="108" t="str">
        <f t="array" ref="AB244">IF(ISNUMBER(AC244),INDEX('All Player Data Store'!$X$7:$X$594,SMALL(IF('All Player Data Store'!$Y$7:$Y$594=AC244,ROW('All Player Data Store'!$Y$7:$Y$594)-ROW('All Player Data Store'!$Y$7)+1),COUNTIF($AC$8:AC244,AC244))),"")</f>
        <v/>
      </c>
      <c r="AC244" s="115" t="str">
        <f>IF(ISERROR(IF(ISERROR(LARGE('All Player Data Store'!$Y$7:$Y$594,237)),"",(LARGE('All Player Data Store'!$Y$7:$Y$594,237)))),"",(IF(ISERROR(LARGE('All Player Data Store'!$Y$7:$Y$594,237)),"",(LARGE('All Player Data Store'!$Y$7:$Y$594,237)))))</f>
        <v/>
      </c>
      <c r="AD244" s="106">
        <f t="shared" si="16"/>
        <v>1</v>
      </c>
      <c r="AE244" s="107" t="str">
        <f t="array" ref="AE244">IF(ISNUMBER(AC244),INDEX('All Player Data Store'!$J$8:$J$594,SMALL(IF('All Player Data Store'!$Y$7:$Y$594=AC244,ROW('All Player Data Store'!$Y$7:$Y$594)-ROW('All Player Data Store'!$Y$7)+1),COUNTIF($AC$8:AC244,AC244))),"")</f>
        <v/>
      </c>
      <c r="AF244" s="108" t="str">
        <f t="shared" si="3"/>
        <v/>
      </c>
      <c r="AG244" s="108" t="str">
        <f t="array" ref="AG244">IF(ISNUMBER(AC244),INDEX('All Player Data Store'!$K$8:$K$594,SMALL(IF('All Player Data Store'!$Y$7:$Y$594=AC244,ROW('All Player Data Store'!$Y$7:$Y$594)-ROW('All Player Data Store'!$Y$7)+1),COUNTIF($AC$8:AC244,AC244))),"")</f>
        <v/>
      </c>
      <c r="AH244" s="108" t="str">
        <f t="shared" si="4"/>
        <v/>
      </c>
      <c r="AI244" s="108" t="str">
        <f t="array" ref="AI244">IF(ISNUMBER(AC244),INDEX('All Player Data Store'!$L$8:$L$594,SMALL(IF('All Player Data Store'!$Y$7:$Y$594=AC244,ROW('All Player Data Store'!$Y$7:$Y$594)-ROW('All Player Data Store'!$Y$7)+1),COUNTIF($AC$8:AC244,AC244))),"")</f>
        <v/>
      </c>
      <c r="AJ244" s="108" t="str">
        <f t="shared" si="5"/>
        <v/>
      </c>
      <c r="AK244" s="108" t="str">
        <f t="array" ref="AK244">IF(ISNUMBER(AC244),INDEX('All Player Data Store'!$M$8:$M$594,SMALL(IF('All Player Data Store'!$Y$7:$Y$594=AC244,ROW('All Player Data Store'!$Y$7:$Y$594)-ROW('All Player Data Store'!$Y$7)+1),COUNTIF($AC$8:AC244,AC244))),"")</f>
        <v/>
      </c>
      <c r="AL244" s="108" t="str">
        <f t="shared" si="6"/>
        <v/>
      </c>
      <c r="AM244" s="108" t="str">
        <f t="array" ref="AM244">IF(ISNUMBER(AC244),INDEX('All Player Data Store'!$N$8:$N$594,SMALL(IF('All Player Data Store'!$Y$7:$Y$594=AC244,ROW('All Player Data Store'!$Y$7:$Y$594)-ROW('All Player Data Store'!$Y$7)+1),COUNTIF($AC$8:AC244,AC244))),"")</f>
        <v/>
      </c>
      <c r="AN244" s="108" t="str">
        <f t="shared" si="7"/>
        <v/>
      </c>
      <c r="AO244" s="108" t="str">
        <f t="array" ref="AO244">IF(ISNUMBER(AC244),INDEX('All Player Data Store'!$O$8:$O$594,SMALL(IF('All Player Data Store'!$Y$7:$Y$594=AC244,ROW('All Player Data Store'!$Y$7:$Y$594)-ROW('All Player Data Store'!$Y$7)+1),COUNTIF($AC$8:AC244,AC244))),"")</f>
        <v/>
      </c>
      <c r="AP244" s="108" t="str">
        <f t="shared" si="8"/>
        <v/>
      </c>
      <c r="AQ244" s="108" t="str">
        <f t="array" ref="AQ244">IF(ISNUMBER(AC244),INDEX('All Player Data Store'!$P$8:$P$594,SMALL(IF('All Player Data Store'!$Y$7:$Y$594=AC244,ROW('All Player Data Store'!$Y$7:$Y$594)-ROW('All Player Data Store'!$Y$7)+1),COUNTIF($AC$8:AC244,AC244))),"")</f>
        <v/>
      </c>
      <c r="AR244" s="108" t="str">
        <f t="shared" si="9"/>
        <v/>
      </c>
      <c r="AS244" s="108" t="str">
        <f t="array" ref="AS244">IF(ISNUMBER(AC244),INDEX('All Player Data Store'!$Q$8:$Q$594,SMALL(IF('All Player Data Store'!$Y$7:$Y$594=AC244,ROW('All Player Data Store'!$Y$7:$Y$594)-ROW('All Player Data Store'!$Y$7)+1),COUNTIF($AC$8:AC244,AC244))),"")</f>
        <v/>
      </c>
      <c r="AT244" s="108" t="str">
        <f t="shared" si="10"/>
        <v/>
      </c>
      <c r="AU244" s="108" t="str">
        <f t="array" ref="AU244">IF(ISNUMBER(AC244),INDEX('All Player Data Store'!$R$8:$R$594,SMALL(IF('All Player Data Store'!$Y$7:$Y$594=AC244,ROW('All Player Data Store'!$Y$7:$Y$594)-ROW('All Player Data Store'!$Y$7)+1),COUNTIF($AC$8:AC244,AC244))),"")</f>
        <v/>
      </c>
      <c r="AV244" s="108" t="str">
        <f t="shared" si="11"/>
        <v/>
      </c>
      <c r="AW244" s="108" t="str">
        <f t="array" ref="AW244">IF(ISNUMBER(AC244),INDEX('All Player Data Store'!$S$8:$S$594,SMALL(IF('All Player Data Store'!$Y$7:$Y$594=AC244,ROW('All Player Data Store'!$Y$7:$Y$594)-ROW('All Player Data Store'!$Y$7)+1),COUNTIF($AC$8:AC244,AC244))),"")</f>
        <v/>
      </c>
      <c r="AX244" s="108" t="str">
        <f t="shared" si="12"/>
        <v/>
      </c>
      <c r="AY244" s="108" t="str">
        <f t="array" ref="AY244">IF(ISNUMBER(AC244),INDEX('All Player Data Store'!$T$8:$T$594,SMALL(IF('All Player Data Store'!$Y$7:$Y$594=AC244,ROW('All Player Data Store'!$Y$7:$Y$594)-ROW('All Player Data Store'!$Y$7)+1),COUNTIF($AC$8:AC244,AC244))),"")</f>
        <v/>
      </c>
      <c r="AZ244" s="108" t="str">
        <f t="shared" si="13"/>
        <v/>
      </c>
      <c r="BA244" s="108" t="str">
        <f t="array" ref="BA244">IF(ISNUMBER(AC244),INDEX('All Player Data Store'!$U$8:$U$594,SMALL(IF('All Player Data Store'!$Y$7:$Y$594=AC244,ROW('All Player Data Store'!$Y$7:$Y$594)-ROW('All Player Data Store'!$Y$7)+1),COUNTIF($AC$8:AC244,AC244))),"")</f>
        <v/>
      </c>
      <c r="BB244" s="108" t="str">
        <f t="shared" si="14"/>
        <v/>
      </c>
      <c r="BC244" s="108" t="str">
        <f t="array" ref="BC244">IF(ISNUMBER(AC244),INDEX('All Player Data Store'!$V$8:$V$594,SMALL(IF('All Player Data Store'!$Y$7:$Y$594=AC244,ROW('All Player Data Store'!$Y$7:$Y$594)-ROW('All Player Data Store'!$Y$7)+1),COUNTIF($AC$8:AC244,AC244))),"")</f>
        <v/>
      </c>
      <c r="BD244" s="108" t="str">
        <f t="shared" si="15"/>
        <v/>
      </c>
      <c r="BE244" s="1"/>
    </row>
    <row r="245" spans="2:57" ht="12" customHeight="1" x14ac:dyDescent="0.2">
      <c r="B245" s="118" t="str">
        <f t="shared" si="0"/>
        <v/>
      </c>
      <c r="C245" s="1"/>
      <c r="D245" s="68" t="str">
        <f t="shared" si="1"/>
        <v/>
      </c>
      <c r="E245" s="2"/>
      <c r="F245" s="78">
        <v>238</v>
      </c>
      <c r="G245" s="110" t="str">
        <f t="array" ref="G245">IF(ISNUMBER(AC245),INDEX('All Player Data Store'!$C$7:$C$594,SMALL(IF('All Player Data Store'!$Y$7:$Y$594=AC245,ROW('All Player Data Store'!$Y$7:$Y$594)-ROW('All Player Data Store'!$Y$7)+1),COUNTIF($AC$8:AC245,AC245))),"")</f>
        <v/>
      </c>
      <c r="H245" s="68" t="str">
        <f t="array" ref="H245">IF(ISNUMBER(AC245),INDEX('All Player Data Store'!$D$7:$D$594,SMALL(IF('All Player Data Store'!$Y$7:$Y$594=AC245,ROW('All Player Data Store'!$Y$7:$Y$594)-ROW('All Player Data Store'!$Y$7)+1),COUNTIF($AC$8:AC245,AC245))),"")</f>
        <v/>
      </c>
      <c r="I245" s="69" t="str">
        <f t="array" ref="I245">IF(ISNUMBER(AC245),INDEX('All Player Data Store'!$E$7:$E$594,SMALL(IF('All Player Data Store'!$Y$7:$Y$594=AC245,ROW('All Player Data Store'!$Y$7:$Y$594)-ROW('All Player Data Store'!$Y$7)+1),COUNTIF($AC$8:AC245,AC245))),"")</f>
        <v/>
      </c>
      <c r="J245" s="70" t="str">
        <f t="array" ref="J245">IF(ISNUMBER(AC245),INDEX('All Player Data Store'!$F$7:$F$594,SMALL(IF('All Player Data Store'!$Y$7:$Y$594=AC245,ROW('All Player Data Store'!$Y$7:$Y$594)-ROW('All Player Data Store'!$Y$7)+1),COUNTIF($AC$8:AC245,AC245))),"")</f>
        <v/>
      </c>
      <c r="K245" s="70" t="str">
        <f t="array" ref="K245">IF(ISNUMBER(AC245),INDEX('All Player Data Store'!$G$7:$G$594,SMALL(IF('All Player Data Store'!$Y$7:$Y$594=AC245,ROW('All Player Data Store'!$Y$7:$Y$594)-ROW('All Player Data Store'!$Y$7)+1),COUNTIF($AC$8:AC245,AC245))),"")</f>
        <v/>
      </c>
      <c r="L245" s="70" t="str">
        <f t="array" ref="L245">IF(ISNUMBER(AC245),INDEX('All Player Data Store'!$H$7:$H$594,SMALL(IF('All Player Data Store'!$Y$7:$Y$594=AC245,ROW('All Player Data Store'!$Y$7:$Y$594)-ROW('All Player Data Store'!$Y$7)+1),COUNTIF($AC$8:AC245,AC245))),"")</f>
        <v/>
      </c>
      <c r="M245" s="72" t="str">
        <f t="array" ref="M245">IF(ISNUMBER(AC245),INDEX('All Player Data Store'!$I$7:$I$594,SMALL(IF('All Player Data Store'!$Y$7:$Y$594=AC245,ROW('All Player Data Store'!$Y$7:$Y$594)-ROW('All Player Data Store'!$Y$7)+1),COUNTIF($AC$8:AC245,AC245))),"")</f>
        <v/>
      </c>
      <c r="N245" s="114" t="str">
        <f t="array" ref="N245">IF(ISNUMBER(AC245),INDEX('All Player Data Store'!$J$7:$J$594,SMALL(IF('All Player Data Store'!$Y$7:$Y$594=AC245,ROW('All Player Data Store'!$Y$7:$Y$594)-ROW('All Player Data Store'!$Y$7)+1),COUNTIF($AC$8:AC245,AC245))),"")</f>
        <v/>
      </c>
      <c r="O245" s="108" t="str">
        <f t="array" ref="O245">IF(ISNUMBER(AC245),INDEX('All Player Data Store'!$K$7:$K$594,SMALL(IF('All Player Data Store'!$Y$7:$Y$594=AC245,ROW('All Player Data Store'!$Y$7:$Y$594)-ROW('All Player Data Store'!$Y$7)+1),COUNTIF($AC$8:AC245,AC245))),"")</f>
        <v/>
      </c>
      <c r="P245" s="108" t="str">
        <f t="array" ref="P245">IF(ISNUMBER(AC245),INDEX('All Player Data Store'!$L$7:$L$594,SMALL(IF('All Player Data Store'!$Y$7:$Y$594=AC245,ROW('All Player Data Store'!$Y$7:$Y$594)-ROW('All Player Data Store'!$Y$7)+1),COUNTIF($AC$8:AC245,AC245))),"")</f>
        <v/>
      </c>
      <c r="Q245" s="108" t="str">
        <f t="array" ref="Q245">IF(ISNUMBER(AC245),INDEX('All Player Data Store'!$M$7:$M$594,SMALL(IF('All Player Data Store'!$Y$7:$Y$594=AC245,ROW('All Player Data Store'!$Y$7:$Y$594)-ROW('All Player Data Store'!$Y$7)+1),COUNTIF($AC$8:AC245,AC245))),"")</f>
        <v/>
      </c>
      <c r="R245" s="108" t="str">
        <f t="array" ref="R245">IF(ISNUMBER(AC245),INDEX('All Player Data Store'!$N$7:$N$594,SMALL(IF('All Player Data Store'!$Y$7:$Y$594=AC245,ROW('All Player Data Store'!$Y$7:$Y$594)-ROW('All Player Data Store'!$Y$7)+1),COUNTIF($AC$8:AC245,AC245))),"")</f>
        <v/>
      </c>
      <c r="S245" s="108" t="str">
        <f t="array" ref="S245">IF(ISNUMBER(AC245),INDEX('All Player Data Store'!$O$7:$O$594,SMALL(IF('All Player Data Store'!$Y$7:$Y$594=AC245,ROW('All Player Data Store'!$Y$7:$Y$594)-ROW('All Player Data Store'!$Y$7)+1),COUNTIF($AC$8:AC245,AC245))),"")</f>
        <v/>
      </c>
      <c r="T245" s="108" t="str">
        <f t="array" ref="T245">IF(ISNUMBER(AC245),INDEX('All Player Data Store'!$P$7:$P$594,SMALL(IF('All Player Data Store'!$Y$7:$Y$594=AC245,ROW('All Player Data Store'!$Y$7:$Y$594)-ROW('All Player Data Store'!$Y$7)+1),COUNTIF($AC$8:AC245,AC245))),"")</f>
        <v/>
      </c>
      <c r="U245" s="108" t="str">
        <f t="array" ref="U245">IF(ISNUMBER(AC245),INDEX('All Player Data Store'!$Q$7:$Q$594,SMALL(IF('All Player Data Store'!$Y$7:$Y$594=AC245,ROW('All Player Data Store'!$Y$7:$Y$594)-ROW('All Player Data Store'!$Y$7)+1),COUNTIF($AC$8:AC245,AC245))),"")</f>
        <v/>
      </c>
      <c r="V245" s="108" t="str">
        <f t="array" ref="V245">IF(ISNUMBER(AC245),INDEX('All Player Data Store'!$R$7:$R$594,SMALL(IF('All Player Data Store'!$Y$7:$Y$594=AC245,ROW('All Player Data Store'!$Y$7:$Y$594)-ROW('All Player Data Store'!$Y$7)+1),COUNTIF($AC$8:AC245,AC245))),"")</f>
        <v/>
      </c>
      <c r="W245" s="108" t="str">
        <f t="array" ref="W245">IF(ISNUMBER(AC245),INDEX('All Player Data Store'!$S$7:$S$594,SMALL(IF('All Player Data Store'!$Y$7:$Y$594=AC245,ROW('All Player Data Store'!$Y$7:$Y$594)-ROW('All Player Data Store'!$Y$7)+1),COUNTIF($AC$8:AC245,AC245))),"")</f>
        <v/>
      </c>
      <c r="X245" s="108" t="str">
        <f t="array" ref="X245">IF(ISNUMBER(AC245),INDEX('All Player Data Store'!$T$7:$T$594,SMALL(IF('All Player Data Store'!$Y$7:$Y$594=AC245,ROW('All Player Data Store'!$Y$7:$Y$594)-ROW('All Player Data Store'!$Y$7)+1),COUNTIF($AC$8:AC245,AC245))),"")</f>
        <v/>
      </c>
      <c r="Y245" s="108" t="str">
        <f t="array" ref="Y245">IF(ISNUMBER(AC245),INDEX('All Player Data Store'!$U$7:$U$594,SMALL(IF('All Player Data Store'!$Y$7:$Y$594=AC245,ROW('All Player Data Store'!$Y$7:$Y$594)-ROW('All Player Data Store'!$Y$7)+1),COUNTIF($AC$8:AC245,AC245))),"")</f>
        <v/>
      </c>
      <c r="Z245" s="108" t="str">
        <f t="array" ref="Z245">IF(ISNUMBER(AC245),INDEX('All Player Data Store'!$V$7:$V$594,SMALL(IF('All Player Data Store'!$Y$7:$Y$594=AC245,ROW('All Player Data Store'!$Y$7:$Y$594)-ROW('All Player Data Store'!$Y$7)+1),COUNTIF($AC$8:AC245,AC245))),"")</f>
        <v/>
      </c>
      <c r="AA245" s="112" t="str">
        <f t="array" ref="AA245">IF(ISNUMBER(AC245),INDEX('All Player Data Store'!$W$7:$W$594,SMALL(IF('All Player Data Store'!$Y$7:$Y$594=AC245,ROW('All Player Data Store'!$Y$7:$Y$594)-ROW('All Player Data Store'!$Y$7)+1),COUNTIF($AC$8:AC245,AC245))),"")</f>
        <v/>
      </c>
      <c r="AB245" s="108" t="str">
        <f t="array" ref="AB245">IF(ISNUMBER(AC245),INDEX('All Player Data Store'!$X$7:$X$594,SMALL(IF('All Player Data Store'!$Y$7:$Y$594=AC245,ROW('All Player Data Store'!$Y$7:$Y$594)-ROW('All Player Data Store'!$Y$7)+1),COUNTIF($AC$8:AC245,AC245))),"")</f>
        <v/>
      </c>
      <c r="AC245" s="115" t="str">
        <f>IF(ISERROR(IF(ISERROR(LARGE('All Player Data Store'!$Y$7:$Y$594,238)),"",(LARGE('All Player Data Store'!$Y$7:$Y$594,238)))),"",(IF(ISERROR(LARGE('All Player Data Store'!$Y$7:$Y$594,238)),"",(LARGE('All Player Data Store'!$Y$7:$Y$594,238)))))</f>
        <v/>
      </c>
      <c r="AD245" s="106">
        <f t="shared" si="16"/>
        <v>1</v>
      </c>
      <c r="AE245" s="107" t="str">
        <f t="array" ref="AE245">IF(ISNUMBER(AC245),INDEX('All Player Data Store'!$J$8:$J$594,SMALL(IF('All Player Data Store'!$Y$7:$Y$594=AC245,ROW('All Player Data Store'!$Y$7:$Y$594)-ROW('All Player Data Store'!$Y$7)+1),COUNTIF($AC$8:AC245,AC245))),"")</f>
        <v/>
      </c>
      <c r="AF245" s="108" t="str">
        <f t="shared" si="3"/>
        <v/>
      </c>
      <c r="AG245" s="108" t="str">
        <f t="array" ref="AG245">IF(ISNUMBER(AC245),INDEX('All Player Data Store'!$K$8:$K$594,SMALL(IF('All Player Data Store'!$Y$7:$Y$594=AC245,ROW('All Player Data Store'!$Y$7:$Y$594)-ROW('All Player Data Store'!$Y$7)+1),COUNTIF($AC$8:AC245,AC245))),"")</f>
        <v/>
      </c>
      <c r="AH245" s="108" t="str">
        <f t="shared" si="4"/>
        <v/>
      </c>
      <c r="AI245" s="108" t="str">
        <f t="array" ref="AI245">IF(ISNUMBER(AC245),INDEX('All Player Data Store'!$L$8:$L$594,SMALL(IF('All Player Data Store'!$Y$7:$Y$594=AC245,ROW('All Player Data Store'!$Y$7:$Y$594)-ROW('All Player Data Store'!$Y$7)+1),COUNTIF($AC$8:AC245,AC245))),"")</f>
        <v/>
      </c>
      <c r="AJ245" s="108" t="str">
        <f t="shared" si="5"/>
        <v/>
      </c>
      <c r="AK245" s="108" t="str">
        <f t="array" ref="AK245">IF(ISNUMBER(AC245),INDEX('All Player Data Store'!$M$8:$M$594,SMALL(IF('All Player Data Store'!$Y$7:$Y$594=AC245,ROW('All Player Data Store'!$Y$7:$Y$594)-ROW('All Player Data Store'!$Y$7)+1),COUNTIF($AC$8:AC245,AC245))),"")</f>
        <v/>
      </c>
      <c r="AL245" s="108" t="str">
        <f t="shared" si="6"/>
        <v/>
      </c>
      <c r="AM245" s="108" t="str">
        <f t="array" ref="AM245">IF(ISNUMBER(AC245),INDEX('All Player Data Store'!$N$8:$N$594,SMALL(IF('All Player Data Store'!$Y$7:$Y$594=AC245,ROW('All Player Data Store'!$Y$7:$Y$594)-ROW('All Player Data Store'!$Y$7)+1),COUNTIF($AC$8:AC245,AC245))),"")</f>
        <v/>
      </c>
      <c r="AN245" s="108" t="str">
        <f t="shared" si="7"/>
        <v/>
      </c>
      <c r="AO245" s="108" t="str">
        <f t="array" ref="AO245">IF(ISNUMBER(AC245),INDEX('All Player Data Store'!$O$8:$O$594,SMALL(IF('All Player Data Store'!$Y$7:$Y$594=AC245,ROW('All Player Data Store'!$Y$7:$Y$594)-ROW('All Player Data Store'!$Y$7)+1),COUNTIF($AC$8:AC245,AC245))),"")</f>
        <v/>
      </c>
      <c r="AP245" s="108" t="str">
        <f t="shared" si="8"/>
        <v/>
      </c>
      <c r="AQ245" s="108" t="str">
        <f t="array" ref="AQ245">IF(ISNUMBER(AC245),INDEX('All Player Data Store'!$P$8:$P$594,SMALL(IF('All Player Data Store'!$Y$7:$Y$594=AC245,ROW('All Player Data Store'!$Y$7:$Y$594)-ROW('All Player Data Store'!$Y$7)+1),COUNTIF($AC$8:AC245,AC245))),"")</f>
        <v/>
      </c>
      <c r="AR245" s="108" t="str">
        <f t="shared" si="9"/>
        <v/>
      </c>
      <c r="AS245" s="108" t="str">
        <f t="array" ref="AS245">IF(ISNUMBER(AC245),INDEX('All Player Data Store'!$Q$8:$Q$594,SMALL(IF('All Player Data Store'!$Y$7:$Y$594=AC245,ROW('All Player Data Store'!$Y$7:$Y$594)-ROW('All Player Data Store'!$Y$7)+1),COUNTIF($AC$8:AC245,AC245))),"")</f>
        <v/>
      </c>
      <c r="AT245" s="108" t="str">
        <f t="shared" si="10"/>
        <v/>
      </c>
      <c r="AU245" s="108" t="str">
        <f t="array" ref="AU245">IF(ISNUMBER(AC245),INDEX('All Player Data Store'!$R$8:$R$594,SMALL(IF('All Player Data Store'!$Y$7:$Y$594=AC245,ROW('All Player Data Store'!$Y$7:$Y$594)-ROW('All Player Data Store'!$Y$7)+1),COUNTIF($AC$8:AC245,AC245))),"")</f>
        <v/>
      </c>
      <c r="AV245" s="108" t="str">
        <f t="shared" si="11"/>
        <v/>
      </c>
      <c r="AW245" s="108" t="str">
        <f t="array" ref="AW245">IF(ISNUMBER(AC245),INDEX('All Player Data Store'!$S$8:$S$594,SMALL(IF('All Player Data Store'!$Y$7:$Y$594=AC245,ROW('All Player Data Store'!$Y$7:$Y$594)-ROW('All Player Data Store'!$Y$7)+1),COUNTIF($AC$8:AC245,AC245))),"")</f>
        <v/>
      </c>
      <c r="AX245" s="108" t="str">
        <f t="shared" si="12"/>
        <v/>
      </c>
      <c r="AY245" s="108" t="str">
        <f t="array" ref="AY245">IF(ISNUMBER(AC245),INDEX('All Player Data Store'!$T$8:$T$594,SMALL(IF('All Player Data Store'!$Y$7:$Y$594=AC245,ROW('All Player Data Store'!$Y$7:$Y$594)-ROW('All Player Data Store'!$Y$7)+1),COUNTIF($AC$8:AC245,AC245))),"")</f>
        <v/>
      </c>
      <c r="AZ245" s="108" t="str">
        <f t="shared" si="13"/>
        <v/>
      </c>
      <c r="BA245" s="108" t="str">
        <f t="array" ref="BA245">IF(ISNUMBER(AC245),INDEX('All Player Data Store'!$U$8:$U$594,SMALL(IF('All Player Data Store'!$Y$7:$Y$594=AC245,ROW('All Player Data Store'!$Y$7:$Y$594)-ROW('All Player Data Store'!$Y$7)+1),COUNTIF($AC$8:AC245,AC245))),"")</f>
        <v/>
      </c>
      <c r="BB245" s="108" t="str">
        <f t="shared" si="14"/>
        <v/>
      </c>
      <c r="BC245" s="108" t="str">
        <f t="array" ref="BC245">IF(ISNUMBER(AC245),INDEX('All Player Data Store'!$V$8:$V$594,SMALL(IF('All Player Data Store'!$Y$7:$Y$594=AC245,ROW('All Player Data Store'!$Y$7:$Y$594)-ROW('All Player Data Store'!$Y$7)+1),COUNTIF($AC$8:AC245,AC245))),"")</f>
        <v/>
      </c>
      <c r="BD245" s="108" t="str">
        <f t="shared" si="15"/>
        <v/>
      </c>
      <c r="BE245" s="1"/>
    </row>
    <row r="246" spans="2:57" ht="12" customHeight="1" x14ac:dyDescent="0.2">
      <c r="B246" s="118" t="str">
        <f t="shared" si="0"/>
        <v/>
      </c>
      <c r="C246" s="1"/>
      <c r="D246" s="68" t="str">
        <f t="shared" si="1"/>
        <v/>
      </c>
      <c r="E246" s="2"/>
      <c r="F246" s="78">
        <v>239</v>
      </c>
      <c r="G246" s="110" t="str">
        <f t="array" ref="G246">IF(ISNUMBER(AC246),INDEX('All Player Data Store'!$C$7:$C$594,SMALL(IF('All Player Data Store'!$Y$7:$Y$594=AC246,ROW('All Player Data Store'!$Y$7:$Y$594)-ROW('All Player Data Store'!$Y$7)+1),COUNTIF($AC$8:AC246,AC246))),"")</f>
        <v/>
      </c>
      <c r="H246" s="68" t="str">
        <f t="array" ref="H246">IF(ISNUMBER(AC246),INDEX('All Player Data Store'!$D$7:$D$594,SMALL(IF('All Player Data Store'!$Y$7:$Y$594=AC246,ROW('All Player Data Store'!$Y$7:$Y$594)-ROW('All Player Data Store'!$Y$7)+1),COUNTIF($AC$8:AC246,AC246))),"")</f>
        <v/>
      </c>
      <c r="I246" s="69" t="str">
        <f t="array" ref="I246">IF(ISNUMBER(AC246),INDEX('All Player Data Store'!$E$7:$E$594,SMALL(IF('All Player Data Store'!$Y$7:$Y$594=AC246,ROW('All Player Data Store'!$Y$7:$Y$594)-ROW('All Player Data Store'!$Y$7)+1),COUNTIF($AC$8:AC246,AC246))),"")</f>
        <v/>
      </c>
      <c r="J246" s="70" t="str">
        <f t="array" ref="J246">IF(ISNUMBER(AC246),INDEX('All Player Data Store'!$F$7:$F$594,SMALL(IF('All Player Data Store'!$Y$7:$Y$594=AC246,ROW('All Player Data Store'!$Y$7:$Y$594)-ROW('All Player Data Store'!$Y$7)+1),COUNTIF($AC$8:AC246,AC246))),"")</f>
        <v/>
      </c>
      <c r="K246" s="70" t="str">
        <f t="array" ref="K246">IF(ISNUMBER(AC246),INDEX('All Player Data Store'!$G$7:$G$594,SMALL(IF('All Player Data Store'!$Y$7:$Y$594=AC246,ROW('All Player Data Store'!$Y$7:$Y$594)-ROW('All Player Data Store'!$Y$7)+1),COUNTIF($AC$8:AC246,AC246))),"")</f>
        <v/>
      </c>
      <c r="L246" s="70" t="str">
        <f t="array" ref="L246">IF(ISNUMBER(AC246),INDEX('All Player Data Store'!$H$7:$H$594,SMALL(IF('All Player Data Store'!$Y$7:$Y$594=AC246,ROW('All Player Data Store'!$Y$7:$Y$594)-ROW('All Player Data Store'!$Y$7)+1),COUNTIF($AC$8:AC246,AC246))),"")</f>
        <v/>
      </c>
      <c r="M246" s="72" t="str">
        <f t="array" ref="M246">IF(ISNUMBER(AC246),INDEX('All Player Data Store'!$I$7:$I$594,SMALL(IF('All Player Data Store'!$Y$7:$Y$594=AC246,ROW('All Player Data Store'!$Y$7:$Y$594)-ROW('All Player Data Store'!$Y$7)+1),COUNTIF($AC$8:AC246,AC246))),"")</f>
        <v/>
      </c>
      <c r="N246" s="114" t="str">
        <f t="array" ref="N246">IF(ISNUMBER(AC246),INDEX('All Player Data Store'!$J$7:$J$594,SMALL(IF('All Player Data Store'!$Y$7:$Y$594=AC246,ROW('All Player Data Store'!$Y$7:$Y$594)-ROW('All Player Data Store'!$Y$7)+1),COUNTIF($AC$8:AC246,AC246))),"")</f>
        <v/>
      </c>
      <c r="O246" s="108" t="str">
        <f t="array" ref="O246">IF(ISNUMBER(AC246),INDEX('All Player Data Store'!$K$7:$K$594,SMALL(IF('All Player Data Store'!$Y$7:$Y$594=AC246,ROW('All Player Data Store'!$Y$7:$Y$594)-ROW('All Player Data Store'!$Y$7)+1),COUNTIF($AC$8:AC246,AC246))),"")</f>
        <v/>
      </c>
      <c r="P246" s="108" t="str">
        <f t="array" ref="P246">IF(ISNUMBER(AC246),INDEX('All Player Data Store'!$L$7:$L$594,SMALL(IF('All Player Data Store'!$Y$7:$Y$594=AC246,ROW('All Player Data Store'!$Y$7:$Y$594)-ROW('All Player Data Store'!$Y$7)+1),COUNTIF($AC$8:AC246,AC246))),"")</f>
        <v/>
      </c>
      <c r="Q246" s="108" t="str">
        <f t="array" ref="Q246">IF(ISNUMBER(AC246),INDEX('All Player Data Store'!$M$7:$M$594,SMALL(IF('All Player Data Store'!$Y$7:$Y$594=AC246,ROW('All Player Data Store'!$Y$7:$Y$594)-ROW('All Player Data Store'!$Y$7)+1),COUNTIF($AC$8:AC246,AC246))),"")</f>
        <v/>
      </c>
      <c r="R246" s="108" t="str">
        <f t="array" ref="R246">IF(ISNUMBER(AC246),INDEX('All Player Data Store'!$N$7:$N$594,SMALL(IF('All Player Data Store'!$Y$7:$Y$594=AC246,ROW('All Player Data Store'!$Y$7:$Y$594)-ROW('All Player Data Store'!$Y$7)+1),COUNTIF($AC$8:AC246,AC246))),"")</f>
        <v/>
      </c>
      <c r="S246" s="108" t="str">
        <f t="array" ref="S246">IF(ISNUMBER(AC246),INDEX('All Player Data Store'!$O$7:$O$594,SMALL(IF('All Player Data Store'!$Y$7:$Y$594=AC246,ROW('All Player Data Store'!$Y$7:$Y$594)-ROW('All Player Data Store'!$Y$7)+1),COUNTIF($AC$8:AC246,AC246))),"")</f>
        <v/>
      </c>
      <c r="T246" s="108" t="str">
        <f t="array" ref="T246">IF(ISNUMBER(AC246),INDEX('All Player Data Store'!$P$7:$P$594,SMALL(IF('All Player Data Store'!$Y$7:$Y$594=AC246,ROW('All Player Data Store'!$Y$7:$Y$594)-ROW('All Player Data Store'!$Y$7)+1),COUNTIF($AC$8:AC246,AC246))),"")</f>
        <v/>
      </c>
      <c r="U246" s="108" t="str">
        <f t="array" ref="U246">IF(ISNUMBER(AC246),INDEX('All Player Data Store'!$Q$7:$Q$594,SMALL(IF('All Player Data Store'!$Y$7:$Y$594=AC246,ROW('All Player Data Store'!$Y$7:$Y$594)-ROW('All Player Data Store'!$Y$7)+1),COUNTIF($AC$8:AC246,AC246))),"")</f>
        <v/>
      </c>
      <c r="V246" s="108" t="str">
        <f t="array" ref="V246">IF(ISNUMBER(AC246),INDEX('All Player Data Store'!$R$7:$R$594,SMALL(IF('All Player Data Store'!$Y$7:$Y$594=AC246,ROW('All Player Data Store'!$Y$7:$Y$594)-ROW('All Player Data Store'!$Y$7)+1),COUNTIF($AC$8:AC246,AC246))),"")</f>
        <v/>
      </c>
      <c r="W246" s="108" t="str">
        <f t="array" ref="W246">IF(ISNUMBER(AC246),INDEX('All Player Data Store'!$S$7:$S$594,SMALL(IF('All Player Data Store'!$Y$7:$Y$594=AC246,ROW('All Player Data Store'!$Y$7:$Y$594)-ROW('All Player Data Store'!$Y$7)+1),COUNTIF($AC$8:AC246,AC246))),"")</f>
        <v/>
      </c>
      <c r="X246" s="108" t="str">
        <f t="array" ref="X246">IF(ISNUMBER(AC246),INDEX('All Player Data Store'!$T$7:$T$594,SMALL(IF('All Player Data Store'!$Y$7:$Y$594=AC246,ROW('All Player Data Store'!$Y$7:$Y$594)-ROW('All Player Data Store'!$Y$7)+1),COUNTIF($AC$8:AC246,AC246))),"")</f>
        <v/>
      </c>
      <c r="Y246" s="108" t="str">
        <f t="array" ref="Y246">IF(ISNUMBER(AC246),INDEX('All Player Data Store'!$U$7:$U$594,SMALL(IF('All Player Data Store'!$Y$7:$Y$594=AC246,ROW('All Player Data Store'!$Y$7:$Y$594)-ROW('All Player Data Store'!$Y$7)+1),COUNTIF($AC$8:AC246,AC246))),"")</f>
        <v/>
      </c>
      <c r="Z246" s="108" t="str">
        <f t="array" ref="Z246">IF(ISNUMBER(AC246),INDEX('All Player Data Store'!$V$7:$V$594,SMALL(IF('All Player Data Store'!$Y$7:$Y$594=AC246,ROW('All Player Data Store'!$Y$7:$Y$594)-ROW('All Player Data Store'!$Y$7)+1),COUNTIF($AC$8:AC246,AC246))),"")</f>
        <v/>
      </c>
      <c r="AA246" s="112" t="str">
        <f t="array" ref="AA246">IF(ISNUMBER(AC246),INDEX('All Player Data Store'!$W$7:$W$594,SMALL(IF('All Player Data Store'!$Y$7:$Y$594=AC246,ROW('All Player Data Store'!$Y$7:$Y$594)-ROW('All Player Data Store'!$Y$7)+1),COUNTIF($AC$8:AC246,AC246))),"")</f>
        <v/>
      </c>
      <c r="AB246" s="108" t="str">
        <f t="array" ref="AB246">IF(ISNUMBER(AC246),INDEX('All Player Data Store'!$X$7:$X$594,SMALL(IF('All Player Data Store'!$Y$7:$Y$594=AC246,ROW('All Player Data Store'!$Y$7:$Y$594)-ROW('All Player Data Store'!$Y$7)+1),COUNTIF($AC$8:AC246,AC246))),"")</f>
        <v/>
      </c>
      <c r="AC246" s="115" t="str">
        <f>IF(ISERROR(IF(ISERROR(LARGE('All Player Data Store'!$Y$7:$Y$594,239)),"",(LARGE('All Player Data Store'!$Y$7:$Y$594,239)))),"",(IF(ISERROR(LARGE('All Player Data Store'!$Y$7:$Y$594,239)),"",(LARGE('All Player Data Store'!$Y$7:$Y$594,239)))))</f>
        <v/>
      </c>
      <c r="AD246" s="106">
        <f t="shared" si="16"/>
        <v>1</v>
      </c>
      <c r="AE246" s="107" t="str">
        <f t="array" ref="AE246">IF(ISNUMBER(AC246),INDEX('All Player Data Store'!$J$8:$J$594,SMALL(IF('All Player Data Store'!$Y$7:$Y$594=AC246,ROW('All Player Data Store'!$Y$7:$Y$594)-ROW('All Player Data Store'!$Y$7)+1),COUNTIF($AC$8:AC246,AC246))),"")</f>
        <v/>
      </c>
      <c r="AF246" s="108" t="str">
        <f t="shared" si="3"/>
        <v/>
      </c>
      <c r="AG246" s="108" t="str">
        <f t="array" ref="AG246">IF(ISNUMBER(AC246),INDEX('All Player Data Store'!$K$8:$K$594,SMALL(IF('All Player Data Store'!$Y$7:$Y$594=AC246,ROW('All Player Data Store'!$Y$7:$Y$594)-ROW('All Player Data Store'!$Y$7)+1),COUNTIF($AC$8:AC246,AC246))),"")</f>
        <v/>
      </c>
      <c r="AH246" s="108" t="str">
        <f t="shared" si="4"/>
        <v/>
      </c>
      <c r="AI246" s="108" t="str">
        <f t="array" ref="AI246">IF(ISNUMBER(AC246),INDEX('All Player Data Store'!$L$8:$L$594,SMALL(IF('All Player Data Store'!$Y$7:$Y$594=AC246,ROW('All Player Data Store'!$Y$7:$Y$594)-ROW('All Player Data Store'!$Y$7)+1),COUNTIF($AC$8:AC246,AC246))),"")</f>
        <v/>
      </c>
      <c r="AJ246" s="108" t="str">
        <f t="shared" si="5"/>
        <v/>
      </c>
      <c r="AK246" s="108" t="str">
        <f t="array" ref="AK246">IF(ISNUMBER(AC246),INDEX('All Player Data Store'!$M$8:$M$594,SMALL(IF('All Player Data Store'!$Y$7:$Y$594=AC246,ROW('All Player Data Store'!$Y$7:$Y$594)-ROW('All Player Data Store'!$Y$7)+1),COUNTIF($AC$8:AC246,AC246))),"")</f>
        <v/>
      </c>
      <c r="AL246" s="108" t="str">
        <f t="shared" si="6"/>
        <v/>
      </c>
      <c r="AM246" s="108" t="str">
        <f t="array" ref="AM246">IF(ISNUMBER(AC246),INDEX('All Player Data Store'!$N$8:$N$594,SMALL(IF('All Player Data Store'!$Y$7:$Y$594=AC246,ROW('All Player Data Store'!$Y$7:$Y$594)-ROW('All Player Data Store'!$Y$7)+1),COUNTIF($AC$8:AC246,AC246))),"")</f>
        <v/>
      </c>
      <c r="AN246" s="108" t="str">
        <f t="shared" si="7"/>
        <v/>
      </c>
      <c r="AO246" s="108" t="str">
        <f t="array" ref="AO246">IF(ISNUMBER(AC246),INDEX('All Player Data Store'!$O$8:$O$594,SMALL(IF('All Player Data Store'!$Y$7:$Y$594=AC246,ROW('All Player Data Store'!$Y$7:$Y$594)-ROW('All Player Data Store'!$Y$7)+1),COUNTIF($AC$8:AC246,AC246))),"")</f>
        <v/>
      </c>
      <c r="AP246" s="108" t="str">
        <f t="shared" si="8"/>
        <v/>
      </c>
      <c r="AQ246" s="108" t="str">
        <f t="array" ref="AQ246">IF(ISNUMBER(AC246),INDEX('All Player Data Store'!$P$8:$P$594,SMALL(IF('All Player Data Store'!$Y$7:$Y$594=AC246,ROW('All Player Data Store'!$Y$7:$Y$594)-ROW('All Player Data Store'!$Y$7)+1),COUNTIF($AC$8:AC246,AC246))),"")</f>
        <v/>
      </c>
      <c r="AR246" s="108" t="str">
        <f t="shared" si="9"/>
        <v/>
      </c>
      <c r="AS246" s="108" t="str">
        <f t="array" ref="AS246">IF(ISNUMBER(AC246),INDEX('All Player Data Store'!$Q$8:$Q$594,SMALL(IF('All Player Data Store'!$Y$7:$Y$594=AC246,ROW('All Player Data Store'!$Y$7:$Y$594)-ROW('All Player Data Store'!$Y$7)+1),COUNTIF($AC$8:AC246,AC246))),"")</f>
        <v/>
      </c>
      <c r="AT246" s="108" t="str">
        <f t="shared" si="10"/>
        <v/>
      </c>
      <c r="AU246" s="108" t="str">
        <f t="array" ref="AU246">IF(ISNUMBER(AC246),INDEX('All Player Data Store'!$R$8:$R$594,SMALL(IF('All Player Data Store'!$Y$7:$Y$594=AC246,ROW('All Player Data Store'!$Y$7:$Y$594)-ROW('All Player Data Store'!$Y$7)+1),COUNTIF($AC$8:AC246,AC246))),"")</f>
        <v/>
      </c>
      <c r="AV246" s="108" t="str">
        <f t="shared" si="11"/>
        <v/>
      </c>
      <c r="AW246" s="108" t="str">
        <f t="array" ref="AW246">IF(ISNUMBER(AC246),INDEX('All Player Data Store'!$S$8:$S$594,SMALL(IF('All Player Data Store'!$Y$7:$Y$594=AC246,ROW('All Player Data Store'!$Y$7:$Y$594)-ROW('All Player Data Store'!$Y$7)+1),COUNTIF($AC$8:AC246,AC246))),"")</f>
        <v/>
      </c>
      <c r="AX246" s="108" t="str">
        <f t="shared" si="12"/>
        <v/>
      </c>
      <c r="AY246" s="108" t="str">
        <f t="array" ref="AY246">IF(ISNUMBER(AC246),INDEX('All Player Data Store'!$T$8:$T$594,SMALL(IF('All Player Data Store'!$Y$7:$Y$594=AC246,ROW('All Player Data Store'!$Y$7:$Y$594)-ROW('All Player Data Store'!$Y$7)+1),COUNTIF($AC$8:AC246,AC246))),"")</f>
        <v/>
      </c>
      <c r="AZ246" s="108" t="str">
        <f t="shared" si="13"/>
        <v/>
      </c>
      <c r="BA246" s="108" t="str">
        <f t="array" ref="BA246">IF(ISNUMBER(AC246),INDEX('All Player Data Store'!$U$8:$U$594,SMALL(IF('All Player Data Store'!$Y$7:$Y$594=AC246,ROW('All Player Data Store'!$Y$7:$Y$594)-ROW('All Player Data Store'!$Y$7)+1),COUNTIF($AC$8:AC246,AC246))),"")</f>
        <v/>
      </c>
      <c r="BB246" s="108" t="str">
        <f t="shared" si="14"/>
        <v/>
      </c>
      <c r="BC246" s="108" t="str">
        <f t="array" ref="BC246">IF(ISNUMBER(AC246),INDEX('All Player Data Store'!$V$8:$V$594,SMALL(IF('All Player Data Store'!$Y$7:$Y$594=AC246,ROW('All Player Data Store'!$Y$7:$Y$594)-ROW('All Player Data Store'!$Y$7)+1),COUNTIF($AC$8:AC246,AC246))),"")</f>
        <v/>
      </c>
      <c r="BD246" s="108" t="str">
        <f t="shared" si="15"/>
        <v/>
      </c>
      <c r="BE246" s="1"/>
    </row>
    <row r="247" spans="2:57" ht="12" customHeight="1" x14ac:dyDescent="0.2">
      <c r="B247" s="118" t="str">
        <f t="shared" si="0"/>
        <v/>
      </c>
      <c r="C247" s="1"/>
      <c r="D247" s="68" t="str">
        <f t="shared" si="1"/>
        <v/>
      </c>
      <c r="E247" s="2"/>
      <c r="F247" s="78">
        <v>240</v>
      </c>
      <c r="G247" s="110" t="str">
        <f t="array" ref="G247">IF(ISNUMBER(AC247),INDEX('All Player Data Store'!$C$7:$C$594,SMALL(IF('All Player Data Store'!$Y$7:$Y$594=AC247,ROW('All Player Data Store'!$Y$7:$Y$594)-ROW('All Player Data Store'!$Y$7)+1),COUNTIF($AC$8:AC247,AC247))),"")</f>
        <v/>
      </c>
      <c r="H247" s="68" t="str">
        <f t="array" ref="H247">IF(ISNUMBER(AC247),INDEX('All Player Data Store'!$D$7:$D$594,SMALL(IF('All Player Data Store'!$Y$7:$Y$594=AC247,ROW('All Player Data Store'!$Y$7:$Y$594)-ROW('All Player Data Store'!$Y$7)+1),COUNTIF($AC$8:AC247,AC247))),"")</f>
        <v/>
      </c>
      <c r="I247" s="69" t="str">
        <f t="array" ref="I247">IF(ISNUMBER(AC247),INDEX('All Player Data Store'!$E$7:$E$594,SMALL(IF('All Player Data Store'!$Y$7:$Y$594=AC247,ROW('All Player Data Store'!$Y$7:$Y$594)-ROW('All Player Data Store'!$Y$7)+1),COUNTIF($AC$8:AC247,AC247))),"")</f>
        <v/>
      </c>
      <c r="J247" s="70" t="str">
        <f t="array" ref="J247">IF(ISNUMBER(AC247),INDEX('All Player Data Store'!$F$7:$F$594,SMALL(IF('All Player Data Store'!$Y$7:$Y$594=AC247,ROW('All Player Data Store'!$Y$7:$Y$594)-ROW('All Player Data Store'!$Y$7)+1),COUNTIF($AC$8:AC247,AC247))),"")</f>
        <v/>
      </c>
      <c r="K247" s="70" t="str">
        <f t="array" ref="K247">IF(ISNUMBER(AC247),INDEX('All Player Data Store'!$G$7:$G$594,SMALL(IF('All Player Data Store'!$Y$7:$Y$594=AC247,ROW('All Player Data Store'!$Y$7:$Y$594)-ROW('All Player Data Store'!$Y$7)+1),COUNTIF($AC$8:AC247,AC247))),"")</f>
        <v/>
      </c>
      <c r="L247" s="70" t="str">
        <f t="array" ref="L247">IF(ISNUMBER(AC247),INDEX('All Player Data Store'!$H$7:$H$594,SMALL(IF('All Player Data Store'!$Y$7:$Y$594=AC247,ROW('All Player Data Store'!$Y$7:$Y$594)-ROW('All Player Data Store'!$Y$7)+1),COUNTIF($AC$8:AC247,AC247))),"")</f>
        <v/>
      </c>
      <c r="M247" s="72" t="str">
        <f t="array" ref="M247">IF(ISNUMBER(AC247),INDEX('All Player Data Store'!$I$7:$I$594,SMALL(IF('All Player Data Store'!$Y$7:$Y$594=AC247,ROW('All Player Data Store'!$Y$7:$Y$594)-ROW('All Player Data Store'!$Y$7)+1),COUNTIF($AC$8:AC247,AC247))),"")</f>
        <v/>
      </c>
      <c r="N247" s="114" t="str">
        <f t="array" ref="N247">IF(ISNUMBER(AC247),INDEX('All Player Data Store'!$J$7:$J$594,SMALL(IF('All Player Data Store'!$Y$7:$Y$594=AC247,ROW('All Player Data Store'!$Y$7:$Y$594)-ROW('All Player Data Store'!$Y$7)+1),COUNTIF($AC$8:AC247,AC247))),"")</f>
        <v/>
      </c>
      <c r="O247" s="108" t="str">
        <f t="array" ref="O247">IF(ISNUMBER(AC247),INDEX('All Player Data Store'!$K$7:$K$594,SMALL(IF('All Player Data Store'!$Y$7:$Y$594=AC247,ROW('All Player Data Store'!$Y$7:$Y$594)-ROW('All Player Data Store'!$Y$7)+1),COUNTIF($AC$8:AC247,AC247))),"")</f>
        <v/>
      </c>
      <c r="P247" s="108" t="str">
        <f t="array" ref="P247">IF(ISNUMBER(AC247),INDEX('All Player Data Store'!$L$7:$L$594,SMALL(IF('All Player Data Store'!$Y$7:$Y$594=AC247,ROW('All Player Data Store'!$Y$7:$Y$594)-ROW('All Player Data Store'!$Y$7)+1),COUNTIF($AC$8:AC247,AC247))),"")</f>
        <v/>
      </c>
      <c r="Q247" s="108" t="str">
        <f t="array" ref="Q247">IF(ISNUMBER(AC247),INDEX('All Player Data Store'!$M$7:$M$594,SMALL(IF('All Player Data Store'!$Y$7:$Y$594=AC247,ROW('All Player Data Store'!$Y$7:$Y$594)-ROW('All Player Data Store'!$Y$7)+1),COUNTIF($AC$8:AC247,AC247))),"")</f>
        <v/>
      </c>
      <c r="R247" s="108" t="str">
        <f t="array" ref="R247">IF(ISNUMBER(AC247),INDEX('All Player Data Store'!$N$7:$N$594,SMALL(IF('All Player Data Store'!$Y$7:$Y$594=AC247,ROW('All Player Data Store'!$Y$7:$Y$594)-ROW('All Player Data Store'!$Y$7)+1),COUNTIF($AC$8:AC247,AC247))),"")</f>
        <v/>
      </c>
      <c r="S247" s="108" t="str">
        <f t="array" ref="S247">IF(ISNUMBER(AC247),INDEX('All Player Data Store'!$O$7:$O$594,SMALL(IF('All Player Data Store'!$Y$7:$Y$594=AC247,ROW('All Player Data Store'!$Y$7:$Y$594)-ROW('All Player Data Store'!$Y$7)+1),COUNTIF($AC$8:AC247,AC247))),"")</f>
        <v/>
      </c>
      <c r="T247" s="108" t="str">
        <f t="array" ref="T247">IF(ISNUMBER(AC247),INDEX('All Player Data Store'!$P$7:$P$594,SMALL(IF('All Player Data Store'!$Y$7:$Y$594=AC247,ROW('All Player Data Store'!$Y$7:$Y$594)-ROW('All Player Data Store'!$Y$7)+1),COUNTIF($AC$8:AC247,AC247))),"")</f>
        <v/>
      </c>
      <c r="U247" s="108" t="str">
        <f t="array" ref="U247">IF(ISNUMBER(AC247),INDEX('All Player Data Store'!$Q$7:$Q$594,SMALL(IF('All Player Data Store'!$Y$7:$Y$594=AC247,ROW('All Player Data Store'!$Y$7:$Y$594)-ROW('All Player Data Store'!$Y$7)+1),COUNTIF($AC$8:AC247,AC247))),"")</f>
        <v/>
      </c>
      <c r="V247" s="108" t="str">
        <f t="array" ref="V247">IF(ISNUMBER(AC247),INDEX('All Player Data Store'!$R$7:$R$594,SMALL(IF('All Player Data Store'!$Y$7:$Y$594=AC247,ROW('All Player Data Store'!$Y$7:$Y$594)-ROW('All Player Data Store'!$Y$7)+1),COUNTIF($AC$8:AC247,AC247))),"")</f>
        <v/>
      </c>
      <c r="W247" s="108" t="str">
        <f t="array" ref="W247">IF(ISNUMBER(AC247),INDEX('All Player Data Store'!$S$7:$S$594,SMALL(IF('All Player Data Store'!$Y$7:$Y$594=AC247,ROW('All Player Data Store'!$Y$7:$Y$594)-ROW('All Player Data Store'!$Y$7)+1),COUNTIF($AC$8:AC247,AC247))),"")</f>
        <v/>
      </c>
      <c r="X247" s="108" t="str">
        <f t="array" ref="X247">IF(ISNUMBER(AC247),INDEX('All Player Data Store'!$T$7:$T$594,SMALL(IF('All Player Data Store'!$Y$7:$Y$594=AC247,ROW('All Player Data Store'!$Y$7:$Y$594)-ROW('All Player Data Store'!$Y$7)+1),COUNTIF($AC$8:AC247,AC247))),"")</f>
        <v/>
      </c>
      <c r="Y247" s="108" t="str">
        <f t="array" ref="Y247">IF(ISNUMBER(AC247),INDEX('All Player Data Store'!$U$7:$U$594,SMALL(IF('All Player Data Store'!$Y$7:$Y$594=AC247,ROW('All Player Data Store'!$Y$7:$Y$594)-ROW('All Player Data Store'!$Y$7)+1),COUNTIF($AC$8:AC247,AC247))),"")</f>
        <v/>
      </c>
      <c r="Z247" s="108" t="str">
        <f t="array" ref="Z247">IF(ISNUMBER(AC247),INDEX('All Player Data Store'!$V$7:$V$594,SMALL(IF('All Player Data Store'!$Y$7:$Y$594=AC247,ROW('All Player Data Store'!$Y$7:$Y$594)-ROW('All Player Data Store'!$Y$7)+1),COUNTIF($AC$8:AC247,AC247))),"")</f>
        <v/>
      </c>
      <c r="AA247" s="112" t="str">
        <f t="array" ref="AA247">IF(ISNUMBER(AC247),INDEX('All Player Data Store'!$W$7:$W$594,SMALL(IF('All Player Data Store'!$Y$7:$Y$594=AC247,ROW('All Player Data Store'!$Y$7:$Y$594)-ROW('All Player Data Store'!$Y$7)+1),COUNTIF($AC$8:AC247,AC247))),"")</f>
        <v/>
      </c>
      <c r="AB247" s="108" t="str">
        <f t="array" ref="AB247">IF(ISNUMBER(AC247),INDEX('All Player Data Store'!$X$7:$X$594,SMALL(IF('All Player Data Store'!$Y$7:$Y$594=AC247,ROW('All Player Data Store'!$Y$7:$Y$594)-ROW('All Player Data Store'!$Y$7)+1),COUNTIF($AC$8:AC247,AC247))),"")</f>
        <v/>
      </c>
      <c r="AC247" s="115" t="str">
        <f>IF(ISERROR(IF(ISERROR(LARGE('All Player Data Store'!$Y$7:$Y$594,240)),"",(LARGE('All Player Data Store'!$Y$7:$Y$594,240)))),"",(IF(ISERROR(LARGE('All Player Data Store'!$Y$7:$Y$594,240)),"",(LARGE('All Player Data Store'!$Y$7:$Y$594,240)))))</f>
        <v/>
      </c>
      <c r="AD247" s="106">
        <f t="shared" si="16"/>
        <v>1</v>
      </c>
      <c r="AE247" s="107" t="str">
        <f t="array" ref="AE247">IF(ISNUMBER(AC247),INDEX('All Player Data Store'!$J$8:$J$594,SMALL(IF('All Player Data Store'!$Y$7:$Y$594=AC247,ROW('All Player Data Store'!$Y$7:$Y$594)-ROW('All Player Data Store'!$Y$7)+1),COUNTIF($AC$8:AC247,AC247))),"")</f>
        <v/>
      </c>
      <c r="AF247" s="108" t="str">
        <f t="shared" si="3"/>
        <v/>
      </c>
      <c r="AG247" s="108" t="str">
        <f t="array" ref="AG247">IF(ISNUMBER(AC247),INDEX('All Player Data Store'!$K$8:$K$594,SMALL(IF('All Player Data Store'!$Y$7:$Y$594=AC247,ROW('All Player Data Store'!$Y$7:$Y$594)-ROW('All Player Data Store'!$Y$7)+1),COUNTIF($AC$8:AC247,AC247))),"")</f>
        <v/>
      </c>
      <c r="AH247" s="108" t="str">
        <f t="shared" si="4"/>
        <v/>
      </c>
      <c r="AI247" s="108" t="str">
        <f t="array" ref="AI247">IF(ISNUMBER(AC247),INDEX('All Player Data Store'!$L$8:$L$594,SMALL(IF('All Player Data Store'!$Y$7:$Y$594=AC247,ROW('All Player Data Store'!$Y$7:$Y$594)-ROW('All Player Data Store'!$Y$7)+1),COUNTIF($AC$8:AC247,AC247))),"")</f>
        <v/>
      </c>
      <c r="AJ247" s="108" t="str">
        <f t="shared" si="5"/>
        <v/>
      </c>
      <c r="AK247" s="108" t="str">
        <f t="array" ref="AK247">IF(ISNUMBER(AC247),INDEX('All Player Data Store'!$M$8:$M$594,SMALL(IF('All Player Data Store'!$Y$7:$Y$594=AC247,ROW('All Player Data Store'!$Y$7:$Y$594)-ROW('All Player Data Store'!$Y$7)+1),COUNTIF($AC$8:AC247,AC247))),"")</f>
        <v/>
      </c>
      <c r="AL247" s="108" t="str">
        <f t="shared" si="6"/>
        <v/>
      </c>
      <c r="AM247" s="108" t="str">
        <f t="array" ref="AM247">IF(ISNUMBER(AC247),INDEX('All Player Data Store'!$N$8:$N$594,SMALL(IF('All Player Data Store'!$Y$7:$Y$594=AC247,ROW('All Player Data Store'!$Y$7:$Y$594)-ROW('All Player Data Store'!$Y$7)+1),COUNTIF($AC$8:AC247,AC247))),"")</f>
        <v/>
      </c>
      <c r="AN247" s="108" t="str">
        <f t="shared" si="7"/>
        <v/>
      </c>
      <c r="AO247" s="108" t="str">
        <f t="array" ref="AO247">IF(ISNUMBER(AC247),INDEX('All Player Data Store'!$O$8:$O$594,SMALL(IF('All Player Data Store'!$Y$7:$Y$594=AC247,ROW('All Player Data Store'!$Y$7:$Y$594)-ROW('All Player Data Store'!$Y$7)+1),COUNTIF($AC$8:AC247,AC247))),"")</f>
        <v/>
      </c>
      <c r="AP247" s="108" t="str">
        <f t="shared" si="8"/>
        <v/>
      </c>
      <c r="AQ247" s="108" t="str">
        <f t="array" ref="AQ247">IF(ISNUMBER(AC247),INDEX('All Player Data Store'!$P$8:$P$594,SMALL(IF('All Player Data Store'!$Y$7:$Y$594=AC247,ROW('All Player Data Store'!$Y$7:$Y$594)-ROW('All Player Data Store'!$Y$7)+1),COUNTIF($AC$8:AC247,AC247))),"")</f>
        <v/>
      </c>
      <c r="AR247" s="108" t="str">
        <f t="shared" si="9"/>
        <v/>
      </c>
      <c r="AS247" s="108" t="str">
        <f t="array" ref="AS247">IF(ISNUMBER(AC247),INDEX('All Player Data Store'!$Q$8:$Q$594,SMALL(IF('All Player Data Store'!$Y$7:$Y$594=AC247,ROW('All Player Data Store'!$Y$7:$Y$594)-ROW('All Player Data Store'!$Y$7)+1),COUNTIF($AC$8:AC247,AC247))),"")</f>
        <v/>
      </c>
      <c r="AT247" s="108" t="str">
        <f t="shared" si="10"/>
        <v/>
      </c>
      <c r="AU247" s="108" t="str">
        <f t="array" ref="AU247">IF(ISNUMBER(AC247),INDEX('All Player Data Store'!$R$8:$R$594,SMALL(IF('All Player Data Store'!$Y$7:$Y$594=AC247,ROW('All Player Data Store'!$Y$7:$Y$594)-ROW('All Player Data Store'!$Y$7)+1),COUNTIF($AC$8:AC247,AC247))),"")</f>
        <v/>
      </c>
      <c r="AV247" s="108" t="str">
        <f t="shared" si="11"/>
        <v/>
      </c>
      <c r="AW247" s="108" t="str">
        <f t="array" ref="AW247">IF(ISNUMBER(AC247),INDEX('All Player Data Store'!$S$8:$S$594,SMALL(IF('All Player Data Store'!$Y$7:$Y$594=AC247,ROW('All Player Data Store'!$Y$7:$Y$594)-ROW('All Player Data Store'!$Y$7)+1),COUNTIF($AC$8:AC247,AC247))),"")</f>
        <v/>
      </c>
      <c r="AX247" s="108" t="str">
        <f t="shared" si="12"/>
        <v/>
      </c>
      <c r="AY247" s="108" t="str">
        <f t="array" ref="AY247">IF(ISNUMBER(AC247),INDEX('All Player Data Store'!$T$8:$T$594,SMALL(IF('All Player Data Store'!$Y$7:$Y$594=AC247,ROW('All Player Data Store'!$Y$7:$Y$594)-ROW('All Player Data Store'!$Y$7)+1),COUNTIF($AC$8:AC247,AC247))),"")</f>
        <v/>
      </c>
      <c r="AZ247" s="108" t="str">
        <f t="shared" si="13"/>
        <v/>
      </c>
      <c r="BA247" s="108" t="str">
        <f t="array" ref="BA247">IF(ISNUMBER(AC247),INDEX('All Player Data Store'!$U$8:$U$594,SMALL(IF('All Player Data Store'!$Y$7:$Y$594=AC247,ROW('All Player Data Store'!$Y$7:$Y$594)-ROW('All Player Data Store'!$Y$7)+1),COUNTIF($AC$8:AC247,AC247))),"")</f>
        <v/>
      </c>
      <c r="BB247" s="108" t="str">
        <f t="shared" si="14"/>
        <v/>
      </c>
      <c r="BC247" s="108" t="str">
        <f t="array" ref="BC247">IF(ISNUMBER(AC247),INDEX('All Player Data Store'!$V$8:$V$594,SMALL(IF('All Player Data Store'!$Y$7:$Y$594=AC247,ROW('All Player Data Store'!$Y$7:$Y$594)-ROW('All Player Data Store'!$Y$7)+1),COUNTIF($AC$8:AC247,AC247))),"")</f>
        <v/>
      </c>
      <c r="BD247" s="108" t="str">
        <f t="shared" si="15"/>
        <v/>
      </c>
      <c r="BE247" s="1"/>
    </row>
    <row r="248" spans="2:57" ht="12" customHeight="1" x14ac:dyDescent="0.2">
      <c r="B248" s="118" t="str">
        <f t="shared" si="0"/>
        <v/>
      </c>
      <c r="C248" s="1"/>
      <c r="D248" s="68" t="str">
        <f t="shared" si="1"/>
        <v/>
      </c>
      <c r="E248" s="2"/>
      <c r="F248" s="78">
        <v>241</v>
      </c>
      <c r="G248" s="110" t="str">
        <f t="array" ref="G248">IF(ISNUMBER(AC248),INDEX('All Player Data Store'!$C$7:$C$594,SMALL(IF('All Player Data Store'!$Y$7:$Y$594=AC248,ROW('All Player Data Store'!$Y$7:$Y$594)-ROW('All Player Data Store'!$Y$7)+1),COUNTIF($AC$8:AC248,AC248))),"")</f>
        <v/>
      </c>
      <c r="H248" s="68" t="str">
        <f t="array" ref="H248">IF(ISNUMBER(AC248),INDEX('All Player Data Store'!$D$7:$D$594,SMALL(IF('All Player Data Store'!$Y$7:$Y$594=AC248,ROW('All Player Data Store'!$Y$7:$Y$594)-ROW('All Player Data Store'!$Y$7)+1),COUNTIF($AC$8:AC248,AC248))),"")</f>
        <v/>
      </c>
      <c r="I248" s="69" t="str">
        <f t="array" ref="I248">IF(ISNUMBER(AC248),INDEX('All Player Data Store'!$E$7:$E$594,SMALL(IF('All Player Data Store'!$Y$7:$Y$594=AC248,ROW('All Player Data Store'!$Y$7:$Y$594)-ROW('All Player Data Store'!$Y$7)+1),COUNTIF($AC$8:AC248,AC248))),"")</f>
        <v/>
      </c>
      <c r="J248" s="70" t="str">
        <f t="array" ref="J248">IF(ISNUMBER(AC248),INDEX('All Player Data Store'!$F$7:$F$594,SMALL(IF('All Player Data Store'!$Y$7:$Y$594=AC248,ROW('All Player Data Store'!$Y$7:$Y$594)-ROW('All Player Data Store'!$Y$7)+1),COUNTIF($AC$8:AC248,AC248))),"")</f>
        <v/>
      </c>
      <c r="K248" s="70" t="str">
        <f t="array" ref="K248">IF(ISNUMBER(AC248),INDEX('All Player Data Store'!$G$7:$G$594,SMALL(IF('All Player Data Store'!$Y$7:$Y$594=AC248,ROW('All Player Data Store'!$Y$7:$Y$594)-ROW('All Player Data Store'!$Y$7)+1),COUNTIF($AC$8:AC248,AC248))),"")</f>
        <v/>
      </c>
      <c r="L248" s="70" t="str">
        <f t="array" ref="L248">IF(ISNUMBER(AC248),INDEX('All Player Data Store'!$H$7:$H$594,SMALL(IF('All Player Data Store'!$Y$7:$Y$594=AC248,ROW('All Player Data Store'!$Y$7:$Y$594)-ROW('All Player Data Store'!$Y$7)+1),COUNTIF($AC$8:AC248,AC248))),"")</f>
        <v/>
      </c>
      <c r="M248" s="72" t="str">
        <f t="array" ref="M248">IF(ISNUMBER(AC248),INDEX('All Player Data Store'!$I$7:$I$594,SMALL(IF('All Player Data Store'!$Y$7:$Y$594=AC248,ROW('All Player Data Store'!$Y$7:$Y$594)-ROW('All Player Data Store'!$Y$7)+1),COUNTIF($AC$8:AC248,AC248))),"")</f>
        <v/>
      </c>
      <c r="N248" s="114" t="str">
        <f t="array" ref="N248">IF(ISNUMBER(AC248),INDEX('All Player Data Store'!$J$7:$J$594,SMALL(IF('All Player Data Store'!$Y$7:$Y$594=AC248,ROW('All Player Data Store'!$Y$7:$Y$594)-ROW('All Player Data Store'!$Y$7)+1),COUNTIF($AC$8:AC248,AC248))),"")</f>
        <v/>
      </c>
      <c r="O248" s="108" t="str">
        <f t="array" ref="O248">IF(ISNUMBER(AC248),INDEX('All Player Data Store'!$K$7:$K$594,SMALL(IF('All Player Data Store'!$Y$7:$Y$594=AC248,ROW('All Player Data Store'!$Y$7:$Y$594)-ROW('All Player Data Store'!$Y$7)+1),COUNTIF($AC$8:AC248,AC248))),"")</f>
        <v/>
      </c>
      <c r="P248" s="108" t="str">
        <f t="array" ref="P248">IF(ISNUMBER(AC248),INDEX('All Player Data Store'!$L$7:$L$594,SMALL(IF('All Player Data Store'!$Y$7:$Y$594=AC248,ROW('All Player Data Store'!$Y$7:$Y$594)-ROW('All Player Data Store'!$Y$7)+1),COUNTIF($AC$8:AC248,AC248))),"")</f>
        <v/>
      </c>
      <c r="Q248" s="108" t="str">
        <f t="array" ref="Q248">IF(ISNUMBER(AC248),INDEX('All Player Data Store'!$M$7:$M$594,SMALL(IF('All Player Data Store'!$Y$7:$Y$594=AC248,ROW('All Player Data Store'!$Y$7:$Y$594)-ROW('All Player Data Store'!$Y$7)+1),COUNTIF($AC$8:AC248,AC248))),"")</f>
        <v/>
      </c>
      <c r="R248" s="108" t="str">
        <f t="array" ref="R248">IF(ISNUMBER(AC248),INDEX('All Player Data Store'!$N$7:$N$594,SMALL(IF('All Player Data Store'!$Y$7:$Y$594=AC248,ROW('All Player Data Store'!$Y$7:$Y$594)-ROW('All Player Data Store'!$Y$7)+1),COUNTIF($AC$8:AC248,AC248))),"")</f>
        <v/>
      </c>
      <c r="S248" s="108" t="str">
        <f t="array" ref="S248">IF(ISNUMBER(AC248),INDEX('All Player Data Store'!$O$7:$O$594,SMALL(IF('All Player Data Store'!$Y$7:$Y$594=AC248,ROW('All Player Data Store'!$Y$7:$Y$594)-ROW('All Player Data Store'!$Y$7)+1),COUNTIF($AC$8:AC248,AC248))),"")</f>
        <v/>
      </c>
      <c r="T248" s="108" t="str">
        <f t="array" ref="T248">IF(ISNUMBER(AC248),INDEX('All Player Data Store'!$P$7:$P$594,SMALL(IF('All Player Data Store'!$Y$7:$Y$594=AC248,ROW('All Player Data Store'!$Y$7:$Y$594)-ROW('All Player Data Store'!$Y$7)+1),COUNTIF($AC$8:AC248,AC248))),"")</f>
        <v/>
      </c>
      <c r="U248" s="108" t="str">
        <f t="array" ref="U248">IF(ISNUMBER(AC248),INDEX('All Player Data Store'!$Q$7:$Q$594,SMALL(IF('All Player Data Store'!$Y$7:$Y$594=AC248,ROW('All Player Data Store'!$Y$7:$Y$594)-ROW('All Player Data Store'!$Y$7)+1),COUNTIF($AC$8:AC248,AC248))),"")</f>
        <v/>
      </c>
      <c r="V248" s="108" t="str">
        <f t="array" ref="V248">IF(ISNUMBER(AC248),INDEX('All Player Data Store'!$R$7:$R$594,SMALL(IF('All Player Data Store'!$Y$7:$Y$594=AC248,ROW('All Player Data Store'!$Y$7:$Y$594)-ROW('All Player Data Store'!$Y$7)+1),COUNTIF($AC$8:AC248,AC248))),"")</f>
        <v/>
      </c>
      <c r="W248" s="108" t="str">
        <f t="array" ref="W248">IF(ISNUMBER(AC248),INDEX('All Player Data Store'!$S$7:$S$594,SMALL(IF('All Player Data Store'!$Y$7:$Y$594=AC248,ROW('All Player Data Store'!$Y$7:$Y$594)-ROW('All Player Data Store'!$Y$7)+1),COUNTIF($AC$8:AC248,AC248))),"")</f>
        <v/>
      </c>
      <c r="X248" s="108" t="str">
        <f t="array" ref="X248">IF(ISNUMBER(AC248),INDEX('All Player Data Store'!$T$7:$T$594,SMALL(IF('All Player Data Store'!$Y$7:$Y$594=AC248,ROW('All Player Data Store'!$Y$7:$Y$594)-ROW('All Player Data Store'!$Y$7)+1),COUNTIF($AC$8:AC248,AC248))),"")</f>
        <v/>
      </c>
      <c r="Y248" s="108" t="str">
        <f t="array" ref="Y248">IF(ISNUMBER(AC248),INDEX('All Player Data Store'!$U$7:$U$594,SMALL(IF('All Player Data Store'!$Y$7:$Y$594=AC248,ROW('All Player Data Store'!$Y$7:$Y$594)-ROW('All Player Data Store'!$Y$7)+1),COUNTIF($AC$8:AC248,AC248))),"")</f>
        <v/>
      </c>
      <c r="Z248" s="108" t="str">
        <f t="array" ref="Z248">IF(ISNUMBER(AC248),INDEX('All Player Data Store'!$V$7:$V$594,SMALL(IF('All Player Data Store'!$Y$7:$Y$594=AC248,ROW('All Player Data Store'!$Y$7:$Y$594)-ROW('All Player Data Store'!$Y$7)+1),COUNTIF($AC$8:AC248,AC248))),"")</f>
        <v/>
      </c>
      <c r="AA248" s="112" t="str">
        <f t="array" ref="AA248">IF(ISNUMBER(AC248),INDEX('All Player Data Store'!$W$7:$W$594,SMALL(IF('All Player Data Store'!$Y$7:$Y$594=AC248,ROW('All Player Data Store'!$Y$7:$Y$594)-ROW('All Player Data Store'!$Y$7)+1),COUNTIF($AC$8:AC248,AC248))),"")</f>
        <v/>
      </c>
      <c r="AB248" s="108" t="str">
        <f t="array" ref="AB248">IF(ISNUMBER(AC248),INDEX('All Player Data Store'!$X$7:$X$594,SMALL(IF('All Player Data Store'!$Y$7:$Y$594=AC248,ROW('All Player Data Store'!$Y$7:$Y$594)-ROW('All Player Data Store'!$Y$7)+1),COUNTIF($AC$8:AC248,AC248))),"")</f>
        <v/>
      </c>
      <c r="AC248" s="115" t="str">
        <f>IF(ISERROR(IF(ISERROR(LARGE('All Player Data Store'!$Y$7:$Y$594,241)),"",(LARGE('All Player Data Store'!$Y$7:$Y$594,241)))),"",(IF(ISERROR(LARGE('All Player Data Store'!$Y$7:$Y$594,241)),"",(LARGE('All Player Data Store'!$Y$7:$Y$594,241)))))</f>
        <v/>
      </c>
      <c r="AD248" s="106">
        <f t="shared" si="16"/>
        <v>1</v>
      </c>
      <c r="AE248" s="107" t="str">
        <f t="array" ref="AE248">IF(ISNUMBER(AC248),INDEX('All Player Data Store'!$J$8:$J$594,SMALL(IF('All Player Data Store'!$Y$7:$Y$594=AC248,ROW('All Player Data Store'!$Y$7:$Y$594)-ROW('All Player Data Store'!$Y$7)+1),COUNTIF($AC$8:AC248,AC248))),"")</f>
        <v/>
      </c>
      <c r="AF248" s="108" t="str">
        <f t="shared" si="3"/>
        <v/>
      </c>
      <c r="AG248" s="108" t="str">
        <f t="array" ref="AG248">IF(ISNUMBER(AC248),INDEX('All Player Data Store'!$K$8:$K$594,SMALL(IF('All Player Data Store'!$Y$7:$Y$594=AC248,ROW('All Player Data Store'!$Y$7:$Y$594)-ROW('All Player Data Store'!$Y$7)+1),COUNTIF($AC$8:AC248,AC248))),"")</f>
        <v/>
      </c>
      <c r="AH248" s="108" t="str">
        <f t="shared" si="4"/>
        <v/>
      </c>
      <c r="AI248" s="108" t="str">
        <f t="array" ref="AI248">IF(ISNUMBER(AC248),INDEX('All Player Data Store'!$L$8:$L$594,SMALL(IF('All Player Data Store'!$Y$7:$Y$594=AC248,ROW('All Player Data Store'!$Y$7:$Y$594)-ROW('All Player Data Store'!$Y$7)+1),COUNTIF($AC$8:AC248,AC248))),"")</f>
        <v/>
      </c>
      <c r="AJ248" s="108" t="str">
        <f t="shared" si="5"/>
        <v/>
      </c>
      <c r="AK248" s="108" t="str">
        <f t="array" ref="AK248">IF(ISNUMBER(AC248),INDEX('All Player Data Store'!$M$8:$M$594,SMALL(IF('All Player Data Store'!$Y$7:$Y$594=AC248,ROW('All Player Data Store'!$Y$7:$Y$594)-ROW('All Player Data Store'!$Y$7)+1),COUNTIF($AC$8:AC248,AC248))),"")</f>
        <v/>
      </c>
      <c r="AL248" s="108" t="str">
        <f t="shared" si="6"/>
        <v/>
      </c>
      <c r="AM248" s="108" t="str">
        <f t="array" ref="AM248">IF(ISNUMBER(AC248),INDEX('All Player Data Store'!$N$8:$N$594,SMALL(IF('All Player Data Store'!$Y$7:$Y$594=AC248,ROW('All Player Data Store'!$Y$7:$Y$594)-ROW('All Player Data Store'!$Y$7)+1),COUNTIF($AC$8:AC248,AC248))),"")</f>
        <v/>
      </c>
      <c r="AN248" s="108" t="str">
        <f t="shared" si="7"/>
        <v/>
      </c>
      <c r="AO248" s="108" t="str">
        <f t="array" ref="AO248">IF(ISNUMBER(AC248),INDEX('All Player Data Store'!$O$8:$O$594,SMALL(IF('All Player Data Store'!$Y$7:$Y$594=AC248,ROW('All Player Data Store'!$Y$7:$Y$594)-ROW('All Player Data Store'!$Y$7)+1),COUNTIF($AC$8:AC248,AC248))),"")</f>
        <v/>
      </c>
      <c r="AP248" s="108" t="str">
        <f t="shared" si="8"/>
        <v/>
      </c>
      <c r="AQ248" s="108" t="str">
        <f t="array" ref="AQ248">IF(ISNUMBER(AC248),INDEX('All Player Data Store'!$P$8:$P$594,SMALL(IF('All Player Data Store'!$Y$7:$Y$594=AC248,ROW('All Player Data Store'!$Y$7:$Y$594)-ROW('All Player Data Store'!$Y$7)+1),COUNTIF($AC$8:AC248,AC248))),"")</f>
        <v/>
      </c>
      <c r="AR248" s="108" t="str">
        <f t="shared" si="9"/>
        <v/>
      </c>
      <c r="AS248" s="108" t="str">
        <f t="array" ref="AS248">IF(ISNUMBER(AC248),INDEX('All Player Data Store'!$Q$8:$Q$594,SMALL(IF('All Player Data Store'!$Y$7:$Y$594=AC248,ROW('All Player Data Store'!$Y$7:$Y$594)-ROW('All Player Data Store'!$Y$7)+1),COUNTIF($AC$8:AC248,AC248))),"")</f>
        <v/>
      </c>
      <c r="AT248" s="108" t="str">
        <f t="shared" si="10"/>
        <v/>
      </c>
      <c r="AU248" s="108" t="str">
        <f t="array" ref="AU248">IF(ISNUMBER(AC248),INDEX('All Player Data Store'!$R$8:$R$594,SMALL(IF('All Player Data Store'!$Y$7:$Y$594=AC248,ROW('All Player Data Store'!$Y$7:$Y$594)-ROW('All Player Data Store'!$Y$7)+1),COUNTIF($AC$8:AC248,AC248))),"")</f>
        <v/>
      </c>
      <c r="AV248" s="108" t="str">
        <f t="shared" si="11"/>
        <v/>
      </c>
      <c r="AW248" s="108" t="str">
        <f t="array" ref="AW248">IF(ISNUMBER(AC248),INDEX('All Player Data Store'!$S$8:$S$594,SMALL(IF('All Player Data Store'!$Y$7:$Y$594=AC248,ROW('All Player Data Store'!$Y$7:$Y$594)-ROW('All Player Data Store'!$Y$7)+1),COUNTIF($AC$8:AC248,AC248))),"")</f>
        <v/>
      </c>
      <c r="AX248" s="108" t="str">
        <f t="shared" si="12"/>
        <v/>
      </c>
      <c r="AY248" s="108" t="str">
        <f t="array" ref="AY248">IF(ISNUMBER(AC248),INDEX('All Player Data Store'!$T$8:$T$594,SMALL(IF('All Player Data Store'!$Y$7:$Y$594=AC248,ROW('All Player Data Store'!$Y$7:$Y$594)-ROW('All Player Data Store'!$Y$7)+1),COUNTIF($AC$8:AC248,AC248))),"")</f>
        <v/>
      </c>
      <c r="AZ248" s="108" t="str">
        <f t="shared" si="13"/>
        <v/>
      </c>
      <c r="BA248" s="108" t="str">
        <f t="array" ref="BA248">IF(ISNUMBER(AC248),INDEX('All Player Data Store'!$U$8:$U$594,SMALL(IF('All Player Data Store'!$Y$7:$Y$594=AC248,ROW('All Player Data Store'!$Y$7:$Y$594)-ROW('All Player Data Store'!$Y$7)+1),COUNTIF($AC$8:AC248,AC248))),"")</f>
        <v/>
      </c>
      <c r="BB248" s="108" t="str">
        <f t="shared" si="14"/>
        <v/>
      </c>
      <c r="BC248" s="108" t="str">
        <f t="array" ref="BC248">IF(ISNUMBER(AC248),INDEX('All Player Data Store'!$V$8:$V$594,SMALL(IF('All Player Data Store'!$Y$7:$Y$594=AC248,ROW('All Player Data Store'!$Y$7:$Y$594)-ROW('All Player Data Store'!$Y$7)+1),COUNTIF($AC$8:AC248,AC248))),"")</f>
        <v/>
      </c>
      <c r="BD248" s="108" t="str">
        <f t="shared" si="15"/>
        <v/>
      </c>
      <c r="BE248" s="1"/>
    </row>
    <row r="249" spans="2:57" ht="12" customHeight="1" x14ac:dyDescent="0.2">
      <c r="B249" s="118" t="str">
        <f t="shared" si="0"/>
        <v/>
      </c>
      <c r="C249" s="1"/>
      <c r="D249" s="68" t="str">
        <f t="shared" si="1"/>
        <v/>
      </c>
      <c r="E249" s="2"/>
      <c r="F249" s="78">
        <v>242</v>
      </c>
      <c r="G249" s="110" t="str">
        <f t="array" ref="G249">IF(ISNUMBER(AC249),INDEX('All Player Data Store'!$C$7:$C$594,SMALL(IF('All Player Data Store'!$Y$7:$Y$594=AC249,ROW('All Player Data Store'!$Y$7:$Y$594)-ROW('All Player Data Store'!$Y$7)+1),COUNTIF($AC$8:AC249,AC249))),"")</f>
        <v/>
      </c>
      <c r="H249" s="68" t="str">
        <f t="array" ref="H249">IF(ISNUMBER(AC249),INDEX('All Player Data Store'!$D$7:$D$594,SMALL(IF('All Player Data Store'!$Y$7:$Y$594=AC249,ROW('All Player Data Store'!$Y$7:$Y$594)-ROW('All Player Data Store'!$Y$7)+1),COUNTIF($AC$8:AC249,AC249))),"")</f>
        <v/>
      </c>
      <c r="I249" s="69" t="str">
        <f t="array" ref="I249">IF(ISNUMBER(AC249),INDEX('All Player Data Store'!$E$7:$E$594,SMALL(IF('All Player Data Store'!$Y$7:$Y$594=AC249,ROW('All Player Data Store'!$Y$7:$Y$594)-ROW('All Player Data Store'!$Y$7)+1),COUNTIF($AC$8:AC249,AC249))),"")</f>
        <v/>
      </c>
      <c r="J249" s="70" t="str">
        <f t="array" ref="J249">IF(ISNUMBER(AC249),INDEX('All Player Data Store'!$F$7:$F$594,SMALL(IF('All Player Data Store'!$Y$7:$Y$594=AC249,ROW('All Player Data Store'!$Y$7:$Y$594)-ROW('All Player Data Store'!$Y$7)+1),COUNTIF($AC$8:AC249,AC249))),"")</f>
        <v/>
      </c>
      <c r="K249" s="70" t="str">
        <f t="array" ref="K249">IF(ISNUMBER(AC249),INDEX('All Player Data Store'!$G$7:$G$594,SMALL(IF('All Player Data Store'!$Y$7:$Y$594=AC249,ROW('All Player Data Store'!$Y$7:$Y$594)-ROW('All Player Data Store'!$Y$7)+1),COUNTIF($AC$8:AC249,AC249))),"")</f>
        <v/>
      </c>
      <c r="L249" s="70" t="str">
        <f t="array" ref="L249">IF(ISNUMBER(AC249),INDEX('All Player Data Store'!$H$7:$H$594,SMALL(IF('All Player Data Store'!$Y$7:$Y$594=AC249,ROW('All Player Data Store'!$Y$7:$Y$594)-ROW('All Player Data Store'!$Y$7)+1),COUNTIF($AC$8:AC249,AC249))),"")</f>
        <v/>
      </c>
      <c r="M249" s="72" t="str">
        <f t="array" ref="M249">IF(ISNUMBER(AC249),INDEX('All Player Data Store'!$I$7:$I$594,SMALL(IF('All Player Data Store'!$Y$7:$Y$594=AC249,ROW('All Player Data Store'!$Y$7:$Y$594)-ROW('All Player Data Store'!$Y$7)+1),COUNTIF($AC$8:AC249,AC249))),"")</f>
        <v/>
      </c>
      <c r="N249" s="114" t="str">
        <f t="array" ref="N249">IF(ISNUMBER(AC249),INDEX('All Player Data Store'!$J$7:$J$594,SMALL(IF('All Player Data Store'!$Y$7:$Y$594=AC249,ROW('All Player Data Store'!$Y$7:$Y$594)-ROW('All Player Data Store'!$Y$7)+1),COUNTIF($AC$8:AC249,AC249))),"")</f>
        <v/>
      </c>
      <c r="O249" s="108" t="str">
        <f t="array" ref="O249">IF(ISNUMBER(AC249),INDEX('All Player Data Store'!$K$7:$K$594,SMALL(IF('All Player Data Store'!$Y$7:$Y$594=AC249,ROW('All Player Data Store'!$Y$7:$Y$594)-ROW('All Player Data Store'!$Y$7)+1),COUNTIF($AC$8:AC249,AC249))),"")</f>
        <v/>
      </c>
      <c r="P249" s="108" t="str">
        <f t="array" ref="P249">IF(ISNUMBER(AC249),INDEX('All Player Data Store'!$L$7:$L$594,SMALL(IF('All Player Data Store'!$Y$7:$Y$594=AC249,ROW('All Player Data Store'!$Y$7:$Y$594)-ROW('All Player Data Store'!$Y$7)+1),COUNTIF($AC$8:AC249,AC249))),"")</f>
        <v/>
      </c>
      <c r="Q249" s="108" t="str">
        <f t="array" ref="Q249">IF(ISNUMBER(AC249),INDEX('All Player Data Store'!$M$7:$M$594,SMALL(IF('All Player Data Store'!$Y$7:$Y$594=AC249,ROW('All Player Data Store'!$Y$7:$Y$594)-ROW('All Player Data Store'!$Y$7)+1),COUNTIF($AC$8:AC249,AC249))),"")</f>
        <v/>
      </c>
      <c r="R249" s="108" t="str">
        <f t="array" ref="R249">IF(ISNUMBER(AC249),INDEX('All Player Data Store'!$N$7:$N$594,SMALL(IF('All Player Data Store'!$Y$7:$Y$594=AC249,ROW('All Player Data Store'!$Y$7:$Y$594)-ROW('All Player Data Store'!$Y$7)+1),COUNTIF($AC$8:AC249,AC249))),"")</f>
        <v/>
      </c>
      <c r="S249" s="108" t="str">
        <f t="array" ref="S249">IF(ISNUMBER(AC249),INDEX('All Player Data Store'!$O$7:$O$594,SMALL(IF('All Player Data Store'!$Y$7:$Y$594=AC249,ROW('All Player Data Store'!$Y$7:$Y$594)-ROW('All Player Data Store'!$Y$7)+1),COUNTIF($AC$8:AC249,AC249))),"")</f>
        <v/>
      </c>
      <c r="T249" s="108" t="str">
        <f t="array" ref="T249">IF(ISNUMBER(AC249),INDEX('All Player Data Store'!$P$7:$P$594,SMALL(IF('All Player Data Store'!$Y$7:$Y$594=AC249,ROW('All Player Data Store'!$Y$7:$Y$594)-ROW('All Player Data Store'!$Y$7)+1),COUNTIF($AC$8:AC249,AC249))),"")</f>
        <v/>
      </c>
      <c r="U249" s="108" t="str">
        <f t="array" ref="U249">IF(ISNUMBER(AC249),INDEX('All Player Data Store'!$Q$7:$Q$594,SMALL(IF('All Player Data Store'!$Y$7:$Y$594=AC249,ROW('All Player Data Store'!$Y$7:$Y$594)-ROW('All Player Data Store'!$Y$7)+1),COUNTIF($AC$8:AC249,AC249))),"")</f>
        <v/>
      </c>
      <c r="V249" s="108" t="str">
        <f t="array" ref="V249">IF(ISNUMBER(AC249),INDEX('All Player Data Store'!$R$7:$R$594,SMALL(IF('All Player Data Store'!$Y$7:$Y$594=AC249,ROW('All Player Data Store'!$Y$7:$Y$594)-ROW('All Player Data Store'!$Y$7)+1),COUNTIF($AC$8:AC249,AC249))),"")</f>
        <v/>
      </c>
      <c r="W249" s="108" t="str">
        <f t="array" ref="W249">IF(ISNUMBER(AC249),INDEX('All Player Data Store'!$S$7:$S$594,SMALL(IF('All Player Data Store'!$Y$7:$Y$594=AC249,ROW('All Player Data Store'!$Y$7:$Y$594)-ROW('All Player Data Store'!$Y$7)+1),COUNTIF($AC$8:AC249,AC249))),"")</f>
        <v/>
      </c>
      <c r="X249" s="108" t="str">
        <f t="array" ref="X249">IF(ISNUMBER(AC249),INDEX('All Player Data Store'!$T$7:$T$594,SMALL(IF('All Player Data Store'!$Y$7:$Y$594=AC249,ROW('All Player Data Store'!$Y$7:$Y$594)-ROW('All Player Data Store'!$Y$7)+1),COUNTIF($AC$8:AC249,AC249))),"")</f>
        <v/>
      </c>
      <c r="Y249" s="108" t="str">
        <f t="array" ref="Y249">IF(ISNUMBER(AC249),INDEX('All Player Data Store'!$U$7:$U$594,SMALL(IF('All Player Data Store'!$Y$7:$Y$594=AC249,ROW('All Player Data Store'!$Y$7:$Y$594)-ROW('All Player Data Store'!$Y$7)+1),COUNTIF($AC$8:AC249,AC249))),"")</f>
        <v/>
      </c>
      <c r="Z249" s="108" t="str">
        <f t="array" ref="Z249">IF(ISNUMBER(AC249),INDEX('All Player Data Store'!$V$7:$V$594,SMALL(IF('All Player Data Store'!$Y$7:$Y$594=AC249,ROW('All Player Data Store'!$Y$7:$Y$594)-ROW('All Player Data Store'!$Y$7)+1),COUNTIF($AC$8:AC249,AC249))),"")</f>
        <v/>
      </c>
      <c r="AA249" s="112" t="str">
        <f t="array" ref="AA249">IF(ISNUMBER(AC249),INDEX('All Player Data Store'!$W$7:$W$594,SMALL(IF('All Player Data Store'!$Y$7:$Y$594=AC249,ROW('All Player Data Store'!$Y$7:$Y$594)-ROW('All Player Data Store'!$Y$7)+1),COUNTIF($AC$8:AC249,AC249))),"")</f>
        <v/>
      </c>
      <c r="AB249" s="108" t="str">
        <f t="array" ref="AB249">IF(ISNUMBER(AC249),INDEX('All Player Data Store'!$X$7:$X$594,SMALL(IF('All Player Data Store'!$Y$7:$Y$594=AC249,ROW('All Player Data Store'!$Y$7:$Y$594)-ROW('All Player Data Store'!$Y$7)+1),COUNTIF($AC$8:AC249,AC249))),"")</f>
        <v/>
      </c>
      <c r="AC249" s="115" t="str">
        <f>IF(ISERROR(IF(ISERROR(LARGE('All Player Data Store'!$Y$7:$Y$594,242)),"",(LARGE('All Player Data Store'!$Y$7:$Y$594,242)))),"",(IF(ISERROR(LARGE('All Player Data Store'!$Y$7:$Y$594,242)),"",(LARGE('All Player Data Store'!$Y$7:$Y$594,242)))))</f>
        <v/>
      </c>
      <c r="AD249" s="106">
        <f t="shared" si="16"/>
        <v>1</v>
      </c>
      <c r="AE249" s="107" t="str">
        <f t="array" ref="AE249">IF(ISNUMBER(AC249),INDEX('All Player Data Store'!$J$8:$J$594,SMALL(IF('All Player Data Store'!$Y$7:$Y$594=AC249,ROW('All Player Data Store'!$Y$7:$Y$594)-ROW('All Player Data Store'!$Y$7)+1),COUNTIF($AC$8:AC249,AC249))),"")</f>
        <v/>
      </c>
      <c r="AF249" s="108" t="str">
        <f t="shared" si="3"/>
        <v/>
      </c>
      <c r="AG249" s="108" t="str">
        <f t="array" ref="AG249">IF(ISNUMBER(AC249),INDEX('All Player Data Store'!$K$8:$K$594,SMALL(IF('All Player Data Store'!$Y$7:$Y$594=AC249,ROW('All Player Data Store'!$Y$7:$Y$594)-ROW('All Player Data Store'!$Y$7)+1),COUNTIF($AC$8:AC249,AC249))),"")</f>
        <v/>
      </c>
      <c r="AH249" s="108" t="str">
        <f t="shared" si="4"/>
        <v/>
      </c>
      <c r="AI249" s="108" t="str">
        <f t="array" ref="AI249">IF(ISNUMBER(AC249),INDEX('All Player Data Store'!$L$8:$L$594,SMALL(IF('All Player Data Store'!$Y$7:$Y$594=AC249,ROW('All Player Data Store'!$Y$7:$Y$594)-ROW('All Player Data Store'!$Y$7)+1),COUNTIF($AC$8:AC249,AC249))),"")</f>
        <v/>
      </c>
      <c r="AJ249" s="108" t="str">
        <f t="shared" si="5"/>
        <v/>
      </c>
      <c r="AK249" s="108" t="str">
        <f t="array" ref="AK249">IF(ISNUMBER(AC249),INDEX('All Player Data Store'!$M$8:$M$594,SMALL(IF('All Player Data Store'!$Y$7:$Y$594=AC249,ROW('All Player Data Store'!$Y$7:$Y$594)-ROW('All Player Data Store'!$Y$7)+1),COUNTIF($AC$8:AC249,AC249))),"")</f>
        <v/>
      </c>
      <c r="AL249" s="108" t="str">
        <f t="shared" si="6"/>
        <v/>
      </c>
      <c r="AM249" s="108" t="str">
        <f t="array" ref="AM249">IF(ISNUMBER(AC249),INDEX('All Player Data Store'!$N$8:$N$594,SMALL(IF('All Player Data Store'!$Y$7:$Y$594=AC249,ROW('All Player Data Store'!$Y$7:$Y$594)-ROW('All Player Data Store'!$Y$7)+1),COUNTIF($AC$8:AC249,AC249))),"")</f>
        <v/>
      </c>
      <c r="AN249" s="108" t="str">
        <f t="shared" si="7"/>
        <v/>
      </c>
      <c r="AO249" s="108" t="str">
        <f t="array" ref="AO249">IF(ISNUMBER(AC249),INDEX('All Player Data Store'!$O$8:$O$594,SMALL(IF('All Player Data Store'!$Y$7:$Y$594=AC249,ROW('All Player Data Store'!$Y$7:$Y$594)-ROW('All Player Data Store'!$Y$7)+1),COUNTIF($AC$8:AC249,AC249))),"")</f>
        <v/>
      </c>
      <c r="AP249" s="108" t="str">
        <f t="shared" si="8"/>
        <v/>
      </c>
      <c r="AQ249" s="108" t="str">
        <f t="array" ref="AQ249">IF(ISNUMBER(AC249),INDEX('All Player Data Store'!$P$8:$P$594,SMALL(IF('All Player Data Store'!$Y$7:$Y$594=AC249,ROW('All Player Data Store'!$Y$7:$Y$594)-ROW('All Player Data Store'!$Y$7)+1),COUNTIF($AC$8:AC249,AC249))),"")</f>
        <v/>
      </c>
      <c r="AR249" s="108" t="str">
        <f t="shared" si="9"/>
        <v/>
      </c>
      <c r="AS249" s="108" t="str">
        <f t="array" ref="AS249">IF(ISNUMBER(AC249),INDEX('All Player Data Store'!$Q$8:$Q$594,SMALL(IF('All Player Data Store'!$Y$7:$Y$594=AC249,ROW('All Player Data Store'!$Y$7:$Y$594)-ROW('All Player Data Store'!$Y$7)+1),COUNTIF($AC$8:AC249,AC249))),"")</f>
        <v/>
      </c>
      <c r="AT249" s="108" t="str">
        <f t="shared" si="10"/>
        <v/>
      </c>
      <c r="AU249" s="108" t="str">
        <f t="array" ref="AU249">IF(ISNUMBER(AC249),INDEX('All Player Data Store'!$R$8:$R$594,SMALL(IF('All Player Data Store'!$Y$7:$Y$594=AC249,ROW('All Player Data Store'!$Y$7:$Y$594)-ROW('All Player Data Store'!$Y$7)+1),COUNTIF($AC$8:AC249,AC249))),"")</f>
        <v/>
      </c>
      <c r="AV249" s="108" t="str">
        <f t="shared" si="11"/>
        <v/>
      </c>
      <c r="AW249" s="108" t="str">
        <f t="array" ref="AW249">IF(ISNUMBER(AC249),INDEX('All Player Data Store'!$S$8:$S$594,SMALL(IF('All Player Data Store'!$Y$7:$Y$594=AC249,ROW('All Player Data Store'!$Y$7:$Y$594)-ROW('All Player Data Store'!$Y$7)+1),COUNTIF($AC$8:AC249,AC249))),"")</f>
        <v/>
      </c>
      <c r="AX249" s="108" t="str">
        <f t="shared" si="12"/>
        <v/>
      </c>
      <c r="AY249" s="108" t="str">
        <f t="array" ref="AY249">IF(ISNUMBER(AC249),INDEX('All Player Data Store'!$T$8:$T$594,SMALL(IF('All Player Data Store'!$Y$7:$Y$594=AC249,ROW('All Player Data Store'!$Y$7:$Y$594)-ROW('All Player Data Store'!$Y$7)+1),COUNTIF($AC$8:AC249,AC249))),"")</f>
        <v/>
      </c>
      <c r="AZ249" s="108" t="str">
        <f t="shared" si="13"/>
        <v/>
      </c>
      <c r="BA249" s="108" t="str">
        <f t="array" ref="BA249">IF(ISNUMBER(AC249),INDEX('All Player Data Store'!$U$8:$U$594,SMALL(IF('All Player Data Store'!$Y$7:$Y$594=AC249,ROW('All Player Data Store'!$Y$7:$Y$594)-ROW('All Player Data Store'!$Y$7)+1),COUNTIF($AC$8:AC249,AC249))),"")</f>
        <v/>
      </c>
      <c r="BB249" s="108" t="str">
        <f t="shared" si="14"/>
        <v/>
      </c>
      <c r="BC249" s="108" t="str">
        <f t="array" ref="BC249">IF(ISNUMBER(AC249),INDEX('All Player Data Store'!$V$8:$V$594,SMALL(IF('All Player Data Store'!$Y$7:$Y$594=AC249,ROW('All Player Data Store'!$Y$7:$Y$594)-ROW('All Player Data Store'!$Y$7)+1),COUNTIF($AC$8:AC249,AC249))),"")</f>
        <v/>
      </c>
      <c r="BD249" s="108" t="str">
        <f t="shared" si="15"/>
        <v/>
      </c>
      <c r="BE249" s="1"/>
    </row>
    <row r="250" spans="2:57" ht="12" customHeight="1" x14ac:dyDescent="0.2">
      <c r="B250" s="118" t="str">
        <f t="shared" si="0"/>
        <v/>
      </c>
      <c r="C250" s="1"/>
      <c r="D250" s="68" t="str">
        <f t="shared" si="1"/>
        <v/>
      </c>
      <c r="E250" s="2"/>
      <c r="F250" s="78">
        <v>243</v>
      </c>
      <c r="G250" s="110" t="str">
        <f t="array" ref="G250">IF(ISNUMBER(AC250),INDEX('All Player Data Store'!$C$7:$C$594,SMALL(IF('All Player Data Store'!$Y$7:$Y$594=AC250,ROW('All Player Data Store'!$Y$7:$Y$594)-ROW('All Player Data Store'!$Y$7)+1),COUNTIF($AC$8:AC250,AC250))),"")</f>
        <v/>
      </c>
      <c r="H250" s="68" t="str">
        <f t="array" ref="H250">IF(ISNUMBER(AC250),INDEX('All Player Data Store'!$D$7:$D$594,SMALL(IF('All Player Data Store'!$Y$7:$Y$594=AC250,ROW('All Player Data Store'!$Y$7:$Y$594)-ROW('All Player Data Store'!$Y$7)+1),COUNTIF($AC$8:AC250,AC250))),"")</f>
        <v/>
      </c>
      <c r="I250" s="69" t="str">
        <f t="array" ref="I250">IF(ISNUMBER(AC250),INDEX('All Player Data Store'!$E$7:$E$594,SMALL(IF('All Player Data Store'!$Y$7:$Y$594=AC250,ROW('All Player Data Store'!$Y$7:$Y$594)-ROW('All Player Data Store'!$Y$7)+1),COUNTIF($AC$8:AC250,AC250))),"")</f>
        <v/>
      </c>
      <c r="J250" s="70" t="str">
        <f t="array" ref="J250">IF(ISNUMBER(AC250),INDEX('All Player Data Store'!$F$7:$F$594,SMALL(IF('All Player Data Store'!$Y$7:$Y$594=AC250,ROW('All Player Data Store'!$Y$7:$Y$594)-ROW('All Player Data Store'!$Y$7)+1),COUNTIF($AC$8:AC250,AC250))),"")</f>
        <v/>
      </c>
      <c r="K250" s="70" t="str">
        <f t="array" ref="K250">IF(ISNUMBER(AC250),INDEX('All Player Data Store'!$G$7:$G$594,SMALL(IF('All Player Data Store'!$Y$7:$Y$594=AC250,ROW('All Player Data Store'!$Y$7:$Y$594)-ROW('All Player Data Store'!$Y$7)+1),COUNTIF($AC$8:AC250,AC250))),"")</f>
        <v/>
      </c>
      <c r="L250" s="70" t="str">
        <f t="array" ref="L250">IF(ISNUMBER(AC250),INDEX('All Player Data Store'!$H$7:$H$594,SMALL(IF('All Player Data Store'!$Y$7:$Y$594=AC250,ROW('All Player Data Store'!$Y$7:$Y$594)-ROW('All Player Data Store'!$Y$7)+1),COUNTIF($AC$8:AC250,AC250))),"")</f>
        <v/>
      </c>
      <c r="M250" s="72" t="str">
        <f t="array" ref="M250">IF(ISNUMBER(AC250),INDEX('All Player Data Store'!$I$7:$I$594,SMALL(IF('All Player Data Store'!$Y$7:$Y$594=AC250,ROW('All Player Data Store'!$Y$7:$Y$594)-ROW('All Player Data Store'!$Y$7)+1),COUNTIF($AC$8:AC250,AC250))),"")</f>
        <v/>
      </c>
      <c r="N250" s="114" t="str">
        <f t="array" ref="N250">IF(ISNUMBER(AC250),INDEX('All Player Data Store'!$J$7:$J$594,SMALL(IF('All Player Data Store'!$Y$7:$Y$594=AC250,ROW('All Player Data Store'!$Y$7:$Y$594)-ROW('All Player Data Store'!$Y$7)+1),COUNTIF($AC$8:AC250,AC250))),"")</f>
        <v/>
      </c>
      <c r="O250" s="108" t="str">
        <f t="array" ref="O250">IF(ISNUMBER(AC250),INDEX('All Player Data Store'!$K$7:$K$594,SMALL(IF('All Player Data Store'!$Y$7:$Y$594=AC250,ROW('All Player Data Store'!$Y$7:$Y$594)-ROW('All Player Data Store'!$Y$7)+1),COUNTIF($AC$8:AC250,AC250))),"")</f>
        <v/>
      </c>
      <c r="P250" s="108" t="str">
        <f t="array" ref="P250">IF(ISNUMBER(AC250),INDEX('All Player Data Store'!$L$7:$L$594,SMALL(IF('All Player Data Store'!$Y$7:$Y$594=AC250,ROW('All Player Data Store'!$Y$7:$Y$594)-ROW('All Player Data Store'!$Y$7)+1),COUNTIF($AC$8:AC250,AC250))),"")</f>
        <v/>
      </c>
      <c r="Q250" s="108" t="str">
        <f t="array" ref="Q250">IF(ISNUMBER(AC250),INDEX('All Player Data Store'!$M$7:$M$594,SMALL(IF('All Player Data Store'!$Y$7:$Y$594=AC250,ROW('All Player Data Store'!$Y$7:$Y$594)-ROW('All Player Data Store'!$Y$7)+1),COUNTIF($AC$8:AC250,AC250))),"")</f>
        <v/>
      </c>
      <c r="R250" s="108" t="str">
        <f t="array" ref="R250">IF(ISNUMBER(AC250),INDEX('All Player Data Store'!$N$7:$N$594,SMALL(IF('All Player Data Store'!$Y$7:$Y$594=AC250,ROW('All Player Data Store'!$Y$7:$Y$594)-ROW('All Player Data Store'!$Y$7)+1),COUNTIF($AC$8:AC250,AC250))),"")</f>
        <v/>
      </c>
      <c r="S250" s="108" t="str">
        <f t="array" ref="S250">IF(ISNUMBER(AC250),INDEX('All Player Data Store'!$O$7:$O$594,SMALL(IF('All Player Data Store'!$Y$7:$Y$594=AC250,ROW('All Player Data Store'!$Y$7:$Y$594)-ROW('All Player Data Store'!$Y$7)+1),COUNTIF($AC$8:AC250,AC250))),"")</f>
        <v/>
      </c>
      <c r="T250" s="108" t="str">
        <f t="array" ref="T250">IF(ISNUMBER(AC250),INDEX('All Player Data Store'!$P$7:$P$594,SMALL(IF('All Player Data Store'!$Y$7:$Y$594=AC250,ROW('All Player Data Store'!$Y$7:$Y$594)-ROW('All Player Data Store'!$Y$7)+1),COUNTIF($AC$8:AC250,AC250))),"")</f>
        <v/>
      </c>
      <c r="U250" s="108" t="str">
        <f t="array" ref="U250">IF(ISNUMBER(AC250),INDEX('All Player Data Store'!$Q$7:$Q$594,SMALL(IF('All Player Data Store'!$Y$7:$Y$594=AC250,ROW('All Player Data Store'!$Y$7:$Y$594)-ROW('All Player Data Store'!$Y$7)+1),COUNTIF($AC$8:AC250,AC250))),"")</f>
        <v/>
      </c>
      <c r="V250" s="108" t="str">
        <f t="array" ref="V250">IF(ISNUMBER(AC250),INDEX('All Player Data Store'!$R$7:$R$594,SMALL(IF('All Player Data Store'!$Y$7:$Y$594=AC250,ROW('All Player Data Store'!$Y$7:$Y$594)-ROW('All Player Data Store'!$Y$7)+1),COUNTIF($AC$8:AC250,AC250))),"")</f>
        <v/>
      </c>
      <c r="W250" s="108" t="str">
        <f t="array" ref="W250">IF(ISNUMBER(AC250),INDEX('All Player Data Store'!$S$7:$S$594,SMALL(IF('All Player Data Store'!$Y$7:$Y$594=AC250,ROW('All Player Data Store'!$Y$7:$Y$594)-ROW('All Player Data Store'!$Y$7)+1),COUNTIF($AC$8:AC250,AC250))),"")</f>
        <v/>
      </c>
      <c r="X250" s="108" t="str">
        <f t="array" ref="X250">IF(ISNUMBER(AC250),INDEX('All Player Data Store'!$T$7:$T$594,SMALL(IF('All Player Data Store'!$Y$7:$Y$594=AC250,ROW('All Player Data Store'!$Y$7:$Y$594)-ROW('All Player Data Store'!$Y$7)+1),COUNTIF($AC$8:AC250,AC250))),"")</f>
        <v/>
      </c>
      <c r="Y250" s="108" t="str">
        <f t="array" ref="Y250">IF(ISNUMBER(AC250),INDEX('All Player Data Store'!$U$7:$U$594,SMALL(IF('All Player Data Store'!$Y$7:$Y$594=AC250,ROW('All Player Data Store'!$Y$7:$Y$594)-ROW('All Player Data Store'!$Y$7)+1),COUNTIF($AC$8:AC250,AC250))),"")</f>
        <v/>
      </c>
      <c r="Z250" s="108" t="str">
        <f t="array" ref="Z250">IF(ISNUMBER(AC250),INDEX('All Player Data Store'!$V$7:$V$594,SMALL(IF('All Player Data Store'!$Y$7:$Y$594=AC250,ROW('All Player Data Store'!$Y$7:$Y$594)-ROW('All Player Data Store'!$Y$7)+1),COUNTIF($AC$8:AC250,AC250))),"")</f>
        <v/>
      </c>
      <c r="AA250" s="112" t="str">
        <f t="array" ref="AA250">IF(ISNUMBER(AC250),INDEX('All Player Data Store'!$W$7:$W$594,SMALL(IF('All Player Data Store'!$Y$7:$Y$594=AC250,ROW('All Player Data Store'!$Y$7:$Y$594)-ROW('All Player Data Store'!$Y$7)+1),COUNTIF($AC$8:AC250,AC250))),"")</f>
        <v/>
      </c>
      <c r="AB250" s="108" t="str">
        <f t="array" ref="AB250">IF(ISNUMBER(AC250),INDEX('All Player Data Store'!$X$7:$X$594,SMALL(IF('All Player Data Store'!$Y$7:$Y$594=AC250,ROW('All Player Data Store'!$Y$7:$Y$594)-ROW('All Player Data Store'!$Y$7)+1),COUNTIF($AC$8:AC250,AC250))),"")</f>
        <v/>
      </c>
      <c r="AC250" s="115" t="str">
        <f>IF(ISERROR(IF(ISERROR(LARGE('All Player Data Store'!$Y$7:$Y$594,243)),"",(LARGE('All Player Data Store'!$Y$7:$Y$594,243)))),"",(IF(ISERROR(LARGE('All Player Data Store'!$Y$7:$Y$594,243)),"",(LARGE('All Player Data Store'!$Y$7:$Y$594,243)))))</f>
        <v/>
      </c>
      <c r="AD250" s="106">
        <f t="shared" si="16"/>
        <v>1</v>
      </c>
      <c r="AE250" s="107" t="str">
        <f t="array" ref="AE250">IF(ISNUMBER(AC250),INDEX('All Player Data Store'!$J$8:$J$594,SMALL(IF('All Player Data Store'!$Y$7:$Y$594=AC250,ROW('All Player Data Store'!$Y$7:$Y$594)-ROW('All Player Data Store'!$Y$7)+1),COUNTIF($AC$8:AC250,AC250))),"")</f>
        <v/>
      </c>
      <c r="AF250" s="108" t="str">
        <f t="shared" si="3"/>
        <v/>
      </c>
      <c r="AG250" s="108" t="str">
        <f t="array" ref="AG250">IF(ISNUMBER(AC250),INDEX('All Player Data Store'!$K$8:$K$594,SMALL(IF('All Player Data Store'!$Y$7:$Y$594=AC250,ROW('All Player Data Store'!$Y$7:$Y$594)-ROW('All Player Data Store'!$Y$7)+1),COUNTIF($AC$8:AC250,AC250))),"")</f>
        <v/>
      </c>
      <c r="AH250" s="108" t="str">
        <f t="shared" si="4"/>
        <v/>
      </c>
      <c r="AI250" s="108" t="str">
        <f t="array" ref="AI250">IF(ISNUMBER(AC250),INDEX('All Player Data Store'!$L$8:$L$594,SMALL(IF('All Player Data Store'!$Y$7:$Y$594=AC250,ROW('All Player Data Store'!$Y$7:$Y$594)-ROW('All Player Data Store'!$Y$7)+1),COUNTIF($AC$8:AC250,AC250))),"")</f>
        <v/>
      </c>
      <c r="AJ250" s="108" t="str">
        <f t="shared" si="5"/>
        <v/>
      </c>
      <c r="AK250" s="108" t="str">
        <f t="array" ref="AK250">IF(ISNUMBER(AC250),INDEX('All Player Data Store'!$M$8:$M$594,SMALL(IF('All Player Data Store'!$Y$7:$Y$594=AC250,ROW('All Player Data Store'!$Y$7:$Y$594)-ROW('All Player Data Store'!$Y$7)+1),COUNTIF($AC$8:AC250,AC250))),"")</f>
        <v/>
      </c>
      <c r="AL250" s="108" t="str">
        <f t="shared" si="6"/>
        <v/>
      </c>
      <c r="AM250" s="108" t="str">
        <f t="array" ref="AM250">IF(ISNUMBER(AC250),INDEX('All Player Data Store'!$N$8:$N$594,SMALL(IF('All Player Data Store'!$Y$7:$Y$594=AC250,ROW('All Player Data Store'!$Y$7:$Y$594)-ROW('All Player Data Store'!$Y$7)+1),COUNTIF($AC$8:AC250,AC250))),"")</f>
        <v/>
      </c>
      <c r="AN250" s="108" t="str">
        <f t="shared" si="7"/>
        <v/>
      </c>
      <c r="AO250" s="108" t="str">
        <f t="array" ref="AO250">IF(ISNUMBER(AC250),INDEX('All Player Data Store'!$O$8:$O$594,SMALL(IF('All Player Data Store'!$Y$7:$Y$594=AC250,ROW('All Player Data Store'!$Y$7:$Y$594)-ROW('All Player Data Store'!$Y$7)+1),COUNTIF($AC$8:AC250,AC250))),"")</f>
        <v/>
      </c>
      <c r="AP250" s="108" t="str">
        <f t="shared" si="8"/>
        <v/>
      </c>
      <c r="AQ250" s="108" t="str">
        <f t="array" ref="AQ250">IF(ISNUMBER(AC250),INDEX('All Player Data Store'!$P$8:$P$594,SMALL(IF('All Player Data Store'!$Y$7:$Y$594=AC250,ROW('All Player Data Store'!$Y$7:$Y$594)-ROW('All Player Data Store'!$Y$7)+1),COUNTIF($AC$8:AC250,AC250))),"")</f>
        <v/>
      </c>
      <c r="AR250" s="108" t="str">
        <f t="shared" si="9"/>
        <v/>
      </c>
      <c r="AS250" s="108" t="str">
        <f t="array" ref="AS250">IF(ISNUMBER(AC250),INDEX('All Player Data Store'!$Q$8:$Q$594,SMALL(IF('All Player Data Store'!$Y$7:$Y$594=AC250,ROW('All Player Data Store'!$Y$7:$Y$594)-ROW('All Player Data Store'!$Y$7)+1),COUNTIF($AC$8:AC250,AC250))),"")</f>
        <v/>
      </c>
      <c r="AT250" s="108" t="str">
        <f t="shared" si="10"/>
        <v/>
      </c>
      <c r="AU250" s="108" t="str">
        <f t="array" ref="AU250">IF(ISNUMBER(AC250),INDEX('All Player Data Store'!$R$8:$R$594,SMALL(IF('All Player Data Store'!$Y$7:$Y$594=AC250,ROW('All Player Data Store'!$Y$7:$Y$594)-ROW('All Player Data Store'!$Y$7)+1),COUNTIF($AC$8:AC250,AC250))),"")</f>
        <v/>
      </c>
      <c r="AV250" s="108" t="str">
        <f t="shared" si="11"/>
        <v/>
      </c>
      <c r="AW250" s="108" t="str">
        <f t="array" ref="AW250">IF(ISNUMBER(AC250),INDEX('All Player Data Store'!$S$8:$S$594,SMALL(IF('All Player Data Store'!$Y$7:$Y$594=AC250,ROW('All Player Data Store'!$Y$7:$Y$594)-ROW('All Player Data Store'!$Y$7)+1),COUNTIF($AC$8:AC250,AC250))),"")</f>
        <v/>
      </c>
      <c r="AX250" s="108" t="str">
        <f t="shared" si="12"/>
        <v/>
      </c>
      <c r="AY250" s="108" t="str">
        <f t="array" ref="AY250">IF(ISNUMBER(AC250),INDEX('All Player Data Store'!$T$8:$T$594,SMALL(IF('All Player Data Store'!$Y$7:$Y$594=AC250,ROW('All Player Data Store'!$Y$7:$Y$594)-ROW('All Player Data Store'!$Y$7)+1),COUNTIF($AC$8:AC250,AC250))),"")</f>
        <v/>
      </c>
      <c r="AZ250" s="108" t="str">
        <f t="shared" si="13"/>
        <v/>
      </c>
      <c r="BA250" s="108" t="str">
        <f t="array" ref="BA250">IF(ISNUMBER(AC250),INDEX('All Player Data Store'!$U$8:$U$594,SMALL(IF('All Player Data Store'!$Y$7:$Y$594=AC250,ROW('All Player Data Store'!$Y$7:$Y$594)-ROW('All Player Data Store'!$Y$7)+1),COUNTIF($AC$8:AC250,AC250))),"")</f>
        <v/>
      </c>
      <c r="BB250" s="108" t="str">
        <f t="shared" si="14"/>
        <v/>
      </c>
      <c r="BC250" s="108" t="str">
        <f t="array" ref="BC250">IF(ISNUMBER(AC250),INDEX('All Player Data Store'!$V$8:$V$594,SMALL(IF('All Player Data Store'!$Y$7:$Y$594=AC250,ROW('All Player Data Store'!$Y$7:$Y$594)-ROW('All Player Data Store'!$Y$7)+1),COUNTIF($AC$8:AC250,AC250))),"")</f>
        <v/>
      </c>
      <c r="BD250" s="108" t="str">
        <f t="shared" si="15"/>
        <v/>
      </c>
      <c r="BE250" s="1"/>
    </row>
    <row r="251" spans="2:57" ht="12" customHeight="1" x14ac:dyDescent="0.2">
      <c r="B251" s="118" t="str">
        <f t="shared" si="0"/>
        <v/>
      </c>
      <c r="C251" s="1"/>
      <c r="D251" s="68" t="str">
        <f t="shared" si="1"/>
        <v/>
      </c>
      <c r="E251" s="2"/>
      <c r="F251" s="78">
        <v>244</v>
      </c>
      <c r="G251" s="110" t="str">
        <f t="array" ref="G251">IF(ISNUMBER(AC251),INDEX('All Player Data Store'!$C$7:$C$594,SMALL(IF('All Player Data Store'!$Y$7:$Y$594=AC251,ROW('All Player Data Store'!$Y$7:$Y$594)-ROW('All Player Data Store'!$Y$7)+1),COUNTIF($AC$8:AC251,AC251))),"")</f>
        <v/>
      </c>
      <c r="H251" s="68" t="str">
        <f t="array" ref="H251">IF(ISNUMBER(AC251),INDEX('All Player Data Store'!$D$7:$D$594,SMALL(IF('All Player Data Store'!$Y$7:$Y$594=AC251,ROW('All Player Data Store'!$Y$7:$Y$594)-ROW('All Player Data Store'!$Y$7)+1),COUNTIF($AC$8:AC251,AC251))),"")</f>
        <v/>
      </c>
      <c r="I251" s="69" t="str">
        <f t="array" ref="I251">IF(ISNUMBER(AC251),INDEX('All Player Data Store'!$E$7:$E$594,SMALL(IF('All Player Data Store'!$Y$7:$Y$594=AC251,ROW('All Player Data Store'!$Y$7:$Y$594)-ROW('All Player Data Store'!$Y$7)+1),COUNTIF($AC$8:AC251,AC251))),"")</f>
        <v/>
      </c>
      <c r="J251" s="70" t="str">
        <f t="array" ref="J251">IF(ISNUMBER(AC251),INDEX('All Player Data Store'!$F$7:$F$594,SMALL(IF('All Player Data Store'!$Y$7:$Y$594=AC251,ROW('All Player Data Store'!$Y$7:$Y$594)-ROW('All Player Data Store'!$Y$7)+1),COUNTIF($AC$8:AC251,AC251))),"")</f>
        <v/>
      </c>
      <c r="K251" s="70" t="str">
        <f t="array" ref="K251">IF(ISNUMBER(AC251),INDEX('All Player Data Store'!$G$7:$G$594,SMALL(IF('All Player Data Store'!$Y$7:$Y$594=AC251,ROW('All Player Data Store'!$Y$7:$Y$594)-ROW('All Player Data Store'!$Y$7)+1),COUNTIF($AC$8:AC251,AC251))),"")</f>
        <v/>
      </c>
      <c r="L251" s="70" t="str">
        <f t="array" ref="L251">IF(ISNUMBER(AC251),INDEX('All Player Data Store'!$H$7:$H$594,SMALL(IF('All Player Data Store'!$Y$7:$Y$594=AC251,ROW('All Player Data Store'!$Y$7:$Y$594)-ROW('All Player Data Store'!$Y$7)+1),COUNTIF($AC$8:AC251,AC251))),"")</f>
        <v/>
      </c>
      <c r="M251" s="72" t="str">
        <f t="array" ref="M251">IF(ISNUMBER(AC251),INDEX('All Player Data Store'!$I$7:$I$594,SMALL(IF('All Player Data Store'!$Y$7:$Y$594=AC251,ROW('All Player Data Store'!$Y$7:$Y$594)-ROW('All Player Data Store'!$Y$7)+1),COUNTIF($AC$8:AC251,AC251))),"")</f>
        <v/>
      </c>
      <c r="N251" s="114" t="str">
        <f t="array" ref="N251">IF(ISNUMBER(AC251),INDEX('All Player Data Store'!$J$7:$J$594,SMALL(IF('All Player Data Store'!$Y$7:$Y$594=AC251,ROW('All Player Data Store'!$Y$7:$Y$594)-ROW('All Player Data Store'!$Y$7)+1),COUNTIF($AC$8:AC251,AC251))),"")</f>
        <v/>
      </c>
      <c r="O251" s="108" t="str">
        <f t="array" ref="O251">IF(ISNUMBER(AC251),INDEX('All Player Data Store'!$K$7:$K$594,SMALL(IF('All Player Data Store'!$Y$7:$Y$594=AC251,ROW('All Player Data Store'!$Y$7:$Y$594)-ROW('All Player Data Store'!$Y$7)+1),COUNTIF($AC$8:AC251,AC251))),"")</f>
        <v/>
      </c>
      <c r="P251" s="108" t="str">
        <f t="array" ref="P251">IF(ISNUMBER(AC251),INDEX('All Player Data Store'!$L$7:$L$594,SMALL(IF('All Player Data Store'!$Y$7:$Y$594=AC251,ROW('All Player Data Store'!$Y$7:$Y$594)-ROW('All Player Data Store'!$Y$7)+1),COUNTIF($AC$8:AC251,AC251))),"")</f>
        <v/>
      </c>
      <c r="Q251" s="108" t="str">
        <f t="array" ref="Q251">IF(ISNUMBER(AC251),INDEX('All Player Data Store'!$M$7:$M$594,SMALL(IF('All Player Data Store'!$Y$7:$Y$594=AC251,ROW('All Player Data Store'!$Y$7:$Y$594)-ROW('All Player Data Store'!$Y$7)+1),COUNTIF($AC$8:AC251,AC251))),"")</f>
        <v/>
      </c>
      <c r="R251" s="108" t="str">
        <f t="array" ref="R251">IF(ISNUMBER(AC251),INDEX('All Player Data Store'!$N$7:$N$594,SMALL(IF('All Player Data Store'!$Y$7:$Y$594=AC251,ROW('All Player Data Store'!$Y$7:$Y$594)-ROW('All Player Data Store'!$Y$7)+1),COUNTIF($AC$8:AC251,AC251))),"")</f>
        <v/>
      </c>
      <c r="S251" s="108" t="str">
        <f t="array" ref="S251">IF(ISNUMBER(AC251),INDEX('All Player Data Store'!$O$7:$O$594,SMALL(IF('All Player Data Store'!$Y$7:$Y$594=AC251,ROW('All Player Data Store'!$Y$7:$Y$594)-ROW('All Player Data Store'!$Y$7)+1),COUNTIF($AC$8:AC251,AC251))),"")</f>
        <v/>
      </c>
      <c r="T251" s="108" t="str">
        <f t="array" ref="T251">IF(ISNUMBER(AC251),INDEX('All Player Data Store'!$P$7:$P$594,SMALL(IF('All Player Data Store'!$Y$7:$Y$594=AC251,ROW('All Player Data Store'!$Y$7:$Y$594)-ROW('All Player Data Store'!$Y$7)+1),COUNTIF($AC$8:AC251,AC251))),"")</f>
        <v/>
      </c>
      <c r="U251" s="108" t="str">
        <f t="array" ref="U251">IF(ISNUMBER(AC251),INDEX('All Player Data Store'!$Q$7:$Q$594,SMALL(IF('All Player Data Store'!$Y$7:$Y$594=AC251,ROW('All Player Data Store'!$Y$7:$Y$594)-ROW('All Player Data Store'!$Y$7)+1),COUNTIF($AC$8:AC251,AC251))),"")</f>
        <v/>
      </c>
      <c r="V251" s="108" t="str">
        <f t="array" ref="V251">IF(ISNUMBER(AC251),INDEX('All Player Data Store'!$R$7:$R$594,SMALL(IF('All Player Data Store'!$Y$7:$Y$594=AC251,ROW('All Player Data Store'!$Y$7:$Y$594)-ROW('All Player Data Store'!$Y$7)+1),COUNTIF($AC$8:AC251,AC251))),"")</f>
        <v/>
      </c>
      <c r="W251" s="108" t="str">
        <f t="array" ref="W251">IF(ISNUMBER(AC251),INDEX('All Player Data Store'!$S$7:$S$594,SMALL(IF('All Player Data Store'!$Y$7:$Y$594=AC251,ROW('All Player Data Store'!$Y$7:$Y$594)-ROW('All Player Data Store'!$Y$7)+1),COUNTIF($AC$8:AC251,AC251))),"")</f>
        <v/>
      </c>
      <c r="X251" s="108" t="str">
        <f t="array" ref="X251">IF(ISNUMBER(AC251),INDEX('All Player Data Store'!$T$7:$T$594,SMALL(IF('All Player Data Store'!$Y$7:$Y$594=AC251,ROW('All Player Data Store'!$Y$7:$Y$594)-ROW('All Player Data Store'!$Y$7)+1),COUNTIF($AC$8:AC251,AC251))),"")</f>
        <v/>
      </c>
      <c r="Y251" s="108" t="str">
        <f t="array" ref="Y251">IF(ISNUMBER(AC251),INDEX('All Player Data Store'!$U$7:$U$594,SMALL(IF('All Player Data Store'!$Y$7:$Y$594=AC251,ROW('All Player Data Store'!$Y$7:$Y$594)-ROW('All Player Data Store'!$Y$7)+1),COUNTIF($AC$8:AC251,AC251))),"")</f>
        <v/>
      </c>
      <c r="Z251" s="108" t="str">
        <f t="array" ref="Z251">IF(ISNUMBER(AC251),INDEX('All Player Data Store'!$V$7:$V$594,SMALL(IF('All Player Data Store'!$Y$7:$Y$594=AC251,ROW('All Player Data Store'!$Y$7:$Y$594)-ROW('All Player Data Store'!$Y$7)+1),COUNTIF($AC$8:AC251,AC251))),"")</f>
        <v/>
      </c>
      <c r="AA251" s="112" t="str">
        <f t="array" ref="AA251">IF(ISNUMBER(AC251),INDEX('All Player Data Store'!$W$7:$W$594,SMALL(IF('All Player Data Store'!$Y$7:$Y$594=AC251,ROW('All Player Data Store'!$Y$7:$Y$594)-ROW('All Player Data Store'!$Y$7)+1),COUNTIF($AC$8:AC251,AC251))),"")</f>
        <v/>
      </c>
      <c r="AB251" s="108" t="str">
        <f t="array" ref="AB251">IF(ISNUMBER(AC251),INDEX('All Player Data Store'!$X$7:$X$594,SMALL(IF('All Player Data Store'!$Y$7:$Y$594=AC251,ROW('All Player Data Store'!$Y$7:$Y$594)-ROW('All Player Data Store'!$Y$7)+1),COUNTIF($AC$8:AC251,AC251))),"")</f>
        <v/>
      </c>
      <c r="AC251" s="115" t="str">
        <f>IF(ISERROR(IF(ISERROR(LARGE('All Player Data Store'!$Y$7:$Y$594,244)),"",(LARGE('All Player Data Store'!$Y$7:$Y$594,244)))),"",(IF(ISERROR(LARGE('All Player Data Store'!$Y$7:$Y$594,244)),"",(LARGE('All Player Data Store'!$Y$7:$Y$594,244)))))</f>
        <v/>
      </c>
      <c r="AD251" s="106">
        <f t="shared" si="16"/>
        <v>1</v>
      </c>
      <c r="AE251" s="107" t="str">
        <f t="array" ref="AE251">IF(ISNUMBER(AC251),INDEX('All Player Data Store'!$J$8:$J$594,SMALL(IF('All Player Data Store'!$Y$7:$Y$594=AC251,ROW('All Player Data Store'!$Y$7:$Y$594)-ROW('All Player Data Store'!$Y$7)+1),COUNTIF($AC$8:AC251,AC251))),"")</f>
        <v/>
      </c>
      <c r="AF251" s="108" t="str">
        <f t="shared" si="3"/>
        <v/>
      </c>
      <c r="AG251" s="108" t="str">
        <f t="array" ref="AG251">IF(ISNUMBER(AC251),INDEX('All Player Data Store'!$K$8:$K$594,SMALL(IF('All Player Data Store'!$Y$7:$Y$594=AC251,ROW('All Player Data Store'!$Y$7:$Y$594)-ROW('All Player Data Store'!$Y$7)+1),COUNTIF($AC$8:AC251,AC251))),"")</f>
        <v/>
      </c>
      <c r="AH251" s="108" t="str">
        <f t="shared" si="4"/>
        <v/>
      </c>
      <c r="AI251" s="108" t="str">
        <f t="array" ref="AI251">IF(ISNUMBER(AC251),INDEX('All Player Data Store'!$L$8:$L$594,SMALL(IF('All Player Data Store'!$Y$7:$Y$594=AC251,ROW('All Player Data Store'!$Y$7:$Y$594)-ROW('All Player Data Store'!$Y$7)+1),COUNTIF($AC$8:AC251,AC251))),"")</f>
        <v/>
      </c>
      <c r="AJ251" s="108" t="str">
        <f t="shared" si="5"/>
        <v/>
      </c>
      <c r="AK251" s="108" t="str">
        <f t="array" ref="AK251">IF(ISNUMBER(AC251),INDEX('All Player Data Store'!$M$8:$M$594,SMALL(IF('All Player Data Store'!$Y$7:$Y$594=AC251,ROW('All Player Data Store'!$Y$7:$Y$594)-ROW('All Player Data Store'!$Y$7)+1),COUNTIF($AC$8:AC251,AC251))),"")</f>
        <v/>
      </c>
      <c r="AL251" s="108" t="str">
        <f t="shared" si="6"/>
        <v/>
      </c>
      <c r="AM251" s="108" t="str">
        <f t="array" ref="AM251">IF(ISNUMBER(AC251),INDEX('All Player Data Store'!$N$8:$N$594,SMALL(IF('All Player Data Store'!$Y$7:$Y$594=AC251,ROW('All Player Data Store'!$Y$7:$Y$594)-ROW('All Player Data Store'!$Y$7)+1),COUNTIF($AC$8:AC251,AC251))),"")</f>
        <v/>
      </c>
      <c r="AN251" s="108" t="str">
        <f t="shared" si="7"/>
        <v/>
      </c>
      <c r="AO251" s="108" t="str">
        <f t="array" ref="AO251">IF(ISNUMBER(AC251),INDEX('All Player Data Store'!$O$8:$O$594,SMALL(IF('All Player Data Store'!$Y$7:$Y$594=AC251,ROW('All Player Data Store'!$Y$7:$Y$594)-ROW('All Player Data Store'!$Y$7)+1),COUNTIF($AC$8:AC251,AC251))),"")</f>
        <v/>
      </c>
      <c r="AP251" s="108" t="str">
        <f t="shared" si="8"/>
        <v/>
      </c>
      <c r="AQ251" s="108" t="str">
        <f t="array" ref="AQ251">IF(ISNUMBER(AC251),INDEX('All Player Data Store'!$P$8:$P$594,SMALL(IF('All Player Data Store'!$Y$7:$Y$594=AC251,ROW('All Player Data Store'!$Y$7:$Y$594)-ROW('All Player Data Store'!$Y$7)+1),COUNTIF($AC$8:AC251,AC251))),"")</f>
        <v/>
      </c>
      <c r="AR251" s="108" t="str">
        <f t="shared" si="9"/>
        <v/>
      </c>
      <c r="AS251" s="108" t="str">
        <f t="array" ref="AS251">IF(ISNUMBER(AC251),INDEX('All Player Data Store'!$Q$8:$Q$594,SMALL(IF('All Player Data Store'!$Y$7:$Y$594=AC251,ROW('All Player Data Store'!$Y$7:$Y$594)-ROW('All Player Data Store'!$Y$7)+1),COUNTIF($AC$8:AC251,AC251))),"")</f>
        <v/>
      </c>
      <c r="AT251" s="108" t="str">
        <f t="shared" si="10"/>
        <v/>
      </c>
      <c r="AU251" s="108" t="str">
        <f t="array" ref="AU251">IF(ISNUMBER(AC251),INDEX('All Player Data Store'!$R$8:$R$594,SMALL(IF('All Player Data Store'!$Y$7:$Y$594=AC251,ROW('All Player Data Store'!$Y$7:$Y$594)-ROW('All Player Data Store'!$Y$7)+1),COUNTIF($AC$8:AC251,AC251))),"")</f>
        <v/>
      </c>
      <c r="AV251" s="108" t="str">
        <f t="shared" si="11"/>
        <v/>
      </c>
      <c r="AW251" s="108" t="str">
        <f t="array" ref="AW251">IF(ISNUMBER(AC251),INDEX('All Player Data Store'!$S$8:$S$594,SMALL(IF('All Player Data Store'!$Y$7:$Y$594=AC251,ROW('All Player Data Store'!$Y$7:$Y$594)-ROW('All Player Data Store'!$Y$7)+1),COUNTIF($AC$8:AC251,AC251))),"")</f>
        <v/>
      </c>
      <c r="AX251" s="108" t="str">
        <f t="shared" si="12"/>
        <v/>
      </c>
      <c r="AY251" s="108" t="str">
        <f t="array" ref="AY251">IF(ISNUMBER(AC251),INDEX('All Player Data Store'!$T$8:$T$594,SMALL(IF('All Player Data Store'!$Y$7:$Y$594=AC251,ROW('All Player Data Store'!$Y$7:$Y$594)-ROW('All Player Data Store'!$Y$7)+1),COUNTIF($AC$8:AC251,AC251))),"")</f>
        <v/>
      </c>
      <c r="AZ251" s="108" t="str">
        <f t="shared" si="13"/>
        <v/>
      </c>
      <c r="BA251" s="108" t="str">
        <f t="array" ref="BA251">IF(ISNUMBER(AC251),INDEX('All Player Data Store'!$U$8:$U$594,SMALL(IF('All Player Data Store'!$Y$7:$Y$594=AC251,ROW('All Player Data Store'!$Y$7:$Y$594)-ROW('All Player Data Store'!$Y$7)+1),COUNTIF($AC$8:AC251,AC251))),"")</f>
        <v/>
      </c>
      <c r="BB251" s="108" t="str">
        <f t="shared" si="14"/>
        <v/>
      </c>
      <c r="BC251" s="108" t="str">
        <f t="array" ref="BC251">IF(ISNUMBER(AC251),INDEX('All Player Data Store'!$V$8:$V$594,SMALL(IF('All Player Data Store'!$Y$7:$Y$594=AC251,ROW('All Player Data Store'!$Y$7:$Y$594)-ROW('All Player Data Store'!$Y$7)+1),COUNTIF($AC$8:AC251,AC251))),"")</f>
        <v/>
      </c>
      <c r="BD251" s="108" t="str">
        <f t="shared" si="15"/>
        <v/>
      </c>
      <c r="BE251" s="1"/>
    </row>
    <row r="252" spans="2:57" ht="12" customHeight="1" x14ac:dyDescent="0.2">
      <c r="B252" s="118" t="str">
        <f t="shared" si="0"/>
        <v/>
      </c>
      <c r="C252" s="1"/>
      <c r="D252" s="68" t="str">
        <f t="shared" si="1"/>
        <v/>
      </c>
      <c r="E252" s="2"/>
      <c r="F252" s="78">
        <v>245</v>
      </c>
      <c r="G252" s="110" t="str">
        <f t="array" ref="G252">IF(ISNUMBER(AC252),INDEX('All Player Data Store'!$C$7:$C$594,SMALL(IF('All Player Data Store'!$Y$7:$Y$594=AC252,ROW('All Player Data Store'!$Y$7:$Y$594)-ROW('All Player Data Store'!$Y$7)+1),COUNTIF($AC$8:AC252,AC252))),"")</f>
        <v/>
      </c>
      <c r="H252" s="68" t="str">
        <f t="array" ref="H252">IF(ISNUMBER(AC252),INDEX('All Player Data Store'!$D$7:$D$594,SMALL(IF('All Player Data Store'!$Y$7:$Y$594=AC252,ROW('All Player Data Store'!$Y$7:$Y$594)-ROW('All Player Data Store'!$Y$7)+1),COUNTIF($AC$8:AC252,AC252))),"")</f>
        <v/>
      </c>
      <c r="I252" s="69" t="str">
        <f t="array" ref="I252">IF(ISNUMBER(AC252),INDEX('All Player Data Store'!$E$7:$E$594,SMALL(IF('All Player Data Store'!$Y$7:$Y$594=AC252,ROW('All Player Data Store'!$Y$7:$Y$594)-ROW('All Player Data Store'!$Y$7)+1),COUNTIF($AC$8:AC252,AC252))),"")</f>
        <v/>
      </c>
      <c r="J252" s="70" t="str">
        <f t="array" ref="J252">IF(ISNUMBER(AC252),INDEX('All Player Data Store'!$F$7:$F$594,SMALL(IF('All Player Data Store'!$Y$7:$Y$594=AC252,ROW('All Player Data Store'!$Y$7:$Y$594)-ROW('All Player Data Store'!$Y$7)+1),COUNTIF($AC$8:AC252,AC252))),"")</f>
        <v/>
      </c>
      <c r="K252" s="70" t="str">
        <f t="array" ref="K252">IF(ISNUMBER(AC252),INDEX('All Player Data Store'!$G$7:$G$594,SMALL(IF('All Player Data Store'!$Y$7:$Y$594=AC252,ROW('All Player Data Store'!$Y$7:$Y$594)-ROW('All Player Data Store'!$Y$7)+1),COUNTIF($AC$8:AC252,AC252))),"")</f>
        <v/>
      </c>
      <c r="L252" s="70" t="str">
        <f t="array" ref="L252">IF(ISNUMBER(AC252),INDEX('All Player Data Store'!$H$7:$H$594,SMALL(IF('All Player Data Store'!$Y$7:$Y$594=AC252,ROW('All Player Data Store'!$Y$7:$Y$594)-ROW('All Player Data Store'!$Y$7)+1),COUNTIF($AC$8:AC252,AC252))),"")</f>
        <v/>
      </c>
      <c r="M252" s="72" t="str">
        <f t="array" ref="M252">IF(ISNUMBER(AC252),INDEX('All Player Data Store'!$I$7:$I$594,SMALL(IF('All Player Data Store'!$Y$7:$Y$594=AC252,ROW('All Player Data Store'!$Y$7:$Y$594)-ROW('All Player Data Store'!$Y$7)+1),COUNTIF($AC$8:AC252,AC252))),"")</f>
        <v/>
      </c>
      <c r="N252" s="114" t="str">
        <f t="array" ref="N252">IF(ISNUMBER(AC252),INDEX('All Player Data Store'!$J$7:$J$594,SMALL(IF('All Player Data Store'!$Y$7:$Y$594=AC252,ROW('All Player Data Store'!$Y$7:$Y$594)-ROW('All Player Data Store'!$Y$7)+1),COUNTIF($AC$8:AC252,AC252))),"")</f>
        <v/>
      </c>
      <c r="O252" s="108" t="str">
        <f t="array" ref="O252">IF(ISNUMBER(AC252),INDEX('All Player Data Store'!$K$7:$K$594,SMALL(IF('All Player Data Store'!$Y$7:$Y$594=AC252,ROW('All Player Data Store'!$Y$7:$Y$594)-ROW('All Player Data Store'!$Y$7)+1),COUNTIF($AC$8:AC252,AC252))),"")</f>
        <v/>
      </c>
      <c r="P252" s="108" t="str">
        <f t="array" ref="P252">IF(ISNUMBER(AC252),INDEX('All Player Data Store'!$L$7:$L$594,SMALL(IF('All Player Data Store'!$Y$7:$Y$594=AC252,ROW('All Player Data Store'!$Y$7:$Y$594)-ROW('All Player Data Store'!$Y$7)+1),COUNTIF($AC$8:AC252,AC252))),"")</f>
        <v/>
      </c>
      <c r="Q252" s="108" t="str">
        <f t="array" ref="Q252">IF(ISNUMBER(AC252),INDEX('All Player Data Store'!$M$7:$M$594,SMALL(IF('All Player Data Store'!$Y$7:$Y$594=AC252,ROW('All Player Data Store'!$Y$7:$Y$594)-ROW('All Player Data Store'!$Y$7)+1),COUNTIF($AC$8:AC252,AC252))),"")</f>
        <v/>
      </c>
      <c r="R252" s="108" t="str">
        <f t="array" ref="R252">IF(ISNUMBER(AC252),INDEX('All Player Data Store'!$N$7:$N$594,SMALL(IF('All Player Data Store'!$Y$7:$Y$594=AC252,ROW('All Player Data Store'!$Y$7:$Y$594)-ROW('All Player Data Store'!$Y$7)+1),COUNTIF($AC$8:AC252,AC252))),"")</f>
        <v/>
      </c>
      <c r="S252" s="108" t="str">
        <f t="array" ref="S252">IF(ISNUMBER(AC252),INDEX('All Player Data Store'!$O$7:$O$594,SMALL(IF('All Player Data Store'!$Y$7:$Y$594=AC252,ROW('All Player Data Store'!$Y$7:$Y$594)-ROW('All Player Data Store'!$Y$7)+1),COUNTIF($AC$8:AC252,AC252))),"")</f>
        <v/>
      </c>
      <c r="T252" s="108" t="str">
        <f t="array" ref="T252">IF(ISNUMBER(AC252),INDEX('All Player Data Store'!$P$7:$P$594,SMALL(IF('All Player Data Store'!$Y$7:$Y$594=AC252,ROW('All Player Data Store'!$Y$7:$Y$594)-ROW('All Player Data Store'!$Y$7)+1),COUNTIF($AC$8:AC252,AC252))),"")</f>
        <v/>
      </c>
      <c r="U252" s="108" t="str">
        <f t="array" ref="U252">IF(ISNUMBER(AC252),INDEX('All Player Data Store'!$Q$7:$Q$594,SMALL(IF('All Player Data Store'!$Y$7:$Y$594=AC252,ROW('All Player Data Store'!$Y$7:$Y$594)-ROW('All Player Data Store'!$Y$7)+1),COUNTIF($AC$8:AC252,AC252))),"")</f>
        <v/>
      </c>
      <c r="V252" s="108" t="str">
        <f t="array" ref="V252">IF(ISNUMBER(AC252),INDEX('All Player Data Store'!$R$7:$R$594,SMALL(IF('All Player Data Store'!$Y$7:$Y$594=AC252,ROW('All Player Data Store'!$Y$7:$Y$594)-ROW('All Player Data Store'!$Y$7)+1),COUNTIF($AC$8:AC252,AC252))),"")</f>
        <v/>
      </c>
      <c r="W252" s="108" t="str">
        <f t="array" ref="W252">IF(ISNUMBER(AC252),INDEX('All Player Data Store'!$S$7:$S$594,SMALL(IF('All Player Data Store'!$Y$7:$Y$594=AC252,ROW('All Player Data Store'!$Y$7:$Y$594)-ROW('All Player Data Store'!$Y$7)+1),COUNTIF($AC$8:AC252,AC252))),"")</f>
        <v/>
      </c>
      <c r="X252" s="108" t="str">
        <f t="array" ref="X252">IF(ISNUMBER(AC252),INDEX('All Player Data Store'!$T$7:$T$594,SMALL(IF('All Player Data Store'!$Y$7:$Y$594=AC252,ROW('All Player Data Store'!$Y$7:$Y$594)-ROW('All Player Data Store'!$Y$7)+1),COUNTIF($AC$8:AC252,AC252))),"")</f>
        <v/>
      </c>
      <c r="Y252" s="108" t="str">
        <f t="array" ref="Y252">IF(ISNUMBER(AC252),INDEX('All Player Data Store'!$U$7:$U$594,SMALL(IF('All Player Data Store'!$Y$7:$Y$594=AC252,ROW('All Player Data Store'!$Y$7:$Y$594)-ROW('All Player Data Store'!$Y$7)+1),COUNTIF($AC$8:AC252,AC252))),"")</f>
        <v/>
      </c>
      <c r="Z252" s="108" t="str">
        <f t="array" ref="Z252">IF(ISNUMBER(AC252),INDEX('All Player Data Store'!$V$7:$V$594,SMALL(IF('All Player Data Store'!$Y$7:$Y$594=AC252,ROW('All Player Data Store'!$Y$7:$Y$594)-ROW('All Player Data Store'!$Y$7)+1),COUNTIF($AC$8:AC252,AC252))),"")</f>
        <v/>
      </c>
      <c r="AA252" s="112" t="str">
        <f t="array" ref="AA252">IF(ISNUMBER(AC252),INDEX('All Player Data Store'!$W$7:$W$594,SMALL(IF('All Player Data Store'!$Y$7:$Y$594=AC252,ROW('All Player Data Store'!$Y$7:$Y$594)-ROW('All Player Data Store'!$Y$7)+1),COUNTIF($AC$8:AC252,AC252))),"")</f>
        <v/>
      </c>
      <c r="AB252" s="108" t="str">
        <f t="array" ref="AB252">IF(ISNUMBER(AC252),INDEX('All Player Data Store'!$X$7:$X$594,SMALL(IF('All Player Data Store'!$Y$7:$Y$594=AC252,ROW('All Player Data Store'!$Y$7:$Y$594)-ROW('All Player Data Store'!$Y$7)+1),COUNTIF($AC$8:AC252,AC252))),"")</f>
        <v/>
      </c>
      <c r="AC252" s="115" t="str">
        <f>IF(ISERROR(IF(ISERROR(LARGE('All Player Data Store'!$Y$7:$Y$594,245)),"",(LARGE('All Player Data Store'!$Y$7:$Y$594,245)))),"",(IF(ISERROR(LARGE('All Player Data Store'!$Y$7:$Y$594,245)),"",(LARGE('All Player Data Store'!$Y$7:$Y$594,245)))))</f>
        <v/>
      </c>
      <c r="AD252" s="106">
        <f t="shared" si="16"/>
        <v>1</v>
      </c>
      <c r="AE252" s="107" t="str">
        <f t="array" ref="AE252">IF(ISNUMBER(AC252),INDEX('All Player Data Store'!$J$8:$J$594,SMALL(IF('All Player Data Store'!$Y$7:$Y$594=AC252,ROW('All Player Data Store'!$Y$7:$Y$594)-ROW('All Player Data Store'!$Y$7)+1),COUNTIF($AC$8:AC252,AC252))),"")</f>
        <v/>
      </c>
      <c r="AF252" s="108" t="str">
        <f t="shared" si="3"/>
        <v/>
      </c>
      <c r="AG252" s="108" t="str">
        <f t="array" ref="AG252">IF(ISNUMBER(AC252),INDEX('All Player Data Store'!$K$8:$K$594,SMALL(IF('All Player Data Store'!$Y$7:$Y$594=AC252,ROW('All Player Data Store'!$Y$7:$Y$594)-ROW('All Player Data Store'!$Y$7)+1),COUNTIF($AC$8:AC252,AC252))),"")</f>
        <v/>
      </c>
      <c r="AH252" s="108" t="str">
        <f t="shared" si="4"/>
        <v/>
      </c>
      <c r="AI252" s="108" t="str">
        <f t="array" ref="AI252">IF(ISNUMBER(AC252),INDEX('All Player Data Store'!$L$8:$L$594,SMALL(IF('All Player Data Store'!$Y$7:$Y$594=AC252,ROW('All Player Data Store'!$Y$7:$Y$594)-ROW('All Player Data Store'!$Y$7)+1),COUNTIF($AC$8:AC252,AC252))),"")</f>
        <v/>
      </c>
      <c r="AJ252" s="108" t="str">
        <f t="shared" si="5"/>
        <v/>
      </c>
      <c r="AK252" s="108" t="str">
        <f t="array" ref="AK252">IF(ISNUMBER(AC252),INDEX('All Player Data Store'!$M$8:$M$594,SMALL(IF('All Player Data Store'!$Y$7:$Y$594=AC252,ROW('All Player Data Store'!$Y$7:$Y$594)-ROW('All Player Data Store'!$Y$7)+1),COUNTIF($AC$8:AC252,AC252))),"")</f>
        <v/>
      </c>
      <c r="AL252" s="108" t="str">
        <f t="shared" si="6"/>
        <v/>
      </c>
      <c r="AM252" s="108" t="str">
        <f t="array" ref="AM252">IF(ISNUMBER(AC252),INDEX('All Player Data Store'!$N$8:$N$594,SMALL(IF('All Player Data Store'!$Y$7:$Y$594=AC252,ROW('All Player Data Store'!$Y$7:$Y$594)-ROW('All Player Data Store'!$Y$7)+1),COUNTIF($AC$8:AC252,AC252))),"")</f>
        <v/>
      </c>
      <c r="AN252" s="108" t="str">
        <f t="shared" si="7"/>
        <v/>
      </c>
      <c r="AO252" s="108" t="str">
        <f t="array" ref="AO252">IF(ISNUMBER(AC252),INDEX('All Player Data Store'!$O$8:$O$594,SMALL(IF('All Player Data Store'!$Y$7:$Y$594=AC252,ROW('All Player Data Store'!$Y$7:$Y$594)-ROW('All Player Data Store'!$Y$7)+1),COUNTIF($AC$8:AC252,AC252))),"")</f>
        <v/>
      </c>
      <c r="AP252" s="108" t="str">
        <f t="shared" si="8"/>
        <v/>
      </c>
      <c r="AQ252" s="108" t="str">
        <f t="array" ref="AQ252">IF(ISNUMBER(AC252),INDEX('All Player Data Store'!$P$8:$P$594,SMALL(IF('All Player Data Store'!$Y$7:$Y$594=AC252,ROW('All Player Data Store'!$Y$7:$Y$594)-ROW('All Player Data Store'!$Y$7)+1),COUNTIF($AC$8:AC252,AC252))),"")</f>
        <v/>
      </c>
      <c r="AR252" s="108" t="str">
        <f t="shared" si="9"/>
        <v/>
      </c>
      <c r="AS252" s="108" t="str">
        <f t="array" ref="AS252">IF(ISNUMBER(AC252),INDEX('All Player Data Store'!$Q$8:$Q$594,SMALL(IF('All Player Data Store'!$Y$7:$Y$594=AC252,ROW('All Player Data Store'!$Y$7:$Y$594)-ROW('All Player Data Store'!$Y$7)+1),COUNTIF($AC$8:AC252,AC252))),"")</f>
        <v/>
      </c>
      <c r="AT252" s="108" t="str">
        <f t="shared" si="10"/>
        <v/>
      </c>
      <c r="AU252" s="108" t="str">
        <f t="array" ref="AU252">IF(ISNUMBER(AC252),INDEX('All Player Data Store'!$R$8:$R$594,SMALL(IF('All Player Data Store'!$Y$7:$Y$594=AC252,ROW('All Player Data Store'!$Y$7:$Y$594)-ROW('All Player Data Store'!$Y$7)+1),COUNTIF($AC$8:AC252,AC252))),"")</f>
        <v/>
      </c>
      <c r="AV252" s="108" t="str">
        <f t="shared" si="11"/>
        <v/>
      </c>
      <c r="AW252" s="108" t="str">
        <f t="array" ref="AW252">IF(ISNUMBER(AC252),INDEX('All Player Data Store'!$S$8:$S$594,SMALL(IF('All Player Data Store'!$Y$7:$Y$594=AC252,ROW('All Player Data Store'!$Y$7:$Y$594)-ROW('All Player Data Store'!$Y$7)+1),COUNTIF($AC$8:AC252,AC252))),"")</f>
        <v/>
      </c>
      <c r="AX252" s="108" t="str">
        <f t="shared" si="12"/>
        <v/>
      </c>
      <c r="AY252" s="108" t="str">
        <f t="array" ref="AY252">IF(ISNUMBER(AC252),INDEX('All Player Data Store'!$T$8:$T$594,SMALL(IF('All Player Data Store'!$Y$7:$Y$594=AC252,ROW('All Player Data Store'!$Y$7:$Y$594)-ROW('All Player Data Store'!$Y$7)+1),COUNTIF($AC$8:AC252,AC252))),"")</f>
        <v/>
      </c>
      <c r="AZ252" s="108" t="str">
        <f t="shared" si="13"/>
        <v/>
      </c>
      <c r="BA252" s="108" t="str">
        <f t="array" ref="BA252">IF(ISNUMBER(AC252),INDEX('All Player Data Store'!$U$8:$U$594,SMALL(IF('All Player Data Store'!$Y$7:$Y$594=AC252,ROW('All Player Data Store'!$Y$7:$Y$594)-ROW('All Player Data Store'!$Y$7)+1),COUNTIF($AC$8:AC252,AC252))),"")</f>
        <v/>
      </c>
      <c r="BB252" s="108" t="str">
        <f t="shared" si="14"/>
        <v/>
      </c>
      <c r="BC252" s="108" t="str">
        <f t="array" ref="BC252">IF(ISNUMBER(AC252),INDEX('All Player Data Store'!$V$8:$V$594,SMALL(IF('All Player Data Store'!$Y$7:$Y$594=AC252,ROW('All Player Data Store'!$Y$7:$Y$594)-ROW('All Player Data Store'!$Y$7)+1),COUNTIF($AC$8:AC252,AC252))),"")</f>
        <v/>
      </c>
      <c r="BD252" s="108" t="str">
        <f t="shared" si="15"/>
        <v/>
      </c>
      <c r="BE252" s="1"/>
    </row>
    <row r="253" spans="2:57" ht="12" customHeight="1" x14ac:dyDescent="0.2">
      <c r="B253" s="118" t="str">
        <f t="shared" si="0"/>
        <v/>
      </c>
      <c r="C253" s="1"/>
      <c r="D253" s="68" t="str">
        <f t="shared" si="1"/>
        <v/>
      </c>
      <c r="E253" s="2"/>
      <c r="F253" s="78">
        <v>246</v>
      </c>
      <c r="G253" s="110" t="str">
        <f t="array" ref="G253">IF(ISNUMBER(AC253),INDEX('All Player Data Store'!$C$7:$C$594,SMALL(IF('All Player Data Store'!$Y$7:$Y$594=AC253,ROW('All Player Data Store'!$Y$7:$Y$594)-ROW('All Player Data Store'!$Y$7)+1),COUNTIF($AC$8:AC253,AC253))),"")</f>
        <v/>
      </c>
      <c r="H253" s="68" t="str">
        <f t="array" ref="H253">IF(ISNUMBER(AC253),INDEX('All Player Data Store'!$D$7:$D$594,SMALL(IF('All Player Data Store'!$Y$7:$Y$594=AC253,ROW('All Player Data Store'!$Y$7:$Y$594)-ROW('All Player Data Store'!$Y$7)+1),COUNTIF($AC$8:AC253,AC253))),"")</f>
        <v/>
      </c>
      <c r="I253" s="69" t="str">
        <f t="array" ref="I253">IF(ISNUMBER(AC253),INDEX('All Player Data Store'!$E$7:$E$594,SMALL(IF('All Player Data Store'!$Y$7:$Y$594=AC253,ROW('All Player Data Store'!$Y$7:$Y$594)-ROW('All Player Data Store'!$Y$7)+1),COUNTIF($AC$8:AC253,AC253))),"")</f>
        <v/>
      </c>
      <c r="J253" s="70" t="str">
        <f t="array" ref="J253">IF(ISNUMBER(AC253),INDEX('All Player Data Store'!$F$7:$F$594,SMALL(IF('All Player Data Store'!$Y$7:$Y$594=AC253,ROW('All Player Data Store'!$Y$7:$Y$594)-ROW('All Player Data Store'!$Y$7)+1),COUNTIF($AC$8:AC253,AC253))),"")</f>
        <v/>
      </c>
      <c r="K253" s="70" t="str">
        <f t="array" ref="K253">IF(ISNUMBER(AC253),INDEX('All Player Data Store'!$G$7:$G$594,SMALL(IF('All Player Data Store'!$Y$7:$Y$594=AC253,ROW('All Player Data Store'!$Y$7:$Y$594)-ROW('All Player Data Store'!$Y$7)+1),COUNTIF($AC$8:AC253,AC253))),"")</f>
        <v/>
      </c>
      <c r="L253" s="70" t="str">
        <f t="array" ref="L253">IF(ISNUMBER(AC253),INDEX('All Player Data Store'!$H$7:$H$594,SMALL(IF('All Player Data Store'!$Y$7:$Y$594=AC253,ROW('All Player Data Store'!$Y$7:$Y$594)-ROW('All Player Data Store'!$Y$7)+1),COUNTIF($AC$8:AC253,AC253))),"")</f>
        <v/>
      </c>
      <c r="M253" s="72" t="str">
        <f t="array" ref="M253">IF(ISNUMBER(AC253),INDEX('All Player Data Store'!$I$7:$I$594,SMALL(IF('All Player Data Store'!$Y$7:$Y$594=AC253,ROW('All Player Data Store'!$Y$7:$Y$594)-ROW('All Player Data Store'!$Y$7)+1),COUNTIF($AC$8:AC253,AC253))),"")</f>
        <v/>
      </c>
      <c r="N253" s="114" t="str">
        <f t="array" ref="N253">IF(ISNUMBER(AC253),INDEX('All Player Data Store'!$J$7:$J$594,SMALL(IF('All Player Data Store'!$Y$7:$Y$594=AC253,ROW('All Player Data Store'!$Y$7:$Y$594)-ROW('All Player Data Store'!$Y$7)+1),COUNTIF($AC$8:AC253,AC253))),"")</f>
        <v/>
      </c>
      <c r="O253" s="108" t="str">
        <f t="array" ref="O253">IF(ISNUMBER(AC253),INDEX('All Player Data Store'!$K$7:$K$594,SMALL(IF('All Player Data Store'!$Y$7:$Y$594=AC253,ROW('All Player Data Store'!$Y$7:$Y$594)-ROW('All Player Data Store'!$Y$7)+1),COUNTIF($AC$8:AC253,AC253))),"")</f>
        <v/>
      </c>
      <c r="P253" s="108" t="str">
        <f t="array" ref="P253">IF(ISNUMBER(AC253),INDEX('All Player Data Store'!$L$7:$L$594,SMALL(IF('All Player Data Store'!$Y$7:$Y$594=AC253,ROW('All Player Data Store'!$Y$7:$Y$594)-ROW('All Player Data Store'!$Y$7)+1),COUNTIF($AC$8:AC253,AC253))),"")</f>
        <v/>
      </c>
      <c r="Q253" s="108" t="str">
        <f t="array" ref="Q253">IF(ISNUMBER(AC253),INDEX('All Player Data Store'!$M$7:$M$594,SMALL(IF('All Player Data Store'!$Y$7:$Y$594=AC253,ROW('All Player Data Store'!$Y$7:$Y$594)-ROW('All Player Data Store'!$Y$7)+1),COUNTIF($AC$8:AC253,AC253))),"")</f>
        <v/>
      </c>
      <c r="R253" s="108" t="str">
        <f t="array" ref="R253">IF(ISNUMBER(AC253),INDEX('All Player Data Store'!$N$7:$N$594,SMALL(IF('All Player Data Store'!$Y$7:$Y$594=AC253,ROW('All Player Data Store'!$Y$7:$Y$594)-ROW('All Player Data Store'!$Y$7)+1),COUNTIF($AC$8:AC253,AC253))),"")</f>
        <v/>
      </c>
      <c r="S253" s="108" t="str">
        <f t="array" ref="S253">IF(ISNUMBER(AC253),INDEX('All Player Data Store'!$O$7:$O$594,SMALL(IF('All Player Data Store'!$Y$7:$Y$594=AC253,ROW('All Player Data Store'!$Y$7:$Y$594)-ROW('All Player Data Store'!$Y$7)+1),COUNTIF($AC$8:AC253,AC253))),"")</f>
        <v/>
      </c>
      <c r="T253" s="108" t="str">
        <f t="array" ref="T253">IF(ISNUMBER(AC253),INDEX('All Player Data Store'!$P$7:$P$594,SMALL(IF('All Player Data Store'!$Y$7:$Y$594=AC253,ROW('All Player Data Store'!$Y$7:$Y$594)-ROW('All Player Data Store'!$Y$7)+1),COUNTIF($AC$8:AC253,AC253))),"")</f>
        <v/>
      </c>
      <c r="U253" s="108" t="str">
        <f t="array" ref="U253">IF(ISNUMBER(AC253),INDEX('All Player Data Store'!$Q$7:$Q$594,SMALL(IF('All Player Data Store'!$Y$7:$Y$594=AC253,ROW('All Player Data Store'!$Y$7:$Y$594)-ROW('All Player Data Store'!$Y$7)+1),COUNTIF($AC$8:AC253,AC253))),"")</f>
        <v/>
      </c>
      <c r="V253" s="108" t="str">
        <f t="array" ref="V253">IF(ISNUMBER(AC253),INDEX('All Player Data Store'!$R$7:$R$594,SMALL(IF('All Player Data Store'!$Y$7:$Y$594=AC253,ROW('All Player Data Store'!$Y$7:$Y$594)-ROW('All Player Data Store'!$Y$7)+1),COUNTIF($AC$8:AC253,AC253))),"")</f>
        <v/>
      </c>
      <c r="W253" s="108" t="str">
        <f t="array" ref="W253">IF(ISNUMBER(AC253),INDEX('All Player Data Store'!$S$7:$S$594,SMALL(IF('All Player Data Store'!$Y$7:$Y$594=AC253,ROW('All Player Data Store'!$Y$7:$Y$594)-ROW('All Player Data Store'!$Y$7)+1),COUNTIF($AC$8:AC253,AC253))),"")</f>
        <v/>
      </c>
      <c r="X253" s="108" t="str">
        <f t="array" ref="X253">IF(ISNUMBER(AC253),INDEX('All Player Data Store'!$T$7:$T$594,SMALL(IF('All Player Data Store'!$Y$7:$Y$594=AC253,ROW('All Player Data Store'!$Y$7:$Y$594)-ROW('All Player Data Store'!$Y$7)+1),COUNTIF($AC$8:AC253,AC253))),"")</f>
        <v/>
      </c>
      <c r="Y253" s="108" t="str">
        <f t="array" ref="Y253">IF(ISNUMBER(AC253),INDEX('All Player Data Store'!$U$7:$U$594,SMALL(IF('All Player Data Store'!$Y$7:$Y$594=AC253,ROW('All Player Data Store'!$Y$7:$Y$594)-ROW('All Player Data Store'!$Y$7)+1),COUNTIF($AC$8:AC253,AC253))),"")</f>
        <v/>
      </c>
      <c r="Z253" s="108" t="str">
        <f t="array" ref="Z253">IF(ISNUMBER(AC253),INDEX('All Player Data Store'!$V$7:$V$594,SMALL(IF('All Player Data Store'!$Y$7:$Y$594=AC253,ROW('All Player Data Store'!$Y$7:$Y$594)-ROW('All Player Data Store'!$Y$7)+1),COUNTIF($AC$8:AC253,AC253))),"")</f>
        <v/>
      </c>
      <c r="AA253" s="112" t="str">
        <f t="array" ref="AA253">IF(ISNUMBER(AC253),INDEX('All Player Data Store'!$W$7:$W$594,SMALL(IF('All Player Data Store'!$Y$7:$Y$594=AC253,ROW('All Player Data Store'!$Y$7:$Y$594)-ROW('All Player Data Store'!$Y$7)+1),COUNTIF($AC$8:AC253,AC253))),"")</f>
        <v/>
      </c>
      <c r="AB253" s="108" t="str">
        <f t="array" ref="AB253">IF(ISNUMBER(AC253),INDEX('All Player Data Store'!$X$7:$X$594,SMALL(IF('All Player Data Store'!$Y$7:$Y$594=AC253,ROW('All Player Data Store'!$Y$7:$Y$594)-ROW('All Player Data Store'!$Y$7)+1),COUNTIF($AC$8:AC253,AC253))),"")</f>
        <v/>
      </c>
      <c r="AC253" s="115" t="str">
        <f>IF(ISERROR(IF(ISERROR(LARGE('All Player Data Store'!$Y$7:$Y$594,246)),"",(LARGE('All Player Data Store'!$Y$7:$Y$594,246)))),"",(IF(ISERROR(LARGE('All Player Data Store'!$Y$7:$Y$594,246)),"",(LARGE('All Player Data Store'!$Y$7:$Y$594,246)))))</f>
        <v/>
      </c>
      <c r="AD253" s="106">
        <f t="shared" si="16"/>
        <v>1</v>
      </c>
      <c r="AE253" s="107" t="str">
        <f t="array" ref="AE253">IF(ISNUMBER(AC253),INDEX('All Player Data Store'!$J$8:$J$594,SMALL(IF('All Player Data Store'!$Y$7:$Y$594=AC253,ROW('All Player Data Store'!$Y$7:$Y$594)-ROW('All Player Data Store'!$Y$7)+1),COUNTIF($AC$8:AC253,AC253))),"")</f>
        <v/>
      </c>
      <c r="AF253" s="108" t="str">
        <f t="shared" si="3"/>
        <v/>
      </c>
      <c r="AG253" s="108" t="str">
        <f t="array" ref="AG253">IF(ISNUMBER(AC253),INDEX('All Player Data Store'!$K$8:$K$594,SMALL(IF('All Player Data Store'!$Y$7:$Y$594=AC253,ROW('All Player Data Store'!$Y$7:$Y$594)-ROW('All Player Data Store'!$Y$7)+1),COUNTIF($AC$8:AC253,AC253))),"")</f>
        <v/>
      </c>
      <c r="AH253" s="108" t="str">
        <f t="shared" si="4"/>
        <v/>
      </c>
      <c r="AI253" s="108" t="str">
        <f t="array" ref="AI253">IF(ISNUMBER(AC253),INDEX('All Player Data Store'!$L$8:$L$594,SMALL(IF('All Player Data Store'!$Y$7:$Y$594=AC253,ROW('All Player Data Store'!$Y$7:$Y$594)-ROW('All Player Data Store'!$Y$7)+1),COUNTIF($AC$8:AC253,AC253))),"")</f>
        <v/>
      </c>
      <c r="AJ253" s="108" t="str">
        <f t="shared" si="5"/>
        <v/>
      </c>
      <c r="AK253" s="108" t="str">
        <f t="array" ref="AK253">IF(ISNUMBER(AC253),INDEX('All Player Data Store'!$M$8:$M$594,SMALL(IF('All Player Data Store'!$Y$7:$Y$594=AC253,ROW('All Player Data Store'!$Y$7:$Y$594)-ROW('All Player Data Store'!$Y$7)+1),COUNTIF($AC$8:AC253,AC253))),"")</f>
        <v/>
      </c>
      <c r="AL253" s="108" t="str">
        <f t="shared" si="6"/>
        <v/>
      </c>
      <c r="AM253" s="108" t="str">
        <f t="array" ref="AM253">IF(ISNUMBER(AC253),INDEX('All Player Data Store'!$N$8:$N$594,SMALL(IF('All Player Data Store'!$Y$7:$Y$594=AC253,ROW('All Player Data Store'!$Y$7:$Y$594)-ROW('All Player Data Store'!$Y$7)+1),COUNTIF($AC$8:AC253,AC253))),"")</f>
        <v/>
      </c>
      <c r="AN253" s="108" t="str">
        <f t="shared" si="7"/>
        <v/>
      </c>
      <c r="AO253" s="108" t="str">
        <f t="array" ref="AO253">IF(ISNUMBER(AC253),INDEX('All Player Data Store'!$O$8:$O$594,SMALL(IF('All Player Data Store'!$Y$7:$Y$594=AC253,ROW('All Player Data Store'!$Y$7:$Y$594)-ROW('All Player Data Store'!$Y$7)+1),COUNTIF($AC$8:AC253,AC253))),"")</f>
        <v/>
      </c>
      <c r="AP253" s="108" t="str">
        <f t="shared" si="8"/>
        <v/>
      </c>
      <c r="AQ253" s="108" t="str">
        <f t="array" ref="AQ253">IF(ISNUMBER(AC253),INDEX('All Player Data Store'!$P$8:$P$594,SMALL(IF('All Player Data Store'!$Y$7:$Y$594=AC253,ROW('All Player Data Store'!$Y$7:$Y$594)-ROW('All Player Data Store'!$Y$7)+1),COUNTIF($AC$8:AC253,AC253))),"")</f>
        <v/>
      </c>
      <c r="AR253" s="108" t="str">
        <f t="shared" si="9"/>
        <v/>
      </c>
      <c r="AS253" s="108" t="str">
        <f t="array" ref="AS253">IF(ISNUMBER(AC253),INDEX('All Player Data Store'!$Q$8:$Q$594,SMALL(IF('All Player Data Store'!$Y$7:$Y$594=AC253,ROW('All Player Data Store'!$Y$7:$Y$594)-ROW('All Player Data Store'!$Y$7)+1),COUNTIF($AC$8:AC253,AC253))),"")</f>
        <v/>
      </c>
      <c r="AT253" s="108" t="str">
        <f t="shared" si="10"/>
        <v/>
      </c>
      <c r="AU253" s="108" t="str">
        <f t="array" ref="AU253">IF(ISNUMBER(AC253),INDEX('All Player Data Store'!$R$8:$R$594,SMALL(IF('All Player Data Store'!$Y$7:$Y$594=AC253,ROW('All Player Data Store'!$Y$7:$Y$594)-ROW('All Player Data Store'!$Y$7)+1),COUNTIF($AC$8:AC253,AC253))),"")</f>
        <v/>
      </c>
      <c r="AV253" s="108" t="str">
        <f t="shared" si="11"/>
        <v/>
      </c>
      <c r="AW253" s="108" t="str">
        <f t="array" ref="AW253">IF(ISNUMBER(AC253),INDEX('All Player Data Store'!$S$8:$S$594,SMALL(IF('All Player Data Store'!$Y$7:$Y$594=AC253,ROW('All Player Data Store'!$Y$7:$Y$594)-ROW('All Player Data Store'!$Y$7)+1),COUNTIF($AC$8:AC253,AC253))),"")</f>
        <v/>
      </c>
      <c r="AX253" s="108" t="str">
        <f t="shared" si="12"/>
        <v/>
      </c>
      <c r="AY253" s="108" t="str">
        <f t="array" ref="AY253">IF(ISNUMBER(AC253),INDEX('All Player Data Store'!$T$8:$T$594,SMALL(IF('All Player Data Store'!$Y$7:$Y$594=AC253,ROW('All Player Data Store'!$Y$7:$Y$594)-ROW('All Player Data Store'!$Y$7)+1),COUNTIF($AC$8:AC253,AC253))),"")</f>
        <v/>
      </c>
      <c r="AZ253" s="108" t="str">
        <f t="shared" si="13"/>
        <v/>
      </c>
      <c r="BA253" s="108" t="str">
        <f t="array" ref="BA253">IF(ISNUMBER(AC253),INDEX('All Player Data Store'!$U$8:$U$594,SMALL(IF('All Player Data Store'!$Y$7:$Y$594=AC253,ROW('All Player Data Store'!$Y$7:$Y$594)-ROW('All Player Data Store'!$Y$7)+1),COUNTIF($AC$8:AC253,AC253))),"")</f>
        <v/>
      </c>
      <c r="BB253" s="108" t="str">
        <f t="shared" si="14"/>
        <v/>
      </c>
      <c r="BC253" s="108" t="str">
        <f t="array" ref="BC253">IF(ISNUMBER(AC253),INDEX('All Player Data Store'!$V$8:$V$594,SMALL(IF('All Player Data Store'!$Y$7:$Y$594=AC253,ROW('All Player Data Store'!$Y$7:$Y$594)-ROW('All Player Data Store'!$Y$7)+1),COUNTIF($AC$8:AC253,AC253))),"")</f>
        <v/>
      </c>
      <c r="BD253" s="108" t="str">
        <f t="shared" si="15"/>
        <v/>
      </c>
      <c r="BE253" s="1"/>
    </row>
    <row r="254" spans="2:57" ht="12" customHeight="1" x14ac:dyDescent="0.2">
      <c r="B254" s="118" t="str">
        <f t="shared" si="0"/>
        <v/>
      </c>
      <c r="C254" s="1"/>
      <c r="D254" s="68" t="str">
        <f t="shared" si="1"/>
        <v/>
      </c>
      <c r="E254" s="2"/>
      <c r="F254" s="78">
        <v>247</v>
      </c>
      <c r="G254" s="110" t="str">
        <f t="array" ref="G254">IF(ISNUMBER(AC254),INDEX('All Player Data Store'!$C$7:$C$594,SMALL(IF('All Player Data Store'!$Y$7:$Y$594=AC254,ROW('All Player Data Store'!$Y$7:$Y$594)-ROW('All Player Data Store'!$Y$7)+1),COUNTIF($AC$8:AC254,AC254))),"")</f>
        <v/>
      </c>
      <c r="H254" s="68" t="str">
        <f t="array" ref="H254">IF(ISNUMBER(AC254),INDEX('All Player Data Store'!$D$7:$D$594,SMALL(IF('All Player Data Store'!$Y$7:$Y$594=AC254,ROW('All Player Data Store'!$Y$7:$Y$594)-ROW('All Player Data Store'!$Y$7)+1),COUNTIF($AC$8:AC254,AC254))),"")</f>
        <v/>
      </c>
      <c r="I254" s="69" t="str">
        <f t="array" ref="I254">IF(ISNUMBER(AC254),INDEX('All Player Data Store'!$E$7:$E$594,SMALL(IF('All Player Data Store'!$Y$7:$Y$594=AC254,ROW('All Player Data Store'!$Y$7:$Y$594)-ROW('All Player Data Store'!$Y$7)+1),COUNTIF($AC$8:AC254,AC254))),"")</f>
        <v/>
      </c>
      <c r="J254" s="70" t="str">
        <f t="array" ref="J254">IF(ISNUMBER(AC254),INDEX('All Player Data Store'!$F$7:$F$594,SMALL(IF('All Player Data Store'!$Y$7:$Y$594=AC254,ROW('All Player Data Store'!$Y$7:$Y$594)-ROW('All Player Data Store'!$Y$7)+1),COUNTIF($AC$8:AC254,AC254))),"")</f>
        <v/>
      </c>
      <c r="K254" s="70" t="str">
        <f t="array" ref="K254">IF(ISNUMBER(AC254),INDEX('All Player Data Store'!$G$7:$G$594,SMALL(IF('All Player Data Store'!$Y$7:$Y$594=AC254,ROW('All Player Data Store'!$Y$7:$Y$594)-ROW('All Player Data Store'!$Y$7)+1),COUNTIF($AC$8:AC254,AC254))),"")</f>
        <v/>
      </c>
      <c r="L254" s="70" t="str">
        <f t="array" ref="L254">IF(ISNUMBER(AC254),INDEX('All Player Data Store'!$H$7:$H$594,SMALL(IF('All Player Data Store'!$Y$7:$Y$594=AC254,ROW('All Player Data Store'!$Y$7:$Y$594)-ROW('All Player Data Store'!$Y$7)+1),COUNTIF($AC$8:AC254,AC254))),"")</f>
        <v/>
      </c>
      <c r="M254" s="72" t="str">
        <f t="array" ref="M254">IF(ISNUMBER(AC254),INDEX('All Player Data Store'!$I$7:$I$594,SMALL(IF('All Player Data Store'!$Y$7:$Y$594=AC254,ROW('All Player Data Store'!$Y$7:$Y$594)-ROW('All Player Data Store'!$Y$7)+1),COUNTIF($AC$8:AC254,AC254))),"")</f>
        <v/>
      </c>
      <c r="N254" s="114" t="str">
        <f t="array" ref="N254">IF(ISNUMBER(AC254),INDEX('All Player Data Store'!$J$7:$J$594,SMALL(IF('All Player Data Store'!$Y$7:$Y$594=AC254,ROW('All Player Data Store'!$Y$7:$Y$594)-ROW('All Player Data Store'!$Y$7)+1),COUNTIF($AC$8:AC254,AC254))),"")</f>
        <v/>
      </c>
      <c r="O254" s="108" t="str">
        <f t="array" ref="O254">IF(ISNUMBER(AC254),INDEX('All Player Data Store'!$K$7:$K$594,SMALL(IF('All Player Data Store'!$Y$7:$Y$594=AC254,ROW('All Player Data Store'!$Y$7:$Y$594)-ROW('All Player Data Store'!$Y$7)+1),COUNTIF($AC$8:AC254,AC254))),"")</f>
        <v/>
      </c>
      <c r="P254" s="108" t="str">
        <f t="array" ref="P254">IF(ISNUMBER(AC254),INDEX('All Player Data Store'!$L$7:$L$594,SMALL(IF('All Player Data Store'!$Y$7:$Y$594=AC254,ROW('All Player Data Store'!$Y$7:$Y$594)-ROW('All Player Data Store'!$Y$7)+1),COUNTIF($AC$8:AC254,AC254))),"")</f>
        <v/>
      </c>
      <c r="Q254" s="108" t="str">
        <f t="array" ref="Q254">IF(ISNUMBER(AC254),INDEX('All Player Data Store'!$M$7:$M$594,SMALL(IF('All Player Data Store'!$Y$7:$Y$594=AC254,ROW('All Player Data Store'!$Y$7:$Y$594)-ROW('All Player Data Store'!$Y$7)+1),COUNTIF($AC$8:AC254,AC254))),"")</f>
        <v/>
      </c>
      <c r="R254" s="108" t="str">
        <f t="array" ref="R254">IF(ISNUMBER(AC254),INDEX('All Player Data Store'!$N$7:$N$594,SMALL(IF('All Player Data Store'!$Y$7:$Y$594=AC254,ROW('All Player Data Store'!$Y$7:$Y$594)-ROW('All Player Data Store'!$Y$7)+1),COUNTIF($AC$8:AC254,AC254))),"")</f>
        <v/>
      </c>
      <c r="S254" s="108" t="str">
        <f t="array" ref="S254">IF(ISNUMBER(AC254),INDEX('All Player Data Store'!$O$7:$O$594,SMALL(IF('All Player Data Store'!$Y$7:$Y$594=AC254,ROW('All Player Data Store'!$Y$7:$Y$594)-ROW('All Player Data Store'!$Y$7)+1),COUNTIF($AC$8:AC254,AC254))),"")</f>
        <v/>
      </c>
      <c r="T254" s="108" t="str">
        <f t="array" ref="T254">IF(ISNUMBER(AC254),INDEX('All Player Data Store'!$P$7:$P$594,SMALL(IF('All Player Data Store'!$Y$7:$Y$594=AC254,ROW('All Player Data Store'!$Y$7:$Y$594)-ROW('All Player Data Store'!$Y$7)+1),COUNTIF($AC$8:AC254,AC254))),"")</f>
        <v/>
      </c>
      <c r="U254" s="108" t="str">
        <f t="array" ref="U254">IF(ISNUMBER(AC254),INDEX('All Player Data Store'!$Q$7:$Q$594,SMALL(IF('All Player Data Store'!$Y$7:$Y$594=AC254,ROW('All Player Data Store'!$Y$7:$Y$594)-ROW('All Player Data Store'!$Y$7)+1),COUNTIF($AC$8:AC254,AC254))),"")</f>
        <v/>
      </c>
      <c r="V254" s="108" t="str">
        <f t="array" ref="V254">IF(ISNUMBER(AC254),INDEX('All Player Data Store'!$R$7:$R$594,SMALL(IF('All Player Data Store'!$Y$7:$Y$594=AC254,ROW('All Player Data Store'!$Y$7:$Y$594)-ROW('All Player Data Store'!$Y$7)+1),COUNTIF($AC$8:AC254,AC254))),"")</f>
        <v/>
      </c>
      <c r="W254" s="108" t="str">
        <f t="array" ref="W254">IF(ISNUMBER(AC254),INDEX('All Player Data Store'!$S$7:$S$594,SMALL(IF('All Player Data Store'!$Y$7:$Y$594=AC254,ROW('All Player Data Store'!$Y$7:$Y$594)-ROW('All Player Data Store'!$Y$7)+1),COUNTIF($AC$8:AC254,AC254))),"")</f>
        <v/>
      </c>
      <c r="X254" s="108" t="str">
        <f t="array" ref="X254">IF(ISNUMBER(AC254),INDEX('All Player Data Store'!$T$7:$T$594,SMALL(IF('All Player Data Store'!$Y$7:$Y$594=AC254,ROW('All Player Data Store'!$Y$7:$Y$594)-ROW('All Player Data Store'!$Y$7)+1),COUNTIF($AC$8:AC254,AC254))),"")</f>
        <v/>
      </c>
      <c r="Y254" s="108" t="str">
        <f t="array" ref="Y254">IF(ISNUMBER(AC254),INDEX('All Player Data Store'!$U$7:$U$594,SMALL(IF('All Player Data Store'!$Y$7:$Y$594=AC254,ROW('All Player Data Store'!$Y$7:$Y$594)-ROW('All Player Data Store'!$Y$7)+1),COUNTIF($AC$8:AC254,AC254))),"")</f>
        <v/>
      </c>
      <c r="Z254" s="108" t="str">
        <f t="array" ref="Z254">IF(ISNUMBER(AC254),INDEX('All Player Data Store'!$V$7:$V$594,SMALL(IF('All Player Data Store'!$Y$7:$Y$594=AC254,ROW('All Player Data Store'!$Y$7:$Y$594)-ROW('All Player Data Store'!$Y$7)+1),COUNTIF($AC$8:AC254,AC254))),"")</f>
        <v/>
      </c>
      <c r="AA254" s="112" t="str">
        <f t="array" ref="AA254">IF(ISNUMBER(AC254),INDEX('All Player Data Store'!$W$7:$W$594,SMALL(IF('All Player Data Store'!$Y$7:$Y$594=AC254,ROW('All Player Data Store'!$Y$7:$Y$594)-ROW('All Player Data Store'!$Y$7)+1),COUNTIF($AC$8:AC254,AC254))),"")</f>
        <v/>
      </c>
      <c r="AB254" s="108" t="str">
        <f t="array" ref="AB254">IF(ISNUMBER(AC254),INDEX('All Player Data Store'!$X$7:$X$594,SMALL(IF('All Player Data Store'!$Y$7:$Y$594=AC254,ROW('All Player Data Store'!$Y$7:$Y$594)-ROW('All Player Data Store'!$Y$7)+1),COUNTIF($AC$8:AC254,AC254))),"")</f>
        <v/>
      </c>
      <c r="AC254" s="115" t="str">
        <f>IF(ISERROR(IF(ISERROR(LARGE('All Player Data Store'!$Y$7:$Y$594,247)),"",(LARGE('All Player Data Store'!$Y$7:$Y$594,247)))),"",(IF(ISERROR(LARGE('All Player Data Store'!$Y$7:$Y$594,247)),"",(LARGE('All Player Data Store'!$Y$7:$Y$594,247)))))</f>
        <v/>
      </c>
      <c r="AD254" s="106">
        <f t="shared" si="16"/>
        <v>1</v>
      </c>
      <c r="AE254" s="107" t="str">
        <f t="array" ref="AE254">IF(ISNUMBER(AC254),INDEX('All Player Data Store'!$J$8:$J$594,SMALL(IF('All Player Data Store'!$Y$7:$Y$594=AC254,ROW('All Player Data Store'!$Y$7:$Y$594)-ROW('All Player Data Store'!$Y$7)+1),COUNTIF($AC$8:AC254,AC254))),"")</f>
        <v/>
      </c>
      <c r="AF254" s="108" t="str">
        <f t="shared" si="3"/>
        <v/>
      </c>
      <c r="AG254" s="108" t="str">
        <f t="array" ref="AG254">IF(ISNUMBER(AC254),INDEX('All Player Data Store'!$K$8:$K$594,SMALL(IF('All Player Data Store'!$Y$7:$Y$594=AC254,ROW('All Player Data Store'!$Y$7:$Y$594)-ROW('All Player Data Store'!$Y$7)+1),COUNTIF($AC$8:AC254,AC254))),"")</f>
        <v/>
      </c>
      <c r="AH254" s="108" t="str">
        <f t="shared" si="4"/>
        <v/>
      </c>
      <c r="AI254" s="108" t="str">
        <f t="array" ref="AI254">IF(ISNUMBER(AC254),INDEX('All Player Data Store'!$L$8:$L$594,SMALL(IF('All Player Data Store'!$Y$7:$Y$594=AC254,ROW('All Player Data Store'!$Y$7:$Y$594)-ROW('All Player Data Store'!$Y$7)+1),COUNTIF($AC$8:AC254,AC254))),"")</f>
        <v/>
      </c>
      <c r="AJ254" s="108" t="str">
        <f t="shared" si="5"/>
        <v/>
      </c>
      <c r="AK254" s="108" t="str">
        <f t="array" ref="AK254">IF(ISNUMBER(AC254),INDEX('All Player Data Store'!$M$8:$M$594,SMALL(IF('All Player Data Store'!$Y$7:$Y$594=AC254,ROW('All Player Data Store'!$Y$7:$Y$594)-ROW('All Player Data Store'!$Y$7)+1),COUNTIF($AC$8:AC254,AC254))),"")</f>
        <v/>
      </c>
      <c r="AL254" s="108" t="str">
        <f t="shared" si="6"/>
        <v/>
      </c>
      <c r="AM254" s="108" t="str">
        <f t="array" ref="AM254">IF(ISNUMBER(AC254),INDEX('All Player Data Store'!$N$8:$N$594,SMALL(IF('All Player Data Store'!$Y$7:$Y$594=AC254,ROW('All Player Data Store'!$Y$7:$Y$594)-ROW('All Player Data Store'!$Y$7)+1),COUNTIF($AC$8:AC254,AC254))),"")</f>
        <v/>
      </c>
      <c r="AN254" s="108" t="str">
        <f t="shared" si="7"/>
        <v/>
      </c>
      <c r="AO254" s="108" t="str">
        <f t="array" ref="AO254">IF(ISNUMBER(AC254),INDEX('All Player Data Store'!$O$8:$O$594,SMALL(IF('All Player Data Store'!$Y$7:$Y$594=AC254,ROW('All Player Data Store'!$Y$7:$Y$594)-ROW('All Player Data Store'!$Y$7)+1),COUNTIF($AC$8:AC254,AC254))),"")</f>
        <v/>
      </c>
      <c r="AP254" s="108" t="str">
        <f t="shared" si="8"/>
        <v/>
      </c>
      <c r="AQ254" s="108" t="str">
        <f t="array" ref="AQ254">IF(ISNUMBER(AC254),INDEX('All Player Data Store'!$P$8:$P$594,SMALL(IF('All Player Data Store'!$Y$7:$Y$594=AC254,ROW('All Player Data Store'!$Y$7:$Y$594)-ROW('All Player Data Store'!$Y$7)+1),COUNTIF($AC$8:AC254,AC254))),"")</f>
        <v/>
      </c>
      <c r="AR254" s="108" t="str">
        <f t="shared" si="9"/>
        <v/>
      </c>
      <c r="AS254" s="108" t="str">
        <f t="array" ref="AS254">IF(ISNUMBER(AC254),INDEX('All Player Data Store'!$Q$8:$Q$594,SMALL(IF('All Player Data Store'!$Y$7:$Y$594=AC254,ROW('All Player Data Store'!$Y$7:$Y$594)-ROW('All Player Data Store'!$Y$7)+1),COUNTIF($AC$8:AC254,AC254))),"")</f>
        <v/>
      </c>
      <c r="AT254" s="108" t="str">
        <f t="shared" si="10"/>
        <v/>
      </c>
      <c r="AU254" s="108" t="str">
        <f t="array" ref="AU254">IF(ISNUMBER(AC254),INDEX('All Player Data Store'!$R$8:$R$594,SMALL(IF('All Player Data Store'!$Y$7:$Y$594=AC254,ROW('All Player Data Store'!$Y$7:$Y$594)-ROW('All Player Data Store'!$Y$7)+1),COUNTIF($AC$8:AC254,AC254))),"")</f>
        <v/>
      </c>
      <c r="AV254" s="108" t="str">
        <f t="shared" si="11"/>
        <v/>
      </c>
      <c r="AW254" s="108" t="str">
        <f t="array" ref="AW254">IF(ISNUMBER(AC254),INDEX('All Player Data Store'!$S$8:$S$594,SMALL(IF('All Player Data Store'!$Y$7:$Y$594=AC254,ROW('All Player Data Store'!$Y$7:$Y$594)-ROW('All Player Data Store'!$Y$7)+1),COUNTIF($AC$8:AC254,AC254))),"")</f>
        <v/>
      </c>
      <c r="AX254" s="108" t="str">
        <f t="shared" si="12"/>
        <v/>
      </c>
      <c r="AY254" s="108" t="str">
        <f t="array" ref="AY254">IF(ISNUMBER(AC254),INDEX('All Player Data Store'!$T$8:$T$594,SMALL(IF('All Player Data Store'!$Y$7:$Y$594=AC254,ROW('All Player Data Store'!$Y$7:$Y$594)-ROW('All Player Data Store'!$Y$7)+1),COUNTIF($AC$8:AC254,AC254))),"")</f>
        <v/>
      </c>
      <c r="AZ254" s="108" t="str">
        <f t="shared" si="13"/>
        <v/>
      </c>
      <c r="BA254" s="108" t="str">
        <f t="array" ref="BA254">IF(ISNUMBER(AC254),INDEX('All Player Data Store'!$U$8:$U$594,SMALL(IF('All Player Data Store'!$Y$7:$Y$594=AC254,ROW('All Player Data Store'!$Y$7:$Y$594)-ROW('All Player Data Store'!$Y$7)+1),COUNTIF($AC$8:AC254,AC254))),"")</f>
        <v/>
      </c>
      <c r="BB254" s="108" t="str">
        <f t="shared" si="14"/>
        <v/>
      </c>
      <c r="BC254" s="108" t="str">
        <f t="array" ref="BC254">IF(ISNUMBER(AC254),INDEX('All Player Data Store'!$V$8:$V$594,SMALL(IF('All Player Data Store'!$Y$7:$Y$594=AC254,ROW('All Player Data Store'!$Y$7:$Y$594)-ROW('All Player Data Store'!$Y$7)+1),COUNTIF($AC$8:AC254,AC254))),"")</f>
        <v/>
      </c>
      <c r="BD254" s="108" t="str">
        <f t="shared" si="15"/>
        <v/>
      </c>
      <c r="BE254" s="1"/>
    </row>
    <row r="255" spans="2:57" ht="12" customHeight="1" x14ac:dyDescent="0.2">
      <c r="B255" s="118" t="str">
        <f t="shared" si="0"/>
        <v/>
      </c>
      <c r="C255" s="1"/>
      <c r="D255" s="68" t="str">
        <f t="shared" si="1"/>
        <v/>
      </c>
      <c r="E255" s="2"/>
      <c r="F255" s="78">
        <v>248</v>
      </c>
      <c r="G255" s="110" t="str">
        <f t="array" ref="G255">IF(ISNUMBER(AC255),INDEX('All Player Data Store'!$C$7:$C$594,SMALL(IF('All Player Data Store'!$Y$7:$Y$594=AC255,ROW('All Player Data Store'!$Y$7:$Y$594)-ROW('All Player Data Store'!$Y$7)+1),COUNTIF($AC$8:AC255,AC255))),"")</f>
        <v/>
      </c>
      <c r="H255" s="68" t="str">
        <f t="array" ref="H255">IF(ISNUMBER(AC255),INDEX('All Player Data Store'!$D$7:$D$594,SMALL(IF('All Player Data Store'!$Y$7:$Y$594=AC255,ROW('All Player Data Store'!$Y$7:$Y$594)-ROW('All Player Data Store'!$Y$7)+1),COUNTIF($AC$8:AC255,AC255))),"")</f>
        <v/>
      </c>
      <c r="I255" s="69" t="str">
        <f t="array" ref="I255">IF(ISNUMBER(AC255),INDEX('All Player Data Store'!$E$7:$E$594,SMALL(IF('All Player Data Store'!$Y$7:$Y$594=AC255,ROW('All Player Data Store'!$Y$7:$Y$594)-ROW('All Player Data Store'!$Y$7)+1),COUNTIF($AC$8:AC255,AC255))),"")</f>
        <v/>
      </c>
      <c r="J255" s="70" t="str">
        <f t="array" ref="J255">IF(ISNUMBER(AC255),INDEX('All Player Data Store'!$F$7:$F$594,SMALL(IF('All Player Data Store'!$Y$7:$Y$594=AC255,ROW('All Player Data Store'!$Y$7:$Y$594)-ROW('All Player Data Store'!$Y$7)+1),COUNTIF($AC$8:AC255,AC255))),"")</f>
        <v/>
      </c>
      <c r="K255" s="70" t="str">
        <f t="array" ref="K255">IF(ISNUMBER(AC255),INDEX('All Player Data Store'!$G$7:$G$594,SMALL(IF('All Player Data Store'!$Y$7:$Y$594=AC255,ROW('All Player Data Store'!$Y$7:$Y$594)-ROW('All Player Data Store'!$Y$7)+1),COUNTIF($AC$8:AC255,AC255))),"")</f>
        <v/>
      </c>
      <c r="L255" s="70" t="str">
        <f t="array" ref="L255">IF(ISNUMBER(AC255),INDEX('All Player Data Store'!$H$7:$H$594,SMALL(IF('All Player Data Store'!$Y$7:$Y$594=AC255,ROW('All Player Data Store'!$Y$7:$Y$594)-ROW('All Player Data Store'!$Y$7)+1),COUNTIF($AC$8:AC255,AC255))),"")</f>
        <v/>
      </c>
      <c r="M255" s="72" t="str">
        <f t="array" ref="M255">IF(ISNUMBER(AC255),INDEX('All Player Data Store'!$I$7:$I$594,SMALL(IF('All Player Data Store'!$Y$7:$Y$594=AC255,ROW('All Player Data Store'!$Y$7:$Y$594)-ROW('All Player Data Store'!$Y$7)+1),COUNTIF($AC$8:AC255,AC255))),"")</f>
        <v/>
      </c>
      <c r="N255" s="114" t="str">
        <f t="array" ref="N255">IF(ISNUMBER(AC255),INDEX('All Player Data Store'!$J$7:$J$594,SMALL(IF('All Player Data Store'!$Y$7:$Y$594=AC255,ROW('All Player Data Store'!$Y$7:$Y$594)-ROW('All Player Data Store'!$Y$7)+1),COUNTIF($AC$8:AC255,AC255))),"")</f>
        <v/>
      </c>
      <c r="O255" s="108" t="str">
        <f t="array" ref="O255">IF(ISNUMBER(AC255),INDEX('All Player Data Store'!$K$7:$K$594,SMALL(IF('All Player Data Store'!$Y$7:$Y$594=AC255,ROW('All Player Data Store'!$Y$7:$Y$594)-ROW('All Player Data Store'!$Y$7)+1),COUNTIF($AC$8:AC255,AC255))),"")</f>
        <v/>
      </c>
      <c r="P255" s="108" t="str">
        <f t="array" ref="P255">IF(ISNUMBER(AC255),INDEX('All Player Data Store'!$L$7:$L$594,SMALL(IF('All Player Data Store'!$Y$7:$Y$594=AC255,ROW('All Player Data Store'!$Y$7:$Y$594)-ROW('All Player Data Store'!$Y$7)+1),COUNTIF($AC$8:AC255,AC255))),"")</f>
        <v/>
      </c>
      <c r="Q255" s="108" t="str">
        <f t="array" ref="Q255">IF(ISNUMBER(AC255),INDEX('All Player Data Store'!$M$7:$M$594,SMALL(IF('All Player Data Store'!$Y$7:$Y$594=AC255,ROW('All Player Data Store'!$Y$7:$Y$594)-ROW('All Player Data Store'!$Y$7)+1),COUNTIF($AC$8:AC255,AC255))),"")</f>
        <v/>
      </c>
      <c r="R255" s="108" t="str">
        <f t="array" ref="R255">IF(ISNUMBER(AC255),INDEX('All Player Data Store'!$N$7:$N$594,SMALL(IF('All Player Data Store'!$Y$7:$Y$594=AC255,ROW('All Player Data Store'!$Y$7:$Y$594)-ROW('All Player Data Store'!$Y$7)+1),COUNTIF($AC$8:AC255,AC255))),"")</f>
        <v/>
      </c>
      <c r="S255" s="108" t="str">
        <f t="array" ref="S255">IF(ISNUMBER(AC255),INDEX('All Player Data Store'!$O$7:$O$594,SMALL(IF('All Player Data Store'!$Y$7:$Y$594=AC255,ROW('All Player Data Store'!$Y$7:$Y$594)-ROW('All Player Data Store'!$Y$7)+1),COUNTIF($AC$8:AC255,AC255))),"")</f>
        <v/>
      </c>
      <c r="T255" s="108" t="str">
        <f t="array" ref="T255">IF(ISNUMBER(AC255),INDEX('All Player Data Store'!$P$7:$P$594,SMALL(IF('All Player Data Store'!$Y$7:$Y$594=AC255,ROW('All Player Data Store'!$Y$7:$Y$594)-ROW('All Player Data Store'!$Y$7)+1),COUNTIF($AC$8:AC255,AC255))),"")</f>
        <v/>
      </c>
      <c r="U255" s="108" t="str">
        <f t="array" ref="U255">IF(ISNUMBER(AC255),INDEX('All Player Data Store'!$Q$7:$Q$594,SMALL(IF('All Player Data Store'!$Y$7:$Y$594=AC255,ROW('All Player Data Store'!$Y$7:$Y$594)-ROW('All Player Data Store'!$Y$7)+1),COUNTIF($AC$8:AC255,AC255))),"")</f>
        <v/>
      </c>
      <c r="V255" s="108" t="str">
        <f t="array" ref="V255">IF(ISNUMBER(AC255),INDEX('All Player Data Store'!$R$7:$R$594,SMALL(IF('All Player Data Store'!$Y$7:$Y$594=AC255,ROW('All Player Data Store'!$Y$7:$Y$594)-ROW('All Player Data Store'!$Y$7)+1),COUNTIF($AC$8:AC255,AC255))),"")</f>
        <v/>
      </c>
      <c r="W255" s="108" t="str">
        <f t="array" ref="W255">IF(ISNUMBER(AC255),INDEX('All Player Data Store'!$S$7:$S$594,SMALL(IF('All Player Data Store'!$Y$7:$Y$594=AC255,ROW('All Player Data Store'!$Y$7:$Y$594)-ROW('All Player Data Store'!$Y$7)+1),COUNTIF($AC$8:AC255,AC255))),"")</f>
        <v/>
      </c>
      <c r="X255" s="108" t="str">
        <f t="array" ref="X255">IF(ISNUMBER(AC255),INDEX('All Player Data Store'!$T$7:$T$594,SMALL(IF('All Player Data Store'!$Y$7:$Y$594=AC255,ROW('All Player Data Store'!$Y$7:$Y$594)-ROW('All Player Data Store'!$Y$7)+1),COUNTIF($AC$8:AC255,AC255))),"")</f>
        <v/>
      </c>
      <c r="Y255" s="108" t="str">
        <f t="array" ref="Y255">IF(ISNUMBER(AC255),INDEX('All Player Data Store'!$U$7:$U$594,SMALL(IF('All Player Data Store'!$Y$7:$Y$594=AC255,ROW('All Player Data Store'!$Y$7:$Y$594)-ROW('All Player Data Store'!$Y$7)+1),COUNTIF($AC$8:AC255,AC255))),"")</f>
        <v/>
      </c>
      <c r="Z255" s="108" t="str">
        <f t="array" ref="Z255">IF(ISNUMBER(AC255),INDEX('All Player Data Store'!$V$7:$V$594,SMALL(IF('All Player Data Store'!$Y$7:$Y$594=AC255,ROW('All Player Data Store'!$Y$7:$Y$594)-ROW('All Player Data Store'!$Y$7)+1),COUNTIF($AC$8:AC255,AC255))),"")</f>
        <v/>
      </c>
      <c r="AA255" s="112" t="str">
        <f t="array" ref="AA255">IF(ISNUMBER(AC255),INDEX('All Player Data Store'!$W$7:$W$594,SMALL(IF('All Player Data Store'!$Y$7:$Y$594=AC255,ROW('All Player Data Store'!$Y$7:$Y$594)-ROW('All Player Data Store'!$Y$7)+1),COUNTIF($AC$8:AC255,AC255))),"")</f>
        <v/>
      </c>
      <c r="AB255" s="108" t="str">
        <f t="array" ref="AB255">IF(ISNUMBER(AC255),INDEX('All Player Data Store'!$X$7:$X$594,SMALL(IF('All Player Data Store'!$Y$7:$Y$594=AC255,ROW('All Player Data Store'!$Y$7:$Y$594)-ROW('All Player Data Store'!$Y$7)+1),COUNTIF($AC$8:AC255,AC255))),"")</f>
        <v/>
      </c>
      <c r="AC255" s="115" t="str">
        <f>IF(ISERROR(IF(ISERROR(LARGE('All Player Data Store'!$Y$7:$Y$594,248)),"",(LARGE('All Player Data Store'!$Y$7:$Y$594,248)))),"",(IF(ISERROR(LARGE('All Player Data Store'!$Y$7:$Y$594,248)),"",(LARGE('All Player Data Store'!$Y$7:$Y$594,248)))))</f>
        <v/>
      </c>
      <c r="AD255" s="106">
        <f t="shared" si="16"/>
        <v>1</v>
      </c>
      <c r="AE255" s="107" t="str">
        <f t="array" ref="AE255">IF(ISNUMBER(AC255),INDEX('All Player Data Store'!$J$8:$J$594,SMALL(IF('All Player Data Store'!$Y$7:$Y$594=AC255,ROW('All Player Data Store'!$Y$7:$Y$594)-ROW('All Player Data Store'!$Y$7)+1),COUNTIF($AC$8:AC255,AC255))),"")</f>
        <v/>
      </c>
      <c r="AF255" s="108" t="str">
        <f t="shared" si="3"/>
        <v/>
      </c>
      <c r="AG255" s="108" t="str">
        <f t="array" ref="AG255">IF(ISNUMBER(AC255),INDEX('All Player Data Store'!$K$8:$K$594,SMALL(IF('All Player Data Store'!$Y$7:$Y$594=AC255,ROW('All Player Data Store'!$Y$7:$Y$594)-ROW('All Player Data Store'!$Y$7)+1),COUNTIF($AC$8:AC255,AC255))),"")</f>
        <v/>
      </c>
      <c r="AH255" s="108" t="str">
        <f t="shared" si="4"/>
        <v/>
      </c>
      <c r="AI255" s="108" t="str">
        <f t="array" ref="AI255">IF(ISNUMBER(AC255),INDEX('All Player Data Store'!$L$8:$L$594,SMALL(IF('All Player Data Store'!$Y$7:$Y$594=AC255,ROW('All Player Data Store'!$Y$7:$Y$594)-ROW('All Player Data Store'!$Y$7)+1),COUNTIF($AC$8:AC255,AC255))),"")</f>
        <v/>
      </c>
      <c r="AJ255" s="108" t="str">
        <f t="shared" si="5"/>
        <v/>
      </c>
      <c r="AK255" s="108" t="str">
        <f t="array" ref="AK255">IF(ISNUMBER(AC255),INDEX('All Player Data Store'!$M$8:$M$594,SMALL(IF('All Player Data Store'!$Y$7:$Y$594=AC255,ROW('All Player Data Store'!$Y$7:$Y$594)-ROW('All Player Data Store'!$Y$7)+1),COUNTIF($AC$8:AC255,AC255))),"")</f>
        <v/>
      </c>
      <c r="AL255" s="108" t="str">
        <f t="shared" si="6"/>
        <v/>
      </c>
      <c r="AM255" s="108" t="str">
        <f t="array" ref="AM255">IF(ISNUMBER(AC255),INDEX('All Player Data Store'!$N$8:$N$594,SMALL(IF('All Player Data Store'!$Y$7:$Y$594=AC255,ROW('All Player Data Store'!$Y$7:$Y$594)-ROW('All Player Data Store'!$Y$7)+1),COUNTIF($AC$8:AC255,AC255))),"")</f>
        <v/>
      </c>
      <c r="AN255" s="108" t="str">
        <f t="shared" si="7"/>
        <v/>
      </c>
      <c r="AO255" s="108" t="str">
        <f t="array" ref="AO255">IF(ISNUMBER(AC255),INDEX('All Player Data Store'!$O$8:$O$594,SMALL(IF('All Player Data Store'!$Y$7:$Y$594=AC255,ROW('All Player Data Store'!$Y$7:$Y$594)-ROW('All Player Data Store'!$Y$7)+1),COUNTIF($AC$8:AC255,AC255))),"")</f>
        <v/>
      </c>
      <c r="AP255" s="108" t="str">
        <f t="shared" si="8"/>
        <v/>
      </c>
      <c r="AQ255" s="108" t="str">
        <f t="array" ref="AQ255">IF(ISNUMBER(AC255),INDEX('All Player Data Store'!$P$8:$P$594,SMALL(IF('All Player Data Store'!$Y$7:$Y$594=AC255,ROW('All Player Data Store'!$Y$7:$Y$594)-ROW('All Player Data Store'!$Y$7)+1),COUNTIF($AC$8:AC255,AC255))),"")</f>
        <v/>
      </c>
      <c r="AR255" s="108" t="str">
        <f t="shared" si="9"/>
        <v/>
      </c>
      <c r="AS255" s="108" t="str">
        <f t="array" ref="AS255">IF(ISNUMBER(AC255),INDEX('All Player Data Store'!$Q$8:$Q$594,SMALL(IF('All Player Data Store'!$Y$7:$Y$594=AC255,ROW('All Player Data Store'!$Y$7:$Y$594)-ROW('All Player Data Store'!$Y$7)+1),COUNTIF($AC$8:AC255,AC255))),"")</f>
        <v/>
      </c>
      <c r="AT255" s="108" t="str">
        <f t="shared" si="10"/>
        <v/>
      </c>
      <c r="AU255" s="108" t="str">
        <f t="array" ref="AU255">IF(ISNUMBER(AC255),INDEX('All Player Data Store'!$R$8:$R$594,SMALL(IF('All Player Data Store'!$Y$7:$Y$594=AC255,ROW('All Player Data Store'!$Y$7:$Y$594)-ROW('All Player Data Store'!$Y$7)+1),COUNTIF($AC$8:AC255,AC255))),"")</f>
        <v/>
      </c>
      <c r="AV255" s="108" t="str">
        <f t="shared" si="11"/>
        <v/>
      </c>
      <c r="AW255" s="108" t="str">
        <f t="array" ref="AW255">IF(ISNUMBER(AC255),INDEX('All Player Data Store'!$S$8:$S$594,SMALL(IF('All Player Data Store'!$Y$7:$Y$594=AC255,ROW('All Player Data Store'!$Y$7:$Y$594)-ROW('All Player Data Store'!$Y$7)+1),COUNTIF($AC$8:AC255,AC255))),"")</f>
        <v/>
      </c>
      <c r="AX255" s="108" t="str">
        <f t="shared" si="12"/>
        <v/>
      </c>
      <c r="AY255" s="108" t="str">
        <f t="array" ref="AY255">IF(ISNUMBER(AC255),INDEX('All Player Data Store'!$T$8:$T$594,SMALL(IF('All Player Data Store'!$Y$7:$Y$594=AC255,ROW('All Player Data Store'!$Y$7:$Y$594)-ROW('All Player Data Store'!$Y$7)+1),COUNTIF($AC$8:AC255,AC255))),"")</f>
        <v/>
      </c>
      <c r="AZ255" s="108" t="str">
        <f t="shared" si="13"/>
        <v/>
      </c>
      <c r="BA255" s="108" t="str">
        <f t="array" ref="BA255">IF(ISNUMBER(AC255),INDEX('All Player Data Store'!$U$8:$U$594,SMALL(IF('All Player Data Store'!$Y$7:$Y$594=AC255,ROW('All Player Data Store'!$Y$7:$Y$594)-ROW('All Player Data Store'!$Y$7)+1),COUNTIF($AC$8:AC255,AC255))),"")</f>
        <v/>
      </c>
      <c r="BB255" s="108" t="str">
        <f t="shared" si="14"/>
        <v/>
      </c>
      <c r="BC255" s="108" t="str">
        <f t="array" ref="BC255">IF(ISNUMBER(AC255),INDEX('All Player Data Store'!$V$8:$V$594,SMALL(IF('All Player Data Store'!$Y$7:$Y$594=AC255,ROW('All Player Data Store'!$Y$7:$Y$594)-ROW('All Player Data Store'!$Y$7)+1),COUNTIF($AC$8:AC255,AC255))),"")</f>
        <v/>
      </c>
      <c r="BD255" s="108" t="str">
        <f t="shared" si="15"/>
        <v/>
      </c>
      <c r="BE255" s="1"/>
    </row>
    <row r="256" spans="2:57" ht="12" customHeight="1" x14ac:dyDescent="0.2">
      <c r="B256" s="118" t="str">
        <f t="shared" si="0"/>
        <v/>
      </c>
      <c r="C256" s="1"/>
      <c r="D256" s="68" t="str">
        <f t="shared" si="1"/>
        <v/>
      </c>
      <c r="E256" s="2"/>
      <c r="F256" s="78">
        <v>249</v>
      </c>
      <c r="G256" s="110" t="str">
        <f t="array" ref="G256">IF(ISNUMBER(AC256),INDEX('All Player Data Store'!$C$7:$C$594,SMALL(IF('All Player Data Store'!$Y$7:$Y$594=AC256,ROW('All Player Data Store'!$Y$7:$Y$594)-ROW('All Player Data Store'!$Y$7)+1),COUNTIF($AC$8:AC256,AC256))),"")</f>
        <v/>
      </c>
      <c r="H256" s="68" t="str">
        <f t="array" ref="H256">IF(ISNUMBER(AC256),INDEX('All Player Data Store'!$D$7:$D$594,SMALL(IF('All Player Data Store'!$Y$7:$Y$594=AC256,ROW('All Player Data Store'!$Y$7:$Y$594)-ROW('All Player Data Store'!$Y$7)+1),COUNTIF($AC$8:AC256,AC256))),"")</f>
        <v/>
      </c>
      <c r="I256" s="69" t="str">
        <f t="array" ref="I256">IF(ISNUMBER(AC256),INDEX('All Player Data Store'!$E$7:$E$594,SMALL(IF('All Player Data Store'!$Y$7:$Y$594=AC256,ROW('All Player Data Store'!$Y$7:$Y$594)-ROW('All Player Data Store'!$Y$7)+1),COUNTIF($AC$8:AC256,AC256))),"")</f>
        <v/>
      </c>
      <c r="J256" s="70" t="str">
        <f t="array" ref="J256">IF(ISNUMBER(AC256),INDEX('All Player Data Store'!$F$7:$F$594,SMALL(IF('All Player Data Store'!$Y$7:$Y$594=AC256,ROW('All Player Data Store'!$Y$7:$Y$594)-ROW('All Player Data Store'!$Y$7)+1),COUNTIF($AC$8:AC256,AC256))),"")</f>
        <v/>
      </c>
      <c r="K256" s="70" t="str">
        <f t="array" ref="K256">IF(ISNUMBER(AC256),INDEX('All Player Data Store'!$G$7:$G$594,SMALL(IF('All Player Data Store'!$Y$7:$Y$594=AC256,ROW('All Player Data Store'!$Y$7:$Y$594)-ROW('All Player Data Store'!$Y$7)+1),COUNTIF($AC$8:AC256,AC256))),"")</f>
        <v/>
      </c>
      <c r="L256" s="70" t="str">
        <f t="array" ref="L256">IF(ISNUMBER(AC256),INDEX('All Player Data Store'!$H$7:$H$594,SMALL(IF('All Player Data Store'!$Y$7:$Y$594=AC256,ROW('All Player Data Store'!$Y$7:$Y$594)-ROW('All Player Data Store'!$Y$7)+1),COUNTIF($AC$8:AC256,AC256))),"")</f>
        <v/>
      </c>
      <c r="M256" s="72" t="str">
        <f t="array" ref="M256">IF(ISNUMBER(AC256),INDEX('All Player Data Store'!$I$7:$I$594,SMALL(IF('All Player Data Store'!$Y$7:$Y$594=AC256,ROW('All Player Data Store'!$Y$7:$Y$594)-ROW('All Player Data Store'!$Y$7)+1),COUNTIF($AC$8:AC256,AC256))),"")</f>
        <v/>
      </c>
      <c r="N256" s="114" t="str">
        <f t="array" ref="N256">IF(ISNUMBER(AC256),INDEX('All Player Data Store'!$J$7:$J$594,SMALL(IF('All Player Data Store'!$Y$7:$Y$594=AC256,ROW('All Player Data Store'!$Y$7:$Y$594)-ROW('All Player Data Store'!$Y$7)+1),COUNTIF($AC$8:AC256,AC256))),"")</f>
        <v/>
      </c>
      <c r="O256" s="108" t="str">
        <f t="array" ref="O256">IF(ISNUMBER(AC256),INDEX('All Player Data Store'!$K$7:$K$594,SMALL(IF('All Player Data Store'!$Y$7:$Y$594=AC256,ROW('All Player Data Store'!$Y$7:$Y$594)-ROW('All Player Data Store'!$Y$7)+1),COUNTIF($AC$8:AC256,AC256))),"")</f>
        <v/>
      </c>
      <c r="P256" s="108" t="str">
        <f t="array" ref="P256">IF(ISNUMBER(AC256),INDEX('All Player Data Store'!$L$7:$L$594,SMALL(IF('All Player Data Store'!$Y$7:$Y$594=AC256,ROW('All Player Data Store'!$Y$7:$Y$594)-ROW('All Player Data Store'!$Y$7)+1),COUNTIF($AC$8:AC256,AC256))),"")</f>
        <v/>
      </c>
      <c r="Q256" s="108" t="str">
        <f t="array" ref="Q256">IF(ISNUMBER(AC256),INDEX('All Player Data Store'!$M$7:$M$594,SMALL(IF('All Player Data Store'!$Y$7:$Y$594=AC256,ROW('All Player Data Store'!$Y$7:$Y$594)-ROW('All Player Data Store'!$Y$7)+1),COUNTIF($AC$8:AC256,AC256))),"")</f>
        <v/>
      </c>
      <c r="R256" s="108" t="str">
        <f t="array" ref="R256">IF(ISNUMBER(AC256),INDEX('All Player Data Store'!$N$7:$N$594,SMALL(IF('All Player Data Store'!$Y$7:$Y$594=AC256,ROW('All Player Data Store'!$Y$7:$Y$594)-ROW('All Player Data Store'!$Y$7)+1),COUNTIF($AC$8:AC256,AC256))),"")</f>
        <v/>
      </c>
      <c r="S256" s="108" t="str">
        <f t="array" ref="S256">IF(ISNUMBER(AC256),INDEX('All Player Data Store'!$O$7:$O$594,SMALL(IF('All Player Data Store'!$Y$7:$Y$594=AC256,ROW('All Player Data Store'!$Y$7:$Y$594)-ROW('All Player Data Store'!$Y$7)+1),COUNTIF($AC$8:AC256,AC256))),"")</f>
        <v/>
      </c>
      <c r="T256" s="108" t="str">
        <f t="array" ref="T256">IF(ISNUMBER(AC256),INDEX('All Player Data Store'!$P$7:$P$594,SMALL(IF('All Player Data Store'!$Y$7:$Y$594=AC256,ROW('All Player Data Store'!$Y$7:$Y$594)-ROW('All Player Data Store'!$Y$7)+1),COUNTIF($AC$8:AC256,AC256))),"")</f>
        <v/>
      </c>
      <c r="U256" s="108" t="str">
        <f t="array" ref="U256">IF(ISNUMBER(AC256),INDEX('All Player Data Store'!$Q$7:$Q$594,SMALL(IF('All Player Data Store'!$Y$7:$Y$594=AC256,ROW('All Player Data Store'!$Y$7:$Y$594)-ROW('All Player Data Store'!$Y$7)+1),COUNTIF($AC$8:AC256,AC256))),"")</f>
        <v/>
      </c>
      <c r="V256" s="108" t="str">
        <f t="array" ref="V256">IF(ISNUMBER(AC256),INDEX('All Player Data Store'!$R$7:$R$594,SMALL(IF('All Player Data Store'!$Y$7:$Y$594=AC256,ROW('All Player Data Store'!$Y$7:$Y$594)-ROW('All Player Data Store'!$Y$7)+1),COUNTIF($AC$8:AC256,AC256))),"")</f>
        <v/>
      </c>
      <c r="W256" s="108" t="str">
        <f t="array" ref="W256">IF(ISNUMBER(AC256),INDEX('All Player Data Store'!$S$7:$S$594,SMALL(IF('All Player Data Store'!$Y$7:$Y$594=AC256,ROW('All Player Data Store'!$Y$7:$Y$594)-ROW('All Player Data Store'!$Y$7)+1),COUNTIF($AC$8:AC256,AC256))),"")</f>
        <v/>
      </c>
      <c r="X256" s="108" t="str">
        <f t="array" ref="X256">IF(ISNUMBER(AC256),INDEX('All Player Data Store'!$T$7:$T$594,SMALL(IF('All Player Data Store'!$Y$7:$Y$594=AC256,ROW('All Player Data Store'!$Y$7:$Y$594)-ROW('All Player Data Store'!$Y$7)+1),COUNTIF($AC$8:AC256,AC256))),"")</f>
        <v/>
      </c>
      <c r="Y256" s="108" t="str">
        <f t="array" ref="Y256">IF(ISNUMBER(AC256),INDEX('All Player Data Store'!$U$7:$U$594,SMALL(IF('All Player Data Store'!$Y$7:$Y$594=AC256,ROW('All Player Data Store'!$Y$7:$Y$594)-ROW('All Player Data Store'!$Y$7)+1),COUNTIF($AC$8:AC256,AC256))),"")</f>
        <v/>
      </c>
      <c r="Z256" s="108" t="str">
        <f t="array" ref="Z256">IF(ISNUMBER(AC256),INDEX('All Player Data Store'!$V$7:$V$594,SMALL(IF('All Player Data Store'!$Y$7:$Y$594=AC256,ROW('All Player Data Store'!$Y$7:$Y$594)-ROW('All Player Data Store'!$Y$7)+1),COUNTIF($AC$8:AC256,AC256))),"")</f>
        <v/>
      </c>
      <c r="AA256" s="112" t="str">
        <f t="array" ref="AA256">IF(ISNUMBER(AC256),INDEX('All Player Data Store'!$W$7:$W$594,SMALL(IF('All Player Data Store'!$Y$7:$Y$594=AC256,ROW('All Player Data Store'!$Y$7:$Y$594)-ROW('All Player Data Store'!$Y$7)+1),COUNTIF($AC$8:AC256,AC256))),"")</f>
        <v/>
      </c>
      <c r="AB256" s="108" t="str">
        <f t="array" ref="AB256">IF(ISNUMBER(AC256),INDEX('All Player Data Store'!$X$7:$X$594,SMALL(IF('All Player Data Store'!$Y$7:$Y$594=AC256,ROW('All Player Data Store'!$Y$7:$Y$594)-ROW('All Player Data Store'!$Y$7)+1),COUNTIF($AC$8:AC256,AC256))),"")</f>
        <v/>
      </c>
      <c r="AC256" s="115" t="str">
        <f>IF(ISERROR(IF(ISERROR(LARGE('All Player Data Store'!$Y$7:$Y$594,249)),"",(LARGE('All Player Data Store'!$Y$7:$Y$594,249)))),"",(IF(ISERROR(LARGE('All Player Data Store'!$Y$7:$Y$594,249)),"",(LARGE('All Player Data Store'!$Y$7:$Y$594,249)))))</f>
        <v/>
      </c>
      <c r="AD256" s="106">
        <f t="shared" si="16"/>
        <v>1</v>
      </c>
      <c r="AE256" s="107" t="str">
        <f t="array" ref="AE256">IF(ISNUMBER(AC256),INDEX('All Player Data Store'!$J$8:$J$594,SMALL(IF('All Player Data Store'!$Y$7:$Y$594=AC256,ROW('All Player Data Store'!$Y$7:$Y$594)-ROW('All Player Data Store'!$Y$7)+1),COUNTIF($AC$8:AC256,AC256))),"")</f>
        <v/>
      </c>
      <c r="AF256" s="108" t="str">
        <f t="shared" si="3"/>
        <v/>
      </c>
      <c r="AG256" s="108" t="str">
        <f t="array" ref="AG256">IF(ISNUMBER(AC256),INDEX('All Player Data Store'!$K$8:$K$594,SMALL(IF('All Player Data Store'!$Y$7:$Y$594=AC256,ROW('All Player Data Store'!$Y$7:$Y$594)-ROW('All Player Data Store'!$Y$7)+1),COUNTIF($AC$8:AC256,AC256))),"")</f>
        <v/>
      </c>
      <c r="AH256" s="108" t="str">
        <f t="shared" si="4"/>
        <v/>
      </c>
      <c r="AI256" s="108" t="str">
        <f t="array" ref="AI256">IF(ISNUMBER(AC256),INDEX('All Player Data Store'!$L$8:$L$594,SMALL(IF('All Player Data Store'!$Y$7:$Y$594=AC256,ROW('All Player Data Store'!$Y$7:$Y$594)-ROW('All Player Data Store'!$Y$7)+1),COUNTIF($AC$8:AC256,AC256))),"")</f>
        <v/>
      </c>
      <c r="AJ256" s="108" t="str">
        <f t="shared" si="5"/>
        <v/>
      </c>
      <c r="AK256" s="108" t="str">
        <f t="array" ref="AK256">IF(ISNUMBER(AC256),INDEX('All Player Data Store'!$M$8:$M$594,SMALL(IF('All Player Data Store'!$Y$7:$Y$594=AC256,ROW('All Player Data Store'!$Y$7:$Y$594)-ROW('All Player Data Store'!$Y$7)+1),COUNTIF($AC$8:AC256,AC256))),"")</f>
        <v/>
      </c>
      <c r="AL256" s="108" t="str">
        <f t="shared" si="6"/>
        <v/>
      </c>
      <c r="AM256" s="108" t="str">
        <f t="array" ref="AM256">IF(ISNUMBER(AC256),INDEX('All Player Data Store'!$N$8:$N$594,SMALL(IF('All Player Data Store'!$Y$7:$Y$594=AC256,ROW('All Player Data Store'!$Y$7:$Y$594)-ROW('All Player Data Store'!$Y$7)+1),COUNTIF($AC$8:AC256,AC256))),"")</f>
        <v/>
      </c>
      <c r="AN256" s="108" t="str">
        <f t="shared" si="7"/>
        <v/>
      </c>
      <c r="AO256" s="108" t="str">
        <f t="array" ref="AO256">IF(ISNUMBER(AC256),INDEX('All Player Data Store'!$O$8:$O$594,SMALL(IF('All Player Data Store'!$Y$7:$Y$594=AC256,ROW('All Player Data Store'!$Y$7:$Y$594)-ROW('All Player Data Store'!$Y$7)+1),COUNTIF($AC$8:AC256,AC256))),"")</f>
        <v/>
      </c>
      <c r="AP256" s="108" t="str">
        <f t="shared" si="8"/>
        <v/>
      </c>
      <c r="AQ256" s="108" t="str">
        <f t="array" ref="AQ256">IF(ISNUMBER(AC256),INDEX('All Player Data Store'!$P$8:$P$594,SMALL(IF('All Player Data Store'!$Y$7:$Y$594=AC256,ROW('All Player Data Store'!$Y$7:$Y$594)-ROW('All Player Data Store'!$Y$7)+1),COUNTIF($AC$8:AC256,AC256))),"")</f>
        <v/>
      </c>
      <c r="AR256" s="108" t="str">
        <f t="shared" si="9"/>
        <v/>
      </c>
      <c r="AS256" s="108" t="str">
        <f t="array" ref="AS256">IF(ISNUMBER(AC256),INDEX('All Player Data Store'!$Q$8:$Q$594,SMALL(IF('All Player Data Store'!$Y$7:$Y$594=AC256,ROW('All Player Data Store'!$Y$7:$Y$594)-ROW('All Player Data Store'!$Y$7)+1),COUNTIF($AC$8:AC256,AC256))),"")</f>
        <v/>
      </c>
      <c r="AT256" s="108" t="str">
        <f t="shared" si="10"/>
        <v/>
      </c>
      <c r="AU256" s="108" t="str">
        <f t="array" ref="AU256">IF(ISNUMBER(AC256),INDEX('All Player Data Store'!$R$8:$R$594,SMALL(IF('All Player Data Store'!$Y$7:$Y$594=AC256,ROW('All Player Data Store'!$Y$7:$Y$594)-ROW('All Player Data Store'!$Y$7)+1),COUNTIF($AC$8:AC256,AC256))),"")</f>
        <v/>
      </c>
      <c r="AV256" s="108" t="str">
        <f t="shared" si="11"/>
        <v/>
      </c>
      <c r="AW256" s="108" t="str">
        <f t="array" ref="AW256">IF(ISNUMBER(AC256),INDEX('All Player Data Store'!$S$8:$S$594,SMALL(IF('All Player Data Store'!$Y$7:$Y$594=AC256,ROW('All Player Data Store'!$Y$7:$Y$594)-ROW('All Player Data Store'!$Y$7)+1),COUNTIF($AC$8:AC256,AC256))),"")</f>
        <v/>
      </c>
      <c r="AX256" s="108" t="str">
        <f t="shared" si="12"/>
        <v/>
      </c>
      <c r="AY256" s="108" t="str">
        <f t="array" ref="AY256">IF(ISNUMBER(AC256),INDEX('All Player Data Store'!$T$8:$T$594,SMALL(IF('All Player Data Store'!$Y$7:$Y$594=AC256,ROW('All Player Data Store'!$Y$7:$Y$594)-ROW('All Player Data Store'!$Y$7)+1),COUNTIF($AC$8:AC256,AC256))),"")</f>
        <v/>
      </c>
      <c r="AZ256" s="108" t="str">
        <f t="shared" si="13"/>
        <v/>
      </c>
      <c r="BA256" s="108" t="str">
        <f t="array" ref="BA256">IF(ISNUMBER(AC256),INDEX('All Player Data Store'!$U$8:$U$594,SMALL(IF('All Player Data Store'!$Y$7:$Y$594=AC256,ROW('All Player Data Store'!$Y$7:$Y$594)-ROW('All Player Data Store'!$Y$7)+1),COUNTIF($AC$8:AC256,AC256))),"")</f>
        <v/>
      </c>
      <c r="BB256" s="108" t="str">
        <f t="shared" si="14"/>
        <v/>
      </c>
      <c r="BC256" s="108" t="str">
        <f t="array" ref="BC256">IF(ISNUMBER(AC256),INDEX('All Player Data Store'!$V$8:$V$594,SMALL(IF('All Player Data Store'!$Y$7:$Y$594=AC256,ROW('All Player Data Store'!$Y$7:$Y$594)-ROW('All Player Data Store'!$Y$7)+1),COUNTIF($AC$8:AC256,AC256))),"")</f>
        <v/>
      </c>
      <c r="BD256" s="108" t="str">
        <f t="shared" si="15"/>
        <v/>
      </c>
      <c r="BE256" s="1"/>
    </row>
    <row r="257" spans="2:57" ht="12" customHeight="1" x14ac:dyDescent="0.2">
      <c r="B257" s="118" t="str">
        <f t="shared" si="0"/>
        <v/>
      </c>
      <c r="C257" s="1"/>
      <c r="D257" s="68" t="str">
        <f t="shared" si="1"/>
        <v/>
      </c>
      <c r="E257" s="2"/>
      <c r="F257" s="78">
        <v>250</v>
      </c>
      <c r="G257" s="110" t="str">
        <f t="array" ref="G257">IF(ISNUMBER(AC257),INDEX('All Player Data Store'!$C$7:$C$594,SMALL(IF('All Player Data Store'!$Y$7:$Y$594=AC257,ROW('All Player Data Store'!$Y$7:$Y$594)-ROW('All Player Data Store'!$Y$7)+1),COUNTIF($AC$8:AC257,AC257))),"")</f>
        <v/>
      </c>
      <c r="H257" s="68" t="str">
        <f t="array" ref="H257">IF(ISNUMBER(AC257),INDEX('All Player Data Store'!$D$7:$D$594,SMALL(IF('All Player Data Store'!$Y$7:$Y$594=AC257,ROW('All Player Data Store'!$Y$7:$Y$594)-ROW('All Player Data Store'!$Y$7)+1),COUNTIF($AC$8:AC257,AC257))),"")</f>
        <v/>
      </c>
      <c r="I257" s="69" t="str">
        <f t="array" ref="I257">IF(ISNUMBER(AC257),INDEX('All Player Data Store'!$E$7:$E$594,SMALL(IF('All Player Data Store'!$Y$7:$Y$594=AC257,ROW('All Player Data Store'!$Y$7:$Y$594)-ROW('All Player Data Store'!$Y$7)+1),COUNTIF($AC$8:AC257,AC257))),"")</f>
        <v/>
      </c>
      <c r="J257" s="70" t="str">
        <f t="array" ref="J257">IF(ISNUMBER(AC257),INDEX('All Player Data Store'!$F$7:$F$594,SMALL(IF('All Player Data Store'!$Y$7:$Y$594=AC257,ROW('All Player Data Store'!$Y$7:$Y$594)-ROW('All Player Data Store'!$Y$7)+1),COUNTIF($AC$8:AC257,AC257))),"")</f>
        <v/>
      </c>
      <c r="K257" s="70" t="str">
        <f t="array" ref="K257">IF(ISNUMBER(AC257),INDEX('All Player Data Store'!$G$7:$G$594,SMALL(IF('All Player Data Store'!$Y$7:$Y$594=AC257,ROW('All Player Data Store'!$Y$7:$Y$594)-ROW('All Player Data Store'!$Y$7)+1),COUNTIF($AC$8:AC257,AC257))),"")</f>
        <v/>
      </c>
      <c r="L257" s="70" t="str">
        <f t="array" ref="L257">IF(ISNUMBER(AC257),INDEX('All Player Data Store'!$H$7:$H$594,SMALL(IF('All Player Data Store'!$Y$7:$Y$594=AC257,ROW('All Player Data Store'!$Y$7:$Y$594)-ROW('All Player Data Store'!$Y$7)+1),COUNTIF($AC$8:AC257,AC257))),"")</f>
        <v/>
      </c>
      <c r="M257" s="72" t="str">
        <f t="array" ref="M257">IF(ISNUMBER(AC257),INDEX('All Player Data Store'!$I$7:$I$594,SMALL(IF('All Player Data Store'!$Y$7:$Y$594=AC257,ROW('All Player Data Store'!$Y$7:$Y$594)-ROW('All Player Data Store'!$Y$7)+1),COUNTIF($AC$8:AC257,AC257))),"")</f>
        <v/>
      </c>
      <c r="N257" s="114" t="str">
        <f t="array" ref="N257">IF(ISNUMBER(AC257),INDEX('All Player Data Store'!$J$7:$J$594,SMALL(IF('All Player Data Store'!$Y$7:$Y$594=AC257,ROW('All Player Data Store'!$Y$7:$Y$594)-ROW('All Player Data Store'!$Y$7)+1),COUNTIF($AC$8:AC257,AC257))),"")</f>
        <v/>
      </c>
      <c r="O257" s="108" t="str">
        <f t="array" ref="O257">IF(ISNUMBER(AC257),INDEX('All Player Data Store'!$K$7:$K$594,SMALL(IF('All Player Data Store'!$Y$7:$Y$594=AC257,ROW('All Player Data Store'!$Y$7:$Y$594)-ROW('All Player Data Store'!$Y$7)+1),COUNTIF($AC$8:AC257,AC257))),"")</f>
        <v/>
      </c>
      <c r="P257" s="108" t="str">
        <f t="array" ref="P257">IF(ISNUMBER(AC257),INDEX('All Player Data Store'!$L$7:$L$594,SMALL(IF('All Player Data Store'!$Y$7:$Y$594=AC257,ROW('All Player Data Store'!$Y$7:$Y$594)-ROW('All Player Data Store'!$Y$7)+1),COUNTIF($AC$8:AC257,AC257))),"")</f>
        <v/>
      </c>
      <c r="Q257" s="108" t="str">
        <f t="array" ref="Q257">IF(ISNUMBER(AC257),INDEX('All Player Data Store'!$M$7:$M$594,SMALL(IF('All Player Data Store'!$Y$7:$Y$594=AC257,ROW('All Player Data Store'!$Y$7:$Y$594)-ROW('All Player Data Store'!$Y$7)+1),COUNTIF($AC$8:AC257,AC257))),"")</f>
        <v/>
      </c>
      <c r="R257" s="108" t="str">
        <f t="array" ref="R257">IF(ISNUMBER(AC257),INDEX('All Player Data Store'!$N$7:$N$594,SMALL(IF('All Player Data Store'!$Y$7:$Y$594=AC257,ROW('All Player Data Store'!$Y$7:$Y$594)-ROW('All Player Data Store'!$Y$7)+1),COUNTIF($AC$8:AC257,AC257))),"")</f>
        <v/>
      </c>
      <c r="S257" s="108" t="str">
        <f t="array" ref="S257">IF(ISNUMBER(AC257),INDEX('All Player Data Store'!$O$7:$O$594,SMALL(IF('All Player Data Store'!$Y$7:$Y$594=AC257,ROW('All Player Data Store'!$Y$7:$Y$594)-ROW('All Player Data Store'!$Y$7)+1),COUNTIF($AC$8:AC257,AC257))),"")</f>
        <v/>
      </c>
      <c r="T257" s="108" t="str">
        <f t="array" ref="T257">IF(ISNUMBER(AC257),INDEX('All Player Data Store'!$P$7:$P$594,SMALL(IF('All Player Data Store'!$Y$7:$Y$594=AC257,ROW('All Player Data Store'!$Y$7:$Y$594)-ROW('All Player Data Store'!$Y$7)+1),COUNTIF($AC$8:AC257,AC257))),"")</f>
        <v/>
      </c>
      <c r="U257" s="108" t="str">
        <f t="array" ref="U257">IF(ISNUMBER(AC257),INDEX('All Player Data Store'!$Q$7:$Q$594,SMALL(IF('All Player Data Store'!$Y$7:$Y$594=AC257,ROW('All Player Data Store'!$Y$7:$Y$594)-ROW('All Player Data Store'!$Y$7)+1),COUNTIF($AC$8:AC257,AC257))),"")</f>
        <v/>
      </c>
      <c r="V257" s="108" t="str">
        <f t="array" ref="V257">IF(ISNUMBER(AC257),INDEX('All Player Data Store'!$R$7:$R$594,SMALL(IF('All Player Data Store'!$Y$7:$Y$594=AC257,ROW('All Player Data Store'!$Y$7:$Y$594)-ROW('All Player Data Store'!$Y$7)+1),COUNTIF($AC$8:AC257,AC257))),"")</f>
        <v/>
      </c>
      <c r="W257" s="108" t="str">
        <f t="array" ref="W257">IF(ISNUMBER(AC257),INDEX('All Player Data Store'!$S$7:$S$594,SMALL(IF('All Player Data Store'!$Y$7:$Y$594=AC257,ROW('All Player Data Store'!$Y$7:$Y$594)-ROW('All Player Data Store'!$Y$7)+1),COUNTIF($AC$8:AC257,AC257))),"")</f>
        <v/>
      </c>
      <c r="X257" s="108" t="str">
        <f t="array" ref="X257">IF(ISNUMBER(AC257),INDEX('All Player Data Store'!$T$7:$T$594,SMALL(IF('All Player Data Store'!$Y$7:$Y$594=AC257,ROW('All Player Data Store'!$Y$7:$Y$594)-ROW('All Player Data Store'!$Y$7)+1),COUNTIF($AC$8:AC257,AC257))),"")</f>
        <v/>
      </c>
      <c r="Y257" s="108" t="str">
        <f t="array" ref="Y257">IF(ISNUMBER(AC257),INDEX('All Player Data Store'!$U$7:$U$594,SMALL(IF('All Player Data Store'!$Y$7:$Y$594=AC257,ROW('All Player Data Store'!$Y$7:$Y$594)-ROW('All Player Data Store'!$Y$7)+1),COUNTIF($AC$8:AC257,AC257))),"")</f>
        <v/>
      </c>
      <c r="Z257" s="108" t="str">
        <f t="array" ref="Z257">IF(ISNUMBER(AC257),INDEX('All Player Data Store'!$V$7:$V$594,SMALL(IF('All Player Data Store'!$Y$7:$Y$594=AC257,ROW('All Player Data Store'!$Y$7:$Y$594)-ROW('All Player Data Store'!$Y$7)+1),COUNTIF($AC$8:AC257,AC257))),"")</f>
        <v/>
      </c>
      <c r="AA257" s="112" t="str">
        <f t="array" ref="AA257">IF(ISNUMBER(AC257),INDEX('All Player Data Store'!$W$7:$W$594,SMALL(IF('All Player Data Store'!$Y$7:$Y$594=AC257,ROW('All Player Data Store'!$Y$7:$Y$594)-ROW('All Player Data Store'!$Y$7)+1),COUNTIF($AC$8:AC257,AC257))),"")</f>
        <v/>
      </c>
      <c r="AB257" s="108" t="str">
        <f t="array" ref="AB257">IF(ISNUMBER(AC257),INDEX('All Player Data Store'!$X$7:$X$594,SMALL(IF('All Player Data Store'!$Y$7:$Y$594=AC257,ROW('All Player Data Store'!$Y$7:$Y$594)-ROW('All Player Data Store'!$Y$7)+1),COUNTIF($AC$8:AC257,AC257))),"")</f>
        <v/>
      </c>
      <c r="AC257" s="115" t="str">
        <f>IF(ISERROR(IF(ISERROR(LARGE('All Player Data Store'!$Y$7:$Y$594,250)),"",(LARGE('All Player Data Store'!$Y$7:$Y$594,250)))),"",(IF(ISERROR(LARGE('All Player Data Store'!$Y$7:$Y$594,250)),"",(LARGE('All Player Data Store'!$Y$7:$Y$594,250)))))</f>
        <v/>
      </c>
      <c r="AD257" s="106">
        <f t="shared" si="16"/>
        <v>1</v>
      </c>
      <c r="AE257" s="107" t="str">
        <f t="array" ref="AE257">IF(ISNUMBER(AC257),INDEX('All Player Data Store'!$J$8:$J$594,SMALL(IF('All Player Data Store'!$Y$7:$Y$594=AC257,ROW('All Player Data Store'!$Y$7:$Y$594)-ROW('All Player Data Store'!$Y$7)+1),COUNTIF($AC$8:AC257,AC257))),"")</f>
        <v/>
      </c>
      <c r="AF257" s="108" t="str">
        <f t="shared" si="3"/>
        <v/>
      </c>
      <c r="AG257" s="108" t="str">
        <f t="array" ref="AG257">IF(ISNUMBER(AC257),INDEX('All Player Data Store'!$K$8:$K$594,SMALL(IF('All Player Data Store'!$Y$7:$Y$594=AC257,ROW('All Player Data Store'!$Y$7:$Y$594)-ROW('All Player Data Store'!$Y$7)+1),COUNTIF($AC$8:AC257,AC257))),"")</f>
        <v/>
      </c>
      <c r="AH257" s="108" t="str">
        <f t="shared" si="4"/>
        <v/>
      </c>
      <c r="AI257" s="108" t="str">
        <f t="array" ref="AI257">IF(ISNUMBER(AC257),INDEX('All Player Data Store'!$L$8:$L$594,SMALL(IF('All Player Data Store'!$Y$7:$Y$594=AC257,ROW('All Player Data Store'!$Y$7:$Y$594)-ROW('All Player Data Store'!$Y$7)+1),COUNTIF($AC$8:AC257,AC257))),"")</f>
        <v/>
      </c>
      <c r="AJ257" s="108" t="str">
        <f t="shared" si="5"/>
        <v/>
      </c>
      <c r="AK257" s="108" t="str">
        <f t="array" ref="AK257">IF(ISNUMBER(AC257),INDEX('All Player Data Store'!$M$8:$M$594,SMALL(IF('All Player Data Store'!$Y$7:$Y$594=AC257,ROW('All Player Data Store'!$Y$7:$Y$594)-ROW('All Player Data Store'!$Y$7)+1),COUNTIF($AC$8:AC257,AC257))),"")</f>
        <v/>
      </c>
      <c r="AL257" s="108" t="str">
        <f t="shared" si="6"/>
        <v/>
      </c>
      <c r="AM257" s="108" t="str">
        <f t="array" ref="AM257">IF(ISNUMBER(AC257),INDEX('All Player Data Store'!$N$8:$N$594,SMALL(IF('All Player Data Store'!$Y$7:$Y$594=AC257,ROW('All Player Data Store'!$Y$7:$Y$594)-ROW('All Player Data Store'!$Y$7)+1),COUNTIF($AC$8:AC257,AC257))),"")</f>
        <v/>
      </c>
      <c r="AN257" s="108" t="str">
        <f t="shared" si="7"/>
        <v/>
      </c>
      <c r="AO257" s="108" t="str">
        <f t="array" ref="AO257">IF(ISNUMBER(AC257),INDEX('All Player Data Store'!$O$8:$O$594,SMALL(IF('All Player Data Store'!$Y$7:$Y$594=AC257,ROW('All Player Data Store'!$Y$7:$Y$594)-ROW('All Player Data Store'!$Y$7)+1),COUNTIF($AC$8:AC257,AC257))),"")</f>
        <v/>
      </c>
      <c r="AP257" s="108" t="str">
        <f t="shared" si="8"/>
        <v/>
      </c>
      <c r="AQ257" s="108" t="str">
        <f t="array" ref="AQ257">IF(ISNUMBER(AC257),INDEX('All Player Data Store'!$P$8:$P$594,SMALL(IF('All Player Data Store'!$Y$7:$Y$594=AC257,ROW('All Player Data Store'!$Y$7:$Y$594)-ROW('All Player Data Store'!$Y$7)+1),COUNTIF($AC$8:AC257,AC257))),"")</f>
        <v/>
      </c>
      <c r="AR257" s="108" t="str">
        <f t="shared" si="9"/>
        <v/>
      </c>
      <c r="AS257" s="108" t="str">
        <f t="array" ref="AS257">IF(ISNUMBER(AC257),INDEX('All Player Data Store'!$Q$8:$Q$594,SMALL(IF('All Player Data Store'!$Y$7:$Y$594=AC257,ROW('All Player Data Store'!$Y$7:$Y$594)-ROW('All Player Data Store'!$Y$7)+1),COUNTIF($AC$8:AC257,AC257))),"")</f>
        <v/>
      </c>
      <c r="AT257" s="108" t="str">
        <f t="shared" si="10"/>
        <v/>
      </c>
      <c r="AU257" s="108" t="str">
        <f t="array" ref="AU257">IF(ISNUMBER(AC257),INDEX('All Player Data Store'!$R$8:$R$594,SMALL(IF('All Player Data Store'!$Y$7:$Y$594=AC257,ROW('All Player Data Store'!$Y$7:$Y$594)-ROW('All Player Data Store'!$Y$7)+1),COUNTIF($AC$8:AC257,AC257))),"")</f>
        <v/>
      </c>
      <c r="AV257" s="108" t="str">
        <f t="shared" si="11"/>
        <v/>
      </c>
      <c r="AW257" s="108" t="str">
        <f t="array" ref="AW257">IF(ISNUMBER(AC257),INDEX('All Player Data Store'!$S$8:$S$594,SMALL(IF('All Player Data Store'!$Y$7:$Y$594=AC257,ROW('All Player Data Store'!$Y$7:$Y$594)-ROW('All Player Data Store'!$Y$7)+1),COUNTIF($AC$8:AC257,AC257))),"")</f>
        <v/>
      </c>
      <c r="AX257" s="108" t="str">
        <f t="shared" si="12"/>
        <v/>
      </c>
      <c r="AY257" s="108" t="str">
        <f t="array" ref="AY257">IF(ISNUMBER(AC257),INDEX('All Player Data Store'!$T$8:$T$594,SMALL(IF('All Player Data Store'!$Y$7:$Y$594=AC257,ROW('All Player Data Store'!$Y$7:$Y$594)-ROW('All Player Data Store'!$Y$7)+1),COUNTIF($AC$8:AC257,AC257))),"")</f>
        <v/>
      </c>
      <c r="AZ257" s="108" t="str">
        <f t="shared" si="13"/>
        <v/>
      </c>
      <c r="BA257" s="108" t="str">
        <f t="array" ref="BA257">IF(ISNUMBER(AC257),INDEX('All Player Data Store'!$U$8:$U$594,SMALL(IF('All Player Data Store'!$Y$7:$Y$594=AC257,ROW('All Player Data Store'!$Y$7:$Y$594)-ROW('All Player Data Store'!$Y$7)+1),COUNTIF($AC$8:AC257,AC257))),"")</f>
        <v/>
      </c>
      <c r="BB257" s="108" t="str">
        <f t="shared" si="14"/>
        <v/>
      </c>
      <c r="BC257" s="108" t="str">
        <f t="array" ref="BC257">IF(ISNUMBER(AC257),INDEX('All Player Data Store'!$V$8:$V$594,SMALL(IF('All Player Data Store'!$Y$7:$Y$594=AC257,ROW('All Player Data Store'!$Y$7:$Y$594)-ROW('All Player Data Store'!$Y$7)+1),COUNTIF($AC$8:AC257,AC257))),"")</f>
        <v/>
      </c>
      <c r="BD257" s="108" t="str">
        <f t="shared" si="15"/>
        <v/>
      </c>
      <c r="BE257" s="1"/>
    </row>
    <row r="258" spans="2:57" ht="12" customHeight="1" x14ac:dyDescent="0.2">
      <c r="B258" s="118" t="str">
        <f t="shared" si="0"/>
        <v/>
      </c>
      <c r="C258" s="1"/>
      <c r="D258" s="68" t="str">
        <f t="shared" si="1"/>
        <v/>
      </c>
      <c r="E258" s="2"/>
      <c r="F258" s="78">
        <v>251</v>
      </c>
      <c r="G258" s="110" t="str">
        <f t="array" ref="G258">IF(ISNUMBER(AC258),INDEX('All Player Data Store'!$C$7:$C$594,SMALL(IF('All Player Data Store'!$Y$7:$Y$594=AC258,ROW('All Player Data Store'!$Y$7:$Y$594)-ROW('All Player Data Store'!$Y$7)+1),COUNTIF($AC$8:AC258,AC258))),"")</f>
        <v/>
      </c>
      <c r="H258" s="68" t="str">
        <f t="array" ref="H258">IF(ISNUMBER(AC258),INDEX('All Player Data Store'!$D$7:$D$594,SMALL(IF('All Player Data Store'!$Y$7:$Y$594=AC258,ROW('All Player Data Store'!$Y$7:$Y$594)-ROW('All Player Data Store'!$Y$7)+1),COUNTIF($AC$8:AC258,AC258))),"")</f>
        <v/>
      </c>
      <c r="I258" s="69" t="str">
        <f t="array" ref="I258">IF(ISNUMBER(AC258),INDEX('All Player Data Store'!$E$7:$E$594,SMALL(IF('All Player Data Store'!$Y$7:$Y$594=AC258,ROW('All Player Data Store'!$Y$7:$Y$594)-ROW('All Player Data Store'!$Y$7)+1),COUNTIF($AC$8:AC258,AC258))),"")</f>
        <v/>
      </c>
      <c r="J258" s="70" t="str">
        <f t="array" ref="J258">IF(ISNUMBER(AC258),INDEX('All Player Data Store'!$F$7:$F$594,SMALL(IF('All Player Data Store'!$Y$7:$Y$594=AC258,ROW('All Player Data Store'!$Y$7:$Y$594)-ROW('All Player Data Store'!$Y$7)+1),COUNTIF($AC$8:AC258,AC258))),"")</f>
        <v/>
      </c>
      <c r="K258" s="70" t="str">
        <f t="array" ref="K258">IF(ISNUMBER(AC258),INDEX('All Player Data Store'!$G$7:$G$594,SMALL(IF('All Player Data Store'!$Y$7:$Y$594=AC258,ROW('All Player Data Store'!$Y$7:$Y$594)-ROW('All Player Data Store'!$Y$7)+1),COUNTIF($AC$8:AC258,AC258))),"")</f>
        <v/>
      </c>
      <c r="L258" s="70" t="str">
        <f t="array" ref="L258">IF(ISNUMBER(AC258),INDEX('All Player Data Store'!$H$7:$H$594,SMALL(IF('All Player Data Store'!$Y$7:$Y$594=AC258,ROW('All Player Data Store'!$Y$7:$Y$594)-ROW('All Player Data Store'!$Y$7)+1),COUNTIF($AC$8:AC258,AC258))),"")</f>
        <v/>
      </c>
      <c r="M258" s="72" t="str">
        <f t="array" ref="M258">IF(ISNUMBER(AC258),INDEX('All Player Data Store'!$I$7:$I$594,SMALL(IF('All Player Data Store'!$Y$7:$Y$594=AC258,ROW('All Player Data Store'!$Y$7:$Y$594)-ROW('All Player Data Store'!$Y$7)+1),COUNTIF($AC$8:AC258,AC258))),"")</f>
        <v/>
      </c>
      <c r="N258" s="114" t="str">
        <f t="array" ref="N258">IF(ISNUMBER(AC258),INDEX('All Player Data Store'!$J$7:$J$594,SMALL(IF('All Player Data Store'!$Y$7:$Y$594=AC258,ROW('All Player Data Store'!$Y$7:$Y$594)-ROW('All Player Data Store'!$Y$7)+1),COUNTIF($AC$8:AC258,AC258))),"")</f>
        <v/>
      </c>
      <c r="O258" s="108" t="str">
        <f t="array" ref="O258">IF(ISNUMBER(AC258),INDEX('All Player Data Store'!$K$7:$K$594,SMALL(IF('All Player Data Store'!$Y$7:$Y$594=AC258,ROW('All Player Data Store'!$Y$7:$Y$594)-ROW('All Player Data Store'!$Y$7)+1),COUNTIF($AC$8:AC258,AC258))),"")</f>
        <v/>
      </c>
      <c r="P258" s="108" t="str">
        <f t="array" ref="P258">IF(ISNUMBER(AC258),INDEX('All Player Data Store'!$L$7:$L$594,SMALL(IF('All Player Data Store'!$Y$7:$Y$594=AC258,ROW('All Player Data Store'!$Y$7:$Y$594)-ROW('All Player Data Store'!$Y$7)+1),COUNTIF($AC$8:AC258,AC258))),"")</f>
        <v/>
      </c>
      <c r="Q258" s="108" t="str">
        <f t="array" ref="Q258">IF(ISNUMBER(AC258),INDEX('All Player Data Store'!$M$7:$M$594,SMALL(IF('All Player Data Store'!$Y$7:$Y$594=AC258,ROW('All Player Data Store'!$Y$7:$Y$594)-ROW('All Player Data Store'!$Y$7)+1),COUNTIF($AC$8:AC258,AC258))),"")</f>
        <v/>
      </c>
      <c r="R258" s="108" t="str">
        <f t="array" ref="R258">IF(ISNUMBER(AC258),INDEX('All Player Data Store'!$N$7:$N$594,SMALL(IF('All Player Data Store'!$Y$7:$Y$594=AC258,ROW('All Player Data Store'!$Y$7:$Y$594)-ROW('All Player Data Store'!$Y$7)+1),COUNTIF($AC$8:AC258,AC258))),"")</f>
        <v/>
      </c>
      <c r="S258" s="108" t="str">
        <f t="array" ref="S258">IF(ISNUMBER(AC258),INDEX('All Player Data Store'!$O$7:$O$594,SMALL(IF('All Player Data Store'!$Y$7:$Y$594=AC258,ROW('All Player Data Store'!$Y$7:$Y$594)-ROW('All Player Data Store'!$Y$7)+1),COUNTIF($AC$8:AC258,AC258))),"")</f>
        <v/>
      </c>
      <c r="T258" s="108" t="str">
        <f t="array" ref="T258">IF(ISNUMBER(AC258),INDEX('All Player Data Store'!$P$7:$P$594,SMALL(IF('All Player Data Store'!$Y$7:$Y$594=AC258,ROW('All Player Data Store'!$Y$7:$Y$594)-ROW('All Player Data Store'!$Y$7)+1),COUNTIF($AC$8:AC258,AC258))),"")</f>
        <v/>
      </c>
      <c r="U258" s="108" t="str">
        <f t="array" ref="U258">IF(ISNUMBER(AC258),INDEX('All Player Data Store'!$Q$7:$Q$594,SMALL(IF('All Player Data Store'!$Y$7:$Y$594=AC258,ROW('All Player Data Store'!$Y$7:$Y$594)-ROW('All Player Data Store'!$Y$7)+1),COUNTIF($AC$8:AC258,AC258))),"")</f>
        <v/>
      </c>
      <c r="V258" s="108" t="str">
        <f t="array" ref="V258">IF(ISNUMBER(AC258),INDEX('All Player Data Store'!$R$7:$R$594,SMALL(IF('All Player Data Store'!$Y$7:$Y$594=AC258,ROW('All Player Data Store'!$Y$7:$Y$594)-ROW('All Player Data Store'!$Y$7)+1),COUNTIF($AC$8:AC258,AC258))),"")</f>
        <v/>
      </c>
      <c r="W258" s="108" t="str">
        <f t="array" ref="W258">IF(ISNUMBER(AC258),INDEX('All Player Data Store'!$S$7:$S$594,SMALL(IF('All Player Data Store'!$Y$7:$Y$594=AC258,ROW('All Player Data Store'!$Y$7:$Y$594)-ROW('All Player Data Store'!$Y$7)+1),COUNTIF($AC$8:AC258,AC258))),"")</f>
        <v/>
      </c>
      <c r="X258" s="108" t="str">
        <f t="array" ref="X258">IF(ISNUMBER(AC258),INDEX('All Player Data Store'!$T$7:$T$594,SMALL(IF('All Player Data Store'!$Y$7:$Y$594=AC258,ROW('All Player Data Store'!$Y$7:$Y$594)-ROW('All Player Data Store'!$Y$7)+1),COUNTIF($AC$8:AC258,AC258))),"")</f>
        <v/>
      </c>
      <c r="Y258" s="108" t="str">
        <f t="array" ref="Y258">IF(ISNUMBER(AC258),INDEX('All Player Data Store'!$U$7:$U$594,SMALL(IF('All Player Data Store'!$Y$7:$Y$594=AC258,ROW('All Player Data Store'!$Y$7:$Y$594)-ROW('All Player Data Store'!$Y$7)+1),COUNTIF($AC$8:AC258,AC258))),"")</f>
        <v/>
      </c>
      <c r="Z258" s="108" t="str">
        <f t="array" ref="Z258">IF(ISNUMBER(AC258),INDEX('All Player Data Store'!$V$7:$V$594,SMALL(IF('All Player Data Store'!$Y$7:$Y$594=AC258,ROW('All Player Data Store'!$Y$7:$Y$594)-ROW('All Player Data Store'!$Y$7)+1),COUNTIF($AC$8:AC258,AC258))),"")</f>
        <v/>
      </c>
      <c r="AA258" s="112" t="str">
        <f t="array" ref="AA258">IF(ISNUMBER(AC258),INDEX('All Player Data Store'!$W$7:$W$594,SMALL(IF('All Player Data Store'!$Y$7:$Y$594=AC258,ROW('All Player Data Store'!$Y$7:$Y$594)-ROW('All Player Data Store'!$Y$7)+1),COUNTIF($AC$8:AC258,AC258))),"")</f>
        <v/>
      </c>
      <c r="AB258" s="108" t="str">
        <f t="array" ref="AB258">IF(ISNUMBER(AC258),INDEX('All Player Data Store'!$X$7:$X$594,SMALL(IF('All Player Data Store'!$Y$7:$Y$594=AC258,ROW('All Player Data Store'!$Y$7:$Y$594)-ROW('All Player Data Store'!$Y$7)+1),COUNTIF($AC$8:AC258,AC258))),"")</f>
        <v/>
      </c>
      <c r="AC258" s="115" t="str">
        <f>IF(ISERROR(IF(ISERROR(LARGE('All Player Data Store'!$Y$7:$Y$594,251)),"",(LARGE('All Player Data Store'!$Y$7:$Y$594,251)))),"",(IF(ISERROR(LARGE('All Player Data Store'!$Y$7:$Y$594,251)),"",(LARGE('All Player Data Store'!$Y$7:$Y$594,251)))))</f>
        <v/>
      </c>
      <c r="AD258" s="106">
        <f t="shared" si="16"/>
        <v>1</v>
      </c>
      <c r="AE258" s="107" t="str">
        <f t="array" ref="AE258">IF(ISNUMBER(AC258),INDEX('All Player Data Store'!$J$8:$J$594,SMALL(IF('All Player Data Store'!$Y$7:$Y$594=AC258,ROW('All Player Data Store'!$Y$7:$Y$594)-ROW('All Player Data Store'!$Y$7)+1),COUNTIF($AC$8:AC258,AC258))),"")</f>
        <v/>
      </c>
      <c r="AF258" s="108" t="str">
        <f t="shared" si="3"/>
        <v/>
      </c>
      <c r="AG258" s="108" t="str">
        <f t="array" ref="AG258">IF(ISNUMBER(AC258),INDEX('All Player Data Store'!$K$8:$K$594,SMALL(IF('All Player Data Store'!$Y$7:$Y$594=AC258,ROW('All Player Data Store'!$Y$7:$Y$594)-ROW('All Player Data Store'!$Y$7)+1),COUNTIF($AC$8:AC258,AC258))),"")</f>
        <v/>
      </c>
      <c r="AH258" s="108" t="str">
        <f t="shared" si="4"/>
        <v/>
      </c>
      <c r="AI258" s="108" t="str">
        <f t="array" ref="AI258">IF(ISNUMBER(AC258),INDEX('All Player Data Store'!$L$8:$L$594,SMALL(IF('All Player Data Store'!$Y$7:$Y$594=AC258,ROW('All Player Data Store'!$Y$7:$Y$594)-ROW('All Player Data Store'!$Y$7)+1),COUNTIF($AC$8:AC258,AC258))),"")</f>
        <v/>
      </c>
      <c r="AJ258" s="108" t="str">
        <f t="shared" si="5"/>
        <v/>
      </c>
      <c r="AK258" s="108" t="str">
        <f t="array" ref="AK258">IF(ISNUMBER(AC258),INDEX('All Player Data Store'!$M$8:$M$594,SMALL(IF('All Player Data Store'!$Y$7:$Y$594=AC258,ROW('All Player Data Store'!$Y$7:$Y$594)-ROW('All Player Data Store'!$Y$7)+1),COUNTIF($AC$8:AC258,AC258))),"")</f>
        <v/>
      </c>
      <c r="AL258" s="108" t="str">
        <f t="shared" si="6"/>
        <v/>
      </c>
      <c r="AM258" s="108" t="str">
        <f t="array" ref="AM258">IF(ISNUMBER(AC258),INDEX('All Player Data Store'!$N$8:$N$594,SMALL(IF('All Player Data Store'!$Y$7:$Y$594=AC258,ROW('All Player Data Store'!$Y$7:$Y$594)-ROW('All Player Data Store'!$Y$7)+1),COUNTIF($AC$8:AC258,AC258))),"")</f>
        <v/>
      </c>
      <c r="AN258" s="108" t="str">
        <f t="shared" si="7"/>
        <v/>
      </c>
      <c r="AO258" s="108" t="str">
        <f t="array" ref="AO258">IF(ISNUMBER(AC258),INDEX('All Player Data Store'!$O$8:$O$594,SMALL(IF('All Player Data Store'!$Y$7:$Y$594=AC258,ROW('All Player Data Store'!$Y$7:$Y$594)-ROW('All Player Data Store'!$Y$7)+1),COUNTIF($AC$8:AC258,AC258))),"")</f>
        <v/>
      </c>
      <c r="AP258" s="108" t="str">
        <f t="shared" si="8"/>
        <v/>
      </c>
      <c r="AQ258" s="108" t="str">
        <f t="array" ref="AQ258">IF(ISNUMBER(AC258),INDEX('All Player Data Store'!$P$8:$P$594,SMALL(IF('All Player Data Store'!$Y$7:$Y$594=AC258,ROW('All Player Data Store'!$Y$7:$Y$594)-ROW('All Player Data Store'!$Y$7)+1),COUNTIF($AC$8:AC258,AC258))),"")</f>
        <v/>
      </c>
      <c r="AR258" s="108" t="str">
        <f t="shared" si="9"/>
        <v/>
      </c>
      <c r="AS258" s="108" t="str">
        <f t="array" ref="AS258">IF(ISNUMBER(AC258),INDEX('All Player Data Store'!$Q$8:$Q$594,SMALL(IF('All Player Data Store'!$Y$7:$Y$594=AC258,ROW('All Player Data Store'!$Y$7:$Y$594)-ROW('All Player Data Store'!$Y$7)+1),COUNTIF($AC$8:AC258,AC258))),"")</f>
        <v/>
      </c>
      <c r="AT258" s="108" t="str">
        <f t="shared" si="10"/>
        <v/>
      </c>
      <c r="AU258" s="108" t="str">
        <f t="array" ref="AU258">IF(ISNUMBER(AC258),INDEX('All Player Data Store'!$R$8:$R$594,SMALL(IF('All Player Data Store'!$Y$7:$Y$594=AC258,ROW('All Player Data Store'!$Y$7:$Y$594)-ROW('All Player Data Store'!$Y$7)+1),COUNTIF($AC$8:AC258,AC258))),"")</f>
        <v/>
      </c>
      <c r="AV258" s="108" t="str">
        <f t="shared" si="11"/>
        <v/>
      </c>
      <c r="AW258" s="108" t="str">
        <f t="array" ref="AW258">IF(ISNUMBER(AC258),INDEX('All Player Data Store'!$S$8:$S$594,SMALL(IF('All Player Data Store'!$Y$7:$Y$594=AC258,ROW('All Player Data Store'!$Y$7:$Y$594)-ROW('All Player Data Store'!$Y$7)+1),COUNTIF($AC$8:AC258,AC258))),"")</f>
        <v/>
      </c>
      <c r="AX258" s="108" t="str">
        <f t="shared" si="12"/>
        <v/>
      </c>
      <c r="AY258" s="108" t="str">
        <f t="array" ref="AY258">IF(ISNUMBER(AC258),INDEX('All Player Data Store'!$T$8:$T$594,SMALL(IF('All Player Data Store'!$Y$7:$Y$594=AC258,ROW('All Player Data Store'!$Y$7:$Y$594)-ROW('All Player Data Store'!$Y$7)+1),COUNTIF($AC$8:AC258,AC258))),"")</f>
        <v/>
      </c>
      <c r="AZ258" s="108" t="str">
        <f t="shared" si="13"/>
        <v/>
      </c>
      <c r="BA258" s="108" t="str">
        <f t="array" ref="BA258">IF(ISNUMBER(AC258),INDEX('All Player Data Store'!$U$8:$U$594,SMALL(IF('All Player Data Store'!$Y$7:$Y$594=AC258,ROW('All Player Data Store'!$Y$7:$Y$594)-ROW('All Player Data Store'!$Y$7)+1),COUNTIF($AC$8:AC258,AC258))),"")</f>
        <v/>
      </c>
      <c r="BB258" s="108" t="str">
        <f t="shared" si="14"/>
        <v/>
      </c>
      <c r="BC258" s="108" t="str">
        <f t="array" ref="BC258">IF(ISNUMBER(AC258),INDEX('All Player Data Store'!$V$8:$V$594,SMALL(IF('All Player Data Store'!$Y$7:$Y$594=AC258,ROW('All Player Data Store'!$Y$7:$Y$594)-ROW('All Player Data Store'!$Y$7)+1),COUNTIF($AC$8:AC258,AC258))),"")</f>
        <v/>
      </c>
      <c r="BD258" s="108" t="str">
        <f t="shared" si="15"/>
        <v/>
      </c>
      <c r="BE258" s="1"/>
    </row>
    <row r="259" spans="2:57" ht="12" customHeight="1" x14ac:dyDescent="0.2">
      <c r="B259" s="118" t="str">
        <f t="shared" si="0"/>
        <v/>
      </c>
      <c r="C259" s="1"/>
      <c r="D259" s="68" t="str">
        <f t="shared" si="1"/>
        <v/>
      </c>
      <c r="E259" s="2"/>
      <c r="F259" s="78">
        <v>252</v>
      </c>
      <c r="G259" s="110" t="str">
        <f t="array" ref="G259">IF(ISNUMBER(AC259),INDEX('All Player Data Store'!$C$7:$C$594,SMALL(IF('All Player Data Store'!$Y$7:$Y$594=AC259,ROW('All Player Data Store'!$Y$7:$Y$594)-ROW('All Player Data Store'!$Y$7)+1),COUNTIF($AC$8:AC259,AC259))),"")</f>
        <v/>
      </c>
      <c r="H259" s="68" t="str">
        <f t="array" ref="H259">IF(ISNUMBER(AC259),INDEX('All Player Data Store'!$D$7:$D$594,SMALL(IF('All Player Data Store'!$Y$7:$Y$594=AC259,ROW('All Player Data Store'!$Y$7:$Y$594)-ROW('All Player Data Store'!$Y$7)+1),COUNTIF($AC$8:AC259,AC259))),"")</f>
        <v/>
      </c>
      <c r="I259" s="69" t="str">
        <f t="array" ref="I259">IF(ISNUMBER(AC259),INDEX('All Player Data Store'!$E$7:$E$594,SMALL(IF('All Player Data Store'!$Y$7:$Y$594=AC259,ROW('All Player Data Store'!$Y$7:$Y$594)-ROW('All Player Data Store'!$Y$7)+1),COUNTIF($AC$8:AC259,AC259))),"")</f>
        <v/>
      </c>
      <c r="J259" s="70" t="str">
        <f t="array" ref="J259">IF(ISNUMBER(AC259),INDEX('All Player Data Store'!$F$7:$F$594,SMALL(IF('All Player Data Store'!$Y$7:$Y$594=AC259,ROW('All Player Data Store'!$Y$7:$Y$594)-ROW('All Player Data Store'!$Y$7)+1),COUNTIF($AC$8:AC259,AC259))),"")</f>
        <v/>
      </c>
      <c r="K259" s="70" t="str">
        <f t="array" ref="K259">IF(ISNUMBER(AC259),INDEX('All Player Data Store'!$G$7:$G$594,SMALL(IF('All Player Data Store'!$Y$7:$Y$594=AC259,ROW('All Player Data Store'!$Y$7:$Y$594)-ROW('All Player Data Store'!$Y$7)+1),COUNTIF($AC$8:AC259,AC259))),"")</f>
        <v/>
      </c>
      <c r="L259" s="70" t="str">
        <f t="array" ref="L259">IF(ISNUMBER(AC259),INDEX('All Player Data Store'!$H$7:$H$594,SMALL(IF('All Player Data Store'!$Y$7:$Y$594=AC259,ROW('All Player Data Store'!$Y$7:$Y$594)-ROW('All Player Data Store'!$Y$7)+1),COUNTIF($AC$8:AC259,AC259))),"")</f>
        <v/>
      </c>
      <c r="M259" s="72" t="str">
        <f t="array" ref="M259">IF(ISNUMBER(AC259),INDEX('All Player Data Store'!$I$7:$I$594,SMALL(IF('All Player Data Store'!$Y$7:$Y$594=AC259,ROW('All Player Data Store'!$Y$7:$Y$594)-ROW('All Player Data Store'!$Y$7)+1),COUNTIF($AC$8:AC259,AC259))),"")</f>
        <v/>
      </c>
      <c r="N259" s="114" t="str">
        <f t="array" ref="N259">IF(ISNUMBER(AC259),INDEX('All Player Data Store'!$J$7:$J$594,SMALL(IF('All Player Data Store'!$Y$7:$Y$594=AC259,ROW('All Player Data Store'!$Y$7:$Y$594)-ROW('All Player Data Store'!$Y$7)+1),COUNTIF($AC$8:AC259,AC259))),"")</f>
        <v/>
      </c>
      <c r="O259" s="108" t="str">
        <f t="array" ref="O259">IF(ISNUMBER(AC259),INDEX('All Player Data Store'!$K$7:$K$594,SMALL(IF('All Player Data Store'!$Y$7:$Y$594=AC259,ROW('All Player Data Store'!$Y$7:$Y$594)-ROW('All Player Data Store'!$Y$7)+1),COUNTIF($AC$8:AC259,AC259))),"")</f>
        <v/>
      </c>
      <c r="P259" s="108" t="str">
        <f t="array" ref="P259">IF(ISNUMBER(AC259),INDEX('All Player Data Store'!$L$7:$L$594,SMALL(IF('All Player Data Store'!$Y$7:$Y$594=AC259,ROW('All Player Data Store'!$Y$7:$Y$594)-ROW('All Player Data Store'!$Y$7)+1),COUNTIF($AC$8:AC259,AC259))),"")</f>
        <v/>
      </c>
      <c r="Q259" s="108" t="str">
        <f t="array" ref="Q259">IF(ISNUMBER(AC259),INDEX('All Player Data Store'!$M$7:$M$594,SMALL(IF('All Player Data Store'!$Y$7:$Y$594=AC259,ROW('All Player Data Store'!$Y$7:$Y$594)-ROW('All Player Data Store'!$Y$7)+1),COUNTIF($AC$8:AC259,AC259))),"")</f>
        <v/>
      </c>
      <c r="R259" s="108" t="str">
        <f t="array" ref="R259">IF(ISNUMBER(AC259),INDEX('All Player Data Store'!$N$7:$N$594,SMALL(IF('All Player Data Store'!$Y$7:$Y$594=AC259,ROW('All Player Data Store'!$Y$7:$Y$594)-ROW('All Player Data Store'!$Y$7)+1),COUNTIF($AC$8:AC259,AC259))),"")</f>
        <v/>
      </c>
      <c r="S259" s="108" t="str">
        <f t="array" ref="S259">IF(ISNUMBER(AC259),INDEX('All Player Data Store'!$O$7:$O$594,SMALL(IF('All Player Data Store'!$Y$7:$Y$594=AC259,ROW('All Player Data Store'!$Y$7:$Y$594)-ROW('All Player Data Store'!$Y$7)+1),COUNTIF($AC$8:AC259,AC259))),"")</f>
        <v/>
      </c>
      <c r="T259" s="108" t="str">
        <f t="array" ref="T259">IF(ISNUMBER(AC259),INDEX('All Player Data Store'!$P$7:$P$594,SMALL(IF('All Player Data Store'!$Y$7:$Y$594=AC259,ROW('All Player Data Store'!$Y$7:$Y$594)-ROW('All Player Data Store'!$Y$7)+1),COUNTIF($AC$8:AC259,AC259))),"")</f>
        <v/>
      </c>
      <c r="U259" s="108" t="str">
        <f t="array" ref="U259">IF(ISNUMBER(AC259),INDEX('All Player Data Store'!$Q$7:$Q$594,SMALL(IF('All Player Data Store'!$Y$7:$Y$594=AC259,ROW('All Player Data Store'!$Y$7:$Y$594)-ROW('All Player Data Store'!$Y$7)+1),COUNTIF($AC$8:AC259,AC259))),"")</f>
        <v/>
      </c>
      <c r="V259" s="108" t="str">
        <f t="array" ref="V259">IF(ISNUMBER(AC259),INDEX('All Player Data Store'!$R$7:$R$594,SMALL(IF('All Player Data Store'!$Y$7:$Y$594=AC259,ROW('All Player Data Store'!$Y$7:$Y$594)-ROW('All Player Data Store'!$Y$7)+1),COUNTIF($AC$8:AC259,AC259))),"")</f>
        <v/>
      </c>
      <c r="W259" s="108" t="str">
        <f t="array" ref="W259">IF(ISNUMBER(AC259),INDEX('All Player Data Store'!$S$7:$S$594,SMALL(IF('All Player Data Store'!$Y$7:$Y$594=AC259,ROW('All Player Data Store'!$Y$7:$Y$594)-ROW('All Player Data Store'!$Y$7)+1),COUNTIF($AC$8:AC259,AC259))),"")</f>
        <v/>
      </c>
      <c r="X259" s="108" t="str">
        <f t="array" ref="X259">IF(ISNUMBER(AC259),INDEX('All Player Data Store'!$T$7:$T$594,SMALL(IF('All Player Data Store'!$Y$7:$Y$594=AC259,ROW('All Player Data Store'!$Y$7:$Y$594)-ROW('All Player Data Store'!$Y$7)+1),COUNTIF($AC$8:AC259,AC259))),"")</f>
        <v/>
      </c>
      <c r="Y259" s="108" t="str">
        <f t="array" ref="Y259">IF(ISNUMBER(AC259),INDEX('All Player Data Store'!$U$7:$U$594,SMALL(IF('All Player Data Store'!$Y$7:$Y$594=AC259,ROW('All Player Data Store'!$Y$7:$Y$594)-ROW('All Player Data Store'!$Y$7)+1),COUNTIF($AC$8:AC259,AC259))),"")</f>
        <v/>
      </c>
      <c r="Z259" s="108" t="str">
        <f t="array" ref="Z259">IF(ISNUMBER(AC259),INDEX('All Player Data Store'!$V$7:$V$594,SMALL(IF('All Player Data Store'!$Y$7:$Y$594=AC259,ROW('All Player Data Store'!$Y$7:$Y$594)-ROW('All Player Data Store'!$Y$7)+1),COUNTIF($AC$8:AC259,AC259))),"")</f>
        <v/>
      </c>
      <c r="AA259" s="112" t="str">
        <f t="array" ref="AA259">IF(ISNUMBER(AC259),INDEX('All Player Data Store'!$W$7:$W$594,SMALL(IF('All Player Data Store'!$Y$7:$Y$594=AC259,ROW('All Player Data Store'!$Y$7:$Y$594)-ROW('All Player Data Store'!$Y$7)+1),COUNTIF($AC$8:AC259,AC259))),"")</f>
        <v/>
      </c>
      <c r="AB259" s="108" t="str">
        <f t="array" ref="AB259">IF(ISNUMBER(AC259),INDEX('All Player Data Store'!$X$7:$X$594,SMALL(IF('All Player Data Store'!$Y$7:$Y$594=AC259,ROW('All Player Data Store'!$Y$7:$Y$594)-ROW('All Player Data Store'!$Y$7)+1),COUNTIF($AC$8:AC259,AC259))),"")</f>
        <v/>
      </c>
      <c r="AC259" s="115" t="str">
        <f>IF(ISERROR(IF(ISERROR(LARGE('All Player Data Store'!$Y$7:$Y$594,252)),"",(LARGE('All Player Data Store'!$Y$7:$Y$594,252)))),"",(IF(ISERROR(LARGE('All Player Data Store'!$Y$7:$Y$594,252)),"",(LARGE('All Player Data Store'!$Y$7:$Y$594,252)))))</f>
        <v/>
      </c>
      <c r="AD259" s="106">
        <f t="shared" si="16"/>
        <v>1</v>
      </c>
      <c r="AE259" s="107" t="str">
        <f t="array" ref="AE259">IF(ISNUMBER(AC259),INDEX('All Player Data Store'!$J$8:$J$594,SMALL(IF('All Player Data Store'!$Y$7:$Y$594=AC259,ROW('All Player Data Store'!$Y$7:$Y$594)-ROW('All Player Data Store'!$Y$7)+1),COUNTIF($AC$8:AC259,AC259))),"")</f>
        <v/>
      </c>
      <c r="AF259" s="108" t="str">
        <f t="shared" si="3"/>
        <v/>
      </c>
      <c r="AG259" s="108" t="str">
        <f t="array" ref="AG259">IF(ISNUMBER(AC259),INDEX('All Player Data Store'!$K$8:$K$594,SMALL(IF('All Player Data Store'!$Y$7:$Y$594=AC259,ROW('All Player Data Store'!$Y$7:$Y$594)-ROW('All Player Data Store'!$Y$7)+1),COUNTIF($AC$8:AC259,AC259))),"")</f>
        <v/>
      </c>
      <c r="AH259" s="108" t="str">
        <f t="shared" si="4"/>
        <v/>
      </c>
      <c r="AI259" s="108" t="str">
        <f t="array" ref="AI259">IF(ISNUMBER(AC259),INDEX('All Player Data Store'!$L$8:$L$594,SMALL(IF('All Player Data Store'!$Y$7:$Y$594=AC259,ROW('All Player Data Store'!$Y$7:$Y$594)-ROW('All Player Data Store'!$Y$7)+1),COUNTIF($AC$8:AC259,AC259))),"")</f>
        <v/>
      </c>
      <c r="AJ259" s="108" t="str">
        <f t="shared" si="5"/>
        <v/>
      </c>
      <c r="AK259" s="108" t="str">
        <f t="array" ref="AK259">IF(ISNUMBER(AC259),INDEX('All Player Data Store'!$M$8:$M$594,SMALL(IF('All Player Data Store'!$Y$7:$Y$594=AC259,ROW('All Player Data Store'!$Y$7:$Y$594)-ROW('All Player Data Store'!$Y$7)+1),COUNTIF($AC$8:AC259,AC259))),"")</f>
        <v/>
      </c>
      <c r="AL259" s="108" t="str">
        <f t="shared" si="6"/>
        <v/>
      </c>
      <c r="AM259" s="108" t="str">
        <f t="array" ref="AM259">IF(ISNUMBER(AC259),INDEX('All Player Data Store'!$N$8:$N$594,SMALL(IF('All Player Data Store'!$Y$7:$Y$594=AC259,ROW('All Player Data Store'!$Y$7:$Y$594)-ROW('All Player Data Store'!$Y$7)+1),COUNTIF($AC$8:AC259,AC259))),"")</f>
        <v/>
      </c>
      <c r="AN259" s="108" t="str">
        <f t="shared" si="7"/>
        <v/>
      </c>
      <c r="AO259" s="108" t="str">
        <f t="array" ref="AO259">IF(ISNUMBER(AC259),INDEX('All Player Data Store'!$O$8:$O$594,SMALL(IF('All Player Data Store'!$Y$7:$Y$594=AC259,ROW('All Player Data Store'!$Y$7:$Y$594)-ROW('All Player Data Store'!$Y$7)+1),COUNTIF($AC$8:AC259,AC259))),"")</f>
        <v/>
      </c>
      <c r="AP259" s="108" t="str">
        <f t="shared" si="8"/>
        <v/>
      </c>
      <c r="AQ259" s="108" t="str">
        <f t="array" ref="AQ259">IF(ISNUMBER(AC259),INDEX('All Player Data Store'!$P$8:$P$594,SMALL(IF('All Player Data Store'!$Y$7:$Y$594=AC259,ROW('All Player Data Store'!$Y$7:$Y$594)-ROW('All Player Data Store'!$Y$7)+1),COUNTIF($AC$8:AC259,AC259))),"")</f>
        <v/>
      </c>
      <c r="AR259" s="108" t="str">
        <f t="shared" si="9"/>
        <v/>
      </c>
      <c r="AS259" s="108" t="str">
        <f t="array" ref="AS259">IF(ISNUMBER(AC259),INDEX('All Player Data Store'!$Q$8:$Q$594,SMALL(IF('All Player Data Store'!$Y$7:$Y$594=AC259,ROW('All Player Data Store'!$Y$7:$Y$594)-ROW('All Player Data Store'!$Y$7)+1),COUNTIF($AC$8:AC259,AC259))),"")</f>
        <v/>
      </c>
      <c r="AT259" s="108" t="str">
        <f t="shared" si="10"/>
        <v/>
      </c>
      <c r="AU259" s="108" t="str">
        <f t="array" ref="AU259">IF(ISNUMBER(AC259),INDEX('All Player Data Store'!$R$8:$R$594,SMALL(IF('All Player Data Store'!$Y$7:$Y$594=AC259,ROW('All Player Data Store'!$Y$7:$Y$594)-ROW('All Player Data Store'!$Y$7)+1),COUNTIF($AC$8:AC259,AC259))),"")</f>
        <v/>
      </c>
      <c r="AV259" s="108" t="str">
        <f t="shared" si="11"/>
        <v/>
      </c>
      <c r="AW259" s="108" t="str">
        <f t="array" ref="AW259">IF(ISNUMBER(AC259),INDEX('All Player Data Store'!$S$8:$S$594,SMALL(IF('All Player Data Store'!$Y$7:$Y$594=AC259,ROW('All Player Data Store'!$Y$7:$Y$594)-ROW('All Player Data Store'!$Y$7)+1),COUNTIF($AC$8:AC259,AC259))),"")</f>
        <v/>
      </c>
      <c r="AX259" s="108" t="str">
        <f t="shared" si="12"/>
        <v/>
      </c>
      <c r="AY259" s="108" t="str">
        <f t="array" ref="AY259">IF(ISNUMBER(AC259),INDEX('All Player Data Store'!$T$8:$T$594,SMALL(IF('All Player Data Store'!$Y$7:$Y$594=AC259,ROW('All Player Data Store'!$Y$7:$Y$594)-ROW('All Player Data Store'!$Y$7)+1),COUNTIF($AC$8:AC259,AC259))),"")</f>
        <v/>
      </c>
      <c r="AZ259" s="108" t="str">
        <f t="shared" si="13"/>
        <v/>
      </c>
      <c r="BA259" s="108" t="str">
        <f t="array" ref="BA259">IF(ISNUMBER(AC259),INDEX('All Player Data Store'!$U$8:$U$594,SMALL(IF('All Player Data Store'!$Y$7:$Y$594=AC259,ROW('All Player Data Store'!$Y$7:$Y$594)-ROW('All Player Data Store'!$Y$7)+1),COUNTIF($AC$8:AC259,AC259))),"")</f>
        <v/>
      </c>
      <c r="BB259" s="108" t="str">
        <f t="shared" si="14"/>
        <v/>
      </c>
      <c r="BC259" s="108" t="str">
        <f t="array" ref="BC259">IF(ISNUMBER(AC259),INDEX('All Player Data Store'!$V$8:$V$594,SMALL(IF('All Player Data Store'!$Y$7:$Y$594=AC259,ROW('All Player Data Store'!$Y$7:$Y$594)-ROW('All Player Data Store'!$Y$7)+1),COUNTIF($AC$8:AC259,AC259))),"")</f>
        <v/>
      </c>
      <c r="BD259" s="108" t="str">
        <f t="shared" si="15"/>
        <v/>
      </c>
      <c r="BE259" s="1"/>
    </row>
    <row r="260" spans="2:57" ht="12" customHeight="1" x14ac:dyDescent="0.2">
      <c r="B260" s="118" t="str">
        <f t="shared" si="0"/>
        <v/>
      </c>
      <c r="C260" s="1"/>
      <c r="D260" s="68" t="str">
        <f t="shared" si="1"/>
        <v/>
      </c>
      <c r="E260" s="2"/>
      <c r="F260" s="78">
        <v>253</v>
      </c>
      <c r="G260" s="110" t="str">
        <f t="array" ref="G260">IF(ISNUMBER(AC260),INDEX('All Player Data Store'!$C$7:$C$594,SMALL(IF('All Player Data Store'!$Y$7:$Y$594=AC260,ROW('All Player Data Store'!$Y$7:$Y$594)-ROW('All Player Data Store'!$Y$7)+1),COUNTIF($AC$8:AC260,AC260))),"")</f>
        <v/>
      </c>
      <c r="H260" s="68" t="str">
        <f t="array" ref="H260">IF(ISNUMBER(AC260),INDEX('All Player Data Store'!$D$7:$D$594,SMALL(IF('All Player Data Store'!$Y$7:$Y$594=AC260,ROW('All Player Data Store'!$Y$7:$Y$594)-ROW('All Player Data Store'!$Y$7)+1),COUNTIF($AC$8:AC260,AC260))),"")</f>
        <v/>
      </c>
      <c r="I260" s="69" t="str">
        <f t="array" ref="I260">IF(ISNUMBER(AC260),INDEX('All Player Data Store'!$E$7:$E$594,SMALL(IF('All Player Data Store'!$Y$7:$Y$594=AC260,ROW('All Player Data Store'!$Y$7:$Y$594)-ROW('All Player Data Store'!$Y$7)+1),COUNTIF($AC$8:AC260,AC260))),"")</f>
        <v/>
      </c>
      <c r="J260" s="70" t="str">
        <f t="array" ref="J260">IF(ISNUMBER(AC260),INDEX('All Player Data Store'!$F$7:$F$594,SMALL(IF('All Player Data Store'!$Y$7:$Y$594=AC260,ROW('All Player Data Store'!$Y$7:$Y$594)-ROW('All Player Data Store'!$Y$7)+1),COUNTIF($AC$8:AC260,AC260))),"")</f>
        <v/>
      </c>
      <c r="K260" s="70" t="str">
        <f t="array" ref="K260">IF(ISNUMBER(AC260),INDEX('All Player Data Store'!$G$7:$G$594,SMALL(IF('All Player Data Store'!$Y$7:$Y$594=AC260,ROW('All Player Data Store'!$Y$7:$Y$594)-ROW('All Player Data Store'!$Y$7)+1),COUNTIF($AC$8:AC260,AC260))),"")</f>
        <v/>
      </c>
      <c r="L260" s="70" t="str">
        <f t="array" ref="L260">IF(ISNUMBER(AC260),INDEX('All Player Data Store'!$H$7:$H$594,SMALL(IF('All Player Data Store'!$Y$7:$Y$594=AC260,ROW('All Player Data Store'!$Y$7:$Y$594)-ROW('All Player Data Store'!$Y$7)+1),COUNTIF($AC$8:AC260,AC260))),"")</f>
        <v/>
      </c>
      <c r="M260" s="72" t="str">
        <f t="array" ref="M260">IF(ISNUMBER(AC260),INDEX('All Player Data Store'!$I$7:$I$594,SMALL(IF('All Player Data Store'!$Y$7:$Y$594=AC260,ROW('All Player Data Store'!$Y$7:$Y$594)-ROW('All Player Data Store'!$Y$7)+1),COUNTIF($AC$8:AC260,AC260))),"")</f>
        <v/>
      </c>
      <c r="N260" s="114" t="str">
        <f t="array" ref="N260">IF(ISNUMBER(AC260),INDEX('All Player Data Store'!$J$7:$J$594,SMALL(IF('All Player Data Store'!$Y$7:$Y$594=AC260,ROW('All Player Data Store'!$Y$7:$Y$594)-ROW('All Player Data Store'!$Y$7)+1),COUNTIF($AC$8:AC260,AC260))),"")</f>
        <v/>
      </c>
      <c r="O260" s="108" t="str">
        <f t="array" ref="O260">IF(ISNUMBER(AC260),INDEX('All Player Data Store'!$K$7:$K$594,SMALL(IF('All Player Data Store'!$Y$7:$Y$594=AC260,ROW('All Player Data Store'!$Y$7:$Y$594)-ROW('All Player Data Store'!$Y$7)+1),COUNTIF($AC$8:AC260,AC260))),"")</f>
        <v/>
      </c>
      <c r="P260" s="108" t="str">
        <f t="array" ref="P260">IF(ISNUMBER(AC260),INDEX('All Player Data Store'!$L$7:$L$594,SMALL(IF('All Player Data Store'!$Y$7:$Y$594=AC260,ROW('All Player Data Store'!$Y$7:$Y$594)-ROW('All Player Data Store'!$Y$7)+1),COUNTIF($AC$8:AC260,AC260))),"")</f>
        <v/>
      </c>
      <c r="Q260" s="108" t="str">
        <f t="array" ref="Q260">IF(ISNUMBER(AC260),INDEX('All Player Data Store'!$M$7:$M$594,SMALL(IF('All Player Data Store'!$Y$7:$Y$594=AC260,ROW('All Player Data Store'!$Y$7:$Y$594)-ROW('All Player Data Store'!$Y$7)+1),COUNTIF($AC$8:AC260,AC260))),"")</f>
        <v/>
      </c>
      <c r="R260" s="108" t="str">
        <f t="array" ref="R260">IF(ISNUMBER(AC260),INDEX('All Player Data Store'!$N$7:$N$594,SMALL(IF('All Player Data Store'!$Y$7:$Y$594=AC260,ROW('All Player Data Store'!$Y$7:$Y$594)-ROW('All Player Data Store'!$Y$7)+1),COUNTIF($AC$8:AC260,AC260))),"")</f>
        <v/>
      </c>
      <c r="S260" s="108" t="str">
        <f t="array" ref="S260">IF(ISNUMBER(AC260),INDEX('All Player Data Store'!$O$7:$O$594,SMALL(IF('All Player Data Store'!$Y$7:$Y$594=AC260,ROW('All Player Data Store'!$Y$7:$Y$594)-ROW('All Player Data Store'!$Y$7)+1),COUNTIF($AC$8:AC260,AC260))),"")</f>
        <v/>
      </c>
      <c r="T260" s="108" t="str">
        <f t="array" ref="T260">IF(ISNUMBER(AC260),INDEX('All Player Data Store'!$P$7:$P$594,SMALL(IF('All Player Data Store'!$Y$7:$Y$594=AC260,ROW('All Player Data Store'!$Y$7:$Y$594)-ROW('All Player Data Store'!$Y$7)+1),COUNTIF($AC$8:AC260,AC260))),"")</f>
        <v/>
      </c>
      <c r="U260" s="108" t="str">
        <f t="array" ref="U260">IF(ISNUMBER(AC260),INDEX('All Player Data Store'!$Q$7:$Q$594,SMALL(IF('All Player Data Store'!$Y$7:$Y$594=AC260,ROW('All Player Data Store'!$Y$7:$Y$594)-ROW('All Player Data Store'!$Y$7)+1),COUNTIF($AC$8:AC260,AC260))),"")</f>
        <v/>
      </c>
      <c r="V260" s="108" t="str">
        <f t="array" ref="V260">IF(ISNUMBER(AC260),INDEX('All Player Data Store'!$R$7:$R$594,SMALL(IF('All Player Data Store'!$Y$7:$Y$594=AC260,ROW('All Player Data Store'!$Y$7:$Y$594)-ROW('All Player Data Store'!$Y$7)+1),COUNTIF($AC$8:AC260,AC260))),"")</f>
        <v/>
      </c>
      <c r="W260" s="108" t="str">
        <f t="array" ref="W260">IF(ISNUMBER(AC260),INDEX('All Player Data Store'!$S$7:$S$594,SMALL(IF('All Player Data Store'!$Y$7:$Y$594=AC260,ROW('All Player Data Store'!$Y$7:$Y$594)-ROW('All Player Data Store'!$Y$7)+1),COUNTIF($AC$8:AC260,AC260))),"")</f>
        <v/>
      </c>
      <c r="X260" s="108" t="str">
        <f t="array" ref="X260">IF(ISNUMBER(AC260),INDEX('All Player Data Store'!$T$7:$T$594,SMALL(IF('All Player Data Store'!$Y$7:$Y$594=AC260,ROW('All Player Data Store'!$Y$7:$Y$594)-ROW('All Player Data Store'!$Y$7)+1),COUNTIF($AC$8:AC260,AC260))),"")</f>
        <v/>
      </c>
      <c r="Y260" s="108" t="str">
        <f t="array" ref="Y260">IF(ISNUMBER(AC260),INDEX('All Player Data Store'!$U$7:$U$594,SMALL(IF('All Player Data Store'!$Y$7:$Y$594=AC260,ROW('All Player Data Store'!$Y$7:$Y$594)-ROW('All Player Data Store'!$Y$7)+1),COUNTIF($AC$8:AC260,AC260))),"")</f>
        <v/>
      </c>
      <c r="Z260" s="108" t="str">
        <f t="array" ref="Z260">IF(ISNUMBER(AC260),INDEX('All Player Data Store'!$V$7:$V$594,SMALL(IF('All Player Data Store'!$Y$7:$Y$594=AC260,ROW('All Player Data Store'!$Y$7:$Y$594)-ROW('All Player Data Store'!$Y$7)+1),COUNTIF($AC$8:AC260,AC260))),"")</f>
        <v/>
      </c>
      <c r="AA260" s="112" t="str">
        <f t="array" ref="AA260">IF(ISNUMBER(AC260),INDEX('All Player Data Store'!$W$7:$W$594,SMALL(IF('All Player Data Store'!$Y$7:$Y$594=AC260,ROW('All Player Data Store'!$Y$7:$Y$594)-ROW('All Player Data Store'!$Y$7)+1),COUNTIF($AC$8:AC260,AC260))),"")</f>
        <v/>
      </c>
      <c r="AB260" s="108" t="str">
        <f t="array" ref="AB260">IF(ISNUMBER(AC260),INDEX('All Player Data Store'!$X$7:$X$594,SMALL(IF('All Player Data Store'!$Y$7:$Y$594=AC260,ROW('All Player Data Store'!$Y$7:$Y$594)-ROW('All Player Data Store'!$Y$7)+1),COUNTIF($AC$8:AC260,AC260))),"")</f>
        <v/>
      </c>
      <c r="AC260" s="115" t="str">
        <f>IF(ISERROR(IF(ISERROR(LARGE('All Player Data Store'!$Y$7:$Y$594,253)),"",(LARGE('All Player Data Store'!$Y$7:$Y$594,253)))),"",(IF(ISERROR(LARGE('All Player Data Store'!$Y$7:$Y$594,253)),"",(LARGE('All Player Data Store'!$Y$7:$Y$594,253)))))</f>
        <v/>
      </c>
      <c r="AD260" s="106">
        <f t="shared" si="16"/>
        <v>1</v>
      </c>
      <c r="AE260" s="107" t="str">
        <f t="array" ref="AE260">IF(ISNUMBER(AC260),INDEX('All Player Data Store'!$J$8:$J$594,SMALL(IF('All Player Data Store'!$Y$7:$Y$594=AC260,ROW('All Player Data Store'!$Y$7:$Y$594)-ROW('All Player Data Store'!$Y$7)+1),COUNTIF($AC$8:AC260,AC260))),"")</f>
        <v/>
      </c>
      <c r="AF260" s="108" t="str">
        <f t="shared" si="3"/>
        <v/>
      </c>
      <c r="AG260" s="108" t="str">
        <f t="array" ref="AG260">IF(ISNUMBER(AC260),INDEX('All Player Data Store'!$K$8:$K$594,SMALL(IF('All Player Data Store'!$Y$7:$Y$594=AC260,ROW('All Player Data Store'!$Y$7:$Y$594)-ROW('All Player Data Store'!$Y$7)+1),COUNTIF($AC$8:AC260,AC260))),"")</f>
        <v/>
      </c>
      <c r="AH260" s="108" t="str">
        <f t="shared" si="4"/>
        <v/>
      </c>
      <c r="AI260" s="108" t="str">
        <f t="array" ref="AI260">IF(ISNUMBER(AC260),INDEX('All Player Data Store'!$L$8:$L$594,SMALL(IF('All Player Data Store'!$Y$7:$Y$594=AC260,ROW('All Player Data Store'!$Y$7:$Y$594)-ROW('All Player Data Store'!$Y$7)+1),COUNTIF($AC$8:AC260,AC260))),"")</f>
        <v/>
      </c>
      <c r="AJ260" s="108" t="str">
        <f t="shared" si="5"/>
        <v/>
      </c>
      <c r="AK260" s="108" t="str">
        <f t="array" ref="AK260">IF(ISNUMBER(AC260),INDEX('All Player Data Store'!$M$8:$M$594,SMALL(IF('All Player Data Store'!$Y$7:$Y$594=AC260,ROW('All Player Data Store'!$Y$7:$Y$594)-ROW('All Player Data Store'!$Y$7)+1),COUNTIF($AC$8:AC260,AC260))),"")</f>
        <v/>
      </c>
      <c r="AL260" s="108" t="str">
        <f t="shared" si="6"/>
        <v/>
      </c>
      <c r="AM260" s="108" t="str">
        <f t="array" ref="AM260">IF(ISNUMBER(AC260),INDEX('All Player Data Store'!$N$8:$N$594,SMALL(IF('All Player Data Store'!$Y$7:$Y$594=AC260,ROW('All Player Data Store'!$Y$7:$Y$594)-ROW('All Player Data Store'!$Y$7)+1),COUNTIF($AC$8:AC260,AC260))),"")</f>
        <v/>
      </c>
      <c r="AN260" s="108" t="str">
        <f t="shared" si="7"/>
        <v/>
      </c>
      <c r="AO260" s="108" t="str">
        <f t="array" ref="AO260">IF(ISNUMBER(AC260),INDEX('All Player Data Store'!$O$8:$O$594,SMALL(IF('All Player Data Store'!$Y$7:$Y$594=AC260,ROW('All Player Data Store'!$Y$7:$Y$594)-ROW('All Player Data Store'!$Y$7)+1),COUNTIF($AC$8:AC260,AC260))),"")</f>
        <v/>
      </c>
      <c r="AP260" s="108" t="str">
        <f t="shared" si="8"/>
        <v/>
      </c>
      <c r="AQ260" s="108" t="str">
        <f t="array" ref="AQ260">IF(ISNUMBER(AC260),INDEX('All Player Data Store'!$P$8:$P$594,SMALL(IF('All Player Data Store'!$Y$7:$Y$594=AC260,ROW('All Player Data Store'!$Y$7:$Y$594)-ROW('All Player Data Store'!$Y$7)+1),COUNTIF($AC$8:AC260,AC260))),"")</f>
        <v/>
      </c>
      <c r="AR260" s="108" t="str">
        <f t="shared" si="9"/>
        <v/>
      </c>
      <c r="AS260" s="108" t="str">
        <f t="array" ref="AS260">IF(ISNUMBER(AC260),INDEX('All Player Data Store'!$Q$8:$Q$594,SMALL(IF('All Player Data Store'!$Y$7:$Y$594=AC260,ROW('All Player Data Store'!$Y$7:$Y$594)-ROW('All Player Data Store'!$Y$7)+1),COUNTIF($AC$8:AC260,AC260))),"")</f>
        <v/>
      </c>
      <c r="AT260" s="108" t="str">
        <f t="shared" si="10"/>
        <v/>
      </c>
      <c r="AU260" s="108" t="str">
        <f t="array" ref="AU260">IF(ISNUMBER(AC260),INDEX('All Player Data Store'!$R$8:$R$594,SMALL(IF('All Player Data Store'!$Y$7:$Y$594=AC260,ROW('All Player Data Store'!$Y$7:$Y$594)-ROW('All Player Data Store'!$Y$7)+1),COUNTIF($AC$8:AC260,AC260))),"")</f>
        <v/>
      </c>
      <c r="AV260" s="108" t="str">
        <f t="shared" si="11"/>
        <v/>
      </c>
      <c r="AW260" s="108" t="str">
        <f t="array" ref="AW260">IF(ISNUMBER(AC260),INDEX('All Player Data Store'!$S$8:$S$594,SMALL(IF('All Player Data Store'!$Y$7:$Y$594=AC260,ROW('All Player Data Store'!$Y$7:$Y$594)-ROW('All Player Data Store'!$Y$7)+1),COUNTIF($AC$8:AC260,AC260))),"")</f>
        <v/>
      </c>
      <c r="AX260" s="108" t="str">
        <f t="shared" si="12"/>
        <v/>
      </c>
      <c r="AY260" s="108" t="str">
        <f t="array" ref="AY260">IF(ISNUMBER(AC260),INDEX('All Player Data Store'!$T$8:$T$594,SMALL(IF('All Player Data Store'!$Y$7:$Y$594=AC260,ROW('All Player Data Store'!$Y$7:$Y$594)-ROW('All Player Data Store'!$Y$7)+1),COUNTIF($AC$8:AC260,AC260))),"")</f>
        <v/>
      </c>
      <c r="AZ260" s="108" t="str">
        <f t="shared" si="13"/>
        <v/>
      </c>
      <c r="BA260" s="108" t="str">
        <f t="array" ref="BA260">IF(ISNUMBER(AC260),INDEX('All Player Data Store'!$U$8:$U$594,SMALL(IF('All Player Data Store'!$Y$7:$Y$594=AC260,ROW('All Player Data Store'!$Y$7:$Y$594)-ROW('All Player Data Store'!$Y$7)+1),COUNTIF($AC$8:AC260,AC260))),"")</f>
        <v/>
      </c>
      <c r="BB260" s="108" t="str">
        <f t="shared" si="14"/>
        <v/>
      </c>
      <c r="BC260" s="108" t="str">
        <f t="array" ref="BC260">IF(ISNUMBER(AC260),INDEX('All Player Data Store'!$V$8:$V$594,SMALL(IF('All Player Data Store'!$Y$7:$Y$594=AC260,ROW('All Player Data Store'!$Y$7:$Y$594)-ROW('All Player Data Store'!$Y$7)+1),COUNTIF($AC$8:AC260,AC260))),"")</f>
        <v/>
      </c>
      <c r="BD260" s="108" t="str">
        <f t="shared" si="15"/>
        <v/>
      </c>
      <c r="BE260" s="1"/>
    </row>
    <row r="261" spans="2:57" ht="12" customHeight="1" x14ac:dyDescent="0.2">
      <c r="B261" s="118" t="str">
        <f t="shared" si="0"/>
        <v/>
      </c>
      <c r="C261" s="1"/>
      <c r="D261" s="68" t="str">
        <f t="shared" si="1"/>
        <v/>
      </c>
      <c r="E261" s="2"/>
      <c r="F261" s="78">
        <v>254</v>
      </c>
      <c r="G261" s="110" t="str">
        <f t="array" ref="G261">IF(ISNUMBER(AC261),INDEX('All Player Data Store'!$C$7:$C$594,SMALL(IF('All Player Data Store'!$Y$7:$Y$594=AC261,ROW('All Player Data Store'!$Y$7:$Y$594)-ROW('All Player Data Store'!$Y$7)+1),COUNTIF($AC$8:AC261,AC261))),"")</f>
        <v/>
      </c>
      <c r="H261" s="68" t="str">
        <f t="array" ref="H261">IF(ISNUMBER(AC261),INDEX('All Player Data Store'!$D$7:$D$594,SMALL(IF('All Player Data Store'!$Y$7:$Y$594=AC261,ROW('All Player Data Store'!$Y$7:$Y$594)-ROW('All Player Data Store'!$Y$7)+1),COUNTIF($AC$8:AC261,AC261))),"")</f>
        <v/>
      </c>
      <c r="I261" s="69" t="str">
        <f t="array" ref="I261">IF(ISNUMBER(AC261),INDEX('All Player Data Store'!$E$7:$E$594,SMALL(IF('All Player Data Store'!$Y$7:$Y$594=AC261,ROW('All Player Data Store'!$Y$7:$Y$594)-ROW('All Player Data Store'!$Y$7)+1),COUNTIF($AC$8:AC261,AC261))),"")</f>
        <v/>
      </c>
      <c r="J261" s="70" t="str">
        <f t="array" ref="J261">IF(ISNUMBER(AC261),INDEX('All Player Data Store'!$F$7:$F$594,SMALL(IF('All Player Data Store'!$Y$7:$Y$594=AC261,ROW('All Player Data Store'!$Y$7:$Y$594)-ROW('All Player Data Store'!$Y$7)+1),COUNTIF($AC$8:AC261,AC261))),"")</f>
        <v/>
      </c>
      <c r="K261" s="70" t="str">
        <f t="array" ref="K261">IF(ISNUMBER(AC261),INDEX('All Player Data Store'!$G$7:$G$594,SMALL(IF('All Player Data Store'!$Y$7:$Y$594=AC261,ROW('All Player Data Store'!$Y$7:$Y$594)-ROW('All Player Data Store'!$Y$7)+1),COUNTIF($AC$8:AC261,AC261))),"")</f>
        <v/>
      </c>
      <c r="L261" s="70" t="str">
        <f t="array" ref="L261">IF(ISNUMBER(AC261),INDEX('All Player Data Store'!$H$7:$H$594,SMALL(IF('All Player Data Store'!$Y$7:$Y$594=AC261,ROW('All Player Data Store'!$Y$7:$Y$594)-ROW('All Player Data Store'!$Y$7)+1),COUNTIF($AC$8:AC261,AC261))),"")</f>
        <v/>
      </c>
      <c r="M261" s="72" t="str">
        <f t="array" ref="M261">IF(ISNUMBER(AC261),INDEX('All Player Data Store'!$I$7:$I$594,SMALL(IF('All Player Data Store'!$Y$7:$Y$594=AC261,ROW('All Player Data Store'!$Y$7:$Y$594)-ROW('All Player Data Store'!$Y$7)+1),COUNTIF($AC$8:AC261,AC261))),"")</f>
        <v/>
      </c>
      <c r="N261" s="114" t="str">
        <f t="array" ref="N261">IF(ISNUMBER(AC261),INDEX('All Player Data Store'!$J$7:$J$594,SMALL(IF('All Player Data Store'!$Y$7:$Y$594=AC261,ROW('All Player Data Store'!$Y$7:$Y$594)-ROW('All Player Data Store'!$Y$7)+1),COUNTIF($AC$8:AC261,AC261))),"")</f>
        <v/>
      </c>
      <c r="O261" s="108" t="str">
        <f t="array" ref="O261">IF(ISNUMBER(AC261),INDEX('All Player Data Store'!$K$7:$K$594,SMALL(IF('All Player Data Store'!$Y$7:$Y$594=AC261,ROW('All Player Data Store'!$Y$7:$Y$594)-ROW('All Player Data Store'!$Y$7)+1),COUNTIF($AC$8:AC261,AC261))),"")</f>
        <v/>
      </c>
      <c r="P261" s="108" t="str">
        <f t="array" ref="P261">IF(ISNUMBER(AC261),INDEX('All Player Data Store'!$L$7:$L$594,SMALL(IF('All Player Data Store'!$Y$7:$Y$594=AC261,ROW('All Player Data Store'!$Y$7:$Y$594)-ROW('All Player Data Store'!$Y$7)+1),COUNTIF($AC$8:AC261,AC261))),"")</f>
        <v/>
      </c>
      <c r="Q261" s="108" t="str">
        <f t="array" ref="Q261">IF(ISNUMBER(AC261),INDEX('All Player Data Store'!$M$7:$M$594,SMALL(IF('All Player Data Store'!$Y$7:$Y$594=AC261,ROW('All Player Data Store'!$Y$7:$Y$594)-ROW('All Player Data Store'!$Y$7)+1),COUNTIF($AC$8:AC261,AC261))),"")</f>
        <v/>
      </c>
      <c r="R261" s="108" t="str">
        <f t="array" ref="R261">IF(ISNUMBER(AC261),INDEX('All Player Data Store'!$N$7:$N$594,SMALL(IF('All Player Data Store'!$Y$7:$Y$594=AC261,ROW('All Player Data Store'!$Y$7:$Y$594)-ROW('All Player Data Store'!$Y$7)+1),COUNTIF($AC$8:AC261,AC261))),"")</f>
        <v/>
      </c>
      <c r="S261" s="108" t="str">
        <f t="array" ref="S261">IF(ISNUMBER(AC261),INDEX('All Player Data Store'!$O$7:$O$594,SMALL(IF('All Player Data Store'!$Y$7:$Y$594=AC261,ROW('All Player Data Store'!$Y$7:$Y$594)-ROW('All Player Data Store'!$Y$7)+1),COUNTIF($AC$8:AC261,AC261))),"")</f>
        <v/>
      </c>
      <c r="T261" s="108" t="str">
        <f t="array" ref="T261">IF(ISNUMBER(AC261),INDEX('All Player Data Store'!$P$7:$P$594,SMALL(IF('All Player Data Store'!$Y$7:$Y$594=AC261,ROW('All Player Data Store'!$Y$7:$Y$594)-ROW('All Player Data Store'!$Y$7)+1),COUNTIF($AC$8:AC261,AC261))),"")</f>
        <v/>
      </c>
      <c r="U261" s="108" t="str">
        <f t="array" ref="U261">IF(ISNUMBER(AC261),INDEX('All Player Data Store'!$Q$7:$Q$594,SMALL(IF('All Player Data Store'!$Y$7:$Y$594=AC261,ROW('All Player Data Store'!$Y$7:$Y$594)-ROW('All Player Data Store'!$Y$7)+1),COUNTIF($AC$8:AC261,AC261))),"")</f>
        <v/>
      </c>
      <c r="V261" s="108" t="str">
        <f t="array" ref="V261">IF(ISNUMBER(AC261),INDEX('All Player Data Store'!$R$7:$R$594,SMALL(IF('All Player Data Store'!$Y$7:$Y$594=AC261,ROW('All Player Data Store'!$Y$7:$Y$594)-ROW('All Player Data Store'!$Y$7)+1),COUNTIF($AC$8:AC261,AC261))),"")</f>
        <v/>
      </c>
      <c r="W261" s="108" t="str">
        <f t="array" ref="W261">IF(ISNUMBER(AC261),INDEX('All Player Data Store'!$S$7:$S$594,SMALL(IF('All Player Data Store'!$Y$7:$Y$594=AC261,ROW('All Player Data Store'!$Y$7:$Y$594)-ROW('All Player Data Store'!$Y$7)+1),COUNTIF($AC$8:AC261,AC261))),"")</f>
        <v/>
      </c>
      <c r="X261" s="108" t="str">
        <f t="array" ref="X261">IF(ISNUMBER(AC261),INDEX('All Player Data Store'!$T$7:$T$594,SMALL(IF('All Player Data Store'!$Y$7:$Y$594=AC261,ROW('All Player Data Store'!$Y$7:$Y$594)-ROW('All Player Data Store'!$Y$7)+1),COUNTIF($AC$8:AC261,AC261))),"")</f>
        <v/>
      </c>
      <c r="Y261" s="108" t="str">
        <f t="array" ref="Y261">IF(ISNUMBER(AC261),INDEX('All Player Data Store'!$U$7:$U$594,SMALL(IF('All Player Data Store'!$Y$7:$Y$594=AC261,ROW('All Player Data Store'!$Y$7:$Y$594)-ROW('All Player Data Store'!$Y$7)+1),COUNTIF($AC$8:AC261,AC261))),"")</f>
        <v/>
      </c>
      <c r="Z261" s="108" t="str">
        <f t="array" ref="Z261">IF(ISNUMBER(AC261),INDEX('All Player Data Store'!$V$7:$V$594,SMALL(IF('All Player Data Store'!$Y$7:$Y$594=AC261,ROW('All Player Data Store'!$Y$7:$Y$594)-ROW('All Player Data Store'!$Y$7)+1),COUNTIF($AC$8:AC261,AC261))),"")</f>
        <v/>
      </c>
      <c r="AA261" s="112" t="str">
        <f t="array" ref="AA261">IF(ISNUMBER(AC261),INDEX('All Player Data Store'!$W$7:$W$594,SMALL(IF('All Player Data Store'!$Y$7:$Y$594=AC261,ROW('All Player Data Store'!$Y$7:$Y$594)-ROW('All Player Data Store'!$Y$7)+1),COUNTIF($AC$8:AC261,AC261))),"")</f>
        <v/>
      </c>
      <c r="AB261" s="108" t="str">
        <f t="array" ref="AB261">IF(ISNUMBER(AC261),INDEX('All Player Data Store'!$X$7:$X$594,SMALL(IF('All Player Data Store'!$Y$7:$Y$594=AC261,ROW('All Player Data Store'!$Y$7:$Y$594)-ROW('All Player Data Store'!$Y$7)+1),COUNTIF($AC$8:AC261,AC261))),"")</f>
        <v/>
      </c>
      <c r="AC261" s="115" t="str">
        <f>IF(ISERROR(IF(ISERROR(LARGE('All Player Data Store'!$Y$7:$Y$594,254)),"",(LARGE('All Player Data Store'!$Y$7:$Y$594,254)))),"",(IF(ISERROR(LARGE('All Player Data Store'!$Y$7:$Y$594,254)),"",(LARGE('All Player Data Store'!$Y$7:$Y$594,254)))))</f>
        <v/>
      </c>
      <c r="AD261" s="106">
        <f t="shared" si="16"/>
        <v>1</v>
      </c>
      <c r="AE261" s="107" t="str">
        <f t="array" ref="AE261">IF(ISNUMBER(AC261),INDEX('All Player Data Store'!$J$8:$J$594,SMALL(IF('All Player Data Store'!$Y$7:$Y$594=AC261,ROW('All Player Data Store'!$Y$7:$Y$594)-ROW('All Player Data Store'!$Y$7)+1),COUNTIF($AC$8:AC261,AC261))),"")</f>
        <v/>
      </c>
      <c r="AF261" s="108" t="str">
        <f t="shared" si="3"/>
        <v/>
      </c>
      <c r="AG261" s="108" t="str">
        <f t="array" ref="AG261">IF(ISNUMBER(AC261),INDEX('All Player Data Store'!$K$8:$K$594,SMALL(IF('All Player Data Store'!$Y$7:$Y$594=AC261,ROW('All Player Data Store'!$Y$7:$Y$594)-ROW('All Player Data Store'!$Y$7)+1),COUNTIF($AC$8:AC261,AC261))),"")</f>
        <v/>
      </c>
      <c r="AH261" s="108" t="str">
        <f t="shared" si="4"/>
        <v/>
      </c>
      <c r="AI261" s="108" t="str">
        <f t="array" ref="AI261">IF(ISNUMBER(AC261),INDEX('All Player Data Store'!$L$8:$L$594,SMALL(IF('All Player Data Store'!$Y$7:$Y$594=AC261,ROW('All Player Data Store'!$Y$7:$Y$594)-ROW('All Player Data Store'!$Y$7)+1),COUNTIF($AC$8:AC261,AC261))),"")</f>
        <v/>
      </c>
      <c r="AJ261" s="108" t="str">
        <f t="shared" si="5"/>
        <v/>
      </c>
      <c r="AK261" s="108" t="str">
        <f t="array" ref="AK261">IF(ISNUMBER(AC261),INDEX('All Player Data Store'!$M$8:$M$594,SMALL(IF('All Player Data Store'!$Y$7:$Y$594=AC261,ROW('All Player Data Store'!$Y$7:$Y$594)-ROW('All Player Data Store'!$Y$7)+1),COUNTIF($AC$8:AC261,AC261))),"")</f>
        <v/>
      </c>
      <c r="AL261" s="108" t="str">
        <f t="shared" si="6"/>
        <v/>
      </c>
      <c r="AM261" s="108" t="str">
        <f t="array" ref="AM261">IF(ISNUMBER(AC261),INDEX('All Player Data Store'!$N$8:$N$594,SMALL(IF('All Player Data Store'!$Y$7:$Y$594=AC261,ROW('All Player Data Store'!$Y$7:$Y$594)-ROW('All Player Data Store'!$Y$7)+1),COUNTIF($AC$8:AC261,AC261))),"")</f>
        <v/>
      </c>
      <c r="AN261" s="108" t="str">
        <f t="shared" si="7"/>
        <v/>
      </c>
      <c r="AO261" s="108" t="str">
        <f t="array" ref="AO261">IF(ISNUMBER(AC261),INDEX('All Player Data Store'!$O$8:$O$594,SMALL(IF('All Player Data Store'!$Y$7:$Y$594=AC261,ROW('All Player Data Store'!$Y$7:$Y$594)-ROW('All Player Data Store'!$Y$7)+1),COUNTIF($AC$8:AC261,AC261))),"")</f>
        <v/>
      </c>
      <c r="AP261" s="108" t="str">
        <f t="shared" si="8"/>
        <v/>
      </c>
      <c r="AQ261" s="108" t="str">
        <f t="array" ref="AQ261">IF(ISNUMBER(AC261),INDEX('All Player Data Store'!$P$8:$P$594,SMALL(IF('All Player Data Store'!$Y$7:$Y$594=AC261,ROW('All Player Data Store'!$Y$7:$Y$594)-ROW('All Player Data Store'!$Y$7)+1),COUNTIF($AC$8:AC261,AC261))),"")</f>
        <v/>
      </c>
      <c r="AR261" s="108" t="str">
        <f t="shared" si="9"/>
        <v/>
      </c>
      <c r="AS261" s="108" t="str">
        <f t="array" ref="AS261">IF(ISNUMBER(AC261),INDEX('All Player Data Store'!$Q$8:$Q$594,SMALL(IF('All Player Data Store'!$Y$7:$Y$594=AC261,ROW('All Player Data Store'!$Y$7:$Y$594)-ROW('All Player Data Store'!$Y$7)+1),COUNTIF($AC$8:AC261,AC261))),"")</f>
        <v/>
      </c>
      <c r="AT261" s="108" t="str">
        <f t="shared" si="10"/>
        <v/>
      </c>
      <c r="AU261" s="108" t="str">
        <f t="array" ref="AU261">IF(ISNUMBER(AC261),INDEX('All Player Data Store'!$R$8:$R$594,SMALL(IF('All Player Data Store'!$Y$7:$Y$594=AC261,ROW('All Player Data Store'!$Y$7:$Y$594)-ROW('All Player Data Store'!$Y$7)+1),COUNTIF($AC$8:AC261,AC261))),"")</f>
        <v/>
      </c>
      <c r="AV261" s="108" t="str">
        <f t="shared" si="11"/>
        <v/>
      </c>
      <c r="AW261" s="108" t="str">
        <f t="array" ref="AW261">IF(ISNUMBER(AC261),INDEX('All Player Data Store'!$S$8:$S$594,SMALL(IF('All Player Data Store'!$Y$7:$Y$594=AC261,ROW('All Player Data Store'!$Y$7:$Y$594)-ROW('All Player Data Store'!$Y$7)+1),COUNTIF($AC$8:AC261,AC261))),"")</f>
        <v/>
      </c>
      <c r="AX261" s="108" t="str">
        <f t="shared" si="12"/>
        <v/>
      </c>
      <c r="AY261" s="108" t="str">
        <f t="array" ref="AY261">IF(ISNUMBER(AC261),INDEX('All Player Data Store'!$T$8:$T$594,SMALL(IF('All Player Data Store'!$Y$7:$Y$594=AC261,ROW('All Player Data Store'!$Y$7:$Y$594)-ROW('All Player Data Store'!$Y$7)+1),COUNTIF($AC$8:AC261,AC261))),"")</f>
        <v/>
      </c>
      <c r="AZ261" s="108" t="str">
        <f t="shared" si="13"/>
        <v/>
      </c>
      <c r="BA261" s="108" t="str">
        <f t="array" ref="BA261">IF(ISNUMBER(AC261),INDEX('All Player Data Store'!$U$8:$U$594,SMALL(IF('All Player Data Store'!$Y$7:$Y$594=AC261,ROW('All Player Data Store'!$Y$7:$Y$594)-ROW('All Player Data Store'!$Y$7)+1),COUNTIF($AC$8:AC261,AC261))),"")</f>
        <v/>
      </c>
      <c r="BB261" s="108" t="str">
        <f t="shared" si="14"/>
        <v/>
      </c>
      <c r="BC261" s="108" t="str">
        <f t="array" ref="BC261">IF(ISNUMBER(AC261),INDEX('All Player Data Store'!$V$8:$V$594,SMALL(IF('All Player Data Store'!$Y$7:$Y$594=AC261,ROW('All Player Data Store'!$Y$7:$Y$594)-ROW('All Player Data Store'!$Y$7)+1),COUNTIF($AC$8:AC261,AC261))),"")</f>
        <v/>
      </c>
      <c r="BD261" s="108" t="str">
        <f t="shared" si="15"/>
        <v/>
      </c>
      <c r="BE261" s="1"/>
    </row>
    <row r="262" spans="2:57" ht="12" customHeight="1" x14ac:dyDescent="0.2">
      <c r="B262" s="118" t="str">
        <f t="shared" si="0"/>
        <v/>
      </c>
      <c r="C262" s="1"/>
      <c r="D262" s="68" t="str">
        <f t="shared" si="1"/>
        <v/>
      </c>
      <c r="E262" s="2"/>
      <c r="F262" s="78">
        <v>255</v>
      </c>
      <c r="G262" s="110" t="str">
        <f t="array" ref="G262">IF(ISNUMBER(AC262),INDEX('All Player Data Store'!$C$7:$C$594,SMALL(IF('All Player Data Store'!$Y$7:$Y$594=AC262,ROW('All Player Data Store'!$Y$7:$Y$594)-ROW('All Player Data Store'!$Y$7)+1),COUNTIF($AC$8:AC262,AC262))),"")</f>
        <v/>
      </c>
      <c r="H262" s="68" t="str">
        <f t="array" ref="H262">IF(ISNUMBER(AC262),INDEX('All Player Data Store'!$D$7:$D$594,SMALL(IF('All Player Data Store'!$Y$7:$Y$594=AC262,ROW('All Player Data Store'!$Y$7:$Y$594)-ROW('All Player Data Store'!$Y$7)+1),COUNTIF($AC$8:AC262,AC262))),"")</f>
        <v/>
      </c>
      <c r="I262" s="69" t="str">
        <f t="array" ref="I262">IF(ISNUMBER(AC262),INDEX('All Player Data Store'!$E$7:$E$594,SMALL(IF('All Player Data Store'!$Y$7:$Y$594=AC262,ROW('All Player Data Store'!$Y$7:$Y$594)-ROW('All Player Data Store'!$Y$7)+1),COUNTIF($AC$8:AC262,AC262))),"")</f>
        <v/>
      </c>
      <c r="J262" s="70" t="str">
        <f t="array" ref="J262">IF(ISNUMBER(AC262),INDEX('All Player Data Store'!$F$7:$F$594,SMALL(IF('All Player Data Store'!$Y$7:$Y$594=AC262,ROW('All Player Data Store'!$Y$7:$Y$594)-ROW('All Player Data Store'!$Y$7)+1),COUNTIF($AC$8:AC262,AC262))),"")</f>
        <v/>
      </c>
      <c r="K262" s="70" t="str">
        <f t="array" ref="K262">IF(ISNUMBER(AC262),INDEX('All Player Data Store'!$G$7:$G$594,SMALL(IF('All Player Data Store'!$Y$7:$Y$594=AC262,ROW('All Player Data Store'!$Y$7:$Y$594)-ROW('All Player Data Store'!$Y$7)+1),COUNTIF($AC$8:AC262,AC262))),"")</f>
        <v/>
      </c>
      <c r="L262" s="70" t="str">
        <f t="array" ref="L262">IF(ISNUMBER(AC262),INDEX('All Player Data Store'!$H$7:$H$594,SMALL(IF('All Player Data Store'!$Y$7:$Y$594=AC262,ROW('All Player Data Store'!$Y$7:$Y$594)-ROW('All Player Data Store'!$Y$7)+1),COUNTIF($AC$8:AC262,AC262))),"")</f>
        <v/>
      </c>
      <c r="M262" s="72" t="str">
        <f t="array" ref="M262">IF(ISNUMBER(AC262),INDEX('All Player Data Store'!$I$7:$I$594,SMALL(IF('All Player Data Store'!$Y$7:$Y$594=AC262,ROW('All Player Data Store'!$Y$7:$Y$594)-ROW('All Player Data Store'!$Y$7)+1),COUNTIF($AC$8:AC262,AC262))),"")</f>
        <v/>
      </c>
      <c r="N262" s="114" t="str">
        <f t="array" ref="N262">IF(ISNUMBER(AC262),INDEX('All Player Data Store'!$J$7:$J$594,SMALL(IF('All Player Data Store'!$Y$7:$Y$594=AC262,ROW('All Player Data Store'!$Y$7:$Y$594)-ROW('All Player Data Store'!$Y$7)+1),COUNTIF($AC$8:AC262,AC262))),"")</f>
        <v/>
      </c>
      <c r="O262" s="108" t="str">
        <f t="array" ref="O262">IF(ISNUMBER(AC262),INDEX('All Player Data Store'!$K$7:$K$594,SMALL(IF('All Player Data Store'!$Y$7:$Y$594=AC262,ROW('All Player Data Store'!$Y$7:$Y$594)-ROW('All Player Data Store'!$Y$7)+1),COUNTIF($AC$8:AC262,AC262))),"")</f>
        <v/>
      </c>
      <c r="P262" s="108" t="str">
        <f t="array" ref="P262">IF(ISNUMBER(AC262),INDEX('All Player Data Store'!$L$7:$L$594,SMALL(IF('All Player Data Store'!$Y$7:$Y$594=AC262,ROW('All Player Data Store'!$Y$7:$Y$594)-ROW('All Player Data Store'!$Y$7)+1),COUNTIF($AC$8:AC262,AC262))),"")</f>
        <v/>
      </c>
      <c r="Q262" s="108" t="str">
        <f t="array" ref="Q262">IF(ISNUMBER(AC262),INDEX('All Player Data Store'!$M$7:$M$594,SMALL(IF('All Player Data Store'!$Y$7:$Y$594=AC262,ROW('All Player Data Store'!$Y$7:$Y$594)-ROW('All Player Data Store'!$Y$7)+1),COUNTIF($AC$8:AC262,AC262))),"")</f>
        <v/>
      </c>
      <c r="R262" s="108" t="str">
        <f t="array" ref="R262">IF(ISNUMBER(AC262),INDEX('All Player Data Store'!$N$7:$N$594,SMALL(IF('All Player Data Store'!$Y$7:$Y$594=AC262,ROW('All Player Data Store'!$Y$7:$Y$594)-ROW('All Player Data Store'!$Y$7)+1),COUNTIF($AC$8:AC262,AC262))),"")</f>
        <v/>
      </c>
      <c r="S262" s="108" t="str">
        <f t="array" ref="S262">IF(ISNUMBER(AC262),INDEX('All Player Data Store'!$O$7:$O$594,SMALL(IF('All Player Data Store'!$Y$7:$Y$594=AC262,ROW('All Player Data Store'!$Y$7:$Y$594)-ROW('All Player Data Store'!$Y$7)+1),COUNTIF($AC$8:AC262,AC262))),"")</f>
        <v/>
      </c>
      <c r="T262" s="108" t="str">
        <f t="array" ref="T262">IF(ISNUMBER(AC262),INDEX('All Player Data Store'!$P$7:$P$594,SMALL(IF('All Player Data Store'!$Y$7:$Y$594=AC262,ROW('All Player Data Store'!$Y$7:$Y$594)-ROW('All Player Data Store'!$Y$7)+1),COUNTIF($AC$8:AC262,AC262))),"")</f>
        <v/>
      </c>
      <c r="U262" s="108" t="str">
        <f t="array" ref="U262">IF(ISNUMBER(AC262),INDEX('All Player Data Store'!$Q$7:$Q$594,SMALL(IF('All Player Data Store'!$Y$7:$Y$594=AC262,ROW('All Player Data Store'!$Y$7:$Y$594)-ROW('All Player Data Store'!$Y$7)+1),COUNTIF($AC$8:AC262,AC262))),"")</f>
        <v/>
      </c>
      <c r="V262" s="108" t="str">
        <f t="array" ref="V262">IF(ISNUMBER(AC262),INDEX('All Player Data Store'!$R$7:$R$594,SMALL(IF('All Player Data Store'!$Y$7:$Y$594=AC262,ROW('All Player Data Store'!$Y$7:$Y$594)-ROW('All Player Data Store'!$Y$7)+1),COUNTIF($AC$8:AC262,AC262))),"")</f>
        <v/>
      </c>
      <c r="W262" s="108" t="str">
        <f t="array" ref="W262">IF(ISNUMBER(AC262),INDEX('All Player Data Store'!$S$7:$S$594,SMALL(IF('All Player Data Store'!$Y$7:$Y$594=AC262,ROW('All Player Data Store'!$Y$7:$Y$594)-ROW('All Player Data Store'!$Y$7)+1),COUNTIF($AC$8:AC262,AC262))),"")</f>
        <v/>
      </c>
      <c r="X262" s="108" t="str">
        <f t="array" ref="X262">IF(ISNUMBER(AC262),INDEX('All Player Data Store'!$T$7:$T$594,SMALL(IF('All Player Data Store'!$Y$7:$Y$594=AC262,ROW('All Player Data Store'!$Y$7:$Y$594)-ROW('All Player Data Store'!$Y$7)+1),COUNTIF($AC$8:AC262,AC262))),"")</f>
        <v/>
      </c>
      <c r="Y262" s="108" t="str">
        <f t="array" ref="Y262">IF(ISNUMBER(AC262),INDEX('All Player Data Store'!$U$7:$U$594,SMALL(IF('All Player Data Store'!$Y$7:$Y$594=AC262,ROW('All Player Data Store'!$Y$7:$Y$594)-ROW('All Player Data Store'!$Y$7)+1),COUNTIF($AC$8:AC262,AC262))),"")</f>
        <v/>
      </c>
      <c r="Z262" s="108" t="str">
        <f t="array" ref="Z262">IF(ISNUMBER(AC262),INDEX('All Player Data Store'!$V$7:$V$594,SMALL(IF('All Player Data Store'!$Y$7:$Y$594=AC262,ROW('All Player Data Store'!$Y$7:$Y$594)-ROW('All Player Data Store'!$Y$7)+1),COUNTIF($AC$8:AC262,AC262))),"")</f>
        <v/>
      </c>
      <c r="AA262" s="112" t="str">
        <f t="array" ref="AA262">IF(ISNUMBER(AC262),INDEX('All Player Data Store'!$W$7:$W$594,SMALL(IF('All Player Data Store'!$Y$7:$Y$594=AC262,ROW('All Player Data Store'!$Y$7:$Y$594)-ROW('All Player Data Store'!$Y$7)+1),COUNTIF($AC$8:AC262,AC262))),"")</f>
        <v/>
      </c>
      <c r="AB262" s="108" t="str">
        <f t="array" ref="AB262">IF(ISNUMBER(AC262),INDEX('All Player Data Store'!$X$7:$X$594,SMALL(IF('All Player Data Store'!$Y$7:$Y$594=AC262,ROW('All Player Data Store'!$Y$7:$Y$594)-ROW('All Player Data Store'!$Y$7)+1),COUNTIF($AC$8:AC262,AC262))),"")</f>
        <v/>
      </c>
      <c r="AC262" s="115" t="str">
        <f>IF(ISERROR(IF(ISERROR(LARGE('All Player Data Store'!$Y$7:$Y$594,255)),"",(LARGE('All Player Data Store'!$Y$7:$Y$594,255)))),"",(IF(ISERROR(LARGE('All Player Data Store'!$Y$7:$Y$594,255)),"",(LARGE('All Player Data Store'!$Y$7:$Y$594,255)))))</f>
        <v/>
      </c>
      <c r="AD262" s="106">
        <f t="shared" si="16"/>
        <v>1</v>
      </c>
      <c r="AE262" s="107" t="str">
        <f t="array" ref="AE262">IF(ISNUMBER(AC262),INDEX('All Player Data Store'!$J$8:$J$594,SMALL(IF('All Player Data Store'!$Y$7:$Y$594=AC262,ROW('All Player Data Store'!$Y$7:$Y$594)-ROW('All Player Data Store'!$Y$7)+1),COUNTIF($AC$8:AC262,AC262))),"")</f>
        <v/>
      </c>
      <c r="AF262" s="108" t="str">
        <f t="shared" si="3"/>
        <v/>
      </c>
      <c r="AG262" s="108" t="str">
        <f t="array" ref="AG262">IF(ISNUMBER(AC262),INDEX('All Player Data Store'!$K$8:$K$594,SMALL(IF('All Player Data Store'!$Y$7:$Y$594=AC262,ROW('All Player Data Store'!$Y$7:$Y$594)-ROW('All Player Data Store'!$Y$7)+1),COUNTIF($AC$8:AC262,AC262))),"")</f>
        <v/>
      </c>
      <c r="AH262" s="108" t="str">
        <f t="shared" si="4"/>
        <v/>
      </c>
      <c r="AI262" s="108" t="str">
        <f t="array" ref="AI262">IF(ISNUMBER(AC262),INDEX('All Player Data Store'!$L$8:$L$594,SMALL(IF('All Player Data Store'!$Y$7:$Y$594=AC262,ROW('All Player Data Store'!$Y$7:$Y$594)-ROW('All Player Data Store'!$Y$7)+1),COUNTIF($AC$8:AC262,AC262))),"")</f>
        <v/>
      </c>
      <c r="AJ262" s="108" t="str">
        <f t="shared" si="5"/>
        <v/>
      </c>
      <c r="AK262" s="108" t="str">
        <f t="array" ref="AK262">IF(ISNUMBER(AC262),INDEX('All Player Data Store'!$M$8:$M$594,SMALL(IF('All Player Data Store'!$Y$7:$Y$594=AC262,ROW('All Player Data Store'!$Y$7:$Y$594)-ROW('All Player Data Store'!$Y$7)+1),COUNTIF($AC$8:AC262,AC262))),"")</f>
        <v/>
      </c>
      <c r="AL262" s="108" t="str">
        <f t="shared" si="6"/>
        <v/>
      </c>
      <c r="AM262" s="108" t="str">
        <f t="array" ref="AM262">IF(ISNUMBER(AC262),INDEX('All Player Data Store'!$N$8:$N$594,SMALL(IF('All Player Data Store'!$Y$7:$Y$594=AC262,ROW('All Player Data Store'!$Y$7:$Y$594)-ROW('All Player Data Store'!$Y$7)+1),COUNTIF($AC$8:AC262,AC262))),"")</f>
        <v/>
      </c>
      <c r="AN262" s="108" t="str">
        <f t="shared" si="7"/>
        <v/>
      </c>
      <c r="AO262" s="108" t="str">
        <f t="array" ref="AO262">IF(ISNUMBER(AC262),INDEX('All Player Data Store'!$O$8:$O$594,SMALL(IF('All Player Data Store'!$Y$7:$Y$594=AC262,ROW('All Player Data Store'!$Y$7:$Y$594)-ROW('All Player Data Store'!$Y$7)+1),COUNTIF($AC$8:AC262,AC262))),"")</f>
        <v/>
      </c>
      <c r="AP262" s="108" t="str">
        <f t="shared" si="8"/>
        <v/>
      </c>
      <c r="AQ262" s="108" t="str">
        <f t="array" ref="AQ262">IF(ISNUMBER(AC262),INDEX('All Player Data Store'!$P$8:$P$594,SMALL(IF('All Player Data Store'!$Y$7:$Y$594=AC262,ROW('All Player Data Store'!$Y$7:$Y$594)-ROW('All Player Data Store'!$Y$7)+1),COUNTIF($AC$8:AC262,AC262))),"")</f>
        <v/>
      </c>
      <c r="AR262" s="108" t="str">
        <f t="shared" si="9"/>
        <v/>
      </c>
      <c r="AS262" s="108" t="str">
        <f t="array" ref="AS262">IF(ISNUMBER(AC262),INDEX('All Player Data Store'!$Q$8:$Q$594,SMALL(IF('All Player Data Store'!$Y$7:$Y$594=AC262,ROW('All Player Data Store'!$Y$7:$Y$594)-ROW('All Player Data Store'!$Y$7)+1),COUNTIF($AC$8:AC262,AC262))),"")</f>
        <v/>
      </c>
      <c r="AT262" s="108" t="str">
        <f t="shared" si="10"/>
        <v/>
      </c>
      <c r="AU262" s="108" t="str">
        <f t="array" ref="AU262">IF(ISNUMBER(AC262),INDEX('All Player Data Store'!$R$8:$R$594,SMALL(IF('All Player Data Store'!$Y$7:$Y$594=AC262,ROW('All Player Data Store'!$Y$7:$Y$594)-ROW('All Player Data Store'!$Y$7)+1),COUNTIF($AC$8:AC262,AC262))),"")</f>
        <v/>
      </c>
      <c r="AV262" s="108" t="str">
        <f t="shared" si="11"/>
        <v/>
      </c>
      <c r="AW262" s="108" t="str">
        <f t="array" ref="AW262">IF(ISNUMBER(AC262),INDEX('All Player Data Store'!$S$8:$S$594,SMALL(IF('All Player Data Store'!$Y$7:$Y$594=AC262,ROW('All Player Data Store'!$Y$7:$Y$594)-ROW('All Player Data Store'!$Y$7)+1),COUNTIF($AC$8:AC262,AC262))),"")</f>
        <v/>
      </c>
      <c r="AX262" s="108" t="str">
        <f t="shared" si="12"/>
        <v/>
      </c>
      <c r="AY262" s="108" t="str">
        <f t="array" ref="AY262">IF(ISNUMBER(AC262),INDEX('All Player Data Store'!$T$8:$T$594,SMALL(IF('All Player Data Store'!$Y$7:$Y$594=AC262,ROW('All Player Data Store'!$Y$7:$Y$594)-ROW('All Player Data Store'!$Y$7)+1),COUNTIF($AC$8:AC262,AC262))),"")</f>
        <v/>
      </c>
      <c r="AZ262" s="108" t="str">
        <f t="shared" si="13"/>
        <v/>
      </c>
      <c r="BA262" s="108" t="str">
        <f t="array" ref="BA262">IF(ISNUMBER(AC262),INDEX('All Player Data Store'!$U$8:$U$594,SMALL(IF('All Player Data Store'!$Y$7:$Y$594=AC262,ROW('All Player Data Store'!$Y$7:$Y$594)-ROW('All Player Data Store'!$Y$7)+1),COUNTIF($AC$8:AC262,AC262))),"")</f>
        <v/>
      </c>
      <c r="BB262" s="108" t="str">
        <f t="shared" si="14"/>
        <v/>
      </c>
      <c r="BC262" s="108" t="str">
        <f t="array" ref="BC262">IF(ISNUMBER(AC262),INDEX('All Player Data Store'!$V$8:$V$594,SMALL(IF('All Player Data Store'!$Y$7:$Y$594=AC262,ROW('All Player Data Store'!$Y$7:$Y$594)-ROW('All Player Data Store'!$Y$7)+1),COUNTIF($AC$8:AC262,AC262))),"")</f>
        <v/>
      </c>
      <c r="BD262" s="108" t="str">
        <f t="shared" si="15"/>
        <v/>
      </c>
      <c r="BE262" s="1"/>
    </row>
    <row r="263" spans="2:57" ht="12" customHeight="1" x14ac:dyDescent="0.2">
      <c r="B263" s="118" t="str">
        <f t="shared" ref="B263:B343" si="17">IF(ISERROR(IF(((I263/15)*100)&gt;66,"Y","N")),"",(IF(((I263/15)*100)&gt;66,"Y","N")))</f>
        <v/>
      </c>
      <c r="C263" s="1"/>
      <c r="D263" s="68" t="str">
        <f t="shared" ref="D263:D343" si="18">IF(ISERROR(RANK(AC263,$AC$8:$AC$343)),"",(RANK(AC263,$AC$8:$AC$343)))</f>
        <v/>
      </c>
      <c r="E263" s="2"/>
      <c r="F263" s="78">
        <v>256</v>
      </c>
      <c r="G263" s="110" t="str">
        <f t="array" ref="G263">IF(ISNUMBER(AC263),INDEX('All Player Data Store'!$C$7:$C$594,SMALL(IF('All Player Data Store'!$Y$7:$Y$594=AC263,ROW('All Player Data Store'!$Y$7:$Y$594)-ROW('All Player Data Store'!$Y$7)+1),COUNTIF($AC$8:AC263,AC263))),"")</f>
        <v/>
      </c>
      <c r="H263" s="68" t="str">
        <f t="array" ref="H263">IF(ISNUMBER(AC263),INDEX('All Player Data Store'!$D$7:$D$594,SMALL(IF('All Player Data Store'!$Y$7:$Y$594=AC263,ROW('All Player Data Store'!$Y$7:$Y$594)-ROW('All Player Data Store'!$Y$7)+1),COUNTIF($AC$8:AC263,AC263))),"")</f>
        <v/>
      </c>
      <c r="I263" s="69" t="str">
        <f t="array" ref="I263">IF(ISNUMBER(AC263),INDEX('All Player Data Store'!$E$7:$E$594,SMALL(IF('All Player Data Store'!$Y$7:$Y$594=AC263,ROW('All Player Data Store'!$Y$7:$Y$594)-ROW('All Player Data Store'!$Y$7)+1),COUNTIF($AC$8:AC263,AC263))),"")</f>
        <v/>
      </c>
      <c r="J263" s="70" t="str">
        <f t="array" ref="J263">IF(ISNUMBER(AC263),INDEX('All Player Data Store'!$F$7:$F$594,SMALL(IF('All Player Data Store'!$Y$7:$Y$594=AC263,ROW('All Player Data Store'!$Y$7:$Y$594)-ROW('All Player Data Store'!$Y$7)+1),COUNTIF($AC$8:AC263,AC263))),"")</f>
        <v/>
      </c>
      <c r="K263" s="70" t="str">
        <f t="array" ref="K263">IF(ISNUMBER(AC263),INDEX('All Player Data Store'!$G$7:$G$594,SMALL(IF('All Player Data Store'!$Y$7:$Y$594=AC263,ROW('All Player Data Store'!$Y$7:$Y$594)-ROW('All Player Data Store'!$Y$7)+1),COUNTIF($AC$8:AC263,AC263))),"")</f>
        <v/>
      </c>
      <c r="L263" s="70" t="str">
        <f t="array" ref="L263">IF(ISNUMBER(AC263),INDEX('All Player Data Store'!$H$7:$H$594,SMALL(IF('All Player Data Store'!$Y$7:$Y$594=AC263,ROW('All Player Data Store'!$Y$7:$Y$594)-ROW('All Player Data Store'!$Y$7)+1),COUNTIF($AC$8:AC263,AC263))),"")</f>
        <v/>
      </c>
      <c r="M263" s="72" t="str">
        <f t="array" ref="M263">IF(ISNUMBER(AC263),INDEX('All Player Data Store'!$I$7:$I$594,SMALL(IF('All Player Data Store'!$Y$7:$Y$594=AC263,ROW('All Player Data Store'!$Y$7:$Y$594)-ROW('All Player Data Store'!$Y$7)+1),COUNTIF($AC$8:AC263,AC263))),"")</f>
        <v/>
      </c>
      <c r="N263" s="114" t="str">
        <f t="array" ref="N263">IF(ISNUMBER(AC263),INDEX('All Player Data Store'!$J$7:$J$594,SMALL(IF('All Player Data Store'!$Y$7:$Y$594=AC263,ROW('All Player Data Store'!$Y$7:$Y$594)-ROW('All Player Data Store'!$Y$7)+1),COUNTIF($AC$8:AC263,AC263))),"")</f>
        <v/>
      </c>
      <c r="O263" s="108" t="str">
        <f t="array" ref="O263">IF(ISNUMBER(AC263),INDEX('All Player Data Store'!$K$7:$K$594,SMALL(IF('All Player Data Store'!$Y$7:$Y$594=AC263,ROW('All Player Data Store'!$Y$7:$Y$594)-ROW('All Player Data Store'!$Y$7)+1),COUNTIF($AC$8:AC263,AC263))),"")</f>
        <v/>
      </c>
      <c r="P263" s="108" t="str">
        <f t="array" ref="P263">IF(ISNUMBER(AC263),INDEX('All Player Data Store'!$L$7:$L$594,SMALL(IF('All Player Data Store'!$Y$7:$Y$594=AC263,ROW('All Player Data Store'!$Y$7:$Y$594)-ROW('All Player Data Store'!$Y$7)+1),COUNTIF($AC$8:AC263,AC263))),"")</f>
        <v/>
      </c>
      <c r="Q263" s="108" t="str">
        <f t="array" ref="Q263">IF(ISNUMBER(AC263),INDEX('All Player Data Store'!$M$7:$M$594,SMALL(IF('All Player Data Store'!$Y$7:$Y$594=AC263,ROW('All Player Data Store'!$Y$7:$Y$594)-ROW('All Player Data Store'!$Y$7)+1),COUNTIF($AC$8:AC263,AC263))),"")</f>
        <v/>
      </c>
      <c r="R263" s="108" t="str">
        <f t="array" ref="R263">IF(ISNUMBER(AC263),INDEX('All Player Data Store'!$N$7:$N$594,SMALL(IF('All Player Data Store'!$Y$7:$Y$594=AC263,ROW('All Player Data Store'!$Y$7:$Y$594)-ROW('All Player Data Store'!$Y$7)+1),COUNTIF($AC$8:AC263,AC263))),"")</f>
        <v/>
      </c>
      <c r="S263" s="108" t="str">
        <f t="array" ref="S263">IF(ISNUMBER(AC263),INDEX('All Player Data Store'!$O$7:$O$594,SMALL(IF('All Player Data Store'!$Y$7:$Y$594=AC263,ROW('All Player Data Store'!$Y$7:$Y$594)-ROW('All Player Data Store'!$Y$7)+1),COUNTIF($AC$8:AC263,AC263))),"")</f>
        <v/>
      </c>
      <c r="T263" s="108" t="str">
        <f t="array" ref="T263">IF(ISNUMBER(AC263),INDEX('All Player Data Store'!$P$7:$P$594,SMALL(IF('All Player Data Store'!$Y$7:$Y$594=AC263,ROW('All Player Data Store'!$Y$7:$Y$594)-ROW('All Player Data Store'!$Y$7)+1),COUNTIF($AC$8:AC263,AC263))),"")</f>
        <v/>
      </c>
      <c r="U263" s="108" t="str">
        <f t="array" ref="U263">IF(ISNUMBER(AC263),INDEX('All Player Data Store'!$Q$7:$Q$594,SMALL(IF('All Player Data Store'!$Y$7:$Y$594=AC263,ROW('All Player Data Store'!$Y$7:$Y$594)-ROW('All Player Data Store'!$Y$7)+1),COUNTIF($AC$8:AC263,AC263))),"")</f>
        <v/>
      </c>
      <c r="V263" s="108" t="str">
        <f t="array" ref="V263">IF(ISNUMBER(AC263),INDEX('All Player Data Store'!$R$7:$R$594,SMALL(IF('All Player Data Store'!$Y$7:$Y$594=AC263,ROW('All Player Data Store'!$Y$7:$Y$594)-ROW('All Player Data Store'!$Y$7)+1),COUNTIF($AC$8:AC263,AC263))),"")</f>
        <v/>
      </c>
      <c r="W263" s="108" t="str">
        <f t="array" ref="W263">IF(ISNUMBER(AC263),INDEX('All Player Data Store'!$S$7:$S$594,SMALL(IF('All Player Data Store'!$Y$7:$Y$594=AC263,ROW('All Player Data Store'!$Y$7:$Y$594)-ROW('All Player Data Store'!$Y$7)+1),COUNTIF($AC$8:AC263,AC263))),"")</f>
        <v/>
      </c>
      <c r="X263" s="108" t="str">
        <f t="array" ref="X263">IF(ISNUMBER(AC263),INDEX('All Player Data Store'!$T$7:$T$594,SMALL(IF('All Player Data Store'!$Y$7:$Y$594=AC263,ROW('All Player Data Store'!$Y$7:$Y$594)-ROW('All Player Data Store'!$Y$7)+1),COUNTIF($AC$8:AC263,AC263))),"")</f>
        <v/>
      </c>
      <c r="Y263" s="108" t="str">
        <f t="array" ref="Y263">IF(ISNUMBER(AC263),INDEX('All Player Data Store'!$U$7:$U$594,SMALL(IF('All Player Data Store'!$Y$7:$Y$594=AC263,ROW('All Player Data Store'!$Y$7:$Y$594)-ROW('All Player Data Store'!$Y$7)+1),COUNTIF($AC$8:AC263,AC263))),"")</f>
        <v/>
      </c>
      <c r="Z263" s="108" t="str">
        <f t="array" ref="Z263">IF(ISNUMBER(AC263),INDEX('All Player Data Store'!$V$7:$V$594,SMALL(IF('All Player Data Store'!$Y$7:$Y$594=AC263,ROW('All Player Data Store'!$Y$7:$Y$594)-ROW('All Player Data Store'!$Y$7)+1),COUNTIF($AC$8:AC263,AC263))),"")</f>
        <v/>
      </c>
      <c r="AA263" s="112" t="str">
        <f t="array" ref="AA263">IF(ISNUMBER(AC263),INDEX('All Player Data Store'!$W$7:$W$594,SMALL(IF('All Player Data Store'!$Y$7:$Y$594=AC263,ROW('All Player Data Store'!$Y$7:$Y$594)-ROW('All Player Data Store'!$Y$7)+1),COUNTIF($AC$8:AC263,AC263))),"")</f>
        <v/>
      </c>
      <c r="AB263" s="108" t="str">
        <f t="array" ref="AB263">IF(ISNUMBER(AC263),INDEX('All Player Data Store'!$X$7:$X$594,SMALL(IF('All Player Data Store'!$Y$7:$Y$594=AC263,ROW('All Player Data Store'!$Y$7:$Y$594)-ROW('All Player Data Store'!$Y$7)+1),COUNTIF($AC$8:AC263,AC263))),"")</f>
        <v/>
      </c>
      <c r="AC263" s="115" t="str">
        <f>IF(ISERROR(IF(ISERROR(LARGE('All Player Data Store'!$Y$7:$Y$594,256)),"",(LARGE('All Player Data Store'!$Y$7:$Y$594,256)))),"",(IF(ISERROR(LARGE('All Player Data Store'!$Y$7:$Y$594,256)),"",(LARGE('All Player Data Store'!$Y$7:$Y$594,256)))))</f>
        <v/>
      </c>
      <c r="AD263" s="106">
        <f t="shared" si="16"/>
        <v>1</v>
      </c>
      <c r="AE263" s="107" t="str">
        <f t="array" ref="AE263">IF(ISNUMBER(AC263),INDEX('All Player Data Store'!$J$8:$J$594,SMALL(IF('All Player Data Store'!$Y$7:$Y$594=AC263,ROW('All Player Data Store'!$Y$7:$Y$594)-ROW('All Player Data Store'!$Y$7)+1),COUNTIF($AC$8:AC263,AC263))),"")</f>
        <v/>
      </c>
      <c r="AF263" s="108" t="str">
        <f t="shared" ref="AF263:AF343" si="19">IF(LEFT(AE263,1)="4",N263+1,N263)</f>
        <v/>
      </c>
      <c r="AG263" s="108" t="str">
        <f t="array" ref="AG263">IF(ISNUMBER(AC263),INDEX('All Player Data Store'!$K$8:$K$594,SMALL(IF('All Player Data Store'!$Y$7:$Y$594=AC263,ROW('All Player Data Store'!$Y$7:$Y$594)-ROW('All Player Data Store'!$Y$7)+1),COUNTIF($AC$8:AC263,AC263))),"")</f>
        <v/>
      </c>
      <c r="AH263" s="108" t="str">
        <f t="shared" ref="AH263:AH343" si="20">IF(LEFT(AG263,1)="4",O263+1,O263)</f>
        <v/>
      </c>
      <c r="AI263" s="108" t="str">
        <f t="array" ref="AI263">IF(ISNUMBER(AC263),INDEX('All Player Data Store'!$L$8:$L$594,SMALL(IF('All Player Data Store'!$Y$7:$Y$594=AC263,ROW('All Player Data Store'!$Y$7:$Y$594)-ROW('All Player Data Store'!$Y$7)+1),COUNTIF($AC$8:AC263,AC263))),"")</f>
        <v/>
      </c>
      <c r="AJ263" s="108" t="str">
        <f t="shared" ref="AJ263:AJ343" si="21">IF(LEFT(AI263,1)="4",P263+1,P263)</f>
        <v/>
      </c>
      <c r="AK263" s="108" t="str">
        <f t="array" ref="AK263">IF(ISNUMBER(AC263),INDEX('All Player Data Store'!$M$8:$M$594,SMALL(IF('All Player Data Store'!$Y$7:$Y$594=AC263,ROW('All Player Data Store'!$Y$7:$Y$594)-ROW('All Player Data Store'!$Y$7)+1),COUNTIF($AC$8:AC263,AC263))),"")</f>
        <v/>
      </c>
      <c r="AL263" s="108" t="str">
        <f t="shared" ref="AL263:AL343" si="22">IF(LEFT(AK263,1)="4",Q263+1,Q263)</f>
        <v/>
      </c>
      <c r="AM263" s="108" t="str">
        <f t="array" ref="AM263">IF(ISNUMBER(AC263),INDEX('All Player Data Store'!$N$8:$N$594,SMALL(IF('All Player Data Store'!$Y$7:$Y$594=AC263,ROW('All Player Data Store'!$Y$7:$Y$594)-ROW('All Player Data Store'!$Y$7)+1),COUNTIF($AC$8:AC263,AC263))),"")</f>
        <v/>
      </c>
      <c r="AN263" s="108" t="str">
        <f t="shared" ref="AN263:AN343" si="23">IF(LEFT(AM263,1)="4",R263+1,R263)</f>
        <v/>
      </c>
      <c r="AO263" s="108" t="str">
        <f t="array" ref="AO263">IF(ISNUMBER(AC263),INDEX('All Player Data Store'!$O$8:$O$594,SMALL(IF('All Player Data Store'!$Y$7:$Y$594=AC263,ROW('All Player Data Store'!$Y$7:$Y$594)-ROW('All Player Data Store'!$Y$7)+1),COUNTIF($AC$8:AC263,AC263))),"")</f>
        <v/>
      </c>
      <c r="AP263" s="108" t="str">
        <f t="shared" ref="AP263:AP343" si="24">IF(LEFT(AO263,1)="4",S263+1,S263)</f>
        <v/>
      </c>
      <c r="AQ263" s="108" t="str">
        <f t="array" ref="AQ263">IF(ISNUMBER(AC263),INDEX('All Player Data Store'!$P$8:$P$594,SMALL(IF('All Player Data Store'!$Y$7:$Y$594=AC263,ROW('All Player Data Store'!$Y$7:$Y$594)-ROW('All Player Data Store'!$Y$7)+1),COUNTIF($AC$8:AC263,AC263))),"")</f>
        <v/>
      </c>
      <c r="AR263" s="108" t="str">
        <f t="shared" ref="AR263:AR343" si="25">IF(LEFT(AQ263,1)="4",T263+1,T263)</f>
        <v/>
      </c>
      <c r="AS263" s="108" t="str">
        <f t="array" ref="AS263">IF(ISNUMBER(AC263),INDEX('All Player Data Store'!$Q$8:$Q$594,SMALL(IF('All Player Data Store'!$Y$7:$Y$594=AC263,ROW('All Player Data Store'!$Y$7:$Y$594)-ROW('All Player Data Store'!$Y$7)+1),COUNTIF($AC$8:AC263,AC263))),"")</f>
        <v/>
      </c>
      <c r="AT263" s="108" t="str">
        <f t="shared" ref="AT263:AT343" si="26">IF(LEFT(AS263,1)="4",U263+1,U263)</f>
        <v/>
      </c>
      <c r="AU263" s="108" t="str">
        <f t="array" ref="AU263">IF(ISNUMBER(AC263),INDEX('All Player Data Store'!$R$8:$R$594,SMALL(IF('All Player Data Store'!$Y$7:$Y$594=AC263,ROW('All Player Data Store'!$Y$7:$Y$594)-ROW('All Player Data Store'!$Y$7)+1),COUNTIF($AC$8:AC263,AC263))),"")</f>
        <v/>
      </c>
      <c r="AV263" s="108" t="str">
        <f t="shared" ref="AV263:AV343" si="27">IF(LEFT(AU263,1)="4",V263+1,V263)</f>
        <v/>
      </c>
      <c r="AW263" s="108" t="str">
        <f t="array" ref="AW263">IF(ISNUMBER(AC263),INDEX('All Player Data Store'!$S$8:$S$594,SMALL(IF('All Player Data Store'!$Y$7:$Y$594=AC263,ROW('All Player Data Store'!$Y$7:$Y$594)-ROW('All Player Data Store'!$Y$7)+1),COUNTIF($AC$8:AC263,AC263))),"")</f>
        <v/>
      </c>
      <c r="AX263" s="108" t="str">
        <f t="shared" ref="AX263:AX343" si="28">IF(LEFT(AW263,1)="4",W263+1,W263)</f>
        <v/>
      </c>
      <c r="AY263" s="108" t="str">
        <f t="array" ref="AY263">IF(ISNUMBER(AC263),INDEX('All Player Data Store'!$T$8:$T$594,SMALL(IF('All Player Data Store'!$Y$7:$Y$594=AC263,ROW('All Player Data Store'!$Y$7:$Y$594)-ROW('All Player Data Store'!$Y$7)+1),COUNTIF($AC$8:AC263,AC263))),"")</f>
        <v/>
      </c>
      <c r="AZ263" s="108" t="str">
        <f t="shared" ref="AZ263:AZ343" si="29">IF(LEFT(AY263,1)="4",X263+1,X263)</f>
        <v/>
      </c>
      <c r="BA263" s="108" t="str">
        <f t="array" ref="BA263">IF(ISNUMBER(AC263),INDEX('All Player Data Store'!$U$8:$U$594,SMALL(IF('All Player Data Store'!$Y$7:$Y$594=AC263,ROW('All Player Data Store'!$Y$7:$Y$594)-ROW('All Player Data Store'!$Y$7)+1),COUNTIF($AC$8:AC263,AC263))),"")</f>
        <v/>
      </c>
      <c r="BB263" s="108" t="str">
        <f t="shared" ref="BB263:BB343" si="30">IF(LEFT(BA263,1)="4",Y263+1,Y263)</f>
        <v/>
      </c>
      <c r="BC263" s="108" t="str">
        <f t="array" ref="BC263">IF(ISNUMBER(AC263),INDEX('All Player Data Store'!$V$8:$V$594,SMALL(IF('All Player Data Store'!$Y$7:$Y$594=AC263,ROW('All Player Data Store'!$Y$7:$Y$594)-ROW('All Player Data Store'!$Y$7)+1),COUNTIF($AC$8:AC263,AC263))),"")</f>
        <v/>
      </c>
      <c r="BD263" s="108" t="str">
        <f t="shared" ref="BD263:BD343" si="31">IF(LEFT(BC263,1)="4",Z263+1,Z263)</f>
        <v/>
      </c>
      <c r="BE263" s="1"/>
    </row>
    <row r="264" spans="2:57" ht="12" customHeight="1" x14ac:dyDescent="0.2">
      <c r="B264" s="118" t="str">
        <f t="shared" si="17"/>
        <v/>
      </c>
      <c r="C264" s="1"/>
      <c r="D264" s="68" t="str">
        <f t="shared" si="18"/>
        <v/>
      </c>
      <c r="E264" s="2"/>
      <c r="F264" s="78">
        <v>257</v>
      </c>
      <c r="G264" s="110" t="str">
        <f t="array" ref="G264">IF(ISNUMBER(AC264),INDEX('All Player Data Store'!$C$7:$C$594,SMALL(IF('All Player Data Store'!$Y$7:$Y$594=AC264,ROW('All Player Data Store'!$Y$7:$Y$594)-ROW('All Player Data Store'!$Y$7)+1),COUNTIF($AC$8:AC264,AC264))),"")</f>
        <v/>
      </c>
      <c r="H264" s="68" t="str">
        <f t="array" ref="H264">IF(ISNUMBER(AC264),INDEX('All Player Data Store'!$D$7:$D$594,SMALL(IF('All Player Data Store'!$Y$7:$Y$594=AC264,ROW('All Player Data Store'!$Y$7:$Y$594)-ROW('All Player Data Store'!$Y$7)+1),COUNTIF($AC$8:AC264,AC264))),"")</f>
        <v/>
      </c>
      <c r="I264" s="69" t="str">
        <f t="array" ref="I264">IF(ISNUMBER(AC264),INDEX('All Player Data Store'!$E$7:$E$594,SMALL(IF('All Player Data Store'!$Y$7:$Y$594=AC264,ROW('All Player Data Store'!$Y$7:$Y$594)-ROW('All Player Data Store'!$Y$7)+1),COUNTIF($AC$8:AC264,AC264))),"")</f>
        <v/>
      </c>
      <c r="J264" s="70" t="str">
        <f t="array" ref="J264">IF(ISNUMBER(AC264),INDEX('All Player Data Store'!$F$7:$F$594,SMALL(IF('All Player Data Store'!$Y$7:$Y$594=AC264,ROW('All Player Data Store'!$Y$7:$Y$594)-ROW('All Player Data Store'!$Y$7)+1),COUNTIF($AC$8:AC264,AC264))),"")</f>
        <v/>
      </c>
      <c r="K264" s="70" t="str">
        <f t="array" ref="K264">IF(ISNUMBER(AC264),INDEX('All Player Data Store'!$G$7:$G$594,SMALL(IF('All Player Data Store'!$Y$7:$Y$594=AC264,ROW('All Player Data Store'!$Y$7:$Y$594)-ROW('All Player Data Store'!$Y$7)+1),COUNTIF($AC$8:AC264,AC264))),"")</f>
        <v/>
      </c>
      <c r="L264" s="70" t="str">
        <f t="array" ref="L264">IF(ISNUMBER(AC264),INDEX('All Player Data Store'!$H$7:$H$594,SMALL(IF('All Player Data Store'!$Y$7:$Y$594=AC264,ROW('All Player Data Store'!$Y$7:$Y$594)-ROW('All Player Data Store'!$Y$7)+1),COUNTIF($AC$8:AC264,AC264))),"")</f>
        <v/>
      </c>
      <c r="M264" s="72" t="str">
        <f t="array" ref="M264">IF(ISNUMBER(AC264),INDEX('All Player Data Store'!$I$7:$I$594,SMALL(IF('All Player Data Store'!$Y$7:$Y$594=AC264,ROW('All Player Data Store'!$Y$7:$Y$594)-ROW('All Player Data Store'!$Y$7)+1),COUNTIF($AC$8:AC264,AC264))),"")</f>
        <v/>
      </c>
      <c r="N264" s="114" t="str">
        <f t="array" ref="N264">IF(ISNUMBER(AC264),INDEX('All Player Data Store'!$J$7:$J$594,SMALL(IF('All Player Data Store'!$Y$7:$Y$594=AC264,ROW('All Player Data Store'!$Y$7:$Y$594)-ROW('All Player Data Store'!$Y$7)+1),COUNTIF($AC$8:AC264,AC264))),"")</f>
        <v/>
      </c>
      <c r="O264" s="108" t="str">
        <f t="array" ref="O264">IF(ISNUMBER(AC264),INDEX('All Player Data Store'!$K$7:$K$594,SMALL(IF('All Player Data Store'!$Y$7:$Y$594=AC264,ROW('All Player Data Store'!$Y$7:$Y$594)-ROW('All Player Data Store'!$Y$7)+1),COUNTIF($AC$8:AC264,AC264))),"")</f>
        <v/>
      </c>
      <c r="P264" s="108" t="str">
        <f t="array" ref="P264">IF(ISNUMBER(AC264),INDEX('All Player Data Store'!$L$7:$L$594,SMALL(IF('All Player Data Store'!$Y$7:$Y$594=AC264,ROW('All Player Data Store'!$Y$7:$Y$594)-ROW('All Player Data Store'!$Y$7)+1),COUNTIF($AC$8:AC264,AC264))),"")</f>
        <v/>
      </c>
      <c r="Q264" s="108" t="str">
        <f t="array" ref="Q264">IF(ISNUMBER(AC264),INDEX('All Player Data Store'!$M$7:$M$594,SMALL(IF('All Player Data Store'!$Y$7:$Y$594=AC264,ROW('All Player Data Store'!$Y$7:$Y$594)-ROW('All Player Data Store'!$Y$7)+1),COUNTIF($AC$8:AC264,AC264))),"")</f>
        <v/>
      </c>
      <c r="R264" s="108" t="str">
        <f t="array" ref="R264">IF(ISNUMBER(AC264),INDEX('All Player Data Store'!$N$7:$N$594,SMALL(IF('All Player Data Store'!$Y$7:$Y$594=AC264,ROW('All Player Data Store'!$Y$7:$Y$594)-ROW('All Player Data Store'!$Y$7)+1),COUNTIF($AC$8:AC264,AC264))),"")</f>
        <v/>
      </c>
      <c r="S264" s="108" t="str">
        <f t="array" ref="S264">IF(ISNUMBER(AC264),INDEX('All Player Data Store'!$O$7:$O$594,SMALL(IF('All Player Data Store'!$Y$7:$Y$594=AC264,ROW('All Player Data Store'!$Y$7:$Y$594)-ROW('All Player Data Store'!$Y$7)+1),COUNTIF($AC$8:AC264,AC264))),"")</f>
        <v/>
      </c>
      <c r="T264" s="108" t="str">
        <f t="array" ref="T264">IF(ISNUMBER(AC264),INDEX('All Player Data Store'!$P$7:$P$594,SMALL(IF('All Player Data Store'!$Y$7:$Y$594=AC264,ROW('All Player Data Store'!$Y$7:$Y$594)-ROW('All Player Data Store'!$Y$7)+1),COUNTIF($AC$8:AC264,AC264))),"")</f>
        <v/>
      </c>
      <c r="U264" s="108" t="str">
        <f t="array" ref="U264">IF(ISNUMBER(AC264),INDEX('All Player Data Store'!$Q$7:$Q$594,SMALL(IF('All Player Data Store'!$Y$7:$Y$594=AC264,ROW('All Player Data Store'!$Y$7:$Y$594)-ROW('All Player Data Store'!$Y$7)+1),COUNTIF($AC$8:AC264,AC264))),"")</f>
        <v/>
      </c>
      <c r="V264" s="108" t="str">
        <f t="array" ref="V264">IF(ISNUMBER(AC264),INDEX('All Player Data Store'!$R$7:$R$594,SMALL(IF('All Player Data Store'!$Y$7:$Y$594=AC264,ROW('All Player Data Store'!$Y$7:$Y$594)-ROW('All Player Data Store'!$Y$7)+1),COUNTIF($AC$8:AC264,AC264))),"")</f>
        <v/>
      </c>
      <c r="W264" s="108" t="str">
        <f t="array" ref="W264">IF(ISNUMBER(AC264),INDEX('All Player Data Store'!$S$7:$S$594,SMALL(IF('All Player Data Store'!$Y$7:$Y$594=AC264,ROW('All Player Data Store'!$Y$7:$Y$594)-ROW('All Player Data Store'!$Y$7)+1),COUNTIF($AC$8:AC264,AC264))),"")</f>
        <v/>
      </c>
      <c r="X264" s="108" t="str">
        <f t="array" ref="X264">IF(ISNUMBER(AC264),INDEX('All Player Data Store'!$T$7:$T$594,SMALL(IF('All Player Data Store'!$Y$7:$Y$594=AC264,ROW('All Player Data Store'!$Y$7:$Y$594)-ROW('All Player Data Store'!$Y$7)+1),COUNTIF($AC$8:AC264,AC264))),"")</f>
        <v/>
      </c>
      <c r="Y264" s="108" t="str">
        <f t="array" ref="Y264">IF(ISNUMBER(AC264),INDEX('All Player Data Store'!$U$7:$U$594,SMALL(IF('All Player Data Store'!$Y$7:$Y$594=AC264,ROW('All Player Data Store'!$Y$7:$Y$594)-ROW('All Player Data Store'!$Y$7)+1),COUNTIF($AC$8:AC264,AC264))),"")</f>
        <v/>
      </c>
      <c r="Z264" s="108" t="str">
        <f t="array" ref="Z264">IF(ISNUMBER(AC264),INDEX('All Player Data Store'!$V$7:$V$594,SMALL(IF('All Player Data Store'!$Y$7:$Y$594=AC264,ROW('All Player Data Store'!$Y$7:$Y$594)-ROW('All Player Data Store'!$Y$7)+1),COUNTIF($AC$8:AC264,AC264))),"")</f>
        <v/>
      </c>
      <c r="AA264" s="112" t="str">
        <f t="array" ref="AA264">IF(ISNUMBER(AC264),INDEX('All Player Data Store'!$W$7:$W$594,SMALL(IF('All Player Data Store'!$Y$7:$Y$594=AC264,ROW('All Player Data Store'!$Y$7:$Y$594)-ROW('All Player Data Store'!$Y$7)+1),COUNTIF($AC$8:AC264,AC264))),"")</f>
        <v/>
      </c>
      <c r="AB264" s="108" t="str">
        <f t="array" ref="AB264">IF(ISNUMBER(AC264),INDEX('All Player Data Store'!$X$7:$X$594,SMALL(IF('All Player Data Store'!$Y$7:$Y$594=AC264,ROW('All Player Data Store'!$Y$7:$Y$594)-ROW('All Player Data Store'!$Y$7)+1),COUNTIF($AC$8:AC264,AC264))),"")</f>
        <v/>
      </c>
      <c r="AC264" s="115" t="str">
        <f>IF(ISERROR(IF(ISERROR(LARGE('All Player Data Store'!$Y$7:$Y$594,257)),"",(LARGE('All Player Data Store'!$Y$7:$Y$594,257)))),"",(IF(ISERROR(LARGE('All Player Data Store'!$Y$7:$Y$594,257)),"",(LARGE('All Player Data Store'!$Y$7:$Y$594,257)))))</f>
        <v/>
      </c>
      <c r="AD264" s="106">
        <f t="shared" si="16"/>
        <v>1</v>
      </c>
      <c r="AE264" s="107" t="str">
        <f t="array" ref="AE264">IF(ISNUMBER(AC264),INDEX('All Player Data Store'!$J$8:$J$594,SMALL(IF('All Player Data Store'!$Y$7:$Y$594=AC264,ROW('All Player Data Store'!$Y$7:$Y$594)-ROW('All Player Data Store'!$Y$7)+1),COUNTIF($AC$8:AC264,AC264))),"")</f>
        <v/>
      </c>
      <c r="AF264" s="108" t="str">
        <f t="shared" si="19"/>
        <v/>
      </c>
      <c r="AG264" s="108" t="str">
        <f t="array" ref="AG264">IF(ISNUMBER(AC264),INDEX('All Player Data Store'!$K$8:$K$594,SMALL(IF('All Player Data Store'!$Y$7:$Y$594=AC264,ROW('All Player Data Store'!$Y$7:$Y$594)-ROW('All Player Data Store'!$Y$7)+1),COUNTIF($AC$8:AC264,AC264))),"")</f>
        <v/>
      </c>
      <c r="AH264" s="108" t="str">
        <f t="shared" si="20"/>
        <v/>
      </c>
      <c r="AI264" s="108" t="str">
        <f t="array" ref="AI264">IF(ISNUMBER(AC264),INDEX('All Player Data Store'!$L$8:$L$594,SMALL(IF('All Player Data Store'!$Y$7:$Y$594=AC264,ROW('All Player Data Store'!$Y$7:$Y$594)-ROW('All Player Data Store'!$Y$7)+1),COUNTIF($AC$8:AC264,AC264))),"")</f>
        <v/>
      </c>
      <c r="AJ264" s="108" t="str">
        <f t="shared" si="21"/>
        <v/>
      </c>
      <c r="AK264" s="108" t="str">
        <f t="array" ref="AK264">IF(ISNUMBER(AC264),INDEX('All Player Data Store'!$M$8:$M$594,SMALL(IF('All Player Data Store'!$Y$7:$Y$594=AC264,ROW('All Player Data Store'!$Y$7:$Y$594)-ROW('All Player Data Store'!$Y$7)+1),COUNTIF($AC$8:AC264,AC264))),"")</f>
        <v/>
      </c>
      <c r="AL264" s="108" t="str">
        <f t="shared" si="22"/>
        <v/>
      </c>
      <c r="AM264" s="108" t="str">
        <f t="array" ref="AM264">IF(ISNUMBER(AC264),INDEX('All Player Data Store'!$N$8:$N$594,SMALL(IF('All Player Data Store'!$Y$7:$Y$594=AC264,ROW('All Player Data Store'!$Y$7:$Y$594)-ROW('All Player Data Store'!$Y$7)+1),COUNTIF($AC$8:AC264,AC264))),"")</f>
        <v/>
      </c>
      <c r="AN264" s="108" t="str">
        <f t="shared" si="23"/>
        <v/>
      </c>
      <c r="AO264" s="108" t="str">
        <f t="array" ref="AO264">IF(ISNUMBER(AC264),INDEX('All Player Data Store'!$O$8:$O$594,SMALL(IF('All Player Data Store'!$Y$7:$Y$594=AC264,ROW('All Player Data Store'!$Y$7:$Y$594)-ROW('All Player Data Store'!$Y$7)+1),COUNTIF($AC$8:AC264,AC264))),"")</f>
        <v/>
      </c>
      <c r="AP264" s="108" t="str">
        <f t="shared" si="24"/>
        <v/>
      </c>
      <c r="AQ264" s="108" t="str">
        <f t="array" ref="AQ264">IF(ISNUMBER(AC264),INDEX('All Player Data Store'!$P$8:$P$594,SMALL(IF('All Player Data Store'!$Y$7:$Y$594=AC264,ROW('All Player Data Store'!$Y$7:$Y$594)-ROW('All Player Data Store'!$Y$7)+1),COUNTIF($AC$8:AC264,AC264))),"")</f>
        <v/>
      </c>
      <c r="AR264" s="108" t="str">
        <f t="shared" si="25"/>
        <v/>
      </c>
      <c r="AS264" s="108" t="str">
        <f t="array" ref="AS264">IF(ISNUMBER(AC264),INDEX('All Player Data Store'!$Q$8:$Q$594,SMALL(IF('All Player Data Store'!$Y$7:$Y$594=AC264,ROW('All Player Data Store'!$Y$7:$Y$594)-ROW('All Player Data Store'!$Y$7)+1),COUNTIF($AC$8:AC264,AC264))),"")</f>
        <v/>
      </c>
      <c r="AT264" s="108" t="str">
        <f t="shared" si="26"/>
        <v/>
      </c>
      <c r="AU264" s="108" t="str">
        <f t="array" ref="AU264">IF(ISNUMBER(AC264),INDEX('All Player Data Store'!$R$8:$R$594,SMALL(IF('All Player Data Store'!$Y$7:$Y$594=AC264,ROW('All Player Data Store'!$Y$7:$Y$594)-ROW('All Player Data Store'!$Y$7)+1),COUNTIF($AC$8:AC264,AC264))),"")</f>
        <v/>
      </c>
      <c r="AV264" s="108" t="str">
        <f t="shared" si="27"/>
        <v/>
      </c>
      <c r="AW264" s="108" t="str">
        <f t="array" ref="AW264">IF(ISNUMBER(AC264),INDEX('All Player Data Store'!$S$8:$S$594,SMALL(IF('All Player Data Store'!$Y$7:$Y$594=AC264,ROW('All Player Data Store'!$Y$7:$Y$594)-ROW('All Player Data Store'!$Y$7)+1),COUNTIF($AC$8:AC264,AC264))),"")</f>
        <v/>
      </c>
      <c r="AX264" s="108" t="str">
        <f t="shared" si="28"/>
        <v/>
      </c>
      <c r="AY264" s="108" t="str">
        <f t="array" ref="AY264">IF(ISNUMBER(AC264),INDEX('All Player Data Store'!$T$8:$T$594,SMALL(IF('All Player Data Store'!$Y$7:$Y$594=AC264,ROW('All Player Data Store'!$Y$7:$Y$594)-ROW('All Player Data Store'!$Y$7)+1),COUNTIF($AC$8:AC264,AC264))),"")</f>
        <v/>
      </c>
      <c r="AZ264" s="108" t="str">
        <f t="shared" si="29"/>
        <v/>
      </c>
      <c r="BA264" s="108" t="str">
        <f t="array" ref="BA264">IF(ISNUMBER(AC264),INDEX('All Player Data Store'!$U$8:$U$594,SMALL(IF('All Player Data Store'!$Y$7:$Y$594=AC264,ROW('All Player Data Store'!$Y$7:$Y$594)-ROW('All Player Data Store'!$Y$7)+1),COUNTIF($AC$8:AC264,AC264))),"")</f>
        <v/>
      </c>
      <c r="BB264" s="108" t="str">
        <f t="shared" si="30"/>
        <v/>
      </c>
      <c r="BC264" s="108" t="str">
        <f t="array" ref="BC264">IF(ISNUMBER(AC264),INDEX('All Player Data Store'!$V$8:$V$594,SMALL(IF('All Player Data Store'!$Y$7:$Y$594=AC264,ROW('All Player Data Store'!$Y$7:$Y$594)-ROW('All Player Data Store'!$Y$7)+1),COUNTIF($AC$8:AC264,AC264))),"")</f>
        <v/>
      </c>
      <c r="BD264" s="108" t="str">
        <f t="shared" si="31"/>
        <v/>
      </c>
      <c r="BE264" s="1"/>
    </row>
    <row r="265" spans="2:57" ht="12" customHeight="1" x14ac:dyDescent="0.2">
      <c r="B265" s="118" t="str">
        <f t="shared" si="17"/>
        <v/>
      </c>
      <c r="C265" s="1"/>
      <c r="D265" s="68" t="str">
        <f t="shared" si="18"/>
        <v/>
      </c>
      <c r="E265" s="2"/>
      <c r="F265" s="78">
        <v>258</v>
      </c>
      <c r="G265" s="110" t="str">
        <f t="array" ref="G265">IF(ISNUMBER(AC265),INDEX('All Player Data Store'!$C$7:$C$594,SMALL(IF('All Player Data Store'!$Y$7:$Y$594=AC265,ROW('All Player Data Store'!$Y$7:$Y$594)-ROW('All Player Data Store'!$Y$7)+1),COUNTIF($AC$8:AC265,AC265))),"")</f>
        <v/>
      </c>
      <c r="H265" s="68" t="str">
        <f t="array" ref="H265">IF(ISNUMBER(AC265),INDEX('All Player Data Store'!$D$7:$D$594,SMALL(IF('All Player Data Store'!$Y$7:$Y$594=AC265,ROW('All Player Data Store'!$Y$7:$Y$594)-ROW('All Player Data Store'!$Y$7)+1),COUNTIF($AC$8:AC265,AC265))),"")</f>
        <v/>
      </c>
      <c r="I265" s="69" t="str">
        <f t="array" ref="I265">IF(ISNUMBER(AC265),INDEX('All Player Data Store'!$E$7:$E$594,SMALL(IF('All Player Data Store'!$Y$7:$Y$594=AC265,ROW('All Player Data Store'!$Y$7:$Y$594)-ROW('All Player Data Store'!$Y$7)+1),COUNTIF($AC$8:AC265,AC265))),"")</f>
        <v/>
      </c>
      <c r="J265" s="70" t="str">
        <f t="array" ref="J265">IF(ISNUMBER(AC265),INDEX('All Player Data Store'!$F$7:$F$594,SMALL(IF('All Player Data Store'!$Y$7:$Y$594=AC265,ROW('All Player Data Store'!$Y$7:$Y$594)-ROW('All Player Data Store'!$Y$7)+1),COUNTIF($AC$8:AC265,AC265))),"")</f>
        <v/>
      </c>
      <c r="K265" s="70" t="str">
        <f t="array" ref="K265">IF(ISNUMBER(AC265),INDEX('All Player Data Store'!$G$7:$G$594,SMALL(IF('All Player Data Store'!$Y$7:$Y$594=AC265,ROW('All Player Data Store'!$Y$7:$Y$594)-ROW('All Player Data Store'!$Y$7)+1),COUNTIF($AC$8:AC265,AC265))),"")</f>
        <v/>
      </c>
      <c r="L265" s="70" t="str">
        <f t="array" ref="L265">IF(ISNUMBER(AC265),INDEX('All Player Data Store'!$H$7:$H$594,SMALL(IF('All Player Data Store'!$Y$7:$Y$594=AC265,ROW('All Player Data Store'!$Y$7:$Y$594)-ROW('All Player Data Store'!$Y$7)+1),COUNTIF($AC$8:AC265,AC265))),"")</f>
        <v/>
      </c>
      <c r="M265" s="72" t="str">
        <f t="array" ref="M265">IF(ISNUMBER(AC265),INDEX('All Player Data Store'!$I$7:$I$594,SMALL(IF('All Player Data Store'!$Y$7:$Y$594=AC265,ROW('All Player Data Store'!$Y$7:$Y$594)-ROW('All Player Data Store'!$Y$7)+1),COUNTIF($AC$8:AC265,AC265))),"")</f>
        <v/>
      </c>
      <c r="N265" s="114" t="str">
        <f t="array" ref="N265">IF(ISNUMBER(AC265),INDEX('All Player Data Store'!$J$7:$J$594,SMALL(IF('All Player Data Store'!$Y$7:$Y$594=AC265,ROW('All Player Data Store'!$Y$7:$Y$594)-ROW('All Player Data Store'!$Y$7)+1),COUNTIF($AC$8:AC265,AC265))),"")</f>
        <v/>
      </c>
      <c r="O265" s="108" t="str">
        <f t="array" ref="O265">IF(ISNUMBER(AC265),INDEX('All Player Data Store'!$K$7:$K$594,SMALL(IF('All Player Data Store'!$Y$7:$Y$594=AC265,ROW('All Player Data Store'!$Y$7:$Y$594)-ROW('All Player Data Store'!$Y$7)+1),COUNTIF($AC$8:AC265,AC265))),"")</f>
        <v/>
      </c>
      <c r="P265" s="108" t="str">
        <f t="array" ref="P265">IF(ISNUMBER(AC265),INDEX('All Player Data Store'!$L$7:$L$594,SMALL(IF('All Player Data Store'!$Y$7:$Y$594=AC265,ROW('All Player Data Store'!$Y$7:$Y$594)-ROW('All Player Data Store'!$Y$7)+1),COUNTIF($AC$8:AC265,AC265))),"")</f>
        <v/>
      </c>
      <c r="Q265" s="108" t="str">
        <f t="array" ref="Q265">IF(ISNUMBER(AC265),INDEX('All Player Data Store'!$M$7:$M$594,SMALL(IF('All Player Data Store'!$Y$7:$Y$594=AC265,ROW('All Player Data Store'!$Y$7:$Y$594)-ROW('All Player Data Store'!$Y$7)+1),COUNTIF($AC$8:AC265,AC265))),"")</f>
        <v/>
      </c>
      <c r="R265" s="108" t="str">
        <f t="array" ref="R265">IF(ISNUMBER(AC265),INDEX('All Player Data Store'!$N$7:$N$594,SMALL(IF('All Player Data Store'!$Y$7:$Y$594=AC265,ROW('All Player Data Store'!$Y$7:$Y$594)-ROW('All Player Data Store'!$Y$7)+1),COUNTIF($AC$8:AC265,AC265))),"")</f>
        <v/>
      </c>
      <c r="S265" s="108" t="str">
        <f t="array" ref="S265">IF(ISNUMBER(AC265),INDEX('All Player Data Store'!$O$7:$O$594,SMALL(IF('All Player Data Store'!$Y$7:$Y$594=AC265,ROW('All Player Data Store'!$Y$7:$Y$594)-ROW('All Player Data Store'!$Y$7)+1),COUNTIF($AC$8:AC265,AC265))),"")</f>
        <v/>
      </c>
      <c r="T265" s="108" t="str">
        <f t="array" ref="T265">IF(ISNUMBER(AC265),INDEX('All Player Data Store'!$P$7:$P$594,SMALL(IF('All Player Data Store'!$Y$7:$Y$594=AC265,ROW('All Player Data Store'!$Y$7:$Y$594)-ROW('All Player Data Store'!$Y$7)+1),COUNTIF($AC$8:AC265,AC265))),"")</f>
        <v/>
      </c>
      <c r="U265" s="108" t="str">
        <f t="array" ref="U265">IF(ISNUMBER(AC265),INDEX('All Player Data Store'!$Q$7:$Q$594,SMALL(IF('All Player Data Store'!$Y$7:$Y$594=AC265,ROW('All Player Data Store'!$Y$7:$Y$594)-ROW('All Player Data Store'!$Y$7)+1),COUNTIF($AC$8:AC265,AC265))),"")</f>
        <v/>
      </c>
      <c r="V265" s="108" t="str">
        <f t="array" ref="V265">IF(ISNUMBER(AC265),INDEX('All Player Data Store'!$R$7:$R$594,SMALL(IF('All Player Data Store'!$Y$7:$Y$594=AC265,ROW('All Player Data Store'!$Y$7:$Y$594)-ROW('All Player Data Store'!$Y$7)+1),COUNTIF($AC$8:AC265,AC265))),"")</f>
        <v/>
      </c>
      <c r="W265" s="108" t="str">
        <f t="array" ref="W265">IF(ISNUMBER(AC265),INDEX('All Player Data Store'!$S$7:$S$594,SMALL(IF('All Player Data Store'!$Y$7:$Y$594=AC265,ROW('All Player Data Store'!$Y$7:$Y$594)-ROW('All Player Data Store'!$Y$7)+1),COUNTIF($AC$8:AC265,AC265))),"")</f>
        <v/>
      </c>
      <c r="X265" s="108" t="str">
        <f t="array" ref="X265">IF(ISNUMBER(AC265),INDEX('All Player Data Store'!$T$7:$T$594,SMALL(IF('All Player Data Store'!$Y$7:$Y$594=AC265,ROW('All Player Data Store'!$Y$7:$Y$594)-ROW('All Player Data Store'!$Y$7)+1),COUNTIF($AC$8:AC265,AC265))),"")</f>
        <v/>
      </c>
      <c r="Y265" s="108" t="str">
        <f t="array" ref="Y265">IF(ISNUMBER(AC265),INDEX('All Player Data Store'!$U$7:$U$594,SMALL(IF('All Player Data Store'!$Y$7:$Y$594=AC265,ROW('All Player Data Store'!$Y$7:$Y$594)-ROW('All Player Data Store'!$Y$7)+1),COUNTIF($AC$8:AC265,AC265))),"")</f>
        <v/>
      </c>
      <c r="Z265" s="108" t="str">
        <f t="array" ref="Z265">IF(ISNUMBER(AC265),INDEX('All Player Data Store'!$V$7:$V$594,SMALL(IF('All Player Data Store'!$Y$7:$Y$594=AC265,ROW('All Player Data Store'!$Y$7:$Y$594)-ROW('All Player Data Store'!$Y$7)+1),COUNTIF($AC$8:AC265,AC265))),"")</f>
        <v/>
      </c>
      <c r="AA265" s="112" t="str">
        <f t="array" ref="AA265">IF(ISNUMBER(AC265),INDEX('All Player Data Store'!$W$7:$W$594,SMALL(IF('All Player Data Store'!$Y$7:$Y$594=AC265,ROW('All Player Data Store'!$Y$7:$Y$594)-ROW('All Player Data Store'!$Y$7)+1),COUNTIF($AC$8:AC265,AC265))),"")</f>
        <v/>
      </c>
      <c r="AB265" s="108" t="str">
        <f t="array" ref="AB265">IF(ISNUMBER(AC265),INDEX('All Player Data Store'!$X$7:$X$594,SMALL(IF('All Player Data Store'!$Y$7:$Y$594=AC265,ROW('All Player Data Store'!$Y$7:$Y$594)-ROW('All Player Data Store'!$Y$7)+1),COUNTIF($AC$8:AC265,AC265))),"")</f>
        <v/>
      </c>
      <c r="AC265" s="115" t="str">
        <f>IF(ISERROR(IF(ISERROR(LARGE('All Player Data Store'!$Y$7:$Y$594,258)),"",(LARGE('All Player Data Store'!$Y$7:$Y$594,258)))),"",(IF(ISERROR(LARGE('All Player Data Store'!$Y$7:$Y$594,258)),"",(LARGE('All Player Data Store'!$Y$7:$Y$594,258)))))</f>
        <v/>
      </c>
      <c r="AD265" s="106">
        <f t="shared" si="16"/>
        <v>1</v>
      </c>
      <c r="AE265" s="107" t="str">
        <f t="array" ref="AE265">IF(ISNUMBER(AC265),INDEX('All Player Data Store'!$J$8:$J$594,SMALL(IF('All Player Data Store'!$Y$7:$Y$594=AC265,ROW('All Player Data Store'!$Y$7:$Y$594)-ROW('All Player Data Store'!$Y$7)+1),COUNTIF($AC$8:AC265,AC265))),"")</f>
        <v/>
      </c>
      <c r="AF265" s="108" t="str">
        <f t="shared" si="19"/>
        <v/>
      </c>
      <c r="AG265" s="108" t="str">
        <f t="array" ref="AG265">IF(ISNUMBER(AC265),INDEX('All Player Data Store'!$K$8:$K$594,SMALL(IF('All Player Data Store'!$Y$7:$Y$594=AC265,ROW('All Player Data Store'!$Y$7:$Y$594)-ROW('All Player Data Store'!$Y$7)+1),COUNTIF($AC$8:AC265,AC265))),"")</f>
        <v/>
      </c>
      <c r="AH265" s="108" t="str">
        <f t="shared" si="20"/>
        <v/>
      </c>
      <c r="AI265" s="108" t="str">
        <f t="array" ref="AI265">IF(ISNUMBER(AC265),INDEX('All Player Data Store'!$L$8:$L$594,SMALL(IF('All Player Data Store'!$Y$7:$Y$594=AC265,ROW('All Player Data Store'!$Y$7:$Y$594)-ROW('All Player Data Store'!$Y$7)+1),COUNTIF($AC$8:AC265,AC265))),"")</f>
        <v/>
      </c>
      <c r="AJ265" s="108" t="str">
        <f t="shared" si="21"/>
        <v/>
      </c>
      <c r="AK265" s="108" t="str">
        <f t="array" ref="AK265">IF(ISNUMBER(AC265),INDEX('All Player Data Store'!$M$8:$M$594,SMALL(IF('All Player Data Store'!$Y$7:$Y$594=AC265,ROW('All Player Data Store'!$Y$7:$Y$594)-ROW('All Player Data Store'!$Y$7)+1),COUNTIF($AC$8:AC265,AC265))),"")</f>
        <v/>
      </c>
      <c r="AL265" s="108" t="str">
        <f t="shared" si="22"/>
        <v/>
      </c>
      <c r="AM265" s="108" t="str">
        <f t="array" ref="AM265">IF(ISNUMBER(AC265),INDEX('All Player Data Store'!$N$8:$N$594,SMALL(IF('All Player Data Store'!$Y$7:$Y$594=AC265,ROW('All Player Data Store'!$Y$7:$Y$594)-ROW('All Player Data Store'!$Y$7)+1),COUNTIF($AC$8:AC265,AC265))),"")</f>
        <v/>
      </c>
      <c r="AN265" s="108" t="str">
        <f t="shared" si="23"/>
        <v/>
      </c>
      <c r="AO265" s="108" t="str">
        <f t="array" ref="AO265">IF(ISNUMBER(AC265),INDEX('All Player Data Store'!$O$8:$O$594,SMALL(IF('All Player Data Store'!$Y$7:$Y$594=AC265,ROW('All Player Data Store'!$Y$7:$Y$594)-ROW('All Player Data Store'!$Y$7)+1),COUNTIF($AC$8:AC265,AC265))),"")</f>
        <v/>
      </c>
      <c r="AP265" s="108" t="str">
        <f t="shared" si="24"/>
        <v/>
      </c>
      <c r="AQ265" s="108" t="str">
        <f t="array" ref="AQ265">IF(ISNUMBER(AC265),INDEX('All Player Data Store'!$P$8:$P$594,SMALL(IF('All Player Data Store'!$Y$7:$Y$594=AC265,ROW('All Player Data Store'!$Y$7:$Y$594)-ROW('All Player Data Store'!$Y$7)+1),COUNTIF($AC$8:AC265,AC265))),"")</f>
        <v/>
      </c>
      <c r="AR265" s="108" t="str">
        <f t="shared" si="25"/>
        <v/>
      </c>
      <c r="AS265" s="108" t="str">
        <f t="array" ref="AS265">IF(ISNUMBER(AC265),INDEX('All Player Data Store'!$Q$8:$Q$594,SMALL(IF('All Player Data Store'!$Y$7:$Y$594=AC265,ROW('All Player Data Store'!$Y$7:$Y$594)-ROW('All Player Data Store'!$Y$7)+1),COUNTIF($AC$8:AC265,AC265))),"")</f>
        <v/>
      </c>
      <c r="AT265" s="108" t="str">
        <f t="shared" si="26"/>
        <v/>
      </c>
      <c r="AU265" s="108" t="str">
        <f t="array" ref="AU265">IF(ISNUMBER(AC265),INDEX('All Player Data Store'!$R$8:$R$594,SMALL(IF('All Player Data Store'!$Y$7:$Y$594=AC265,ROW('All Player Data Store'!$Y$7:$Y$594)-ROW('All Player Data Store'!$Y$7)+1),COUNTIF($AC$8:AC265,AC265))),"")</f>
        <v/>
      </c>
      <c r="AV265" s="108" t="str">
        <f t="shared" si="27"/>
        <v/>
      </c>
      <c r="AW265" s="108" t="str">
        <f t="array" ref="AW265">IF(ISNUMBER(AC265),INDEX('All Player Data Store'!$S$8:$S$594,SMALL(IF('All Player Data Store'!$Y$7:$Y$594=AC265,ROW('All Player Data Store'!$Y$7:$Y$594)-ROW('All Player Data Store'!$Y$7)+1),COUNTIF($AC$8:AC265,AC265))),"")</f>
        <v/>
      </c>
      <c r="AX265" s="108" t="str">
        <f t="shared" si="28"/>
        <v/>
      </c>
      <c r="AY265" s="108" t="str">
        <f t="array" ref="AY265">IF(ISNUMBER(AC265),INDEX('All Player Data Store'!$T$8:$T$594,SMALL(IF('All Player Data Store'!$Y$7:$Y$594=AC265,ROW('All Player Data Store'!$Y$7:$Y$594)-ROW('All Player Data Store'!$Y$7)+1),COUNTIF($AC$8:AC265,AC265))),"")</f>
        <v/>
      </c>
      <c r="AZ265" s="108" t="str">
        <f t="shared" si="29"/>
        <v/>
      </c>
      <c r="BA265" s="108" t="str">
        <f t="array" ref="BA265">IF(ISNUMBER(AC265),INDEX('All Player Data Store'!$U$8:$U$594,SMALL(IF('All Player Data Store'!$Y$7:$Y$594=AC265,ROW('All Player Data Store'!$Y$7:$Y$594)-ROW('All Player Data Store'!$Y$7)+1),COUNTIF($AC$8:AC265,AC265))),"")</f>
        <v/>
      </c>
      <c r="BB265" s="108" t="str">
        <f t="shared" si="30"/>
        <v/>
      </c>
      <c r="BC265" s="108" t="str">
        <f t="array" ref="BC265">IF(ISNUMBER(AC265),INDEX('All Player Data Store'!$V$8:$V$594,SMALL(IF('All Player Data Store'!$Y$7:$Y$594=AC265,ROW('All Player Data Store'!$Y$7:$Y$594)-ROW('All Player Data Store'!$Y$7)+1),COUNTIF($AC$8:AC265,AC265))),"")</f>
        <v/>
      </c>
      <c r="BD265" s="108" t="str">
        <f t="shared" si="31"/>
        <v/>
      </c>
      <c r="BE265" s="1"/>
    </row>
    <row r="266" spans="2:57" ht="12" customHeight="1" x14ac:dyDescent="0.2">
      <c r="B266" s="118" t="str">
        <f t="shared" si="17"/>
        <v/>
      </c>
      <c r="C266" s="1"/>
      <c r="D266" s="68" t="str">
        <f t="shared" si="18"/>
        <v/>
      </c>
      <c r="E266" s="2"/>
      <c r="F266" s="78">
        <v>259</v>
      </c>
      <c r="G266" s="110" t="str">
        <f t="array" ref="G266">IF(ISNUMBER(AC266),INDEX('All Player Data Store'!$C$7:$C$594,SMALL(IF('All Player Data Store'!$Y$7:$Y$594=AC266,ROW('All Player Data Store'!$Y$7:$Y$594)-ROW('All Player Data Store'!$Y$7)+1),COUNTIF($AC$8:AC266,AC266))),"")</f>
        <v/>
      </c>
      <c r="H266" s="68" t="str">
        <f t="array" ref="H266">IF(ISNUMBER(AC266),INDEX('All Player Data Store'!$D$7:$D$594,SMALL(IF('All Player Data Store'!$Y$7:$Y$594=AC266,ROW('All Player Data Store'!$Y$7:$Y$594)-ROW('All Player Data Store'!$Y$7)+1),COUNTIF($AC$8:AC266,AC266))),"")</f>
        <v/>
      </c>
      <c r="I266" s="69" t="str">
        <f t="array" ref="I266">IF(ISNUMBER(AC266),INDEX('All Player Data Store'!$E$7:$E$594,SMALL(IF('All Player Data Store'!$Y$7:$Y$594=AC266,ROW('All Player Data Store'!$Y$7:$Y$594)-ROW('All Player Data Store'!$Y$7)+1),COUNTIF($AC$8:AC266,AC266))),"")</f>
        <v/>
      </c>
      <c r="J266" s="70" t="str">
        <f t="array" ref="J266">IF(ISNUMBER(AC266),INDEX('All Player Data Store'!$F$7:$F$594,SMALL(IF('All Player Data Store'!$Y$7:$Y$594=AC266,ROW('All Player Data Store'!$Y$7:$Y$594)-ROW('All Player Data Store'!$Y$7)+1),COUNTIF($AC$8:AC266,AC266))),"")</f>
        <v/>
      </c>
      <c r="K266" s="70" t="str">
        <f t="array" ref="K266">IF(ISNUMBER(AC266),INDEX('All Player Data Store'!$G$7:$G$594,SMALL(IF('All Player Data Store'!$Y$7:$Y$594=AC266,ROW('All Player Data Store'!$Y$7:$Y$594)-ROW('All Player Data Store'!$Y$7)+1),COUNTIF($AC$8:AC266,AC266))),"")</f>
        <v/>
      </c>
      <c r="L266" s="70" t="str">
        <f t="array" ref="L266">IF(ISNUMBER(AC266),INDEX('All Player Data Store'!$H$7:$H$594,SMALL(IF('All Player Data Store'!$Y$7:$Y$594=AC266,ROW('All Player Data Store'!$Y$7:$Y$594)-ROW('All Player Data Store'!$Y$7)+1),COUNTIF($AC$8:AC266,AC266))),"")</f>
        <v/>
      </c>
      <c r="M266" s="72" t="str">
        <f t="array" ref="M266">IF(ISNUMBER(AC266),INDEX('All Player Data Store'!$I$7:$I$594,SMALL(IF('All Player Data Store'!$Y$7:$Y$594=AC266,ROW('All Player Data Store'!$Y$7:$Y$594)-ROW('All Player Data Store'!$Y$7)+1),COUNTIF($AC$8:AC266,AC266))),"")</f>
        <v/>
      </c>
      <c r="N266" s="114" t="str">
        <f t="array" ref="N266">IF(ISNUMBER(AC266),INDEX('All Player Data Store'!$J$7:$J$594,SMALL(IF('All Player Data Store'!$Y$7:$Y$594=AC266,ROW('All Player Data Store'!$Y$7:$Y$594)-ROW('All Player Data Store'!$Y$7)+1),COUNTIF($AC$8:AC266,AC266))),"")</f>
        <v/>
      </c>
      <c r="O266" s="108" t="str">
        <f t="array" ref="O266">IF(ISNUMBER(AC266),INDEX('All Player Data Store'!$K$7:$K$594,SMALL(IF('All Player Data Store'!$Y$7:$Y$594=AC266,ROW('All Player Data Store'!$Y$7:$Y$594)-ROW('All Player Data Store'!$Y$7)+1),COUNTIF($AC$8:AC266,AC266))),"")</f>
        <v/>
      </c>
      <c r="P266" s="108" t="str">
        <f t="array" ref="P266">IF(ISNUMBER(AC266),INDEX('All Player Data Store'!$L$7:$L$594,SMALL(IF('All Player Data Store'!$Y$7:$Y$594=AC266,ROW('All Player Data Store'!$Y$7:$Y$594)-ROW('All Player Data Store'!$Y$7)+1),COUNTIF($AC$8:AC266,AC266))),"")</f>
        <v/>
      </c>
      <c r="Q266" s="108" t="str">
        <f t="array" ref="Q266">IF(ISNUMBER(AC266),INDEX('All Player Data Store'!$M$7:$M$594,SMALL(IF('All Player Data Store'!$Y$7:$Y$594=AC266,ROW('All Player Data Store'!$Y$7:$Y$594)-ROW('All Player Data Store'!$Y$7)+1),COUNTIF($AC$8:AC266,AC266))),"")</f>
        <v/>
      </c>
      <c r="R266" s="108" t="str">
        <f t="array" ref="R266">IF(ISNUMBER(AC266),INDEX('All Player Data Store'!$N$7:$N$594,SMALL(IF('All Player Data Store'!$Y$7:$Y$594=AC266,ROW('All Player Data Store'!$Y$7:$Y$594)-ROW('All Player Data Store'!$Y$7)+1),COUNTIF($AC$8:AC266,AC266))),"")</f>
        <v/>
      </c>
      <c r="S266" s="108" t="str">
        <f t="array" ref="S266">IF(ISNUMBER(AC266),INDEX('All Player Data Store'!$O$7:$O$594,SMALL(IF('All Player Data Store'!$Y$7:$Y$594=AC266,ROW('All Player Data Store'!$Y$7:$Y$594)-ROW('All Player Data Store'!$Y$7)+1),COUNTIF($AC$8:AC266,AC266))),"")</f>
        <v/>
      </c>
      <c r="T266" s="108" t="str">
        <f t="array" ref="T266">IF(ISNUMBER(AC266),INDEX('All Player Data Store'!$P$7:$P$594,SMALL(IF('All Player Data Store'!$Y$7:$Y$594=AC266,ROW('All Player Data Store'!$Y$7:$Y$594)-ROW('All Player Data Store'!$Y$7)+1),COUNTIF($AC$8:AC266,AC266))),"")</f>
        <v/>
      </c>
      <c r="U266" s="108" t="str">
        <f t="array" ref="U266">IF(ISNUMBER(AC266),INDEX('All Player Data Store'!$Q$7:$Q$594,SMALL(IF('All Player Data Store'!$Y$7:$Y$594=AC266,ROW('All Player Data Store'!$Y$7:$Y$594)-ROW('All Player Data Store'!$Y$7)+1),COUNTIF($AC$8:AC266,AC266))),"")</f>
        <v/>
      </c>
      <c r="V266" s="108" t="str">
        <f t="array" ref="V266">IF(ISNUMBER(AC266),INDEX('All Player Data Store'!$R$7:$R$594,SMALL(IF('All Player Data Store'!$Y$7:$Y$594=AC266,ROW('All Player Data Store'!$Y$7:$Y$594)-ROW('All Player Data Store'!$Y$7)+1),COUNTIF($AC$8:AC266,AC266))),"")</f>
        <v/>
      </c>
      <c r="W266" s="108" t="str">
        <f t="array" ref="W266">IF(ISNUMBER(AC266),INDEX('All Player Data Store'!$S$7:$S$594,SMALL(IF('All Player Data Store'!$Y$7:$Y$594=AC266,ROW('All Player Data Store'!$Y$7:$Y$594)-ROW('All Player Data Store'!$Y$7)+1),COUNTIF($AC$8:AC266,AC266))),"")</f>
        <v/>
      </c>
      <c r="X266" s="108" t="str">
        <f t="array" ref="X266">IF(ISNUMBER(AC266),INDEX('All Player Data Store'!$T$7:$T$594,SMALL(IF('All Player Data Store'!$Y$7:$Y$594=AC266,ROW('All Player Data Store'!$Y$7:$Y$594)-ROW('All Player Data Store'!$Y$7)+1),COUNTIF($AC$8:AC266,AC266))),"")</f>
        <v/>
      </c>
      <c r="Y266" s="108" t="str">
        <f t="array" ref="Y266">IF(ISNUMBER(AC266),INDEX('All Player Data Store'!$U$7:$U$594,SMALL(IF('All Player Data Store'!$Y$7:$Y$594=AC266,ROW('All Player Data Store'!$Y$7:$Y$594)-ROW('All Player Data Store'!$Y$7)+1),COUNTIF($AC$8:AC266,AC266))),"")</f>
        <v/>
      </c>
      <c r="Z266" s="108" t="str">
        <f t="array" ref="Z266">IF(ISNUMBER(AC266),INDEX('All Player Data Store'!$V$7:$V$594,SMALL(IF('All Player Data Store'!$Y$7:$Y$594=AC266,ROW('All Player Data Store'!$Y$7:$Y$594)-ROW('All Player Data Store'!$Y$7)+1),COUNTIF($AC$8:AC266,AC266))),"")</f>
        <v/>
      </c>
      <c r="AA266" s="112" t="str">
        <f t="array" ref="AA266">IF(ISNUMBER(AC266),INDEX('All Player Data Store'!$W$7:$W$594,SMALL(IF('All Player Data Store'!$Y$7:$Y$594=AC266,ROW('All Player Data Store'!$Y$7:$Y$594)-ROW('All Player Data Store'!$Y$7)+1),COUNTIF($AC$8:AC266,AC266))),"")</f>
        <v/>
      </c>
      <c r="AB266" s="108" t="str">
        <f t="array" ref="AB266">IF(ISNUMBER(AC266),INDEX('All Player Data Store'!$X$7:$X$594,SMALL(IF('All Player Data Store'!$Y$7:$Y$594=AC266,ROW('All Player Data Store'!$Y$7:$Y$594)-ROW('All Player Data Store'!$Y$7)+1),COUNTIF($AC$8:AC266,AC266))),"")</f>
        <v/>
      </c>
      <c r="AC266" s="115" t="str">
        <f>IF(ISERROR(IF(ISERROR(LARGE('All Player Data Store'!$Y$7:$Y$594,259)),"",(LARGE('All Player Data Store'!$Y$7:$Y$594,259)))),"",(IF(ISERROR(LARGE('All Player Data Store'!$Y$7:$Y$594,259)),"",(LARGE('All Player Data Store'!$Y$7:$Y$594,259)))))</f>
        <v/>
      </c>
      <c r="AD266" s="106">
        <f t="shared" si="16"/>
        <v>1</v>
      </c>
      <c r="AE266" s="107" t="str">
        <f t="array" ref="AE266">IF(ISNUMBER(AC266),INDEX('All Player Data Store'!$J$8:$J$594,SMALL(IF('All Player Data Store'!$Y$7:$Y$594=AC266,ROW('All Player Data Store'!$Y$7:$Y$594)-ROW('All Player Data Store'!$Y$7)+1),COUNTIF($AC$8:AC266,AC266))),"")</f>
        <v/>
      </c>
      <c r="AF266" s="108" t="str">
        <f t="shared" si="19"/>
        <v/>
      </c>
      <c r="AG266" s="108" t="str">
        <f t="array" ref="AG266">IF(ISNUMBER(AC266),INDEX('All Player Data Store'!$K$8:$K$594,SMALL(IF('All Player Data Store'!$Y$7:$Y$594=AC266,ROW('All Player Data Store'!$Y$7:$Y$594)-ROW('All Player Data Store'!$Y$7)+1),COUNTIF($AC$8:AC266,AC266))),"")</f>
        <v/>
      </c>
      <c r="AH266" s="108" t="str">
        <f t="shared" si="20"/>
        <v/>
      </c>
      <c r="AI266" s="108" t="str">
        <f t="array" ref="AI266">IF(ISNUMBER(AC266),INDEX('All Player Data Store'!$L$8:$L$594,SMALL(IF('All Player Data Store'!$Y$7:$Y$594=AC266,ROW('All Player Data Store'!$Y$7:$Y$594)-ROW('All Player Data Store'!$Y$7)+1),COUNTIF($AC$8:AC266,AC266))),"")</f>
        <v/>
      </c>
      <c r="AJ266" s="108" t="str">
        <f t="shared" si="21"/>
        <v/>
      </c>
      <c r="AK266" s="108" t="str">
        <f t="array" ref="AK266">IF(ISNUMBER(AC266),INDEX('All Player Data Store'!$M$8:$M$594,SMALL(IF('All Player Data Store'!$Y$7:$Y$594=AC266,ROW('All Player Data Store'!$Y$7:$Y$594)-ROW('All Player Data Store'!$Y$7)+1),COUNTIF($AC$8:AC266,AC266))),"")</f>
        <v/>
      </c>
      <c r="AL266" s="108" t="str">
        <f t="shared" si="22"/>
        <v/>
      </c>
      <c r="AM266" s="108" t="str">
        <f t="array" ref="AM266">IF(ISNUMBER(AC266),INDEX('All Player Data Store'!$N$8:$N$594,SMALL(IF('All Player Data Store'!$Y$7:$Y$594=AC266,ROW('All Player Data Store'!$Y$7:$Y$594)-ROW('All Player Data Store'!$Y$7)+1),COUNTIF($AC$8:AC266,AC266))),"")</f>
        <v/>
      </c>
      <c r="AN266" s="108" t="str">
        <f t="shared" si="23"/>
        <v/>
      </c>
      <c r="AO266" s="108" t="str">
        <f t="array" ref="AO266">IF(ISNUMBER(AC266),INDEX('All Player Data Store'!$O$8:$O$594,SMALL(IF('All Player Data Store'!$Y$7:$Y$594=AC266,ROW('All Player Data Store'!$Y$7:$Y$594)-ROW('All Player Data Store'!$Y$7)+1),COUNTIF($AC$8:AC266,AC266))),"")</f>
        <v/>
      </c>
      <c r="AP266" s="108" t="str">
        <f t="shared" si="24"/>
        <v/>
      </c>
      <c r="AQ266" s="108" t="str">
        <f t="array" ref="AQ266">IF(ISNUMBER(AC266),INDEX('All Player Data Store'!$P$8:$P$594,SMALL(IF('All Player Data Store'!$Y$7:$Y$594=AC266,ROW('All Player Data Store'!$Y$7:$Y$594)-ROW('All Player Data Store'!$Y$7)+1),COUNTIF($AC$8:AC266,AC266))),"")</f>
        <v/>
      </c>
      <c r="AR266" s="108" t="str">
        <f t="shared" si="25"/>
        <v/>
      </c>
      <c r="AS266" s="108" t="str">
        <f t="array" ref="AS266">IF(ISNUMBER(AC266),INDEX('All Player Data Store'!$Q$8:$Q$594,SMALL(IF('All Player Data Store'!$Y$7:$Y$594=AC266,ROW('All Player Data Store'!$Y$7:$Y$594)-ROW('All Player Data Store'!$Y$7)+1),COUNTIF($AC$8:AC266,AC266))),"")</f>
        <v/>
      </c>
      <c r="AT266" s="108" t="str">
        <f t="shared" si="26"/>
        <v/>
      </c>
      <c r="AU266" s="108" t="str">
        <f t="array" ref="AU266">IF(ISNUMBER(AC266),INDEX('All Player Data Store'!$R$8:$R$594,SMALL(IF('All Player Data Store'!$Y$7:$Y$594=AC266,ROW('All Player Data Store'!$Y$7:$Y$594)-ROW('All Player Data Store'!$Y$7)+1),COUNTIF($AC$8:AC266,AC266))),"")</f>
        <v/>
      </c>
      <c r="AV266" s="108" t="str">
        <f t="shared" si="27"/>
        <v/>
      </c>
      <c r="AW266" s="108" t="str">
        <f t="array" ref="AW266">IF(ISNUMBER(AC266),INDEX('All Player Data Store'!$S$8:$S$594,SMALL(IF('All Player Data Store'!$Y$7:$Y$594=AC266,ROW('All Player Data Store'!$Y$7:$Y$594)-ROW('All Player Data Store'!$Y$7)+1),COUNTIF($AC$8:AC266,AC266))),"")</f>
        <v/>
      </c>
      <c r="AX266" s="108" t="str">
        <f t="shared" si="28"/>
        <v/>
      </c>
      <c r="AY266" s="108" t="str">
        <f t="array" ref="AY266">IF(ISNUMBER(AC266),INDEX('All Player Data Store'!$T$8:$T$594,SMALL(IF('All Player Data Store'!$Y$7:$Y$594=AC266,ROW('All Player Data Store'!$Y$7:$Y$594)-ROW('All Player Data Store'!$Y$7)+1),COUNTIF($AC$8:AC266,AC266))),"")</f>
        <v/>
      </c>
      <c r="AZ266" s="108" t="str">
        <f t="shared" si="29"/>
        <v/>
      </c>
      <c r="BA266" s="108" t="str">
        <f t="array" ref="BA266">IF(ISNUMBER(AC266),INDEX('All Player Data Store'!$U$8:$U$594,SMALL(IF('All Player Data Store'!$Y$7:$Y$594=AC266,ROW('All Player Data Store'!$Y$7:$Y$594)-ROW('All Player Data Store'!$Y$7)+1),COUNTIF($AC$8:AC266,AC266))),"")</f>
        <v/>
      </c>
      <c r="BB266" s="108" t="str">
        <f t="shared" si="30"/>
        <v/>
      </c>
      <c r="BC266" s="108" t="str">
        <f t="array" ref="BC266">IF(ISNUMBER(AC266),INDEX('All Player Data Store'!$V$8:$V$594,SMALL(IF('All Player Data Store'!$Y$7:$Y$594=AC266,ROW('All Player Data Store'!$Y$7:$Y$594)-ROW('All Player Data Store'!$Y$7)+1),COUNTIF($AC$8:AC266,AC266))),"")</f>
        <v/>
      </c>
      <c r="BD266" s="108" t="str">
        <f t="shared" si="31"/>
        <v/>
      </c>
      <c r="BE266" s="1"/>
    </row>
    <row r="267" spans="2:57" ht="12" customHeight="1" x14ac:dyDescent="0.2">
      <c r="B267" s="118" t="str">
        <f t="shared" si="17"/>
        <v/>
      </c>
      <c r="C267" s="1"/>
      <c r="D267" s="68" t="str">
        <f t="shared" si="18"/>
        <v/>
      </c>
      <c r="E267" s="2"/>
      <c r="F267" s="78">
        <v>260</v>
      </c>
      <c r="G267" s="110" t="str">
        <f t="array" ref="G267">IF(ISNUMBER(AC267),INDEX('All Player Data Store'!$C$7:$C$594,SMALL(IF('All Player Data Store'!$Y$7:$Y$594=AC267,ROW('All Player Data Store'!$Y$7:$Y$594)-ROW('All Player Data Store'!$Y$7)+1),COUNTIF($AC$8:AC267,AC267))),"")</f>
        <v/>
      </c>
      <c r="H267" s="68" t="str">
        <f t="array" ref="H267">IF(ISNUMBER(AC267),INDEX('All Player Data Store'!$D$7:$D$594,SMALL(IF('All Player Data Store'!$Y$7:$Y$594=AC267,ROW('All Player Data Store'!$Y$7:$Y$594)-ROW('All Player Data Store'!$Y$7)+1),COUNTIF($AC$8:AC267,AC267))),"")</f>
        <v/>
      </c>
      <c r="I267" s="69" t="str">
        <f t="array" ref="I267">IF(ISNUMBER(AC267),INDEX('All Player Data Store'!$E$7:$E$594,SMALL(IF('All Player Data Store'!$Y$7:$Y$594=AC267,ROW('All Player Data Store'!$Y$7:$Y$594)-ROW('All Player Data Store'!$Y$7)+1),COUNTIF($AC$8:AC267,AC267))),"")</f>
        <v/>
      </c>
      <c r="J267" s="70" t="str">
        <f t="array" ref="J267">IF(ISNUMBER(AC267),INDEX('All Player Data Store'!$F$7:$F$594,SMALL(IF('All Player Data Store'!$Y$7:$Y$594=AC267,ROW('All Player Data Store'!$Y$7:$Y$594)-ROW('All Player Data Store'!$Y$7)+1),COUNTIF($AC$8:AC267,AC267))),"")</f>
        <v/>
      </c>
      <c r="K267" s="70" t="str">
        <f t="array" ref="K267">IF(ISNUMBER(AC267),INDEX('All Player Data Store'!$G$7:$G$594,SMALL(IF('All Player Data Store'!$Y$7:$Y$594=AC267,ROW('All Player Data Store'!$Y$7:$Y$594)-ROW('All Player Data Store'!$Y$7)+1),COUNTIF($AC$8:AC267,AC267))),"")</f>
        <v/>
      </c>
      <c r="L267" s="70" t="str">
        <f t="array" ref="L267">IF(ISNUMBER(AC267),INDEX('All Player Data Store'!$H$7:$H$594,SMALL(IF('All Player Data Store'!$Y$7:$Y$594=AC267,ROW('All Player Data Store'!$Y$7:$Y$594)-ROW('All Player Data Store'!$Y$7)+1),COUNTIF($AC$8:AC267,AC267))),"")</f>
        <v/>
      </c>
      <c r="M267" s="72" t="str">
        <f t="array" ref="M267">IF(ISNUMBER(AC267),INDEX('All Player Data Store'!$I$7:$I$594,SMALL(IF('All Player Data Store'!$Y$7:$Y$594=AC267,ROW('All Player Data Store'!$Y$7:$Y$594)-ROW('All Player Data Store'!$Y$7)+1),COUNTIF($AC$8:AC267,AC267))),"")</f>
        <v/>
      </c>
      <c r="N267" s="114" t="str">
        <f t="array" ref="N267">IF(ISNUMBER(AC267),INDEX('All Player Data Store'!$J$7:$J$594,SMALL(IF('All Player Data Store'!$Y$7:$Y$594=AC267,ROW('All Player Data Store'!$Y$7:$Y$594)-ROW('All Player Data Store'!$Y$7)+1),COUNTIF($AC$8:AC267,AC267))),"")</f>
        <v/>
      </c>
      <c r="O267" s="108" t="str">
        <f t="array" ref="O267">IF(ISNUMBER(AC267),INDEX('All Player Data Store'!$K$7:$K$594,SMALL(IF('All Player Data Store'!$Y$7:$Y$594=AC267,ROW('All Player Data Store'!$Y$7:$Y$594)-ROW('All Player Data Store'!$Y$7)+1),COUNTIF($AC$8:AC267,AC267))),"")</f>
        <v/>
      </c>
      <c r="P267" s="108" t="str">
        <f t="array" ref="P267">IF(ISNUMBER(AC267),INDEX('All Player Data Store'!$L$7:$L$594,SMALL(IF('All Player Data Store'!$Y$7:$Y$594=AC267,ROW('All Player Data Store'!$Y$7:$Y$594)-ROW('All Player Data Store'!$Y$7)+1),COUNTIF($AC$8:AC267,AC267))),"")</f>
        <v/>
      </c>
      <c r="Q267" s="108" t="str">
        <f t="array" ref="Q267">IF(ISNUMBER(AC267),INDEX('All Player Data Store'!$M$7:$M$594,SMALL(IF('All Player Data Store'!$Y$7:$Y$594=AC267,ROW('All Player Data Store'!$Y$7:$Y$594)-ROW('All Player Data Store'!$Y$7)+1),COUNTIF($AC$8:AC267,AC267))),"")</f>
        <v/>
      </c>
      <c r="R267" s="108" t="str">
        <f t="array" ref="R267">IF(ISNUMBER(AC267),INDEX('All Player Data Store'!$N$7:$N$594,SMALL(IF('All Player Data Store'!$Y$7:$Y$594=AC267,ROW('All Player Data Store'!$Y$7:$Y$594)-ROW('All Player Data Store'!$Y$7)+1),COUNTIF($AC$8:AC267,AC267))),"")</f>
        <v/>
      </c>
      <c r="S267" s="108" t="str">
        <f t="array" ref="S267">IF(ISNUMBER(AC267),INDEX('All Player Data Store'!$O$7:$O$594,SMALL(IF('All Player Data Store'!$Y$7:$Y$594=AC267,ROW('All Player Data Store'!$Y$7:$Y$594)-ROW('All Player Data Store'!$Y$7)+1),COUNTIF($AC$8:AC267,AC267))),"")</f>
        <v/>
      </c>
      <c r="T267" s="108" t="str">
        <f t="array" ref="T267">IF(ISNUMBER(AC267),INDEX('All Player Data Store'!$P$7:$P$594,SMALL(IF('All Player Data Store'!$Y$7:$Y$594=AC267,ROW('All Player Data Store'!$Y$7:$Y$594)-ROW('All Player Data Store'!$Y$7)+1),COUNTIF($AC$8:AC267,AC267))),"")</f>
        <v/>
      </c>
      <c r="U267" s="108" t="str">
        <f t="array" ref="U267">IF(ISNUMBER(AC267),INDEX('All Player Data Store'!$Q$7:$Q$594,SMALL(IF('All Player Data Store'!$Y$7:$Y$594=AC267,ROW('All Player Data Store'!$Y$7:$Y$594)-ROW('All Player Data Store'!$Y$7)+1),COUNTIF($AC$8:AC267,AC267))),"")</f>
        <v/>
      </c>
      <c r="V267" s="108" t="str">
        <f t="array" ref="V267">IF(ISNUMBER(AC267),INDEX('All Player Data Store'!$R$7:$R$594,SMALL(IF('All Player Data Store'!$Y$7:$Y$594=AC267,ROW('All Player Data Store'!$Y$7:$Y$594)-ROW('All Player Data Store'!$Y$7)+1),COUNTIF($AC$8:AC267,AC267))),"")</f>
        <v/>
      </c>
      <c r="W267" s="108" t="str">
        <f t="array" ref="W267">IF(ISNUMBER(AC267),INDEX('All Player Data Store'!$S$7:$S$594,SMALL(IF('All Player Data Store'!$Y$7:$Y$594=AC267,ROW('All Player Data Store'!$Y$7:$Y$594)-ROW('All Player Data Store'!$Y$7)+1),COUNTIF($AC$8:AC267,AC267))),"")</f>
        <v/>
      </c>
      <c r="X267" s="108" t="str">
        <f t="array" ref="X267">IF(ISNUMBER(AC267),INDEX('All Player Data Store'!$T$7:$T$594,SMALL(IF('All Player Data Store'!$Y$7:$Y$594=AC267,ROW('All Player Data Store'!$Y$7:$Y$594)-ROW('All Player Data Store'!$Y$7)+1),COUNTIF($AC$8:AC267,AC267))),"")</f>
        <v/>
      </c>
      <c r="Y267" s="108" t="str">
        <f t="array" ref="Y267">IF(ISNUMBER(AC267),INDEX('All Player Data Store'!$U$7:$U$594,SMALL(IF('All Player Data Store'!$Y$7:$Y$594=AC267,ROW('All Player Data Store'!$Y$7:$Y$594)-ROW('All Player Data Store'!$Y$7)+1),COUNTIF($AC$8:AC267,AC267))),"")</f>
        <v/>
      </c>
      <c r="Z267" s="108" t="str">
        <f t="array" ref="Z267">IF(ISNUMBER(AC267),INDEX('All Player Data Store'!$V$7:$V$594,SMALL(IF('All Player Data Store'!$Y$7:$Y$594=AC267,ROW('All Player Data Store'!$Y$7:$Y$594)-ROW('All Player Data Store'!$Y$7)+1),COUNTIF($AC$8:AC267,AC267))),"")</f>
        <v/>
      </c>
      <c r="AA267" s="112" t="str">
        <f t="array" ref="AA267">IF(ISNUMBER(AC267),INDEX('All Player Data Store'!$W$7:$W$594,SMALL(IF('All Player Data Store'!$Y$7:$Y$594=AC267,ROW('All Player Data Store'!$Y$7:$Y$594)-ROW('All Player Data Store'!$Y$7)+1),COUNTIF($AC$8:AC267,AC267))),"")</f>
        <v/>
      </c>
      <c r="AB267" s="108" t="str">
        <f t="array" ref="AB267">IF(ISNUMBER(AC267),INDEX('All Player Data Store'!$X$7:$X$594,SMALL(IF('All Player Data Store'!$Y$7:$Y$594=AC267,ROW('All Player Data Store'!$Y$7:$Y$594)-ROW('All Player Data Store'!$Y$7)+1),COUNTIF($AC$8:AC267,AC267))),"")</f>
        <v/>
      </c>
      <c r="AC267" s="115" t="str">
        <f>IF(ISERROR(IF(ISERROR(LARGE('All Player Data Store'!$Y$7:$Y$594,260)),"",(LARGE('All Player Data Store'!$Y$7:$Y$594,260)))),"",(IF(ISERROR(LARGE('All Player Data Store'!$Y$7:$Y$594,260)),"",(LARGE('All Player Data Store'!$Y$7:$Y$594,260)))))</f>
        <v/>
      </c>
      <c r="AD267" s="106">
        <f t="shared" si="16"/>
        <v>1</v>
      </c>
      <c r="AE267" s="107" t="str">
        <f t="array" ref="AE267">IF(ISNUMBER(AC267),INDEX('All Player Data Store'!$J$8:$J$594,SMALL(IF('All Player Data Store'!$Y$7:$Y$594=AC267,ROW('All Player Data Store'!$Y$7:$Y$594)-ROW('All Player Data Store'!$Y$7)+1),COUNTIF($AC$8:AC267,AC267))),"")</f>
        <v/>
      </c>
      <c r="AF267" s="108" t="str">
        <f t="shared" si="19"/>
        <v/>
      </c>
      <c r="AG267" s="108" t="str">
        <f t="array" ref="AG267">IF(ISNUMBER(AC267),INDEX('All Player Data Store'!$K$8:$K$594,SMALL(IF('All Player Data Store'!$Y$7:$Y$594=AC267,ROW('All Player Data Store'!$Y$7:$Y$594)-ROW('All Player Data Store'!$Y$7)+1),COUNTIF($AC$8:AC267,AC267))),"")</f>
        <v/>
      </c>
      <c r="AH267" s="108" t="str">
        <f t="shared" si="20"/>
        <v/>
      </c>
      <c r="AI267" s="108" t="str">
        <f t="array" ref="AI267">IF(ISNUMBER(AC267),INDEX('All Player Data Store'!$L$8:$L$594,SMALL(IF('All Player Data Store'!$Y$7:$Y$594=AC267,ROW('All Player Data Store'!$Y$7:$Y$594)-ROW('All Player Data Store'!$Y$7)+1),COUNTIF($AC$8:AC267,AC267))),"")</f>
        <v/>
      </c>
      <c r="AJ267" s="108" t="str">
        <f t="shared" si="21"/>
        <v/>
      </c>
      <c r="AK267" s="108" t="str">
        <f t="array" ref="AK267">IF(ISNUMBER(AC267),INDEX('All Player Data Store'!$M$8:$M$594,SMALL(IF('All Player Data Store'!$Y$7:$Y$594=AC267,ROW('All Player Data Store'!$Y$7:$Y$594)-ROW('All Player Data Store'!$Y$7)+1),COUNTIF($AC$8:AC267,AC267))),"")</f>
        <v/>
      </c>
      <c r="AL267" s="108" t="str">
        <f t="shared" si="22"/>
        <v/>
      </c>
      <c r="AM267" s="108" t="str">
        <f t="array" ref="AM267">IF(ISNUMBER(AC267),INDEX('All Player Data Store'!$N$8:$N$594,SMALL(IF('All Player Data Store'!$Y$7:$Y$594=AC267,ROW('All Player Data Store'!$Y$7:$Y$594)-ROW('All Player Data Store'!$Y$7)+1),COUNTIF($AC$8:AC267,AC267))),"")</f>
        <v/>
      </c>
      <c r="AN267" s="108" t="str">
        <f t="shared" si="23"/>
        <v/>
      </c>
      <c r="AO267" s="108" t="str">
        <f t="array" ref="AO267">IF(ISNUMBER(AC267),INDEX('All Player Data Store'!$O$8:$O$594,SMALL(IF('All Player Data Store'!$Y$7:$Y$594=AC267,ROW('All Player Data Store'!$Y$7:$Y$594)-ROW('All Player Data Store'!$Y$7)+1),COUNTIF($AC$8:AC267,AC267))),"")</f>
        <v/>
      </c>
      <c r="AP267" s="108" t="str">
        <f t="shared" si="24"/>
        <v/>
      </c>
      <c r="AQ267" s="108" t="str">
        <f t="array" ref="AQ267">IF(ISNUMBER(AC267),INDEX('All Player Data Store'!$P$8:$P$594,SMALL(IF('All Player Data Store'!$Y$7:$Y$594=AC267,ROW('All Player Data Store'!$Y$7:$Y$594)-ROW('All Player Data Store'!$Y$7)+1),COUNTIF($AC$8:AC267,AC267))),"")</f>
        <v/>
      </c>
      <c r="AR267" s="108" t="str">
        <f t="shared" si="25"/>
        <v/>
      </c>
      <c r="AS267" s="108" t="str">
        <f t="array" ref="AS267">IF(ISNUMBER(AC267),INDEX('All Player Data Store'!$Q$8:$Q$594,SMALL(IF('All Player Data Store'!$Y$7:$Y$594=AC267,ROW('All Player Data Store'!$Y$7:$Y$594)-ROW('All Player Data Store'!$Y$7)+1),COUNTIF($AC$8:AC267,AC267))),"")</f>
        <v/>
      </c>
      <c r="AT267" s="108" t="str">
        <f t="shared" si="26"/>
        <v/>
      </c>
      <c r="AU267" s="108" t="str">
        <f t="array" ref="AU267">IF(ISNUMBER(AC267),INDEX('All Player Data Store'!$R$8:$R$594,SMALL(IF('All Player Data Store'!$Y$7:$Y$594=AC267,ROW('All Player Data Store'!$Y$7:$Y$594)-ROW('All Player Data Store'!$Y$7)+1),COUNTIF($AC$8:AC267,AC267))),"")</f>
        <v/>
      </c>
      <c r="AV267" s="108" t="str">
        <f t="shared" si="27"/>
        <v/>
      </c>
      <c r="AW267" s="108" t="str">
        <f t="array" ref="AW267">IF(ISNUMBER(AC267),INDEX('All Player Data Store'!$S$8:$S$594,SMALL(IF('All Player Data Store'!$Y$7:$Y$594=AC267,ROW('All Player Data Store'!$Y$7:$Y$594)-ROW('All Player Data Store'!$Y$7)+1),COUNTIF($AC$8:AC267,AC267))),"")</f>
        <v/>
      </c>
      <c r="AX267" s="108" t="str">
        <f t="shared" si="28"/>
        <v/>
      </c>
      <c r="AY267" s="108" t="str">
        <f t="array" ref="AY267">IF(ISNUMBER(AC267),INDEX('All Player Data Store'!$T$8:$T$594,SMALL(IF('All Player Data Store'!$Y$7:$Y$594=AC267,ROW('All Player Data Store'!$Y$7:$Y$594)-ROW('All Player Data Store'!$Y$7)+1),COUNTIF($AC$8:AC267,AC267))),"")</f>
        <v/>
      </c>
      <c r="AZ267" s="108" t="str">
        <f t="shared" si="29"/>
        <v/>
      </c>
      <c r="BA267" s="108" t="str">
        <f t="array" ref="BA267">IF(ISNUMBER(AC267),INDEX('All Player Data Store'!$U$8:$U$594,SMALL(IF('All Player Data Store'!$Y$7:$Y$594=AC267,ROW('All Player Data Store'!$Y$7:$Y$594)-ROW('All Player Data Store'!$Y$7)+1),COUNTIF($AC$8:AC267,AC267))),"")</f>
        <v/>
      </c>
      <c r="BB267" s="108" t="str">
        <f t="shared" si="30"/>
        <v/>
      </c>
      <c r="BC267" s="108" t="str">
        <f t="array" ref="BC267">IF(ISNUMBER(AC267),INDEX('All Player Data Store'!$V$8:$V$594,SMALL(IF('All Player Data Store'!$Y$7:$Y$594=AC267,ROW('All Player Data Store'!$Y$7:$Y$594)-ROW('All Player Data Store'!$Y$7)+1),COUNTIF($AC$8:AC267,AC267))),"")</f>
        <v/>
      </c>
      <c r="BD267" s="108" t="str">
        <f t="shared" si="31"/>
        <v/>
      </c>
      <c r="BE267" s="1"/>
    </row>
    <row r="268" spans="2:57" ht="12" customHeight="1" x14ac:dyDescent="0.2">
      <c r="B268" s="118" t="str">
        <f t="shared" si="17"/>
        <v/>
      </c>
      <c r="C268" s="1"/>
      <c r="D268" s="68" t="str">
        <f t="shared" si="18"/>
        <v/>
      </c>
      <c r="E268" s="2"/>
      <c r="F268" s="78">
        <v>261</v>
      </c>
      <c r="G268" s="110" t="str">
        <f t="array" ref="G268">IF(ISNUMBER(AC268),INDEX('All Player Data Store'!$C$7:$C$594,SMALL(IF('All Player Data Store'!$Y$7:$Y$594=AC268,ROW('All Player Data Store'!$Y$7:$Y$594)-ROW('All Player Data Store'!$Y$7)+1),COUNTIF($AC$8:AC268,AC268))),"")</f>
        <v/>
      </c>
      <c r="H268" s="68" t="str">
        <f t="array" ref="H268">IF(ISNUMBER(AC268),INDEX('All Player Data Store'!$D$7:$D$594,SMALL(IF('All Player Data Store'!$Y$7:$Y$594=AC268,ROW('All Player Data Store'!$Y$7:$Y$594)-ROW('All Player Data Store'!$Y$7)+1),COUNTIF($AC$8:AC268,AC268))),"")</f>
        <v/>
      </c>
      <c r="I268" s="69" t="str">
        <f t="array" ref="I268">IF(ISNUMBER(AC268),INDEX('All Player Data Store'!$E$7:$E$594,SMALL(IF('All Player Data Store'!$Y$7:$Y$594=AC268,ROW('All Player Data Store'!$Y$7:$Y$594)-ROW('All Player Data Store'!$Y$7)+1),COUNTIF($AC$8:AC268,AC268))),"")</f>
        <v/>
      </c>
      <c r="J268" s="70" t="str">
        <f t="array" ref="J268">IF(ISNUMBER(AC268),INDEX('All Player Data Store'!$F$7:$F$594,SMALL(IF('All Player Data Store'!$Y$7:$Y$594=AC268,ROW('All Player Data Store'!$Y$7:$Y$594)-ROW('All Player Data Store'!$Y$7)+1),COUNTIF($AC$8:AC268,AC268))),"")</f>
        <v/>
      </c>
      <c r="K268" s="70" t="str">
        <f t="array" ref="K268">IF(ISNUMBER(AC268),INDEX('All Player Data Store'!$G$7:$G$594,SMALL(IF('All Player Data Store'!$Y$7:$Y$594=AC268,ROW('All Player Data Store'!$Y$7:$Y$594)-ROW('All Player Data Store'!$Y$7)+1),COUNTIF($AC$8:AC268,AC268))),"")</f>
        <v/>
      </c>
      <c r="L268" s="70" t="str">
        <f t="array" ref="L268">IF(ISNUMBER(AC268),INDEX('All Player Data Store'!$H$7:$H$594,SMALL(IF('All Player Data Store'!$Y$7:$Y$594=AC268,ROW('All Player Data Store'!$Y$7:$Y$594)-ROW('All Player Data Store'!$Y$7)+1),COUNTIF($AC$8:AC268,AC268))),"")</f>
        <v/>
      </c>
      <c r="M268" s="72" t="str">
        <f t="array" ref="M268">IF(ISNUMBER(AC268),INDEX('All Player Data Store'!$I$7:$I$594,SMALL(IF('All Player Data Store'!$Y$7:$Y$594=AC268,ROW('All Player Data Store'!$Y$7:$Y$594)-ROW('All Player Data Store'!$Y$7)+1),COUNTIF($AC$8:AC268,AC268))),"")</f>
        <v/>
      </c>
      <c r="N268" s="114" t="str">
        <f t="array" ref="N268">IF(ISNUMBER(AC268),INDEX('All Player Data Store'!$J$7:$J$594,SMALL(IF('All Player Data Store'!$Y$7:$Y$594=AC268,ROW('All Player Data Store'!$Y$7:$Y$594)-ROW('All Player Data Store'!$Y$7)+1),COUNTIF($AC$8:AC268,AC268))),"")</f>
        <v/>
      </c>
      <c r="O268" s="108" t="str">
        <f t="array" ref="O268">IF(ISNUMBER(AC268),INDEX('All Player Data Store'!$K$7:$K$594,SMALL(IF('All Player Data Store'!$Y$7:$Y$594=AC268,ROW('All Player Data Store'!$Y$7:$Y$594)-ROW('All Player Data Store'!$Y$7)+1),COUNTIF($AC$8:AC268,AC268))),"")</f>
        <v/>
      </c>
      <c r="P268" s="108" t="str">
        <f t="array" ref="P268">IF(ISNUMBER(AC268),INDEX('All Player Data Store'!$L$7:$L$594,SMALL(IF('All Player Data Store'!$Y$7:$Y$594=AC268,ROW('All Player Data Store'!$Y$7:$Y$594)-ROW('All Player Data Store'!$Y$7)+1),COUNTIF($AC$8:AC268,AC268))),"")</f>
        <v/>
      </c>
      <c r="Q268" s="108" t="str">
        <f t="array" ref="Q268">IF(ISNUMBER(AC268),INDEX('All Player Data Store'!$M$7:$M$594,SMALL(IF('All Player Data Store'!$Y$7:$Y$594=AC268,ROW('All Player Data Store'!$Y$7:$Y$594)-ROW('All Player Data Store'!$Y$7)+1),COUNTIF($AC$8:AC268,AC268))),"")</f>
        <v/>
      </c>
      <c r="R268" s="108" t="str">
        <f t="array" ref="R268">IF(ISNUMBER(AC268),INDEX('All Player Data Store'!$N$7:$N$594,SMALL(IF('All Player Data Store'!$Y$7:$Y$594=AC268,ROW('All Player Data Store'!$Y$7:$Y$594)-ROW('All Player Data Store'!$Y$7)+1),COUNTIF($AC$8:AC268,AC268))),"")</f>
        <v/>
      </c>
      <c r="S268" s="108" t="str">
        <f t="array" ref="S268">IF(ISNUMBER(AC268),INDEX('All Player Data Store'!$O$7:$O$594,SMALL(IF('All Player Data Store'!$Y$7:$Y$594=AC268,ROW('All Player Data Store'!$Y$7:$Y$594)-ROW('All Player Data Store'!$Y$7)+1),COUNTIF($AC$8:AC268,AC268))),"")</f>
        <v/>
      </c>
      <c r="T268" s="108" t="str">
        <f t="array" ref="T268">IF(ISNUMBER(AC268),INDEX('All Player Data Store'!$P$7:$P$594,SMALL(IF('All Player Data Store'!$Y$7:$Y$594=AC268,ROW('All Player Data Store'!$Y$7:$Y$594)-ROW('All Player Data Store'!$Y$7)+1),COUNTIF($AC$8:AC268,AC268))),"")</f>
        <v/>
      </c>
      <c r="U268" s="108" t="str">
        <f t="array" ref="U268">IF(ISNUMBER(AC268),INDEX('All Player Data Store'!$Q$7:$Q$594,SMALL(IF('All Player Data Store'!$Y$7:$Y$594=AC268,ROW('All Player Data Store'!$Y$7:$Y$594)-ROW('All Player Data Store'!$Y$7)+1),COUNTIF($AC$8:AC268,AC268))),"")</f>
        <v/>
      </c>
      <c r="V268" s="108" t="str">
        <f t="array" ref="V268">IF(ISNUMBER(AC268),INDEX('All Player Data Store'!$R$7:$R$594,SMALL(IF('All Player Data Store'!$Y$7:$Y$594=AC268,ROW('All Player Data Store'!$Y$7:$Y$594)-ROW('All Player Data Store'!$Y$7)+1),COUNTIF($AC$8:AC268,AC268))),"")</f>
        <v/>
      </c>
      <c r="W268" s="108" t="str">
        <f t="array" ref="W268">IF(ISNUMBER(AC268),INDEX('All Player Data Store'!$S$7:$S$594,SMALL(IF('All Player Data Store'!$Y$7:$Y$594=AC268,ROW('All Player Data Store'!$Y$7:$Y$594)-ROW('All Player Data Store'!$Y$7)+1),COUNTIF($AC$8:AC268,AC268))),"")</f>
        <v/>
      </c>
      <c r="X268" s="108" t="str">
        <f t="array" ref="X268">IF(ISNUMBER(AC268),INDEX('All Player Data Store'!$T$7:$T$594,SMALL(IF('All Player Data Store'!$Y$7:$Y$594=AC268,ROW('All Player Data Store'!$Y$7:$Y$594)-ROW('All Player Data Store'!$Y$7)+1),COUNTIF($AC$8:AC268,AC268))),"")</f>
        <v/>
      </c>
      <c r="Y268" s="108" t="str">
        <f t="array" ref="Y268">IF(ISNUMBER(AC268),INDEX('All Player Data Store'!$U$7:$U$594,SMALL(IF('All Player Data Store'!$Y$7:$Y$594=AC268,ROW('All Player Data Store'!$Y$7:$Y$594)-ROW('All Player Data Store'!$Y$7)+1),COUNTIF($AC$8:AC268,AC268))),"")</f>
        <v/>
      </c>
      <c r="Z268" s="108" t="str">
        <f t="array" ref="Z268">IF(ISNUMBER(AC268),INDEX('All Player Data Store'!$V$7:$V$594,SMALL(IF('All Player Data Store'!$Y$7:$Y$594=AC268,ROW('All Player Data Store'!$Y$7:$Y$594)-ROW('All Player Data Store'!$Y$7)+1),COUNTIF($AC$8:AC268,AC268))),"")</f>
        <v/>
      </c>
      <c r="AA268" s="112" t="str">
        <f t="array" ref="AA268">IF(ISNUMBER(AC268),INDEX('All Player Data Store'!$W$7:$W$594,SMALL(IF('All Player Data Store'!$Y$7:$Y$594=AC268,ROW('All Player Data Store'!$Y$7:$Y$594)-ROW('All Player Data Store'!$Y$7)+1),COUNTIF($AC$8:AC268,AC268))),"")</f>
        <v/>
      </c>
      <c r="AB268" s="108" t="str">
        <f t="array" ref="AB268">IF(ISNUMBER(AC268),INDEX('All Player Data Store'!$X$7:$X$594,SMALL(IF('All Player Data Store'!$Y$7:$Y$594=AC268,ROW('All Player Data Store'!$Y$7:$Y$594)-ROW('All Player Data Store'!$Y$7)+1),COUNTIF($AC$8:AC268,AC268))),"")</f>
        <v/>
      </c>
      <c r="AC268" s="115" t="str">
        <f>IF(ISERROR(IF(ISERROR(LARGE('All Player Data Store'!$Y$7:$Y$594,261)),"",(LARGE('All Player Data Store'!$Y$7:$Y$594,261)))),"",(IF(ISERROR(LARGE('All Player Data Store'!$Y$7:$Y$594,261)),"",(LARGE('All Player Data Store'!$Y$7:$Y$594,261)))))</f>
        <v/>
      </c>
      <c r="AD268" s="106">
        <f t="shared" si="16"/>
        <v>1</v>
      </c>
      <c r="AE268" s="107" t="str">
        <f t="array" ref="AE268">IF(ISNUMBER(AC268),INDEX('All Player Data Store'!$J$8:$J$594,SMALL(IF('All Player Data Store'!$Y$7:$Y$594=AC268,ROW('All Player Data Store'!$Y$7:$Y$594)-ROW('All Player Data Store'!$Y$7)+1),COUNTIF($AC$8:AC268,AC268))),"")</f>
        <v/>
      </c>
      <c r="AF268" s="108" t="str">
        <f t="shared" si="19"/>
        <v/>
      </c>
      <c r="AG268" s="108" t="str">
        <f t="array" ref="AG268">IF(ISNUMBER(AC268),INDEX('All Player Data Store'!$K$8:$K$594,SMALL(IF('All Player Data Store'!$Y$7:$Y$594=AC268,ROW('All Player Data Store'!$Y$7:$Y$594)-ROW('All Player Data Store'!$Y$7)+1),COUNTIF($AC$8:AC268,AC268))),"")</f>
        <v/>
      </c>
      <c r="AH268" s="108" t="str">
        <f t="shared" si="20"/>
        <v/>
      </c>
      <c r="AI268" s="108" t="str">
        <f t="array" ref="AI268">IF(ISNUMBER(AC268),INDEX('All Player Data Store'!$L$8:$L$594,SMALL(IF('All Player Data Store'!$Y$7:$Y$594=AC268,ROW('All Player Data Store'!$Y$7:$Y$594)-ROW('All Player Data Store'!$Y$7)+1),COUNTIF($AC$8:AC268,AC268))),"")</f>
        <v/>
      </c>
      <c r="AJ268" s="108" t="str">
        <f t="shared" si="21"/>
        <v/>
      </c>
      <c r="AK268" s="108" t="str">
        <f t="array" ref="AK268">IF(ISNUMBER(AC268),INDEX('All Player Data Store'!$M$8:$M$594,SMALL(IF('All Player Data Store'!$Y$7:$Y$594=AC268,ROW('All Player Data Store'!$Y$7:$Y$594)-ROW('All Player Data Store'!$Y$7)+1),COUNTIF($AC$8:AC268,AC268))),"")</f>
        <v/>
      </c>
      <c r="AL268" s="108" t="str">
        <f t="shared" si="22"/>
        <v/>
      </c>
      <c r="AM268" s="108" t="str">
        <f t="array" ref="AM268">IF(ISNUMBER(AC268),INDEX('All Player Data Store'!$N$8:$N$594,SMALL(IF('All Player Data Store'!$Y$7:$Y$594=AC268,ROW('All Player Data Store'!$Y$7:$Y$594)-ROW('All Player Data Store'!$Y$7)+1),COUNTIF($AC$8:AC268,AC268))),"")</f>
        <v/>
      </c>
      <c r="AN268" s="108" t="str">
        <f t="shared" si="23"/>
        <v/>
      </c>
      <c r="AO268" s="108" t="str">
        <f t="array" ref="AO268">IF(ISNUMBER(AC268),INDEX('All Player Data Store'!$O$8:$O$594,SMALL(IF('All Player Data Store'!$Y$7:$Y$594=AC268,ROW('All Player Data Store'!$Y$7:$Y$594)-ROW('All Player Data Store'!$Y$7)+1),COUNTIF($AC$8:AC268,AC268))),"")</f>
        <v/>
      </c>
      <c r="AP268" s="108" t="str">
        <f t="shared" si="24"/>
        <v/>
      </c>
      <c r="AQ268" s="108" t="str">
        <f t="array" ref="AQ268">IF(ISNUMBER(AC268),INDEX('All Player Data Store'!$P$8:$P$594,SMALL(IF('All Player Data Store'!$Y$7:$Y$594=AC268,ROW('All Player Data Store'!$Y$7:$Y$594)-ROW('All Player Data Store'!$Y$7)+1),COUNTIF($AC$8:AC268,AC268))),"")</f>
        <v/>
      </c>
      <c r="AR268" s="108" t="str">
        <f t="shared" si="25"/>
        <v/>
      </c>
      <c r="AS268" s="108" t="str">
        <f t="array" ref="AS268">IF(ISNUMBER(AC268),INDEX('All Player Data Store'!$Q$8:$Q$594,SMALL(IF('All Player Data Store'!$Y$7:$Y$594=AC268,ROW('All Player Data Store'!$Y$7:$Y$594)-ROW('All Player Data Store'!$Y$7)+1),COUNTIF($AC$8:AC268,AC268))),"")</f>
        <v/>
      </c>
      <c r="AT268" s="108" t="str">
        <f t="shared" si="26"/>
        <v/>
      </c>
      <c r="AU268" s="108" t="str">
        <f t="array" ref="AU268">IF(ISNUMBER(AC268),INDEX('All Player Data Store'!$R$8:$R$594,SMALL(IF('All Player Data Store'!$Y$7:$Y$594=AC268,ROW('All Player Data Store'!$Y$7:$Y$594)-ROW('All Player Data Store'!$Y$7)+1),COUNTIF($AC$8:AC268,AC268))),"")</f>
        <v/>
      </c>
      <c r="AV268" s="108" t="str">
        <f t="shared" si="27"/>
        <v/>
      </c>
      <c r="AW268" s="108" t="str">
        <f t="array" ref="AW268">IF(ISNUMBER(AC268),INDEX('All Player Data Store'!$S$8:$S$594,SMALL(IF('All Player Data Store'!$Y$7:$Y$594=AC268,ROW('All Player Data Store'!$Y$7:$Y$594)-ROW('All Player Data Store'!$Y$7)+1),COUNTIF($AC$8:AC268,AC268))),"")</f>
        <v/>
      </c>
      <c r="AX268" s="108" t="str">
        <f t="shared" si="28"/>
        <v/>
      </c>
      <c r="AY268" s="108" t="str">
        <f t="array" ref="AY268">IF(ISNUMBER(AC268),INDEX('All Player Data Store'!$T$8:$T$594,SMALL(IF('All Player Data Store'!$Y$7:$Y$594=AC268,ROW('All Player Data Store'!$Y$7:$Y$594)-ROW('All Player Data Store'!$Y$7)+1),COUNTIF($AC$8:AC268,AC268))),"")</f>
        <v/>
      </c>
      <c r="AZ268" s="108" t="str">
        <f t="shared" si="29"/>
        <v/>
      </c>
      <c r="BA268" s="108" t="str">
        <f t="array" ref="BA268">IF(ISNUMBER(AC268),INDEX('All Player Data Store'!$U$8:$U$594,SMALL(IF('All Player Data Store'!$Y$7:$Y$594=AC268,ROW('All Player Data Store'!$Y$7:$Y$594)-ROW('All Player Data Store'!$Y$7)+1),COUNTIF($AC$8:AC268,AC268))),"")</f>
        <v/>
      </c>
      <c r="BB268" s="108" t="str">
        <f t="shared" si="30"/>
        <v/>
      </c>
      <c r="BC268" s="108" t="str">
        <f t="array" ref="BC268">IF(ISNUMBER(AC268),INDEX('All Player Data Store'!$V$8:$V$594,SMALL(IF('All Player Data Store'!$Y$7:$Y$594=AC268,ROW('All Player Data Store'!$Y$7:$Y$594)-ROW('All Player Data Store'!$Y$7)+1),COUNTIF($AC$8:AC268,AC268))),"")</f>
        <v/>
      </c>
      <c r="BD268" s="108" t="str">
        <f t="shared" si="31"/>
        <v/>
      </c>
      <c r="BE268" s="1"/>
    </row>
    <row r="269" spans="2:57" ht="12" customHeight="1" x14ac:dyDescent="0.2">
      <c r="B269" s="118" t="str">
        <f t="shared" si="17"/>
        <v/>
      </c>
      <c r="C269" s="1"/>
      <c r="D269" s="68" t="str">
        <f t="shared" si="18"/>
        <v/>
      </c>
      <c r="E269" s="2"/>
      <c r="F269" s="78">
        <v>262</v>
      </c>
      <c r="G269" s="110" t="str">
        <f t="array" ref="G269">IF(ISNUMBER(AC269),INDEX('All Player Data Store'!$C$7:$C$594,SMALL(IF('All Player Data Store'!$Y$7:$Y$594=AC269,ROW('All Player Data Store'!$Y$7:$Y$594)-ROW('All Player Data Store'!$Y$7)+1),COUNTIF($AC$8:AC269,AC269))),"")</f>
        <v/>
      </c>
      <c r="H269" s="68" t="str">
        <f t="array" ref="H269">IF(ISNUMBER(AC269),INDEX('All Player Data Store'!$D$7:$D$594,SMALL(IF('All Player Data Store'!$Y$7:$Y$594=AC269,ROW('All Player Data Store'!$Y$7:$Y$594)-ROW('All Player Data Store'!$Y$7)+1),COUNTIF($AC$8:AC269,AC269))),"")</f>
        <v/>
      </c>
      <c r="I269" s="69" t="str">
        <f t="array" ref="I269">IF(ISNUMBER(AC269),INDEX('All Player Data Store'!$E$7:$E$594,SMALL(IF('All Player Data Store'!$Y$7:$Y$594=AC269,ROW('All Player Data Store'!$Y$7:$Y$594)-ROW('All Player Data Store'!$Y$7)+1),COUNTIF($AC$8:AC269,AC269))),"")</f>
        <v/>
      </c>
      <c r="J269" s="70" t="str">
        <f t="array" ref="J269">IF(ISNUMBER(AC269),INDEX('All Player Data Store'!$F$7:$F$594,SMALL(IF('All Player Data Store'!$Y$7:$Y$594=AC269,ROW('All Player Data Store'!$Y$7:$Y$594)-ROW('All Player Data Store'!$Y$7)+1),COUNTIF($AC$8:AC269,AC269))),"")</f>
        <v/>
      </c>
      <c r="K269" s="70" t="str">
        <f t="array" ref="K269">IF(ISNUMBER(AC269),INDEX('All Player Data Store'!$G$7:$G$594,SMALL(IF('All Player Data Store'!$Y$7:$Y$594=AC269,ROW('All Player Data Store'!$Y$7:$Y$594)-ROW('All Player Data Store'!$Y$7)+1),COUNTIF($AC$8:AC269,AC269))),"")</f>
        <v/>
      </c>
      <c r="L269" s="70" t="str">
        <f t="array" ref="L269">IF(ISNUMBER(AC269),INDEX('All Player Data Store'!$H$7:$H$594,SMALL(IF('All Player Data Store'!$Y$7:$Y$594=AC269,ROW('All Player Data Store'!$Y$7:$Y$594)-ROW('All Player Data Store'!$Y$7)+1),COUNTIF($AC$8:AC269,AC269))),"")</f>
        <v/>
      </c>
      <c r="M269" s="72" t="str">
        <f t="array" ref="M269">IF(ISNUMBER(AC269),INDEX('All Player Data Store'!$I$7:$I$594,SMALL(IF('All Player Data Store'!$Y$7:$Y$594=AC269,ROW('All Player Data Store'!$Y$7:$Y$594)-ROW('All Player Data Store'!$Y$7)+1),COUNTIF($AC$8:AC269,AC269))),"")</f>
        <v/>
      </c>
      <c r="N269" s="114" t="str">
        <f t="array" ref="N269">IF(ISNUMBER(AC269),INDEX('All Player Data Store'!$J$7:$J$594,SMALL(IF('All Player Data Store'!$Y$7:$Y$594=AC269,ROW('All Player Data Store'!$Y$7:$Y$594)-ROW('All Player Data Store'!$Y$7)+1),COUNTIF($AC$8:AC269,AC269))),"")</f>
        <v/>
      </c>
      <c r="O269" s="108" t="str">
        <f t="array" ref="O269">IF(ISNUMBER(AC269),INDEX('All Player Data Store'!$K$7:$K$594,SMALL(IF('All Player Data Store'!$Y$7:$Y$594=AC269,ROW('All Player Data Store'!$Y$7:$Y$594)-ROW('All Player Data Store'!$Y$7)+1),COUNTIF($AC$8:AC269,AC269))),"")</f>
        <v/>
      </c>
      <c r="P269" s="108" t="str">
        <f t="array" ref="P269">IF(ISNUMBER(AC269),INDEX('All Player Data Store'!$L$7:$L$594,SMALL(IF('All Player Data Store'!$Y$7:$Y$594=AC269,ROW('All Player Data Store'!$Y$7:$Y$594)-ROW('All Player Data Store'!$Y$7)+1),COUNTIF($AC$8:AC269,AC269))),"")</f>
        <v/>
      </c>
      <c r="Q269" s="108" t="str">
        <f t="array" ref="Q269">IF(ISNUMBER(AC269),INDEX('All Player Data Store'!$M$7:$M$594,SMALL(IF('All Player Data Store'!$Y$7:$Y$594=AC269,ROW('All Player Data Store'!$Y$7:$Y$594)-ROW('All Player Data Store'!$Y$7)+1),COUNTIF($AC$8:AC269,AC269))),"")</f>
        <v/>
      </c>
      <c r="R269" s="108" t="str">
        <f t="array" ref="R269">IF(ISNUMBER(AC269),INDEX('All Player Data Store'!$N$7:$N$594,SMALL(IF('All Player Data Store'!$Y$7:$Y$594=AC269,ROW('All Player Data Store'!$Y$7:$Y$594)-ROW('All Player Data Store'!$Y$7)+1),COUNTIF($AC$8:AC269,AC269))),"")</f>
        <v/>
      </c>
      <c r="S269" s="108" t="str">
        <f t="array" ref="S269">IF(ISNUMBER(AC269),INDEX('All Player Data Store'!$O$7:$O$594,SMALL(IF('All Player Data Store'!$Y$7:$Y$594=AC269,ROW('All Player Data Store'!$Y$7:$Y$594)-ROW('All Player Data Store'!$Y$7)+1),COUNTIF($AC$8:AC269,AC269))),"")</f>
        <v/>
      </c>
      <c r="T269" s="108" t="str">
        <f t="array" ref="T269">IF(ISNUMBER(AC269),INDEX('All Player Data Store'!$P$7:$P$594,SMALL(IF('All Player Data Store'!$Y$7:$Y$594=AC269,ROW('All Player Data Store'!$Y$7:$Y$594)-ROW('All Player Data Store'!$Y$7)+1),COUNTIF($AC$8:AC269,AC269))),"")</f>
        <v/>
      </c>
      <c r="U269" s="108" t="str">
        <f t="array" ref="U269">IF(ISNUMBER(AC269),INDEX('All Player Data Store'!$Q$7:$Q$594,SMALL(IF('All Player Data Store'!$Y$7:$Y$594=AC269,ROW('All Player Data Store'!$Y$7:$Y$594)-ROW('All Player Data Store'!$Y$7)+1),COUNTIF($AC$8:AC269,AC269))),"")</f>
        <v/>
      </c>
      <c r="V269" s="108" t="str">
        <f t="array" ref="V269">IF(ISNUMBER(AC269),INDEX('All Player Data Store'!$R$7:$R$594,SMALL(IF('All Player Data Store'!$Y$7:$Y$594=AC269,ROW('All Player Data Store'!$Y$7:$Y$594)-ROW('All Player Data Store'!$Y$7)+1),COUNTIF($AC$8:AC269,AC269))),"")</f>
        <v/>
      </c>
      <c r="W269" s="108" t="str">
        <f t="array" ref="W269">IF(ISNUMBER(AC269),INDEX('All Player Data Store'!$S$7:$S$594,SMALL(IF('All Player Data Store'!$Y$7:$Y$594=AC269,ROW('All Player Data Store'!$Y$7:$Y$594)-ROW('All Player Data Store'!$Y$7)+1),COUNTIF($AC$8:AC269,AC269))),"")</f>
        <v/>
      </c>
      <c r="X269" s="108" t="str">
        <f t="array" ref="X269">IF(ISNUMBER(AC269),INDEX('All Player Data Store'!$T$7:$T$594,SMALL(IF('All Player Data Store'!$Y$7:$Y$594=AC269,ROW('All Player Data Store'!$Y$7:$Y$594)-ROW('All Player Data Store'!$Y$7)+1),COUNTIF($AC$8:AC269,AC269))),"")</f>
        <v/>
      </c>
      <c r="Y269" s="108" t="str">
        <f t="array" ref="Y269">IF(ISNUMBER(AC269),INDEX('All Player Data Store'!$U$7:$U$594,SMALL(IF('All Player Data Store'!$Y$7:$Y$594=AC269,ROW('All Player Data Store'!$Y$7:$Y$594)-ROW('All Player Data Store'!$Y$7)+1),COUNTIF($AC$8:AC269,AC269))),"")</f>
        <v/>
      </c>
      <c r="Z269" s="108" t="str">
        <f t="array" ref="Z269">IF(ISNUMBER(AC269),INDEX('All Player Data Store'!$V$7:$V$594,SMALL(IF('All Player Data Store'!$Y$7:$Y$594=AC269,ROW('All Player Data Store'!$Y$7:$Y$594)-ROW('All Player Data Store'!$Y$7)+1),COUNTIF($AC$8:AC269,AC269))),"")</f>
        <v/>
      </c>
      <c r="AA269" s="112" t="str">
        <f t="array" ref="AA269">IF(ISNUMBER(AC269),INDEX('All Player Data Store'!$W$7:$W$594,SMALL(IF('All Player Data Store'!$Y$7:$Y$594=AC269,ROW('All Player Data Store'!$Y$7:$Y$594)-ROW('All Player Data Store'!$Y$7)+1),COUNTIF($AC$8:AC269,AC269))),"")</f>
        <v/>
      </c>
      <c r="AB269" s="108" t="str">
        <f t="array" ref="AB269">IF(ISNUMBER(AC269),INDEX('All Player Data Store'!$X$7:$X$594,SMALL(IF('All Player Data Store'!$Y$7:$Y$594=AC269,ROW('All Player Data Store'!$Y$7:$Y$594)-ROW('All Player Data Store'!$Y$7)+1),COUNTIF($AC$8:AC269,AC269))),"")</f>
        <v/>
      </c>
      <c r="AC269" s="115" t="str">
        <f>IF(ISERROR(IF(ISERROR(LARGE('All Player Data Store'!$Y$7:$Y$594,262)),"",(LARGE('All Player Data Store'!$Y$7:$Y$594,262)))),"",(IF(ISERROR(LARGE('All Player Data Store'!$Y$7:$Y$594,262)),"",(LARGE('All Player Data Store'!$Y$7:$Y$594,262)))))</f>
        <v/>
      </c>
      <c r="AD269" s="106">
        <f t="shared" si="16"/>
        <v>1</v>
      </c>
      <c r="AE269" s="107" t="str">
        <f t="array" ref="AE269">IF(ISNUMBER(AC269),INDEX('All Player Data Store'!$J$8:$J$594,SMALL(IF('All Player Data Store'!$Y$7:$Y$594=AC269,ROW('All Player Data Store'!$Y$7:$Y$594)-ROW('All Player Data Store'!$Y$7)+1),COUNTIF($AC$8:AC269,AC269))),"")</f>
        <v/>
      </c>
      <c r="AF269" s="108" t="str">
        <f t="shared" si="19"/>
        <v/>
      </c>
      <c r="AG269" s="108" t="str">
        <f t="array" ref="AG269">IF(ISNUMBER(AC269),INDEX('All Player Data Store'!$K$8:$K$594,SMALL(IF('All Player Data Store'!$Y$7:$Y$594=AC269,ROW('All Player Data Store'!$Y$7:$Y$594)-ROW('All Player Data Store'!$Y$7)+1),COUNTIF($AC$8:AC269,AC269))),"")</f>
        <v/>
      </c>
      <c r="AH269" s="108" t="str">
        <f t="shared" si="20"/>
        <v/>
      </c>
      <c r="AI269" s="108" t="str">
        <f t="array" ref="AI269">IF(ISNUMBER(AC269),INDEX('All Player Data Store'!$L$8:$L$594,SMALL(IF('All Player Data Store'!$Y$7:$Y$594=AC269,ROW('All Player Data Store'!$Y$7:$Y$594)-ROW('All Player Data Store'!$Y$7)+1),COUNTIF($AC$8:AC269,AC269))),"")</f>
        <v/>
      </c>
      <c r="AJ269" s="108" t="str">
        <f t="shared" si="21"/>
        <v/>
      </c>
      <c r="AK269" s="108" t="str">
        <f t="array" ref="AK269">IF(ISNUMBER(AC269),INDEX('All Player Data Store'!$M$8:$M$594,SMALL(IF('All Player Data Store'!$Y$7:$Y$594=AC269,ROW('All Player Data Store'!$Y$7:$Y$594)-ROW('All Player Data Store'!$Y$7)+1),COUNTIF($AC$8:AC269,AC269))),"")</f>
        <v/>
      </c>
      <c r="AL269" s="108" t="str">
        <f t="shared" si="22"/>
        <v/>
      </c>
      <c r="AM269" s="108" t="str">
        <f t="array" ref="AM269">IF(ISNUMBER(AC269),INDEX('All Player Data Store'!$N$8:$N$594,SMALL(IF('All Player Data Store'!$Y$7:$Y$594=AC269,ROW('All Player Data Store'!$Y$7:$Y$594)-ROW('All Player Data Store'!$Y$7)+1),COUNTIF($AC$8:AC269,AC269))),"")</f>
        <v/>
      </c>
      <c r="AN269" s="108" t="str">
        <f t="shared" si="23"/>
        <v/>
      </c>
      <c r="AO269" s="108" t="str">
        <f t="array" ref="AO269">IF(ISNUMBER(AC269),INDEX('All Player Data Store'!$O$8:$O$594,SMALL(IF('All Player Data Store'!$Y$7:$Y$594=AC269,ROW('All Player Data Store'!$Y$7:$Y$594)-ROW('All Player Data Store'!$Y$7)+1),COUNTIF($AC$8:AC269,AC269))),"")</f>
        <v/>
      </c>
      <c r="AP269" s="108" t="str">
        <f t="shared" si="24"/>
        <v/>
      </c>
      <c r="AQ269" s="108" t="str">
        <f t="array" ref="AQ269">IF(ISNUMBER(AC269),INDEX('All Player Data Store'!$P$8:$P$594,SMALL(IF('All Player Data Store'!$Y$7:$Y$594=AC269,ROW('All Player Data Store'!$Y$7:$Y$594)-ROW('All Player Data Store'!$Y$7)+1),COUNTIF($AC$8:AC269,AC269))),"")</f>
        <v/>
      </c>
      <c r="AR269" s="108" t="str">
        <f t="shared" si="25"/>
        <v/>
      </c>
      <c r="AS269" s="108" t="str">
        <f t="array" ref="AS269">IF(ISNUMBER(AC269),INDEX('All Player Data Store'!$Q$8:$Q$594,SMALL(IF('All Player Data Store'!$Y$7:$Y$594=AC269,ROW('All Player Data Store'!$Y$7:$Y$594)-ROW('All Player Data Store'!$Y$7)+1),COUNTIF($AC$8:AC269,AC269))),"")</f>
        <v/>
      </c>
      <c r="AT269" s="108" t="str">
        <f t="shared" si="26"/>
        <v/>
      </c>
      <c r="AU269" s="108" t="str">
        <f t="array" ref="AU269">IF(ISNUMBER(AC269),INDEX('All Player Data Store'!$R$8:$R$594,SMALL(IF('All Player Data Store'!$Y$7:$Y$594=AC269,ROW('All Player Data Store'!$Y$7:$Y$594)-ROW('All Player Data Store'!$Y$7)+1),COUNTIF($AC$8:AC269,AC269))),"")</f>
        <v/>
      </c>
      <c r="AV269" s="108" t="str">
        <f t="shared" si="27"/>
        <v/>
      </c>
      <c r="AW269" s="108" t="str">
        <f t="array" ref="AW269">IF(ISNUMBER(AC269),INDEX('All Player Data Store'!$S$8:$S$594,SMALL(IF('All Player Data Store'!$Y$7:$Y$594=AC269,ROW('All Player Data Store'!$Y$7:$Y$594)-ROW('All Player Data Store'!$Y$7)+1),COUNTIF($AC$8:AC269,AC269))),"")</f>
        <v/>
      </c>
      <c r="AX269" s="108" t="str">
        <f t="shared" si="28"/>
        <v/>
      </c>
      <c r="AY269" s="108" t="str">
        <f t="array" ref="AY269">IF(ISNUMBER(AC269),INDEX('All Player Data Store'!$T$8:$T$594,SMALL(IF('All Player Data Store'!$Y$7:$Y$594=AC269,ROW('All Player Data Store'!$Y$7:$Y$594)-ROW('All Player Data Store'!$Y$7)+1),COUNTIF($AC$8:AC269,AC269))),"")</f>
        <v/>
      </c>
      <c r="AZ269" s="108" t="str">
        <f t="shared" si="29"/>
        <v/>
      </c>
      <c r="BA269" s="108" t="str">
        <f t="array" ref="BA269">IF(ISNUMBER(AC269),INDEX('All Player Data Store'!$U$8:$U$594,SMALL(IF('All Player Data Store'!$Y$7:$Y$594=AC269,ROW('All Player Data Store'!$Y$7:$Y$594)-ROW('All Player Data Store'!$Y$7)+1),COUNTIF($AC$8:AC269,AC269))),"")</f>
        <v/>
      </c>
      <c r="BB269" s="108" t="str">
        <f t="shared" si="30"/>
        <v/>
      </c>
      <c r="BC269" s="108" t="str">
        <f t="array" ref="BC269">IF(ISNUMBER(AC269),INDEX('All Player Data Store'!$V$8:$V$594,SMALL(IF('All Player Data Store'!$Y$7:$Y$594=AC269,ROW('All Player Data Store'!$Y$7:$Y$594)-ROW('All Player Data Store'!$Y$7)+1),COUNTIF($AC$8:AC269,AC269))),"")</f>
        <v/>
      </c>
      <c r="BD269" s="108" t="str">
        <f t="shared" si="31"/>
        <v/>
      </c>
      <c r="BE269" s="1"/>
    </row>
    <row r="270" spans="2:57" ht="12" customHeight="1" x14ac:dyDescent="0.2">
      <c r="B270" s="118" t="str">
        <f t="shared" si="17"/>
        <v/>
      </c>
      <c r="C270" s="1"/>
      <c r="D270" s="68" t="str">
        <f t="shared" si="18"/>
        <v/>
      </c>
      <c r="E270" s="2"/>
      <c r="F270" s="78">
        <v>263</v>
      </c>
      <c r="G270" s="110" t="str">
        <f t="array" ref="G270">IF(ISNUMBER(AC270),INDEX('All Player Data Store'!$C$7:$C$594,SMALL(IF('All Player Data Store'!$Y$7:$Y$594=AC270,ROW('All Player Data Store'!$Y$7:$Y$594)-ROW('All Player Data Store'!$Y$7)+1),COUNTIF($AC$8:AC270,AC270))),"")</f>
        <v/>
      </c>
      <c r="H270" s="68" t="str">
        <f t="array" ref="H270">IF(ISNUMBER(AC270),INDEX('All Player Data Store'!$D$7:$D$594,SMALL(IF('All Player Data Store'!$Y$7:$Y$594=AC270,ROW('All Player Data Store'!$Y$7:$Y$594)-ROW('All Player Data Store'!$Y$7)+1),COUNTIF($AC$8:AC270,AC270))),"")</f>
        <v/>
      </c>
      <c r="I270" s="69" t="str">
        <f t="array" ref="I270">IF(ISNUMBER(AC270),INDEX('All Player Data Store'!$E$7:$E$594,SMALL(IF('All Player Data Store'!$Y$7:$Y$594=AC270,ROW('All Player Data Store'!$Y$7:$Y$594)-ROW('All Player Data Store'!$Y$7)+1),COUNTIF($AC$8:AC270,AC270))),"")</f>
        <v/>
      </c>
      <c r="J270" s="70" t="str">
        <f t="array" ref="J270">IF(ISNUMBER(AC270),INDEX('All Player Data Store'!$F$7:$F$594,SMALL(IF('All Player Data Store'!$Y$7:$Y$594=AC270,ROW('All Player Data Store'!$Y$7:$Y$594)-ROW('All Player Data Store'!$Y$7)+1),COUNTIF($AC$8:AC270,AC270))),"")</f>
        <v/>
      </c>
      <c r="K270" s="70" t="str">
        <f t="array" ref="K270">IF(ISNUMBER(AC270),INDEX('All Player Data Store'!$G$7:$G$594,SMALL(IF('All Player Data Store'!$Y$7:$Y$594=AC270,ROW('All Player Data Store'!$Y$7:$Y$594)-ROW('All Player Data Store'!$Y$7)+1),COUNTIF($AC$8:AC270,AC270))),"")</f>
        <v/>
      </c>
      <c r="L270" s="70" t="str">
        <f t="array" ref="L270">IF(ISNUMBER(AC270),INDEX('All Player Data Store'!$H$7:$H$594,SMALL(IF('All Player Data Store'!$Y$7:$Y$594=AC270,ROW('All Player Data Store'!$Y$7:$Y$594)-ROW('All Player Data Store'!$Y$7)+1),COUNTIF($AC$8:AC270,AC270))),"")</f>
        <v/>
      </c>
      <c r="M270" s="72" t="str">
        <f t="array" ref="M270">IF(ISNUMBER(AC270),INDEX('All Player Data Store'!$I$7:$I$594,SMALL(IF('All Player Data Store'!$Y$7:$Y$594=AC270,ROW('All Player Data Store'!$Y$7:$Y$594)-ROW('All Player Data Store'!$Y$7)+1),COUNTIF($AC$8:AC270,AC270))),"")</f>
        <v/>
      </c>
      <c r="N270" s="114" t="str">
        <f t="array" ref="N270">IF(ISNUMBER(AC270),INDEX('All Player Data Store'!$J$7:$J$594,SMALL(IF('All Player Data Store'!$Y$7:$Y$594=AC270,ROW('All Player Data Store'!$Y$7:$Y$594)-ROW('All Player Data Store'!$Y$7)+1),COUNTIF($AC$8:AC270,AC270))),"")</f>
        <v/>
      </c>
      <c r="O270" s="108" t="str">
        <f t="array" ref="O270">IF(ISNUMBER(AC270),INDEX('All Player Data Store'!$K$7:$K$594,SMALL(IF('All Player Data Store'!$Y$7:$Y$594=AC270,ROW('All Player Data Store'!$Y$7:$Y$594)-ROW('All Player Data Store'!$Y$7)+1),COUNTIF($AC$8:AC270,AC270))),"")</f>
        <v/>
      </c>
      <c r="P270" s="108" t="str">
        <f t="array" ref="P270">IF(ISNUMBER(AC270),INDEX('All Player Data Store'!$L$7:$L$594,SMALL(IF('All Player Data Store'!$Y$7:$Y$594=AC270,ROW('All Player Data Store'!$Y$7:$Y$594)-ROW('All Player Data Store'!$Y$7)+1),COUNTIF($AC$8:AC270,AC270))),"")</f>
        <v/>
      </c>
      <c r="Q270" s="108" t="str">
        <f t="array" ref="Q270">IF(ISNUMBER(AC270),INDEX('All Player Data Store'!$M$7:$M$594,SMALL(IF('All Player Data Store'!$Y$7:$Y$594=AC270,ROW('All Player Data Store'!$Y$7:$Y$594)-ROW('All Player Data Store'!$Y$7)+1),COUNTIF($AC$8:AC270,AC270))),"")</f>
        <v/>
      </c>
      <c r="R270" s="108" t="str">
        <f t="array" ref="R270">IF(ISNUMBER(AC270),INDEX('All Player Data Store'!$N$7:$N$594,SMALL(IF('All Player Data Store'!$Y$7:$Y$594=AC270,ROW('All Player Data Store'!$Y$7:$Y$594)-ROW('All Player Data Store'!$Y$7)+1),COUNTIF($AC$8:AC270,AC270))),"")</f>
        <v/>
      </c>
      <c r="S270" s="108" t="str">
        <f t="array" ref="S270">IF(ISNUMBER(AC270),INDEX('All Player Data Store'!$O$7:$O$594,SMALL(IF('All Player Data Store'!$Y$7:$Y$594=AC270,ROW('All Player Data Store'!$Y$7:$Y$594)-ROW('All Player Data Store'!$Y$7)+1),COUNTIF($AC$8:AC270,AC270))),"")</f>
        <v/>
      </c>
      <c r="T270" s="108" t="str">
        <f t="array" ref="T270">IF(ISNUMBER(AC270),INDEX('All Player Data Store'!$P$7:$P$594,SMALL(IF('All Player Data Store'!$Y$7:$Y$594=AC270,ROW('All Player Data Store'!$Y$7:$Y$594)-ROW('All Player Data Store'!$Y$7)+1),COUNTIF($AC$8:AC270,AC270))),"")</f>
        <v/>
      </c>
      <c r="U270" s="108" t="str">
        <f t="array" ref="U270">IF(ISNUMBER(AC270),INDEX('All Player Data Store'!$Q$7:$Q$594,SMALL(IF('All Player Data Store'!$Y$7:$Y$594=AC270,ROW('All Player Data Store'!$Y$7:$Y$594)-ROW('All Player Data Store'!$Y$7)+1),COUNTIF($AC$8:AC270,AC270))),"")</f>
        <v/>
      </c>
      <c r="V270" s="108" t="str">
        <f t="array" ref="V270">IF(ISNUMBER(AC270),INDEX('All Player Data Store'!$R$7:$R$594,SMALL(IF('All Player Data Store'!$Y$7:$Y$594=AC270,ROW('All Player Data Store'!$Y$7:$Y$594)-ROW('All Player Data Store'!$Y$7)+1),COUNTIF($AC$8:AC270,AC270))),"")</f>
        <v/>
      </c>
      <c r="W270" s="108" t="str">
        <f t="array" ref="W270">IF(ISNUMBER(AC270),INDEX('All Player Data Store'!$S$7:$S$594,SMALL(IF('All Player Data Store'!$Y$7:$Y$594=AC270,ROW('All Player Data Store'!$Y$7:$Y$594)-ROW('All Player Data Store'!$Y$7)+1),COUNTIF($AC$8:AC270,AC270))),"")</f>
        <v/>
      </c>
      <c r="X270" s="108" t="str">
        <f t="array" ref="X270">IF(ISNUMBER(AC270),INDEX('All Player Data Store'!$T$7:$T$594,SMALL(IF('All Player Data Store'!$Y$7:$Y$594=AC270,ROW('All Player Data Store'!$Y$7:$Y$594)-ROW('All Player Data Store'!$Y$7)+1),COUNTIF($AC$8:AC270,AC270))),"")</f>
        <v/>
      </c>
      <c r="Y270" s="108" t="str">
        <f t="array" ref="Y270">IF(ISNUMBER(AC270),INDEX('All Player Data Store'!$U$7:$U$594,SMALL(IF('All Player Data Store'!$Y$7:$Y$594=AC270,ROW('All Player Data Store'!$Y$7:$Y$594)-ROW('All Player Data Store'!$Y$7)+1),COUNTIF($AC$8:AC270,AC270))),"")</f>
        <v/>
      </c>
      <c r="Z270" s="108" t="str">
        <f t="array" ref="Z270">IF(ISNUMBER(AC270),INDEX('All Player Data Store'!$V$7:$V$594,SMALL(IF('All Player Data Store'!$Y$7:$Y$594=AC270,ROW('All Player Data Store'!$Y$7:$Y$594)-ROW('All Player Data Store'!$Y$7)+1),COUNTIF($AC$8:AC270,AC270))),"")</f>
        <v/>
      </c>
      <c r="AA270" s="112" t="str">
        <f t="array" ref="AA270">IF(ISNUMBER(AC270),INDEX('All Player Data Store'!$W$7:$W$594,SMALL(IF('All Player Data Store'!$Y$7:$Y$594=AC270,ROW('All Player Data Store'!$Y$7:$Y$594)-ROW('All Player Data Store'!$Y$7)+1),COUNTIF($AC$8:AC270,AC270))),"")</f>
        <v/>
      </c>
      <c r="AB270" s="108" t="str">
        <f t="array" ref="AB270">IF(ISNUMBER(AC270),INDEX('All Player Data Store'!$X$7:$X$594,SMALL(IF('All Player Data Store'!$Y$7:$Y$594=AC270,ROW('All Player Data Store'!$Y$7:$Y$594)-ROW('All Player Data Store'!$Y$7)+1),COUNTIF($AC$8:AC270,AC270))),"")</f>
        <v/>
      </c>
      <c r="AC270" s="115" t="str">
        <f>IF(ISERROR(IF(ISERROR(LARGE('All Player Data Store'!$Y$7:$Y$594,263)),"",(LARGE('All Player Data Store'!$Y$7:$Y$594,263)))),"",(IF(ISERROR(LARGE('All Player Data Store'!$Y$7:$Y$594,263)),"",(LARGE('All Player Data Store'!$Y$7:$Y$594,263)))))</f>
        <v/>
      </c>
      <c r="AD270" s="106">
        <f t="shared" si="16"/>
        <v>1</v>
      </c>
      <c r="AE270" s="107" t="str">
        <f t="array" ref="AE270">IF(ISNUMBER(AC270),INDEX('All Player Data Store'!$J$8:$J$594,SMALL(IF('All Player Data Store'!$Y$7:$Y$594=AC270,ROW('All Player Data Store'!$Y$7:$Y$594)-ROW('All Player Data Store'!$Y$7)+1),COUNTIF($AC$8:AC270,AC270))),"")</f>
        <v/>
      </c>
      <c r="AF270" s="108" t="str">
        <f t="shared" si="19"/>
        <v/>
      </c>
      <c r="AG270" s="108" t="str">
        <f t="array" ref="AG270">IF(ISNUMBER(AC270),INDEX('All Player Data Store'!$K$8:$K$594,SMALL(IF('All Player Data Store'!$Y$7:$Y$594=AC270,ROW('All Player Data Store'!$Y$7:$Y$594)-ROW('All Player Data Store'!$Y$7)+1),COUNTIF($AC$8:AC270,AC270))),"")</f>
        <v/>
      </c>
      <c r="AH270" s="108" t="str">
        <f t="shared" si="20"/>
        <v/>
      </c>
      <c r="AI270" s="108" t="str">
        <f t="array" ref="AI270">IF(ISNUMBER(AC270),INDEX('All Player Data Store'!$L$8:$L$594,SMALL(IF('All Player Data Store'!$Y$7:$Y$594=AC270,ROW('All Player Data Store'!$Y$7:$Y$594)-ROW('All Player Data Store'!$Y$7)+1),COUNTIF($AC$8:AC270,AC270))),"")</f>
        <v/>
      </c>
      <c r="AJ270" s="108" t="str">
        <f t="shared" si="21"/>
        <v/>
      </c>
      <c r="AK270" s="108" t="str">
        <f t="array" ref="AK270">IF(ISNUMBER(AC270),INDEX('All Player Data Store'!$M$8:$M$594,SMALL(IF('All Player Data Store'!$Y$7:$Y$594=AC270,ROW('All Player Data Store'!$Y$7:$Y$594)-ROW('All Player Data Store'!$Y$7)+1),COUNTIF($AC$8:AC270,AC270))),"")</f>
        <v/>
      </c>
      <c r="AL270" s="108" t="str">
        <f t="shared" si="22"/>
        <v/>
      </c>
      <c r="AM270" s="108" t="str">
        <f t="array" ref="AM270">IF(ISNUMBER(AC270),INDEX('All Player Data Store'!$N$8:$N$594,SMALL(IF('All Player Data Store'!$Y$7:$Y$594=AC270,ROW('All Player Data Store'!$Y$7:$Y$594)-ROW('All Player Data Store'!$Y$7)+1),COUNTIF($AC$8:AC270,AC270))),"")</f>
        <v/>
      </c>
      <c r="AN270" s="108" t="str">
        <f t="shared" si="23"/>
        <v/>
      </c>
      <c r="AO270" s="108" t="str">
        <f t="array" ref="AO270">IF(ISNUMBER(AC270),INDEX('All Player Data Store'!$O$8:$O$594,SMALL(IF('All Player Data Store'!$Y$7:$Y$594=AC270,ROW('All Player Data Store'!$Y$7:$Y$594)-ROW('All Player Data Store'!$Y$7)+1),COUNTIF($AC$8:AC270,AC270))),"")</f>
        <v/>
      </c>
      <c r="AP270" s="108" t="str">
        <f t="shared" si="24"/>
        <v/>
      </c>
      <c r="AQ270" s="108" t="str">
        <f t="array" ref="AQ270">IF(ISNUMBER(AC270),INDEX('All Player Data Store'!$P$8:$P$594,SMALL(IF('All Player Data Store'!$Y$7:$Y$594=AC270,ROW('All Player Data Store'!$Y$7:$Y$594)-ROW('All Player Data Store'!$Y$7)+1),COUNTIF($AC$8:AC270,AC270))),"")</f>
        <v/>
      </c>
      <c r="AR270" s="108" t="str">
        <f t="shared" si="25"/>
        <v/>
      </c>
      <c r="AS270" s="108" t="str">
        <f t="array" ref="AS270">IF(ISNUMBER(AC270),INDEX('All Player Data Store'!$Q$8:$Q$594,SMALL(IF('All Player Data Store'!$Y$7:$Y$594=AC270,ROW('All Player Data Store'!$Y$7:$Y$594)-ROW('All Player Data Store'!$Y$7)+1),COUNTIF($AC$8:AC270,AC270))),"")</f>
        <v/>
      </c>
      <c r="AT270" s="108" t="str">
        <f t="shared" si="26"/>
        <v/>
      </c>
      <c r="AU270" s="108" t="str">
        <f t="array" ref="AU270">IF(ISNUMBER(AC270),INDEX('All Player Data Store'!$R$8:$R$594,SMALL(IF('All Player Data Store'!$Y$7:$Y$594=AC270,ROW('All Player Data Store'!$Y$7:$Y$594)-ROW('All Player Data Store'!$Y$7)+1),COUNTIF($AC$8:AC270,AC270))),"")</f>
        <v/>
      </c>
      <c r="AV270" s="108" t="str">
        <f t="shared" si="27"/>
        <v/>
      </c>
      <c r="AW270" s="108" t="str">
        <f t="array" ref="AW270">IF(ISNUMBER(AC270),INDEX('All Player Data Store'!$S$8:$S$594,SMALL(IF('All Player Data Store'!$Y$7:$Y$594=AC270,ROW('All Player Data Store'!$Y$7:$Y$594)-ROW('All Player Data Store'!$Y$7)+1),COUNTIF($AC$8:AC270,AC270))),"")</f>
        <v/>
      </c>
      <c r="AX270" s="108" t="str">
        <f t="shared" si="28"/>
        <v/>
      </c>
      <c r="AY270" s="108" t="str">
        <f t="array" ref="AY270">IF(ISNUMBER(AC270),INDEX('All Player Data Store'!$T$8:$T$594,SMALL(IF('All Player Data Store'!$Y$7:$Y$594=AC270,ROW('All Player Data Store'!$Y$7:$Y$594)-ROW('All Player Data Store'!$Y$7)+1),COUNTIF($AC$8:AC270,AC270))),"")</f>
        <v/>
      </c>
      <c r="AZ270" s="108" t="str">
        <f t="shared" si="29"/>
        <v/>
      </c>
      <c r="BA270" s="108" t="str">
        <f t="array" ref="BA270">IF(ISNUMBER(AC270),INDEX('All Player Data Store'!$U$8:$U$594,SMALL(IF('All Player Data Store'!$Y$7:$Y$594=AC270,ROW('All Player Data Store'!$Y$7:$Y$594)-ROW('All Player Data Store'!$Y$7)+1),COUNTIF($AC$8:AC270,AC270))),"")</f>
        <v/>
      </c>
      <c r="BB270" s="108" t="str">
        <f t="shared" si="30"/>
        <v/>
      </c>
      <c r="BC270" s="108" t="str">
        <f t="array" ref="BC270">IF(ISNUMBER(AC270),INDEX('All Player Data Store'!$V$8:$V$594,SMALL(IF('All Player Data Store'!$Y$7:$Y$594=AC270,ROW('All Player Data Store'!$Y$7:$Y$594)-ROW('All Player Data Store'!$Y$7)+1),COUNTIF($AC$8:AC270,AC270))),"")</f>
        <v/>
      </c>
      <c r="BD270" s="108" t="str">
        <f t="shared" si="31"/>
        <v/>
      </c>
      <c r="BE270" s="1"/>
    </row>
    <row r="271" spans="2:57" ht="12" customHeight="1" x14ac:dyDescent="0.2">
      <c r="B271" s="118" t="str">
        <f t="shared" si="17"/>
        <v/>
      </c>
      <c r="C271" s="1"/>
      <c r="D271" s="68" t="str">
        <f t="shared" si="18"/>
        <v/>
      </c>
      <c r="E271" s="2"/>
      <c r="F271" s="78">
        <v>264</v>
      </c>
      <c r="G271" s="110" t="str">
        <f t="array" ref="G271">IF(ISNUMBER(AC271),INDEX('All Player Data Store'!$C$7:$C$594,SMALL(IF('All Player Data Store'!$Y$7:$Y$594=AC271,ROW('All Player Data Store'!$Y$7:$Y$594)-ROW('All Player Data Store'!$Y$7)+1),COUNTIF($AC$8:AC271,AC271))),"")</f>
        <v/>
      </c>
      <c r="H271" s="68" t="str">
        <f t="array" ref="H271">IF(ISNUMBER(AC271),INDEX('All Player Data Store'!$D$7:$D$594,SMALL(IF('All Player Data Store'!$Y$7:$Y$594=AC271,ROW('All Player Data Store'!$Y$7:$Y$594)-ROW('All Player Data Store'!$Y$7)+1),COUNTIF($AC$8:AC271,AC271))),"")</f>
        <v/>
      </c>
      <c r="I271" s="69" t="str">
        <f t="array" ref="I271">IF(ISNUMBER(AC271),INDEX('All Player Data Store'!$E$7:$E$594,SMALL(IF('All Player Data Store'!$Y$7:$Y$594=AC271,ROW('All Player Data Store'!$Y$7:$Y$594)-ROW('All Player Data Store'!$Y$7)+1),COUNTIF($AC$8:AC271,AC271))),"")</f>
        <v/>
      </c>
      <c r="J271" s="70" t="str">
        <f t="array" ref="J271">IF(ISNUMBER(AC271),INDEX('All Player Data Store'!$F$7:$F$594,SMALL(IF('All Player Data Store'!$Y$7:$Y$594=AC271,ROW('All Player Data Store'!$Y$7:$Y$594)-ROW('All Player Data Store'!$Y$7)+1),COUNTIF($AC$8:AC271,AC271))),"")</f>
        <v/>
      </c>
      <c r="K271" s="70" t="str">
        <f t="array" ref="K271">IF(ISNUMBER(AC271),INDEX('All Player Data Store'!$G$7:$G$594,SMALL(IF('All Player Data Store'!$Y$7:$Y$594=AC271,ROW('All Player Data Store'!$Y$7:$Y$594)-ROW('All Player Data Store'!$Y$7)+1),COUNTIF($AC$8:AC271,AC271))),"")</f>
        <v/>
      </c>
      <c r="L271" s="70" t="str">
        <f t="array" ref="L271">IF(ISNUMBER(AC271),INDEX('All Player Data Store'!$H$7:$H$594,SMALL(IF('All Player Data Store'!$Y$7:$Y$594=AC271,ROW('All Player Data Store'!$Y$7:$Y$594)-ROW('All Player Data Store'!$Y$7)+1),COUNTIF($AC$8:AC271,AC271))),"")</f>
        <v/>
      </c>
      <c r="M271" s="72" t="str">
        <f t="array" ref="M271">IF(ISNUMBER(AC271),INDEX('All Player Data Store'!$I$7:$I$594,SMALL(IF('All Player Data Store'!$Y$7:$Y$594=AC271,ROW('All Player Data Store'!$Y$7:$Y$594)-ROW('All Player Data Store'!$Y$7)+1),COUNTIF($AC$8:AC271,AC271))),"")</f>
        <v/>
      </c>
      <c r="N271" s="114" t="str">
        <f t="array" ref="N271">IF(ISNUMBER(AC271),INDEX('All Player Data Store'!$J$7:$J$594,SMALL(IF('All Player Data Store'!$Y$7:$Y$594=AC271,ROW('All Player Data Store'!$Y$7:$Y$594)-ROW('All Player Data Store'!$Y$7)+1),COUNTIF($AC$8:AC271,AC271))),"")</f>
        <v/>
      </c>
      <c r="O271" s="108" t="str">
        <f t="array" ref="O271">IF(ISNUMBER(AC271),INDEX('All Player Data Store'!$K$7:$K$594,SMALL(IF('All Player Data Store'!$Y$7:$Y$594=AC271,ROW('All Player Data Store'!$Y$7:$Y$594)-ROW('All Player Data Store'!$Y$7)+1),COUNTIF($AC$8:AC271,AC271))),"")</f>
        <v/>
      </c>
      <c r="P271" s="108" t="str">
        <f t="array" ref="P271">IF(ISNUMBER(AC271),INDEX('All Player Data Store'!$L$7:$L$594,SMALL(IF('All Player Data Store'!$Y$7:$Y$594=AC271,ROW('All Player Data Store'!$Y$7:$Y$594)-ROW('All Player Data Store'!$Y$7)+1),COUNTIF($AC$8:AC271,AC271))),"")</f>
        <v/>
      </c>
      <c r="Q271" s="108" t="str">
        <f t="array" ref="Q271">IF(ISNUMBER(AC271),INDEX('All Player Data Store'!$M$7:$M$594,SMALL(IF('All Player Data Store'!$Y$7:$Y$594=AC271,ROW('All Player Data Store'!$Y$7:$Y$594)-ROW('All Player Data Store'!$Y$7)+1),COUNTIF($AC$8:AC271,AC271))),"")</f>
        <v/>
      </c>
      <c r="R271" s="108" t="str">
        <f t="array" ref="R271">IF(ISNUMBER(AC271),INDEX('All Player Data Store'!$N$7:$N$594,SMALL(IF('All Player Data Store'!$Y$7:$Y$594=AC271,ROW('All Player Data Store'!$Y$7:$Y$594)-ROW('All Player Data Store'!$Y$7)+1),COUNTIF($AC$8:AC271,AC271))),"")</f>
        <v/>
      </c>
      <c r="S271" s="108" t="str">
        <f t="array" ref="S271">IF(ISNUMBER(AC271),INDEX('All Player Data Store'!$O$7:$O$594,SMALL(IF('All Player Data Store'!$Y$7:$Y$594=AC271,ROW('All Player Data Store'!$Y$7:$Y$594)-ROW('All Player Data Store'!$Y$7)+1),COUNTIF($AC$8:AC271,AC271))),"")</f>
        <v/>
      </c>
      <c r="T271" s="108" t="str">
        <f t="array" ref="T271">IF(ISNUMBER(AC271),INDEX('All Player Data Store'!$P$7:$P$594,SMALL(IF('All Player Data Store'!$Y$7:$Y$594=AC271,ROW('All Player Data Store'!$Y$7:$Y$594)-ROW('All Player Data Store'!$Y$7)+1),COUNTIF($AC$8:AC271,AC271))),"")</f>
        <v/>
      </c>
      <c r="U271" s="108" t="str">
        <f t="array" ref="U271">IF(ISNUMBER(AC271),INDEX('All Player Data Store'!$Q$7:$Q$594,SMALL(IF('All Player Data Store'!$Y$7:$Y$594=AC271,ROW('All Player Data Store'!$Y$7:$Y$594)-ROW('All Player Data Store'!$Y$7)+1),COUNTIF($AC$8:AC271,AC271))),"")</f>
        <v/>
      </c>
      <c r="V271" s="108" t="str">
        <f t="array" ref="V271">IF(ISNUMBER(AC271),INDEX('All Player Data Store'!$R$7:$R$594,SMALL(IF('All Player Data Store'!$Y$7:$Y$594=AC271,ROW('All Player Data Store'!$Y$7:$Y$594)-ROW('All Player Data Store'!$Y$7)+1),COUNTIF($AC$8:AC271,AC271))),"")</f>
        <v/>
      </c>
      <c r="W271" s="108" t="str">
        <f t="array" ref="W271">IF(ISNUMBER(AC271),INDEX('All Player Data Store'!$S$7:$S$594,SMALL(IF('All Player Data Store'!$Y$7:$Y$594=AC271,ROW('All Player Data Store'!$Y$7:$Y$594)-ROW('All Player Data Store'!$Y$7)+1),COUNTIF($AC$8:AC271,AC271))),"")</f>
        <v/>
      </c>
      <c r="X271" s="108" t="str">
        <f t="array" ref="X271">IF(ISNUMBER(AC271),INDEX('All Player Data Store'!$T$7:$T$594,SMALL(IF('All Player Data Store'!$Y$7:$Y$594=AC271,ROW('All Player Data Store'!$Y$7:$Y$594)-ROW('All Player Data Store'!$Y$7)+1),COUNTIF($AC$8:AC271,AC271))),"")</f>
        <v/>
      </c>
      <c r="Y271" s="108" t="str">
        <f t="array" ref="Y271">IF(ISNUMBER(AC271),INDEX('All Player Data Store'!$U$7:$U$594,SMALL(IF('All Player Data Store'!$Y$7:$Y$594=AC271,ROW('All Player Data Store'!$Y$7:$Y$594)-ROW('All Player Data Store'!$Y$7)+1),COUNTIF($AC$8:AC271,AC271))),"")</f>
        <v/>
      </c>
      <c r="Z271" s="108" t="str">
        <f t="array" ref="Z271">IF(ISNUMBER(AC271),INDEX('All Player Data Store'!$V$7:$V$594,SMALL(IF('All Player Data Store'!$Y$7:$Y$594=AC271,ROW('All Player Data Store'!$Y$7:$Y$594)-ROW('All Player Data Store'!$Y$7)+1),COUNTIF($AC$8:AC271,AC271))),"")</f>
        <v/>
      </c>
      <c r="AA271" s="112" t="str">
        <f t="array" ref="AA271">IF(ISNUMBER(AC271),INDEX('All Player Data Store'!$W$7:$W$594,SMALL(IF('All Player Data Store'!$Y$7:$Y$594=AC271,ROW('All Player Data Store'!$Y$7:$Y$594)-ROW('All Player Data Store'!$Y$7)+1),COUNTIF($AC$8:AC271,AC271))),"")</f>
        <v/>
      </c>
      <c r="AB271" s="108" t="str">
        <f t="array" ref="AB271">IF(ISNUMBER(AC271),INDEX('All Player Data Store'!$X$7:$X$594,SMALL(IF('All Player Data Store'!$Y$7:$Y$594=AC271,ROW('All Player Data Store'!$Y$7:$Y$594)-ROW('All Player Data Store'!$Y$7)+1),COUNTIF($AC$8:AC271,AC271))),"")</f>
        <v/>
      </c>
      <c r="AC271" s="115" t="str">
        <f>IF(ISERROR(IF(ISERROR(LARGE('All Player Data Store'!$Y$7:$Y$594,264)),"",(LARGE('All Player Data Store'!$Y$7:$Y$594,264)))),"",(IF(ISERROR(LARGE('All Player Data Store'!$Y$7:$Y$594,264)),"",(LARGE('All Player Data Store'!$Y$7:$Y$594,264)))))</f>
        <v/>
      </c>
      <c r="AD271" s="106">
        <f t="shared" si="16"/>
        <v>1</v>
      </c>
      <c r="AE271" s="107" t="str">
        <f t="array" ref="AE271">IF(ISNUMBER(AC271),INDEX('All Player Data Store'!$J$8:$J$594,SMALL(IF('All Player Data Store'!$Y$7:$Y$594=AC271,ROW('All Player Data Store'!$Y$7:$Y$594)-ROW('All Player Data Store'!$Y$7)+1),COUNTIF($AC$8:AC271,AC271))),"")</f>
        <v/>
      </c>
      <c r="AF271" s="108" t="str">
        <f t="shared" si="19"/>
        <v/>
      </c>
      <c r="AG271" s="108" t="str">
        <f t="array" ref="AG271">IF(ISNUMBER(AC271),INDEX('All Player Data Store'!$K$8:$K$594,SMALL(IF('All Player Data Store'!$Y$7:$Y$594=AC271,ROW('All Player Data Store'!$Y$7:$Y$594)-ROW('All Player Data Store'!$Y$7)+1),COUNTIF($AC$8:AC271,AC271))),"")</f>
        <v/>
      </c>
      <c r="AH271" s="108" t="str">
        <f t="shared" si="20"/>
        <v/>
      </c>
      <c r="AI271" s="108" t="str">
        <f t="array" ref="AI271">IF(ISNUMBER(AC271),INDEX('All Player Data Store'!$L$8:$L$594,SMALL(IF('All Player Data Store'!$Y$7:$Y$594=AC271,ROW('All Player Data Store'!$Y$7:$Y$594)-ROW('All Player Data Store'!$Y$7)+1),COUNTIF($AC$8:AC271,AC271))),"")</f>
        <v/>
      </c>
      <c r="AJ271" s="108" t="str">
        <f t="shared" si="21"/>
        <v/>
      </c>
      <c r="AK271" s="108" t="str">
        <f t="array" ref="AK271">IF(ISNUMBER(AC271),INDEX('All Player Data Store'!$M$8:$M$594,SMALL(IF('All Player Data Store'!$Y$7:$Y$594=AC271,ROW('All Player Data Store'!$Y$7:$Y$594)-ROW('All Player Data Store'!$Y$7)+1),COUNTIF($AC$8:AC271,AC271))),"")</f>
        <v/>
      </c>
      <c r="AL271" s="108" t="str">
        <f t="shared" si="22"/>
        <v/>
      </c>
      <c r="AM271" s="108" t="str">
        <f t="array" ref="AM271">IF(ISNUMBER(AC271),INDEX('All Player Data Store'!$N$8:$N$594,SMALL(IF('All Player Data Store'!$Y$7:$Y$594=AC271,ROW('All Player Data Store'!$Y$7:$Y$594)-ROW('All Player Data Store'!$Y$7)+1),COUNTIF($AC$8:AC271,AC271))),"")</f>
        <v/>
      </c>
      <c r="AN271" s="108" t="str">
        <f t="shared" si="23"/>
        <v/>
      </c>
      <c r="AO271" s="108" t="str">
        <f t="array" ref="AO271">IF(ISNUMBER(AC271),INDEX('All Player Data Store'!$O$8:$O$594,SMALL(IF('All Player Data Store'!$Y$7:$Y$594=AC271,ROW('All Player Data Store'!$Y$7:$Y$594)-ROW('All Player Data Store'!$Y$7)+1),COUNTIF($AC$8:AC271,AC271))),"")</f>
        <v/>
      </c>
      <c r="AP271" s="108" t="str">
        <f t="shared" si="24"/>
        <v/>
      </c>
      <c r="AQ271" s="108" t="str">
        <f t="array" ref="AQ271">IF(ISNUMBER(AC271),INDEX('All Player Data Store'!$P$8:$P$594,SMALL(IF('All Player Data Store'!$Y$7:$Y$594=AC271,ROW('All Player Data Store'!$Y$7:$Y$594)-ROW('All Player Data Store'!$Y$7)+1),COUNTIF($AC$8:AC271,AC271))),"")</f>
        <v/>
      </c>
      <c r="AR271" s="108" t="str">
        <f t="shared" si="25"/>
        <v/>
      </c>
      <c r="AS271" s="108" t="str">
        <f t="array" ref="AS271">IF(ISNUMBER(AC271),INDEX('All Player Data Store'!$Q$8:$Q$594,SMALL(IF('All Player Data Store'!$Y$7:$Y$594=AC271,ROW('All Player Data Store'!$Y$7:$Y$594)-ROW('All Player Data Store'!$Y$7)+1),COUNTIF($AC$8:AC271,AC271))),"")</f>
        <v/>
      </c>
      <c r="AT271" s="108" t="str">
        <f t="shared" si="26"/>
        <v/>
      </c>
      <c r="AU271" s="108" t="str">
        <f t="array" ref="AU271">IF(ISNUMBER(AC271),INDEX('All Player Data Store'!$R$8:$R$594,SMALL(IF('All Player Data Store'!$Y$7:$Y$594=AC271,ROW('All Player Data Store'!$Y$7:$Y$594)-ROW('All Player Data Store'!$Y$7)+1),COUNTIF($AC$8:AC271,AC271))),"")</f>
        <v/>
      </c>
      <c r="AV271" s="108" t="str">
        <f t="shared" si="27"/>
        <v/>
      </c>
      <c r="AW271" s="108" t="str">
        <f t="array" ref="AW271">IF(ISNUMBER(AC271),INDEX('All Player Data Store'!$S$8:$S$594,SMALL(IF('All Player Data Store'!$Y$7:$Y$594=AC271,ROW('All Player Data Store'!$Y$7:$Y$594)-ROW('All Player Data Store'!$Y$7)+1),COUNTIF($AC$8:AC271,AC271))),"")</f>
        <v/>
      </c>
      <c r="AX271" s="108" t="str">
        <f t="shared" si="28"/>
        <v/>
      </c>
      <c r="AY271" s="108" t="str">
        <f t="array" ref="AY271">IF(ISNUMBER(AC271),INDEX('All Player Data Store'!$T$8:$T$594,SMALL(IF('All Player Data Store'!$Y$7:$Y$594=AC271,ROW('All Player Data Store'!$Y$7:$Y$594)-ROW('All Player Data Store'!$Y$7)+1),COUNTIF($AC$8:AC271,AC271))),"")</f>
        <v/>
      </c>
      <c r="AZ271" s="108" t="str">
        <f t="shared" si="29"/>
        <v/>
      </c>
      <c r="BA271" s="108" t="str">
        <f t="array" ref="BA271">IF(ISNUMBER(AC271),INDEX('All Player Data Store'!$U$8:$U$594,SMALL(IF('All Player Data Store'!$Y$7:$Y$594=AC271,ROW('All Player Data Store'!$Y$7:$Y$594)-ROW('All Player Data Store'!$Y$7)+1),COUNTIF($AC$8:AC271,AC271))),"")</f>
        <v/>
      </c>
      <c r="BB271" s="108" t="str">
        <f t="shared" si="30"/>
        <v/>
      </c>
      <c r="BC271" s="108" t="str">
        <f t="array" ref="BC271">IF(ISNUMBER(AC271),INDEX('All Player Data Store'!$V$8:$V$594,SMALL(IF('All Player Data Store'!$Y$7:$Y$594=AC271,ROW('All Player Data Store'!$Y$7:$Y$594)-ROW('All Player Data Store'!$Y$7)+1),COUNTIF($AC$8:AC271,AC271))),"")</f>
        <v/>
      </c>
      <c r="BD271" s="108" t="str">
        <f t="shared" si="31"/>
        <v/>
      </c>
      <c r="BE271" s="1"/>
    </row>
    <row r="272" spans="2:57" ht="12" customHeight="1" x14ac:dyDescent="0.2">
      <c r="B272" s="118" t="str">
        <f t="shared" si="17"/>
        <v/>
      </c>
      <c r="C272" s="1"/>
      <c r="D272" s="68" t="str">
        <f t="shared" si="18"/>
        <v/>
      </c>
      <c r="E272" s="2"/>
      <c r="F272" s="78">
        <v>265</v>
      </c>
      <c r="G272" s="110" t="str">
        <f t="array" ref="G272">IF(ISNUMBER(AC272),INDEX('All Player Data Store'!$C$7:$C$594,SMALL(IF('All Player Data Store'!$Y$7:$Y$594=AC272,ROW('All Player Data Store'!$Y$7:$Y$594)-ROW('All Player Data Store'!$Y$7)+1),COUNTIF($AC$8:AC272,AC272))),"")</f>
        <v/>
      </c>
      <c r="H272" s="68" t="str">
        <f t="array" ref="H272">IF(ISNUMBER(AC272),INDEX('All Player Data Store'!$D$7:$D$594,SMALL(IF('All Player Data Store'!$Y$7:$Y$594=AC272,ROW('All Player Data Store'!$Y$7:$Y$594)-ROW('All Player Data Store'!$Y$7)+1),COUNTIF($AC$8:AC272,AC272))),"")</f>
        <v/>
      </c>
      <c r="I272" s="69" t="str">
        <f t="array" ref="I272">IF(ISNUMBER(AC272),INDEX('All Player Data Store'!$E$7:$E$594,SMALL(IF('All Player Data Store'!$Y$7:$Y$594=AC272,ROW('All Player Data Store'!$Y$7:$Y$594)-ROW('All Player Data Store'!$Y$7)+1),COUNTIF($AC$8:AC272,AC272))),"")</f>
        <v/>
      </c>
      <c r="J272" s="70" t="str">
        <f t="array" ref="J272">IF(ISNUMBER(AC272),INDEX('All Player Data Store'!$F$7:$F$594,SMALL(IF('All Player Data Store'!$Y$7:$Y$594=AC272,ROW('All Player Data Store'!$Y$7:$Y$594)-ROW('All Player Data Store'!$Y$7)+1),COUNTIF($AC$8:AC272,AC272))),"")</f>
        <v/>
      </c>
      <c r="K272" s="70" t="str">
        <f t="array" ref="K272">IF(ISNUMBER(AC272),INDEX('All Player Data Store'!$G$7:$G$594,SMALL(IF('All Player Data Store'!$Y$7:$Y$594=AC272,ROW('All Player Data Store'!$Y$7:$Y$594)-ROW('All Player Data Store'!$Y$7)+1),COUNTIF($AC$8:AC272,AC272))),"")</f>
        <v/>
      </c>
      <c r="L272" s="70" t="str">
        <f t="array" ref="L272">IF(ISNUMBER(AC272),INDEX('All Player Data Store'!$H$7:$H$594,SMALL(IF('All Player Data Store'!$Y$7:$Y$594=AC272,ROW('All Player Data Store'!$Y$7:$Y$594)-ROW('All Player Data Store'!$Y$7)+1),COUNTIF($AC$8:AC272,AC272))),"")</f>
        <v/>
      </c>
      <c r="M272" s="72" t="str">
        <f t="array" ref="M272">IF(ISNUMBER(AC272),INDEX('All Player Data Store'!$I$7:$I$594,SMALL(IF('All Player Data Store'!$Y$7:$Y$594=AC272,ROW('All Player Data Store'!$Y$7:$Y$594)-ROW('All Player Data Store'!$Y$7)+1),COUNTIF($AC$8:AC272,AC272))),"")</f>
        <v/>
      </c>
      <c r="N272" s="114" t="str">
        <f t="array" ref="N272">IF(ISNUMBER(AC272),INDEX('All Player Data Store'!$J$7:$J$594,SMALL(IF('All Player Data Store'!$Y$7:$Y$594=AC272,ROW('All Player Data Store'!$Y$7:$Y$594)-ROW('All Player Data Store'!$Y$7)+1),COUNTIF($AC$8:AC272,AC272))),"")</f>
        <v/>
      </c>
      <c r="O272" s="108" t="str">
        <f t="array" ref="O272">IF(ISNUMBER(AC272),INDEX('All Player Data Store'!$K$7:$K$594,SMALL(IF('All Player Data Store'!$Y$7:$Y$594=AC272,ROW('All Player Data Store'!$Y$7:$Y$594)-ROW('All Player Data Store'!$Y$7)+1),COUNTIF($AC$8:AC272,AC272))),"")</f>
        <v/>
      </c>
      <c r="P272" s="108" t="str">
        <f t="array" ref="P272">IF(ISNUMBER(AC272),INDEX('All Player Data Store'!$L$7:$L$594,SMALL(IF('All Player Data Store'!$Y$7:$Y$594=AC272,ROW('All Player Data Store'!$Y$7:$Y$594)-ROW('All Player Data Store'!$Y$7)+1),COUNTIF($AC$8:AC272,AC272))),"")</f>
        <v/>
      </c>
      <c r="Q272" s="108" t="str">
        <f t="array" ref="Q272">IF(ISNUMBER(AC272),INDEX('All Player Data Store'!$M$7:$M$594,SMALL(IF('All Player Data Store'!$Y$7:$Y$594=AC272,ROW('All Player Data Store'!$Y$7:$Y$594)-ROW('All Player Data Store'!$Y$7)+1),COUNTIF($AC$8:AC272,AC272))),"")</f>
        <v/>
      </c>
      <c r="R272" s="108" t="str">
        <f t="array" ref="R272">IF(ISNUMBER(AC272),INDEX('All Player Data Store'!$N$7:$N$594,SMALL(IF('All Player Data Store'!$Y$7:$Y$594=AC272,ROW('All Player Data Store'!$Y$7:$Y$594)-ROW('All Player Data Store'!$Y$7)+1),COUNTIF($AC$8:AC272,AC272))),"")</f>
        <v/>
      </c>
      <c r="S272" s="108" t="str">
        <f t="array" ref="S272">IF(ISNUMBER(AC272),INDEX('All Player Data Store'!$O$7:$O$594,SMALL(IF('All Player Data Store'!$Y$7:$Y$594=AC272,ROW('All Player Data Store'!$Y$7:$Y$594)-ROW('All Player Data Store'!$Y$7)+1),COUNTIF($AC$8:AC272,AC272))),"")</f>
        <v/>
      </c>
      <c r="T272" s="108" t="str">
        <f t="array" ref="T272">IF(ISNUMBER(AC272),INDEX('All Player Data Store'!$P$7:$P$594,SMALL(IF('All Player Data Store'!$Y$7:$Y$594=AC272,ROW('All Player Data Store'!$Y$7:$Y$594)-ROW('All Player Data Store'!$Y$7)+1),COUNTIF($AC$8:AC272,AC272))),"")</f>
        <v/>
      </c>
      <c r="U272" s="108" t="str">
        <f t="array" ref="U272">IF(ISNUMBER(AC272),INDEX('All Player Data Store'!$Q$7:$Q$594,SMALL(IF('All Player Data Store'!$Y$7:$Y$594=AC272,ROW('All Player Data Store'!$Y$7:$Y$594)-ROW('All Player Data Store'!$Y$7)+1),COUNTIF($AC$8:AC272,AC272))),"")</f>
        <v/>
      </c>
      <c r="V272" s="108" t="str">
        <f t="array" ref="V272">IF(ISNUMBER(AC272),INDEX('All Player Data Store'!$R$7:$R$594,SMALL(IF('All Player Data Store'!$Y$7:$Y$594=AC272,ROW('All Player Data Store'!$Y$7:$Y$594)-ROW('All Player Data Store'!$Y$7)+1),COUNTIF($AC$8:AC272,AC272))),"")</f>
        <v/>
      </c>
      <c r="W272" s="108" t="str">
        <f t="array" ref="W272">IF(ISNUMBER(AC272),INDEX('All Player Data Store'!$S$7:$S$594,SMALL(IF('All Player Data Store'!$Y$7:$Y$594=AC272,ROW('All Player Data Store'!$Y$7:$Y$594)-ROW('All Player Data Store'!$Y$7)+1),COUNTIF($AC$8:AC272,AC272))),"")</f>
        <v/>
      </c>
      <c r="X272" s="108" t="str">
        <f t="array" ref="X272">IF(ISNUMBER(AC272),INDEX('All Player Data Store'!$T$7:$T$594,SMALL(IF('All Player Data Store'!$Y$7:$Y$594=AC272,ROW('All Player Data Store'!$Y$7:$Y$594)-ROW('All Player Data Store'!$Y$7)+1),COUNTIF($AC$8:AC272,AC272))),"")</f>
        <v/>
      </c>
      <c r="Y272" s="108" t="str">
        <f t="array" ref="Y272">IF(ISNUMBER(AC272),INDEX('All Player Data Store'!$U$7:$U$594,SMALL(IF('All Player Data Store'!$Y$7:$Y$594=AC272,ROW('All Player Data Store'!$Y$7:$Y$594)-ROW('All Player Data Store'!$Y$7)+1),COUNTIF($AC$8:AC272,AC272))),"")</f>
        <v/>
      </c>
      <c r="Z272" s="108" t="str">
        <f t="array" ref="Z272">IF(ISNUMBER(AC272),INDEX('All Player Data Store'!$V$7:$V$594,SMALL(IF('All Player Data Store'!$Y$7:$Y$594=AC272,ROW('All Player Data Store'!$Y$7:$Y$594)-ROW('All Player Data Store'!$Y$7)+1),COUNTIF($AC$8:AC272,AC272))),"")</f>
        <v/>
      </c>
      <c r="AA272" s="112" t="str">
        <f t="array" ref="AA272">IF(ISNUMBER(AC272),INDEX('All Player Data Store'!$W$7:$W$594,SMALL(IF('All Player Data Store'!$Y$7:$Y$594=AC272,ROW('All Player Data Store'!$Y$7:$Y$594)-ROW('All Player Data Store'!$Y$7)+1),COUNTIF($AC$8:AC272,AC272))),"")</f>
        <v/>
      </c>
      <c r="AB272" s="108" t="str">
        <f t="array" ref="AB272">IF(ISNUMBER(AC272),INDEX('All Player Data Store'!$X$7:$X$594,SMALL(IF('All Player Data Store'!$Y$7:$Y$594=AC272,ROW('All Player Data Store'!$Y$7:$Y$594)-ROW('All Player Data Store'!$Y$7)+1),COUNTIF($AC$8:AC272,AC272))),"")</f>
        <v/>
      </c>
      <c r="AC272" s="115" t="str">
        <f>IF(ISERROR(IF(ISERROR(LARGE('All Player Data Store'!$Y$7:$Y$594,265)),"",(LARGE('All Player Data Store'!$Y$7:$Y$594,265)))),"",(IF(ISERROR(LARGE('All Player Data Store'!$Y$7:$Y$594,265)),"",(LARGE('All Player Data Store'!$Y$7:$Y$594,265)))))</f>
        <v/>
      </c>
      <c r="AD272" s="106">
        <f t="shared" si="16"/>
        <v>1</v>
      </c>
      <c r="AE272" s="107" t="str">
        <f t="array" ref="AE272">IF(ISNUMBER(AC272),INDEX('All Player Data Store'!$J$8:$J$594,SMALL(IF('All Player Data Store'!$Y$7:$Y$594=AC272,ROW('All Player Data Store'!$Y$7:$Y$594)-ROW('All Player Data Store'!$Y$7)+1),COUNTIF($AC$8:AC272,AC272))),"")</f>
        <v/>
      </c>
      <c r="AF272" s="108" t="str">
        <f t="shared" si="19"/>
        <v/>
      </c>
      <c r="AG272" s="108" t="str">
        <f t="array" ref="AG272">IF(ISNUMBER(AC272),INDEX('All Player Data Store'!$K$8:$K$594,SMALL(IF('All Player Data Store'!$Y$7:$Y$594=AC272,ROW('All Player Data Store'!$Y$7:$Y$594)-ROW('All Player Data Store'!$Y$7)+1),COUNTIF($AC$8:AC272,AC272))),"")</f>
        <v/>
      </c>
      <c r="AH272" s="108" t="str">
        <f t="shared" si="20"/>
        <v/>
      </c>
      <c r="AI272" s="108" t="str">
        <f t="array" ref="AI272">IF(ISNUMBER(AC272),INDEX('All Player Data Store'!$L$8:$L$594,SMALL(IF('All Player Data Store'!$Y$7:$Y$594=AC272,ROW('All Player Data Store'!$Y$7:$Y$594)-ROW('All Player Data Store'!$Y$7)+1),COUNTIF($AC$8:AC272,AC272))),"")</f>
        <v/>
      </c>
      <c r="AJ272" s="108" t="str">
        <f t="shared" si="21"/>
        <v/>
      </c>
      <c r="AK272" s="108" t="str">
        <f t="array" ref="AK272">IF(ISNUMBER(AC272),INDEX('All Player Data Store'!$M$8:$M$594,SMALL(IF('All Player Data Store'!$Y$7:$Y$594=AC272,ROW('All Player Data Store'!$Y$7:$Y$594)-ROW('All Player Data Store'!$Y$7)+1),COUNTIF($AC$8:AC272,AC272))),"")</f>
        <v/>
      </c>
      <c r="AL272" s="108" t="str">
        <f t="shared" si="22"/>
        <v/>
      </c>
      <c r="AM272" s="108" t="str">
        <f t="array" ref="AM272">IF(ISNUMBER(AC272),INDEX('All Player Data Store'!$N$8:$N$594,SMALL(IF('All Player Data Store'!$Y$7:$Y$594=AC272,ROW('All Player Data Store'!$Y$7:$Y$594)-ROW('All Player Data Store'!$Y$7)+1),COUNTIF($AC$8:AC272,AC272))),"")</f>
        <v/>
      </c>
      <c r="AN272" s="108" t="str">
        <f t="shared" si="23"/>
        <v/>
      </c>
      <c r="AO272" s="108" t="str">
        <f t="array" ref="AO272">IF(ISNUMBER(AC272),INDEX('All Player Data Store'!$O$8:$O$594,SMALL(IF('All Player Data Store'!$Y$7:$Y$594=AC272,ROW('All Player Data Store'!$Y$7:$Y$594)-ROW('All Player Data Store'!$Y$7)+1),COUNTIF($AC$8:AC272,AC272))),"")</f>
        <v/>
      </c>
      <c r="AP272" s="108" t="str">
        <f t="shared" si="24"/>
        <v/>
      </c>
      <c r="AQ272" s="108" t="str">
        <f t="array" ref="AQ272">IF(ISNUMBER(AC272),INDEX('All Player Data Store'!$P$8:$P$594,SMALL(IF('All Player Data Store'!$Y$7:$Y$594=AC272,ROW('All Player Data Store'!$Y$7:$Y$594)-ROW('All Player Data Store'!$Y$7)+1),COUNTIF($AC$8:AC272,AC272))),"")</f>
        <v/>
      </c>
      <c r="AR272" s="108" t="str">
        <f t="shared" si="25"/>
        <v/>
      </c>
      <c r="AS272" s="108" t="str">
        <f t="array" ref="AS272">IF(ISNUMBER(AC272),INDEX('All Player Data Store'!$Q$8:$Q$594,SMALL(IF('All Player Data Store'!$Y$7:$Y$594=AC272,ROW('All Player Data Store'!$Y$7:$Y$594)-ROW('All Player Data Store'!$Y$7)+1),COUNTIF($AC$8:AC272,AC272))),"")</f>
        <v/>
      </c>
      <c r="AT272" s="108" t="str">
        <f t="shared" si="26"/>
        <v/>
      </c>
      <c r="AU272" s="108" t="str">
        <f t="array" ref="AU272">IF(ISNUMBER(AC272),INDEX('All Player Data Store'!$R$8:$R$594,SMALL(IF('All Player Data Store'!$Y$7:$Y$594=AC272,ROW('All Player Data Store'!$Y$7:$Y$594)-ROW('All Player Data Store'!$Y$7)+1),COUNTIF($AC$8:AC272,AC272))),"")</f>
        <v/>
      </c>
      <c r="AV272" s="108" t="str">
        <f t="shared" si="27"/>
        <v/>
      </c>
      <c r="AW272" s="108" t="str">
        <f t="array" ref="AW272">IF(ISNUMBER(AC272),INDEX('All Player Data Store'!$S$8:$S$594,SMALL(IF('All Player Data Store'!$Y$7:$Y$594=AC272,ROW('All Player Data Store'!$Y$7:$Y$594)-ROW('All Player Data Store'!$Y$7)+1),COUNTIF($AC$8:AC272,AC272))),"")</f>
        <v/>
      </c>
      <c r="AX272" s="108" t="str">
        <f t="shared" si="28"/>
        <v/>
      </c>
      <c r="AY272" s="108" t="str">
        <f t="array" ref="AY272">IF(ISNUMBER(AC272),INDEX('All Player Data Store'!$T$8:$T$594,SMALL(IF('All Player Data Store'!$Y$7:$Y$594=AC272,ROW('All Player Data Store'!$Y$7:$Y$594)-ROW('All Player Data Store'!$Y$7)+1),COUNTIF($AC$8:AC272,AC272))),"")</f>
        <v/>
      </c>
      <c r="AZ272" s="108" t="str">
        <f t="shared" si="29"/>
        <v/>
      </c>
      <c r="BA272" s="108" t="str">
        <f t="array" ref="BA272">IF(ISNUMBER(AC272),INDEX('All Player Data Store'!$U$8:$U$594,SMALL(IF('All Player Data Store'!$Y$7:$Y$594=AC272,ROW('All Player Data Store'!$Y$7:$Y$594)-ROW('All Player Data Store'!$Y$7)+1),COUNTIF($AC$8:AC272,AC272))),"")</f>
        <v/>
      </c>
      <c r="BB272" s="108" t="str">
        <f t="shared" si="30"/>
        <v/>
      </c>
      <c r="BC272" s="108" t="str">
        <f t="array" ref="BC272">IF(ISNUMBER(AC272),INDEX('All Player Data Store'!$V$8:$V$594,SMALL(IF('All Player Data Store'!$Y$7:$Y$594=AC272,ROW('All Player Data Store'!$Y$7:$Y$594)-ROW('All Player Data Store'!$Y$7)+1),COUNTIF($AC$8:AC272,AC272))),"")</f>
        <v/>
      </c>
      <c r="BD272" s="108" t="str">
        <f t="shared" si="31"/>
        <v/>
      </c>
      <c r="BE272" s="1"/>
    </row>
    <row r="273" spans="2:57" ht="12" customHeight="1" x14ac:dyDescent="0.2">
      <c r="B273" s="118" t="str">
        <f t="shared" si="17"/>
        <v/>
      </c>
      <c r="C273" s="1"/>
      <c r="D273" s="68" t="str">
        <f t="shared" si="18"/>
        <v/>
      </c>
      <c r="E273" s="2"/>
      <c r="F273" s="78">
        <v>266</v>
      </c>
      <c r="G273" s="110" t="str">
        <f t="array" ref="G273">IF(ISNUMBER(AC273),INDEX('All Player Data Store'!$C$7:$C$594,SMALL(IF('All Player Data Store'!$Y$7:$Y$594=AC273,ROW('All Player Data Store'!$Y$7:$Y$594)-ROW('All Player Data Store'!$Y$7)+1),COUNTIF($AC$8:AC273,AC273))),"")</f>
        <v/>
      </c>
      <c r="H273" s="68" t="str">
        <f t="array" ref="H273">IF(ISNUMBER(AC273),INDEX('All Player Data Store'!$D$7:$D$594,SMALL(IF('All Player Data Store'!$Y$7:$Y$594=AC273,ROW('All Player Data Store'!$Y$7:$Y$594)-ROW('All Player Data Store'!$Y$7)+1),COUNTIF($AC$8:AC273,AC273))),"")</f>
        <v/>
      </c>
      <c r="I273" s="69" t="str">
        <f t="array" ref="I273">IF(ISNUMBER(AC273),INDEX('All Player Data Store'!$E$7:$E$594,SMALL(IF('All Player Data Store'!$Y$7:$Y$594=AC273,ROW('All Player Data Store'!$Y$7:$Y$594)-ROW('All Player Data Store'!$Y$7)+1),COUNTIF($AC$8:AC273,AC273))),"")</f>
        <v/>
      </c>
      <c r="J273" s="70" t="str">
        <f t="array" ref="J273">IF(ISNUMBER(AC273),INDEX('All Player Data Store'!$F$7:$F$594,SMALL(IF('All Player Data Store'!$Y$7:$Y$594=AC273,ROW('All Player Data Store'!$Y$7:$Y$594)-ROW('All Player Data Store'!$Y$7)+1),COUNTIF($AC$8:AC273,AC273))),"")</f>
        <v/>
      </c>
      <c r="K273" s="70" t="str">
        <f t="array" ref="K273">IF(ISNUMBER(AC273),INDEX('All Player Data Store'!$G$7:$G$594,SMALL(IF('All Player Data Store'!$Y$7:$Y$594=AC273,ROW('All Player Data Store'!$Y$7:$Y$594)-ROW('All Player Data Store'!$Y$7)+1),COUNTIF($AC$8:AC273,AC273))),"")</f>
        <v/>
      </c>
      <c r="L273" s="70" t="str">
        <f t="array" ref="L273">IF(ISNUMBER(AC273),INDEX('All Player Data Store'!$H$7:$H$594,SMALL(IF('All Player Data Store'!$Y$7:$Y$594=AC273,ROW('All Player Data Store'!$Y$7:$Y$594)-ROW('All Player Data Store'!$Y$7)+1),COUNTIF($AC$8:AC273,AC273))),"")</f>
        <v/>
      </c>
      <c r="M273" s="72" t="str">
        <f t="array" ref="M273">IF(ISNUMBER(AC273),INDEX('All Player Data Store'!$I$7:$I$594,SMALL(IF('All Player Data Store'!$Y$7:$Y$594=AC273,ROW('All Player Data Store'!$Y$7:$Y$594)-ROW('All Player Data Store'!$Y$7)+1),COUNTIF($AC$8:AC273,AC273))),"")</f>
        <v/>
      </c>
      <c r="N273" s="114" t="str">
        <f t="array" ref="N273">IF(ISNUMBER(AC273),INDEX('All Player Data Store'!$J$7:$J$594,SMALL(IF('All Player Data Store'!$Y$7:$Y$594=AC273,ROW('All Player Data Store'!$Y$7:$Y$594)-ROW('All Player Data Store'!$Y$7)+1),COUNTIF($AC$8:AC273,AC273))),"")</f>
        <v/>
      </c>
      <c r="O273" s="108" t="str">
        <f t="array" ref="O273">IF(ISNUMBER(AC273),INDEX('All Player Data Store'!$K$7:$K$594,SMALL(IF('All Player Data Store'!$Y$7:$Y$594=AC273,ROW('All Player Data Store'!$Y$7:$Y$594)-ROW('All Player Data Store'!$Y$7)+1),COUNTIF($AC$8:AC273,AC273))),"")</f>
        <v/>
      </c>
      <c r="P273" s="108" t="str">
        <f t="array" ref="P273">IF(ISNUMBER(AC273),INDEX('All Player Data Store'!$L$7:$L$594,SMALL(IF('All Player Data Store'!$Y$7:$Y$594=AC273,ROW('All Player Data Store'!$Y$7:$Y$594)-ROW('All Player Data Store'!$Y$7)+1),COUNTIF($AC$8:AC273,AC273))),"")</f>
        <v/>
      </c>
      <c r="Q273" s="108" t="str">
        <f t="array" ref="Q273">IF(ISNUMBER(AC273),INDEX('All Player Data Store'!$M$7:$M$594,SMALL(IF('All Player Data Store'!$Y$7:$Y$594=AC273,ROW('All Player Data Store'!$Y$7:$Y$594)-ROW('All Player Data Store'!$Y$7)+1),COUNTIF($AC$8:AC273,AC273))),"")</f>
        <v/>
      </c>
      <c r="R273" s="108" t="str">
        <f t="array" ref="R273">IF(ISNUMBER(AC273),INDEX('All Player Data Store'!$N$7:$N$594,SMALL(IF('All Player Data Store'!$Y$7:$Y$594=AC273,ROW('All Player Data Store'!$Y$7:$Y$594)-ROW('All Player Data Store'!$Y$7)+1),COUNTIF($AC$8:AC273,AC273))),"")</f>
        <v/>
      </c>
      <c r="S273" s="108" t="str">
        <f t="array" ref="S273">IF(ISNUMBER(AC273),INDEX('All Player Data Store'!$O$7:$O$594,SMALL(IF('All Player Data Store'!$Y$7:$Y$594=AC273,ROW('All Player Data Store'!$Y$7:$Y$594)-ROW('All Player Data Store'!$Y$7)+1),COUNTIF($AC$8:AC273,AC273))),"")</f>
        <v/>
      </c>
      <c r="T273" s="108" t="str">
        <f t="array" ref="T273">IF(ISNUMBER(AC273),INDEX('All Player Data Store'!$P$7:$P$594,SMALL(IF('All Player Data Store'!$Y$7:$Y$594=AC273,ROW('All Player Data Store'!$Y$7:$Y$594)-ROW('All Player Data Store'!$Y$7)+1),COUNTIF($AC$8:AC273,AC273))),"")</f>
        <v/>
      </c>
      <c r="U273" s="108" t="str">
        <f t="array" ref="U273">IF(ISNUMBER(AC273),INDEX('All Player Data Store'!$Q$7:$Q$594,SMALL(IF('All Player Data Store'!$Y$7:$Y$594=AC273,ROW('All Player Data Store'!$Y$7:$Y$594)-ROW('All Player Data Store'!$Y$7)+1),COUNTIF($AC$8:AC273,AC273))),"")</f>
        <v/>
      </c>
      <c r="V273" s="108" t="str">
        <f t="array" ref="V273">IF(ISNUMBER(AC273),INDEX('All Player Data Store'!$R$7:$R$594,SMALL(IF('All Player Data Store'!$Y$7:$Y$594=AC273,ROW('All Player Data Store'!$Y$7:$Y$594)-ROW('All Player Data Store'!$Y$7)+1),COUNTIF($AC$8:AC273,AC273))),"")</f>
        <v/>
      </c>
      <c r="W273" s="108" t="str">
        <f t="array" ref="W273">IF(ISNUMBER(AC273),INDEX('All Player Data Store'!$S$7:$S$594,SMALL(IF('All Player Data Store'!$Y$7:$Y$594=AC273,ROW('All Player Data Store'!$Y$7:$Y$594)-ROW('All Player Data Store'!$Y$7)+1),COUNTIF($AC$8:AC273,AC273))),"")</f>
        <v/>
      </c>
      <c r="X273" s="108" t="str">
        <f t="array" ref="X273">IF(ISNUMBER(AC273),INDEX('All Player Data Store'!$T$7:$T$594,SMALL(IF('All Player Data Store'!$Y$7:$Y$594=AC273,ROW('All Player Data Store'!$Y$7:$Y$594)-ROW('All Player Data Store'!$Y$7)+1),COUNTIF($AC$8:AC273,AC273))),"")</f>
        <v/>
      </c>
      <c r="Y273" s="108" t="str">
        <f t="array" ref="Y273">IF(ISNUMBER(AC273),INDEX('All Player Data Store'!$U$7:$U$594,SMALL(IF('All Player Data Store'!$Y$7:$Y$594=AC273,ROW('All Player Data Store'!$Y$7:$Y$594)-ROW('All Player Data Store'!$Y$7)+1),COUNTIF($AC$8:AC273,AC273))),"")</f>
        <v/>
      </c>
      <c r="Z273" s="108" t="str">
        <f t="array" ref="Z273">IF(ISNUMBER(AC273),INDEX('All Player Data Store'!$V$7:$V$594,SMALL(IF('All Player Data Store'!$Y$7:$Y$594=AC273,ROW('All Player Data Store'!$Y$7:$Y$594)-ROW('All Player Data Store'!$Y$7)+1),COUNTIF($AC$8:AC273,AC273))),"")</f>
        <v/>
      </c>
      <c r="AA273" s="112" t="str">
        <f t="array" ref="AA273">IF(ISNUMBER(AC273),INDEX('All Player Data Store'!$W$7:$W$594,SMALL(IF('All Player Data Store'!$Y$7:$Y$594=AC273,ROW('All Player Data Store'!$Y$7:$Y$594)-ROW('All Player Data Store'!$Y$7)+1),COUNTIF($AC$8:AC273,AC273))),"")</f>
        <v/>
      </c>
      <c r="AB273" s="108" t="str">
        <f t="array" ref="AB273">IF(ISNUMBER(AC273),INDEX('All Player Data Store'!$X$7:$X$594,SMALL(IF('All Player Data Store'!$Y$7:$Y$594=AC273,ROW('All Player Data Store'!$Y$7:$Y$594)-ROW('All Player Data Store'!$Y$7)+1),COUNTIF($AC$8:AC273,AC273))),"")</f>
        <v/>
      </c>
      <c r="AC273" s="115" t="str">
        <f>IF(ISERROR(IF(ISERROR(LARGE('All Player Data Store'!$Y$7:$Y$594,266)),"",(LARGE('All Player Data Store'!$Y$7:$Y$594,266)))),"",(IF(ISERROR(LARGE('All Player Data Store'!$Y$7:$Y$594,266)),"",(LARGE('All Player Data Store'!$Y$7:$Y$594,266)))))</f>
        <v/>
      </c>
      <c r="AD273" s="106">
        <f t="shared" si="16"/>
        <v>1</v>
      </c>
      <c r="AE273" s="107" t="str">
        <f t="array" ref="AE273">IF(ISNUMBER(AC273),INDEX('All Player Data Store'!$J$8:$J$594,SMALL(IF('All Player Data Store'!$Y$7:$Y$594=AC273,ROW('All Player Data Store'!$Y$7:$Y$594)-ROW('All Player Data Store'!$Y$7)+1),COUNTIF($AC$8:AC273,AC273))),"")</f>
        <v/>
      </c>
      <c r="AF273" s="108" t="str">
        <f t="shared" si="19"/>
        <v/>
      </c>
      <c r="AG273" s="108" t="str">
        <f t="array" ref="AG273">IF(ISNUMBER(AC273),INDEX('All Player Data Store'!$K$8:$K$594,SMALL(IF('All Player Data Store'!$Y$7:$Y$594=AC273,ROW('All Player Data Store'!$Y$7:$Y$594)-ROW('All Player Data Store'!$Y$7)+1),COUNTIF($AC$8:AC273,AC273))),"")</f>
        <v/>
      </c>
      <c r="AH273" s="108" t="str">
        <f t="shared" si="20"/>
        <v/>
      </c>
      <c r="AI273" s="108" t="str">
        <f t="array" ref="AI273">IF(ISNUMBER(AC273),INDEX('All Player Data Store'!$L$8:$L$594,SMALL(IF('All Player Data Store'!$Y$7:$Y$594=AC273,ROW('All Player Data Store'!$Y$7:$Y$594)-ROW('All Player Data Store'!$Y$7)+1),COUNTIF($AC$8:AC273,AC273))),"")</f>
        <v/>
      </c>
      <c r="AJ273" s="108" t="str">
        <f t="shared" si="21"/>
        <v/>
      </c>
      <c r="AK273" s="108" t="str">
        <f t="array" ref="AK273">IF(ISNUMBER(AC273),INDEX('All Player Data Store'!$M$8:$M$594,SMALL(IF('All Player Data Store'!$Y$7:$Y$594=AC273,ROW('All Player Data Store'!$Y$7:$Y$594)-ROW('All Player Data Store'!$Y$7)+1),COUNTIF($AC$8:AC273,AC273))),"")</f>
        <v/>
      </c>
      <c r="AL273" s="108" t="str">
        <f t="shared" si="22"/>
        <v/>
      </c>
      <c r="AM273" s="108" t="str">
        <f t="array" ref="AM273">IF(ISNUMBER(AC273),INDEX('All Player Data Store'!$N$8:$N$594,SMALL(IF('All Player Data Store'!$Y$7:$Y$594=AC273,ROW('All Player Data Store'!$Y$7:$Y$594)-ROW('All Player Data Store'!$Y$7)+1),COUNTIF($AC$8:AC273,AC273))),"")</f>
        <v/>
      </c>
      <c r="AN273" s="108" t="str">
        <f t="shared" si="23"/>
        <v/>
      </c>
      <c r="AO273" s="108" t="str">
        <f t="array" ref="AO273">IF(ISNUMBER(AC273),INDEX('All Player Data Store'!$O$8:$O$594,SMALL(IF('All Player Data Store'!$Y$7:$Y$594=AC273,ROW('All Player Data Store'!$Y$7:$Y$594)-ROW('All Player Data Store'!$Y$7)+1),COUNTIF($AC$8:AC273,AC273))),"")</f>
        <v/>
      </c>
      <c r="AP273" s="108" t="str">
        <f t="shared" si="24"/>
        <v/>
      </c>
      <c r="AQ273" s="108" t="str">
        <f t="array" ref="AQ273">IF(ISNUMBER(AC273),INDEX('All Player Data Store'!$P$8:$P$594,SMALL(IF('All Player Data Store'!$Y$7:$Y$594=AC273,ROW('All Player Data Store'!$Y$7:$Y$594)-ROW('All Player Data Store'!$Y$7)+1),COUNTIF($AC$8:AC273,AC273))),"")</f>
        <v/>
      </c>
      <c r="AR273" s="108" t="str">
        <f t="shared" si="25"/>
        <v/>
      </c>
      <c r="AS273" s="108" t="str">
        <f t="array" ref="AS273">IF(ISNUMBER(AC273),INDEX('All Player Data Store'!$Q$8:$Q$594,SMALL(IF('All Player Data Store'!$Y$7:$Y$594=AC273,ROW('All Player Data Store'!$Y$7:$Y$594)-ROW('All Player Data Store'!$Y$7)+1),COUNTIF($AC$8:AC273,AC273))),"")</f>
        <v/>
      </c>
      <c r="AT273" s="108" t="str">
        <f t="shared" si="26"/>
        <v/>
      </c>
      <c r="AU273" s="108" t="str">
        <f t="array" ref="AU273">IF(ISNUMBER(AC273),INDEX('All Player Data Store'!$R$8:$R$594,SMALL(IF('All Player Data Store'!$Y$7:$Y$594=AC273,ROW('All Player Data Store'!$Y$7:$Y$594)-ROW('All Player Data Store'!$Y$7)+1),COUNTIF($AC$8:AC273,AC273))),"")</f>
        <v/>
      </c>
      <c r="AV273" s="108" t="str">
        <f t="shared" si="27"/>
        <v/>
      </c>
      <c r="AW273" s="108" t="str">
        <f t="array" ref="AW273">IF(ISNUMBER(AC273),INDEX('All Player Data Store'!$S$8:$S$594,SMALL(IF('All Player Data Store'!$Y$7:$Y$594=AC273,ROW('All Player Data Store'!$Y$7:$Y$594)-ROW('All Player Data Store'!$Y$7)+1),COUNTIF($AC$8:AC273,AC273))),"")</f>
        <v/>
      </c>
      <c r="AX273" s="108" t="str">
        <f t="shared" si="28"/>
        <v/>
      </c>
      <c r="AY273" s="108" t="str">
        <f t="array" ref="AY273">IF(ISNUMBER(AC273),INDEX('All Player Data Store'!$T$8:$T$594,SMALL(IF('All Player Data Store'!$Y$7:$Y$594=AC273,ROW('All Player Data Store'!$Y$7:$Y$594)-ROW('All Player Data Store'!$Y$7)+1),COUNTIF($AC$8:AC273,AC273))),"")</f>
        <v/>
      </c>
      <c r="AZ273" s="108" t="str">
        <f t="shared" si="29"/>
        <v/>
      </c>
      <c r="BA273" s="108" t="str">
        <f t="array" ref="BA273">IF(ISNUMBER(AC273),INDEX('All Player Data Store'!$U$8:$U$594,SMALL(IF('All Player Data Store'!$Y$7:$Y$594=AC273,ROW('All Player Data Store'!$Y$7:$Y$594)-ROW('All Player Data Store'!$Y$7)+1),COUNTIF($AC$8:AC273,AC273))),"")</f>
        <v/>
      </c>
      <c r="BB273" s="108" t="str">
        <f t="shared" si="30"/>
        <v/>
      </c>
      <c r="BC273" s="108" t="str">
        <f t="array" ref="BC273">IF(ISNUMBER(AC273),INDEX('All Player Data Store'!$V$8:$V$594,SMALL(IF('All Player Data Store'!$Y$7:$Y$594=AC273,ROW('All Player Data Store'!$Y$7:$Y$594)-ROW('All Player Data Store'!$Y$7)+1),COUNTIF($AC$8:AC273,AC273))),"")</f>
        <v/>
      </c>
      <c r="BD273" s="108" t="str">
        <f t="shared" si="31"/>
        <v/>
      </c>
      <c r="BE273" s="1"/>
    </row>
    <row r="274" spans="2:57" ht="12" customHeight="1" x14ac:dyDescent="0.2">
      <c r="B274" s="118" t="str">
        <f t="shared" si="17"/>
        <v/>
      </c>
      <c r="C274" s="1"/>
      <c r="D274" s="68" t="str">
        <f t="shared" si="18"/>
        <v/>
      </c>
      <c r="E274" s="2"/>
      <c r="F274" s="78">
        <v>267</v>
      </c>
      <c r="G274" s="110" t="str">
        <f t="array" ref="G274">IF(ISNUMBER(AC274),INDEX('All Player Data Store'!$C$7:$C$594,SMALL(IF('All Player Data Store'!$Y$7:$Y$594=AC274,ROW('All Player Data Store'!$Y$7:$Y$594)-ROW('All Player Data Store'!$Y$7)+1),COUNTIF($AC$8:AC274,AC274))),"")</f>
        <v/>
      </c>
      <c r="H274" s="68" t="str">
        <f t="array" ref="H274">IF(ISNUMBER(AC274),INDEX('All Player Data Store'!$D$7:$D$594,SMALL(IF('All Player Data Store'!$Y$7:$Y$594=AC274,ROW('All Player Data Store'!$Y$7:$Y$594)-ROW('All Player Data Store'!$Y$7)+1),COUNTIF($AC$8:AC274,AC274))),"")</f>
        <v/>
      </c>
      <c r="I274" s="69" t="str">
        <f t="array" ref="I274">IF(ISNUMBER(AC274),INDEX('All Player Data Store'!$E$7:$E$594,SMALL(IF('All Player Data Store'!$Y$7:$Y$594=AC274,ROW('All Player Data Store'!$Y$7:$Y$594)-ROW('All Player Data Store'!$Y$7)+1),COUNTIF($AC$8:AC274,AC274))),"")</f>
        <v/>
      </c>
      <c r="J274" s="70" t="str">
        <f t="array" ref="J274">IF(ISNUMBER(AC274),INDEX('All Player Data Store'!$F$7:$F$594,SMALL(IF('All Player Data Store'!$Y$7:$Y$594=AC274,ROW('All Player Data Store'!$Y$7:$Y$594)-ROW('All Player Data Store'!$Y$7)+1),COUNTIF($AC$8:AC274,AC274))),"")</f>
        <v/>
      </c>
      <c r="K274" s="70" t="str">
        <f t="array" ref="K274">IF(ISNUMBER(AC274),INDEX('All Player Data Store'!$G$7:$G$594,SMALL(IF('All Player Data Store'!$Y$7:$Y$594=AC274,ROW('All Player Data Store'!$Y$7:$Y$594)-ROW('All Player Data Store'!$Y$7)+1),COUNTIF($AC$8:AC274,AC274))),"")</f>
        <v/>
      </c>
      <c r="L274" s="70" t="str">
        <f t="array" ref="L274">IF(ISNUMBER(AC274),INDEX('All Player Data Store'!$H$7:$H$594,SMALL(IF('All Player Data Store'!$Y$7:$Y$594=AC274,ROW('All Player Data Store'!$Y$7:$Y$594)-ROW('All Player Data Store'!$Y$7)+1),COUNTIF($AC$8:AC274,AC274))),"")</f>
        <v/>
      </c>
      <c r="M274" s="72" t="str">
        <f t="array" ref="M274">IF(ISNUMBER(AC274),INDEX('All Player Data Store'!$I$7:$I$594,SMALL(IF('All Player Data Store'!$Y$7:$Y$594=AC274,ROW('All Player Data Store'!$Y$7:$Y$594)-ROW('All Player Data Store'!$Y$7)+1),COUNTIF($AC$8:AC274,AC274))),"")</f>
        <v/>
      </c>
      <c r="N274" s="114" t="str">
        <f t="array" ref="N274">IF(ISNUMBER(AC274),INDEX('All Player Data Store'!$J$7:$J$594,SMALL(IF('All Player Data Store'!$Y$7:$Y$594=AC274,ROW('All Player Data Store'!$Y$7:$Y$594)-ROW('All Player Data Store'!$Y$7)+1),COUNTIF($AC$8:AC274,AC274))),"")</f>
        <v/>
      </c>
      <c r="O274" s="108" t="str">
        <f t="array" ref="O274">IF(ISNUMBER(AC274),INDEX('All Player Data Store'!$K$7:$K$594,SMALL(IF('All Player Data Store'!$Y$7:$Y$594=AC274,ROW('All Player Data Store'!$Y$7:$Y$594)-ROW('All Player Data Store'!$Y$7)+1),COUNTIF($AC$8:AC274,AC274))),"")</f>
        <v/>
      </c>
      <c r="P274" s="108" t="str">
        <f t="array" ref="P274">IF(ISNUMBER(AC274),INDEX('All Player Data Store'!$L$7:$L$594,SMALL(IF('All Player Data Store'!$Y$7:$Y$594=AC274,ROW('All Player Data Store'!$Y$7:$Y$594)-ROW('All Player Data Store'!$Y$7)+1),COUNTIF($AC$8:AC274,AC274))),"")</f>
        <v/>
      </c>
      <c r="Q274" s="108" t="str">
        <f t="array" ref="Q274">IF(ISNUMBER(AC274),INDEX('All Player Data Store'!$M$7:$M$594,SMALL(IF('All Player Data Store'!$Y$7:$Y$594=AC274,ROW('All Player Data Store'!$Y$7:$Y$594)-ROW('All Player Data Store'!$Y$7)+1),COUNTIF($AC$8:AC274,AC274))),"")</f>
        <v/>
      </c>
      <c r="R274" s="108" t="str">
        <f t="array" ref="R274">IF(ISNUMBER(AC274),INDEX('All Player Data Store'!$N$7:$N$594,SMALL(IF('All Player Data Store'!$Y$7:$Y$594=AC274,ROW('All Player Data Store'!$Y$7:$Y$594)-ROW('All Player Data Store'!$Y$7)+1),COUNTIF($AC$8:AC274,AC274))),"")</f>
        <v/>
      </c>
      <c r="S274" s="108" t="str">
        <f t="array" ref="S274">IF(ISNUMBER(AC274),INDEX('All Player Data Store'!$O$7:$O$594,SMALL(IF('All Player Data Store'!$Y$7:$Y$594=AC274,ROW('All Player Data Store'!$Y$7:$Y$594)-ROW('All Player Data Store'!$Y$7)+1),COUNTIF($AC$8:AC274,AC274))),"")</f>
        <v/>
      </c>
      <c r="T274" s="108" t="str">
        <f t="array" ref="T274">IF(ISNUMBER(AC274),INDEX('All Player Data Store'!$P$7:$P$594,SMALL(IF('All Player Data Store'!$Y$7:$Y$594=AC274,ROW('All Player Data Store'!$Y$7:$Y$594)-ROW('All Player Data Store'!$Y$7)+1),COUNTIF($AC$8:AC274,AC274))),"")</f>
        <v/>
      </c>
      <c r="U274" s="108" t="str">
        <f t="array" ref="U274">IF(ISNUMBER(AC274),INDEX('All Player Data Store'!$Q$7:$Q$594,SMALL(IF('All Player Data Store'!$Y$7:$Y$594=AC274,ROW('All Player Data Store'!$Y$7:$Y$594)-ROW('All Player Data Store'!$Y$7)+1),COUNTIF($AC$8:AC274,AC274))),"")</f>
        <v/>
      </c>
      <c r="V274" s="108" t="str">
        <f t="array" ref="V274">IF(ISNUMBER(AC274),INDEX('All Player Data Store'!$R$7:$R$594,SMALL(IF('All Player Data Store'!$Y$7:$Y$594=AC274,ROW('All Player Data Store'!$Y$7:$Y$594)-ROW('All Player Data Store'!$Y$7)+1),COUNTIF($AC$8:AC274,AC274))),"")</f>
        <v/>
      </c>
      <c r="W274" s="108" t="str">
        <f t="array" ref="W274">IF(ISNUMBER(AC274),INDEX('All Player Data Store'!$S$7:$S$594,SMALL(IF('All Player Data Store'!$Y$7:$Y$594=AC274,ROW('All Player Data Store'!$Y$7:$Y$594)-ROW('All Player Data Store'!$Y$7)+1),COUNTIF($AC$8:AC274,AC274))),"")</f>
        <v/>
      </c>
      <c r="X274" s="108" t="str">
        <f t="array" ref="X274">IF(ISNUMBER(AC274),INDEX('All Player Data Store'!$T$7:$T$594,SMALL(IF('All Player Data Store'!$Y$7:$Y$594=AC274,ROW('All Player Data Store'!$Y$7:$Y$594)-ROW('All Player Data Store'!$Y$7)+1),COUNTIF($AC$8:AC274,AC274))),"")</f>
        <v/>
      </c>
      <c r="Y274" s="108" t="str">
        <f t="array" ref="Y274">IF(ISNUMBER(AC274),INDEX('All Player Data Store'!$U$7:$U$594,SMALL(IF('All Player Data Store'!$Y$7:$Y$594=AC274,ROW('All Player Data Store'!$Y$7:$Y$594)-ROW('All Player Data Store'!$Y$7)+1),COUNTIF($AC$8:AC274,AC274))),"")</f>
        <v/>
      </c>
      <c r="Z274" s="108" t="str">
        <f t="array" ref="Z274">IF(ISNUMBER(AC274),INDEX('All Player Data Store'!$V$7:$V$594,SMALL(IF('All Player Data Store'!$Y$7:$Y$594=AC274,ROW('All Player Data Store'!$Y$7:$Y$594)-ROW('All Player Data Store'!$Y$7)+1),COUNTIF($AC$8:AC274,AC274))),"")</f>
        <v/>
      </c>
      <c r="AA274" s="112" t="str">
        <f t="array" ref="AA274">IF(ISNUMBER(AC274),INDEX('All Player Data Store'!$W$7:$W$594,SMALL(IF('All Player Data Store'!$Y$7:$Y$594=AC274,ROW('All Player Data Store'!$Y$7:$Y$594)-ROW('All Player Data Store'!$Y$7)+1),COUNTIF($AC$8:AC274,AC274))),"")</f>
        <v/>
      </c>
      <c r="AB274" s="108" t="str">
        <f t="array" ref="AB274">IF(ISNUMBER(AC274),INDEX('All Player Data Store'!$X$7:$X$594,SMALL(IF('All Player Data Store'!$Y$7:$Y$594=AC274,ROW('All Player Data Store'!$Y$7:$Y$594)-ROW('All Player Data Store'!$Y$7)+1),COUNTIF($AC$8:AC274,AC274))),"")</f>
        <v/>
      </c>
      <c r="AC274" s="115" t="str">
        <f>IF(ISERROR(IF(ISERROR(LARGE('All Player Data Store'!$Y$7:$Y$594,267)),"",(LARGE('All Player Data Store'!$Y$7:$Y$594,267)))),"",(IF(ISERROR(LARGE('All Player Data Store'!$Y$7:$Y$594,267)),"",(LARGE('All Player Data Store'!$Y$7:$Y$594,267)))))</f>
        <v/>
      </c>
      <c r="AD274" s="106">
        <f t="shared" si="16"/>
        <v>1</v>
      </c>
      <c r="AE274" s="107" t="str">
        <f t="array" ref="AE274">IF(ISNUMBER(AC274),INDEX('All Player Data Store'!$J$8:$J$594,SMALL(IF('All Player Data Store'!$Y$7:$Y$594=AC274,ROW('All Player Data Store'!$Y$7:$Y$594)-ROW('All Player Data Store'!$Y$7)+1),COUNTIF($AC$8:AC274,AC274))),"")</f>
        <v/>
      </c>
      <c r="AF274" s="108" t="str">
        <f t="shared" si="19"/>
        <v/>
      </c>
      <c r="AG274" s="108" t="str">
        <f t="array" ref="AG274">IF(ISNUMBER(AC274),INDEX('All Player Data Store'!$K$8:$K$594,SMALL(IF('All Player Data Store'!$Y$7:$Y$594=AC274,ROW('All Player Data Store'!$Y$7:$Y$594)-ROW('All Player Data Store'!$Y$7)+1),COUNTIF($AC$8:AC274,AC274))),"")</f>
        <v/>
      </c>
      <c r="AH274" s="108" t="str">
        <f t="shared" si="20"/>
        <v/>
      </c>
      <c r="AI274" s="108" t="str">
        <f t="array" ref="AI274">IF(ISNUMBER(AC274),INDEX('All Player Data Store'!$L$8:$L$594,SMALL(IF('All Player Data Store'!$Y$7:$Y$594=AC274,ROW('All Player Data Store'!$Y$7:$Y$594)-ROW('All Player Data Store'!$Y$7)+1),COUNTIF($AC$8:AC274,AC274))),"")</f>
        <v/>
      </c>
      <c r="AJ274" s="108" t="str">
        <f t="shared" si="21"/>
        <v/>
      </c>
      <c r="AK274" s="108" t="str">
        <f t="array" ref="AK274">IF(ISNUMBER(AC274),INDEX('All Player Data Store'!$M$8:$M$594,SMALL(IF('All Player Data Store'!$Y$7:$Y$594=AC274,ROW('All Player Data Store'!$Y$7:$Y$594)-ROW('All Player Data Store'!$Y$7)+1),COUNTIF($AC$8:AC274,AC274))),"")</f>
        <v/>
      </c>
      <c r="AL274" s="108" t="str">
        <f t="shared" si="22"/>
        <v/>
      </c>
      <c r="AM274" s="108" t="str">
        <f t="array" ref="AM274">IF(ISNUMBER(AC274),INDEX('All Player Data Store'!$N$8:$N$594,SMALL(IF('All Player Data Store'!$Y$7:$Y$594=AC274,ROW('All Player Data Store'!$Y$7:$Y$594)-ROW('All Player Data Store'!$Y$7)+1),COUNTIF($AC$8:AC274,AC274))),"")</f>
        <v/>
      </c>
      <c r="AN274" s="108" t="str">
        <f t="shared" si="23"/>
        <v/>
      </c>
      <c r="AO274" s="108" t="str">
        <f t="array" ref="AO274">IF(ISNUMBER(AC274),INDEX('All Player Data Store'!$O$8:$O$594,SMALL(IF('All Player Data Store'!$Y$7:$Y$594=AC274,ROW('All Player Data Store'!$Y$7:$Y$594)-ROW('All Player Data Store'!$Y$7)+1),COUNTIF($AC$8:AC274,AC274))),"")</f>
        <v/>
      </c>
      <c r="AP274" s="108" t="str">
        <f t="shared" si="24"/>
        <v/>
      </c>
      <c r="AQ274" s="108" t="str">
        <f t="array" ref="AQ274">IF(ISNUMBER(AC274),INDEX('All Player Data Store'!$P$8:$P$594,SMALL(IF('All Player Data Store'!$Y$7:$Y$594=AC274,ROW('All Player Data Store'!$Y$7:$Y$594)-ROW('All Player Data Store'!$Y$7)+1),COUNTIF($AC$8:AC274,AC274))),"")</f>
        <v/>
      </c>
      <c r="AR274" s="108" t="str">
        <f t="shared" si="25"/>
        <v/>
      </c>
      <c r="AS274" s="108" t="str">
        <f t="array" ref="AS274">IF(ISNUMBER(AC274),INDEX('All Player Data Store'!$Q$8:$Q$594,SMALL(IF('All Player Data Store'!$Y$7:$Y$594=AC274,ROW('All Player Data Store'!$Y$7:$Y$594)-ROW('All Player Data Store'!$Y$7)+1),COUNTIF($AC$8:AC274,AC274))),"")</f>
        <v/>
      </c>
      <c r="AT274" s="108" t="str">
        <f t="shared" si="26"/>
        <v/>
      </c>
      <c r="AU274" s="108" t="str">
        <f t="array" ref="AU274">IF(ISNUMBER(AC274),INDEX('All Player Data Store'!$R$8:$R$594,SMALL(IF('All Player Data Store'!$Y$7:$Y$594=AC274,ROW('All Player Data Store'!$Y$7:$Y$594)-ROW('All Player Data Store'!$Y$7)+1),COUNTIF($AC$8:AC274,AC274))),"")</f>
        <v/>
      </c>
      <c r="AV274" s="108" t="str">
        <f t="shared" si="27"/>
        <v/>
      </c>
      <c r="AW274" s="108" t="str">
        <f t="array" ref="AW274">IF(ISNUMBER(AC274),INDEX('All Player Data Store'!$S$8:$S$594,SMALL(IF('All Player Data Store'!$Y$7:$Y$594=AC274,ROW('All Player Data Store'!$Y$7:$Y$594)-ROW('All Player Data Store'!$Y$7)+1),COUNTIF($AC$8:AC274,AC274))),"")</f>
        <v/>
      </c>
      <c r="AX274" s="108" t="str">
        <f t="shared" si="28"/>
        <v/>
      </c>
      <c r="AY274" s="108" t="str">
        <f t="array" ref="AY274">IF(ISNUMBER(AC274),INDEX('All Player Data Store'!$T$8:$T$594,SMALL(IF('All Player Data Store'!$Y$7:$Y$594=AC274,ROW('All Player Data Store'!$Y$7:$Y$594)-ROW('All Player Data Store'!$Y$7)+1),COUNTIF($AC$8:AC274,AC274))),"")</f>
        <v/>
      </c>
      <c r="AZ274" s="108" t="str">
        <f t="shared" si="29"/>
        <v/>
      </c>
      <c r="BA274" s="108" t="str">
        <f t="array" ref="BA274">IF(ISNUMBER(AC274),INDEX('All Player Data Store'!$U$8:$U$594,SMALL(IF('All Player Data Store'!$Y$7:$Y$594=AC274,ROW('All Player Data Store'!$Y$7:$Y$594)-ROW('All Player Data Store'!$Y$7)+1),COUNTIF($AC$8:AC274,AC274))),"")</f>
        <v/>
      </c>
      <c r="BB274" s="108" t="str">
        <f t="shared" si="30"/>
        <v/>
      </c>
      <c r="BC274" s="108" t="str">
        <f t="array" ref="BC274">IF(ISNUMBER(AC274),INDEX('All Player Data Store'!$V$8:$V$594,SMALL(IF('All Player Data Store'!$Y$7:$Y$594=AC274,ROW('All Player Data Store'!$Y$7:$Y$594)-ROW('All Player Data Store'!$Y$7)+1),COUNTIF($AC$8:AC274,AC274))),"")</f>
        <v/>
      </c>
      <c r="BD274" s="108" t="str">
        <f t="shared" si="31"/>
        <v/>
      </c>
      <c r="BE274" s="1"/>
    </row>
    <row r="275" spans="2:57" ht="12" customHeight="1" x14ac:dyDescent="0.2">
      <c r="B275" s="118" t="str">
        <f t="shared" si="17"/>
        <v/>
      </c>
      <c r="C275" s="1"/>
      <c r="D275" s="68" t="str">
        <f t="shared" si="18"/>
        <v/>
      </c>
      <c r="E275" s="2"/>
      <c r="F275" s="78">
        <v>268</v>
      </c>
      <c r="G275" s="110" t="str">
        <f t="array" ref="G275">IF(ISNUMBER(AC275),INDEX('All Player Data Store'!$C$7:$C$594,SMALL(IF('All Player Data Store'!$Y$7:$Y$594=AC275,ROW('All Player Data Store'!$Y$7:$Y$594)-ROW('All Player Data Store'!$Y$7)+1),COUNTIF($AC$8:AC275,AC275))),"")</f>
        <v/>
      </c>
      <c r="H275" s="68" t="str">
        <f t="array" ref="H275">IF(ISNUMBER(AC275),INDEX('All Player Data Store'!$D$7:$D$594,SMALL(IF('All Player Data Store'!$Y$7:$Y$594=AC275,ROW('All Player Data Store'!$Y$7:$Y$594)-ROW('All Player Data Store'!$Y$7)+1),COUNTIF($AC$8:AC275,AC275))),"")</f>
        <v/>
      </c>
      <c r="I275" s="69" t="str">
        <f t="array" ref="I275">IF(ISNUMBER(AC275),INDEX('All Player Data Store'!$E$7:$E$594,SMALL(IF('All Player Data Store'!$Y$7:$Y$594=AC275,ROW('All Player Data Store'!$Y$7:$Y$594)-ROW('All Player Data Store'!$Y$7)+1),COUNTIF($AC$8:AC275,AC275))),"")</f>
        <v/>
      </c>
      <c r="J275" s="70" t="str">
        <f t="array" ref="J275">IF(ISNUMBER(AC275),INDEX('All Player Data Store'!$F$7:$F$594,SMALL(IF('All Player Data Store'!$Y$7:$Y$594=AC275,ROW('All Player Data Store'!$Y$7:$Y$594)-ROW('All Player Data Store'!$Y$7)+1),COUNTIF($AC$8:AC275,AC275))),"")</f>
        <v/>
      </c>
      <c r="K275" s="70" t="str">
        <f t="array" ref="K275">IF(ISNUMBER(AC275),INDEX('All Player Data Store'!$G$7:$G$594,SMALL(IF('All Player Data Store'!$Y$7:$Y$594=AC275,ROW('All Player Data Store'!$Y$7:$Y$594)-ROW('All Player Data Store'!$Y$7)+1),COUNTIF($AC$8:AC275,AC275))),"")</f>
        <v/>
      </c>
      <c r="L275" s="70" t="str">
        <f t="array" ref="L275">IF(ISNUMBER(AC275),INDEX('All Player Data Store'!$H$7:$H$594,SMALL(IF('All Player Data Store'!$Y$7:$Y$594=AC275,ROW('All Player Data Store'!$Y$7:$Y$594)-ROW('All Player Data Store'!$Y$7)+1),COUNTIF($AC$8:AC275,AC275))),"")</f>
        <v/>
      </c>
      <c r="M275" s="72" t="str">
        <f t="array" ref="M275">IF(ISNUMBER(AC275),INDEX('All Player Data Store'!$I$7:$I$594,SMALL(IF('All Player Data Store'!$Y$7:$Y$594=AC275,ROW('All Player Data Store'!$Y$7:$Y$594)-ROW('All Player Data Store'!$Y$7)+1),COUNTIF($AC$8:AC275,AC275))),"")</f>
        <v/>
      </c>
      <c r="N275" s="114" t="str">
        <f t="array" ref="N275">IF(ISNUMBER(AC275),INDEX('All Player Data Store'!$J$7:$J$594,SMALL(IF('All Player Data Store'!$Y$7:$Y$594=AC275,ROW('All Player Data Store'!$Y$7:$Y$594)-ROW('All Player Data Store'!$Y$7)+1),COUNTIF($AC$8:AC275,AC275))),"")</f>
        <v/>
      </c>
      <c r="O275" s="108" t="str">
        <f t="array" ref="O275">IF(ISNUMBER(AC275),INDEX('All Player Data Store'!$K$7:$K$594,SMALL(IF('All Player Data Store'!$Y$7:$Y$594=AC275,ROW('All Player Data Store'!$Y$7:$Y$594)-ROW('All Player Data Store'!$Y$7)+1),COUNTIF($AC$8:AC275,AC275))),"")</f>
        <v/>
      </c>
      <c r="P275" s="108" t="str">
        <f t="array" ref="P275">IF(ISNUMBER(AC275),INDEX('All Player Data Store'!$L$7:$L$594,SMALL(IF('All Player Data Store'!$Y$7:$Y$594=AC275,ROW('All Player Data Store'!$Y$7:$Y$594)-ROW('All Player Data Store'!$Y$7)+1),COUNTIF($AC$8:AC275,AC275))),"")</f>
        <v/>
      </c>
      <c r="Q275" s="108" t="str">
        <f t="array" ref="Q275">IF(ISNUMBER(AC275),INDEX('All Player Data Store'!$M$7:$M$594,SMALL(IF('All Player Data Store'!$Y$7:$Y$594=AC275,ROW('All Player Data Store'!$Y$7:$Y$594)-ROW('All Player Data Store'!$Y$7)+1),COUNTIF($AC$8:AC275,AC275))),"")</f>
        <v/>
      </c>
      <c r="R275" s="108" t="str">
        <f t="array" ref="R275">IF(ISNUMBER(AC275),INDEX('All Player Data Store'!$N$7:$N$594,SMALL(IF('All Player Data Store'!$Y$7:$Y$594=AC275,ROW('All Player Data Store'!$Y$7:$Y$594)-ROW('All Player Data Store'!$Y$7)+1),COUNTIF($AC$8:AC275,AC275))),"")</f>
        <v/>
      </c>
      <c r="S275" s="108" t="str">
        <f t="array" ref="S275">IF(ISNUMBER(AC275),INDEX('All Player Data Store'!$O$7:$O$594,SMALL(IF('All Player Data Store'!$Y$7:$Y$594=AC275,ROW('All Player Data Store'!$Y$7:$Y$594)-ROW('All Player Data Store'!$Y$7)+1),COUNTIF($AC$8:AC275,AC275))),"")</f>
        <v/>
      </c>
      <c r="T275" s="108" t="str">
        <f t="array" ref="T275">IF(ISNUMBER(AC275),INDEX('All Player Data Store'!$P$7:$P$594,SMALL(IF('All Player Data Store'!$Y$7:$Y$594=AC275,ROW('All Player Data Store'!$Y$7:$Y$594)-ROW('All Player Data Store'!$Y$7)+1),COUNTIF($AC$8:AC275,AC275))),"")</f>
        <v/>
      </c>
      <c r="U275" s="108" t="str">
        <f t="array" ref="U275">IF(ISNUMBER(AC275),INDEX('All Player Data Store'!$Q$7:$Q$594,SMALL(IF('All Player Data Store'!$Y$7:$Y$594=AC275,ROW('All Player Data Store'!$Y$7:$Y$594)-ROW('All Player Data Store'!$Y$7)+1),COUNTIF($AC$8:AC275,AC275))),"")</f>
        <v/>
      </c>
      <c r="V275" s="108" t="str">
        <f t="array" ref="V275">IF(ISNUMBER(AC275),INDEX('All Player Data Store'!$R$7:$R$594,SMALL(IF('All Player Data Store'!$Y$7:$Y$594=AC275,ROW('All Player Data Store'!$Y$7:$Y$594)-ROW('All Player Data Store'!$Y$7)+1),COUNTIF($AC$8:AC275,AC275))),"")</f>
        <v/>
      </c>
      <c r="W275" s="108" t="str">
        <f t="array" ref="W275">IF(ISNUMBER(AC275),INDEX('All Player Data Store'!$S$7:$S$594,SMALL(IF('All Player Data Store'!$Y$7:$Y$594=AC275,ROW('All Player Data Store'!$Y$7:$Y$594)-ROW('All Player Data Store'!$Y$7)+1),COUNTIF($AC$8:AC275,AC275))),"")</f>
        <v/>
      </c>
      <c r="X275" s="108" t="str">
        <f t="array" ref="X275">IF(ISNUMBER(AC275),INDEX('All Player Data Store'!$T$7:$T$594,SMALL(IF('All Player Data Store'!$Y$7:$Y$594=AC275,ROW('All Player Data Store'!$Y$7:$Y$594)-ROW('All Player Data Store'!$Y$7)+1),COUNTIF($AC$8:AC275,AC275))),"")</f>
        <v/>
      </c>
      <c r="Y275" s="108" t="str">
        <f t="array" ref="Y275">IF(ISNUMBER(AC275),INDEX('All Player Data Store'!$U$7:$U$594,SMALL(IF('All Player Data Store'!$Y$7:$Y$594=AC275,ROW('All Player Data Store'!$Y$7:$Y$594)-ROW('All Player Data Store'!$Y$7)+1),COUNTIF($AC$8:AC275,AC275))),"")</f>
        <v/>
      </c>
      <c r="Z275" s="108" t="str">
        <f t="array" ref="Z275">IF(ISNUMBER(AC275),INDEX('All Player Data Store'!$V$7:$V$594,SMALL(IF('All Player Data Store'!$Y$7:$Y$594=AC275,ROW('All Player Data Store'!$Y$7:$Y$594)-ROW('All Player Data Store'!$Y$7)+1),COUNTIF($AC$8:AC275,AC275))),"")</f>
        <v/>
      </c>
      <c r="AA275" s="112" t="str">
        <f t="array" ref="AA275">IF(ISNUMBER(AC275),INDEX('All Player Data Store'!$W$7:$W$594,SMALL(IF('All Player Data Store'!$Y$7:$Y$594=AC275,ROW('All Player Data Store'!$Y$7:$Y$594)-ROW('All Player Data Store'!$Y$7)+1),COUNTIF($AC$8:AC275,AC275))),"")</f>
        <v/>
      </c>
      <c r="AB275" s="108" t="str">
        <f t="array" ref="AB275">IF(ISNUMBER(AC275),INDEX('All Player Data Store'!$X$7:$X$594,SMALL(IF('All Player Data Store'!$Y$7:$Y$594=AC275,ROW('All Player Data Store'!$Y$7:$Y$594)-ROW('All Player Data Store'!$Y$7)+1),COUNTIF($AC$8:AC275,AC275))),"")</f>
        <v/>
      </c>
      <c r="AC275" s="115" t="str">
        <f>IF(ISERROR(IF(ISERROR(LARGE('All Player Data Store'!$Y$7:$Y$594,268)),"",(LARGE('All Player Data Store'!$Y$7:$Y$594,268)))),"",(IF(ISERROR(LARGE('All Player Data Store'!$Y$7:$Y$594,268)),"",(LARGE('All Player Data Store'!$Y$7:$Y$594,268)))))</f>
        <v/>
      </c>
      <c r="AD275" s="106">
        <f t="shared" si="16"/>
        <v>1</v>
      </c>
      <c r="AE275" s="107" t="str">
        <f t="array" ref="AE275">IF(ISNUMBER(AC275),INDEX('All Player Data Store'!$J$8:$J$594,SMALL(IF('All Player Data Store'!$Y$7:$Y$594=AC275,ROW('All Player Data Store'!$Y$7:$Y$594)-ROW('All Player Data Store'!$Y$7)+1),COUNTIF($AC$8:AC275,AC275))),"")</f>
        <v/>
      </c>
      <c r="AF275" s="108" t="str">
        <f t="shared" si="19"/>
        <v/>
      </c>
      <c r="AG275" s="108" t="str">
        <f t="array" ref="AG275">IF(ISNUMBER(AC275),INDEX('All Player Data Store'!$K$8:$K$594,SMALL(IF('All Player Data Store'!$Y$7:$Y$594=AC275,ROW('All Player Data Store'!$Y$7:$Y$594)-ROW('All Player Data Store'!$Y$7)+1),COUNTIF($AC$8:AC275,AC275))),"")</f>
        <v/>
      </c>
      <c r="AH275" s="108" t="str">
        <f t="shared" si="20"/>
        <v/>
      </c>
      <c r="AI275" s="108" t="str">
        <f t="array" ref="AI275">IF(ISNUMBER(AC275),INDEX('All Player Data Store'!$L$8:$L$594,SMALL(IF('All Player Data Store'!$Y$7:$Y$594=AC275,ROW('All Player Data Store'!$Y$7:$Y$594)-ROW('All Player Data Store'!$Y$7)+1),COUNTIF($AC$8:AC275,AC275))),"")</f>
        <v/>
      </c>
      <c r="AJ275" s="108" t="str">
        <f t="shared" si="21"/>
        <v/>
      </c>
      <c r="AK275" s="108" t="str">
        <f t="array" ref="AK275">IF(ISNUMBER(AC275),INDEX('All Player Data Store'!$M$8:$M$594,SMALL(IF('All Player Data Store'!$Y$7:$Y$594=AC275,ROW('All Player Data Store'!$Y$7:$Y$594)-ROW('All Player Data Store'!$Y$7)+1),COUNTIF($AC$8:AC275,AC275))),"")</f>
        <v/>
      </c>
      <c r="AL275" s="108" t="str">
        <f t="shared" si="22"/>
        <v/>
      </c>
      <c r="AM275" s="108" t="str">
        <f t="array" ref="AM275">IF(ISNUMBER(AC275),INDEX('All Player Data Store'!$N$8:$N$594,SMALL(IF('All Player Data Store'!$Y$7:$Y$594=AC275,ROW('All Player Data Store'!$Y$7:$Y$594)-ROW('All Player Data Store'!$Y$7)+1),COUNTIF($AC$8:AC275,AC275))),"")</f>
        <v/>
      </c>
      <c r="AN275" s="108" t="str">
        <f t="shared" si="23"/>
        <v/>
      </c>
      <c r="AO275" s="108" t="str">
        <f t="array" ref="AO275">IF(ISNUMBER(AC275),INDEX('All Player Data Store'!$O$8:$O$594,SMALL(IF('All Player Data Store'!$Y$7:$Y$594=AC275,ROW('All Player Data Store'!$Y$7:$Y$594)-ROW('All Player Data Store'!$Y$7)+1),COUNTIF($AC$8:AC275,AC275))),"")</f>
        <v/>
      </c>
      <c r="AP275" s="108" t="str">
        <f t="shared" si="24"/>
        <v/>
      </c>
      <c r="AQ275" s="108" t="str">
        <f t="array" ref="AQ275">IF(ISNUMBER(AC275),INDEX('All Player Data Store'!$P$8:$P$594,SMALL(IF('All Player Data Store'!$Y$7:$Y$594=AC275,ROW('All Player Data Store'!$Y$7:$Y$594)-ROW('All Player Data Store'!$Y$7)+1),COUNTIF($AC$8:AC275,AC275))),"")</f>
        <v/>
      </c>
      <c r="AR275" s="108" t="str">
        <f t="shared" si="25"/>
        <v/>
      </c>
      <c r="AS275" s="108" t="str">
        <f t="array" ref="AS275">IF(ISNUMBER(AC275),INDEX('All Player Data Store'!$Q$8:$Q$594,SMALL(IF('All Player Data Store'!$Y$7:$Y$594=AC275,ROW('All Player Data Store'!$Y$7:$Y$594)-ROW('All Player Data Store'!$Y$7)+1),COUNTIF($AC$8:AC275,AC275))),"")</f>
        <v/>
      </c>
      <c r="AT275" s="108" t="str">
        <f t="shared" si="26"/>
        <v/>
      </c>
      <c r="AU275" s="108" t="str">
        <f t="array" ref="AU275">IF(ISNUMBER(AC275),INDEX('All Player Data Store'!$R$8:$R$594,SMALL(IF('All Player Data Store'!$Y$7:$Y$594=AC275,ROW('All Player Data Store'!$Y$7:$Y$594)-ROW('All Player Data Store'!$Y$7)+1),COUNTIF($AC$8:AC275,AC275))),"")</f>
        <v/>
      </c>
      <c r="AV275" s="108" t="str">
        <f t="shared" si="27"/>
        <v/>
      </c>
      <c r="AW275" s="108" t="str">
        <f t="array" ref="AW275">IF(ISNUMBER(AC275),INDEX('All Player Data Store'!$S$8:$S$594,SMALL(IF('All Player Data Store'!$Y$7:$Y$594=AC275,ROW('All Player Data Store'!$Y$7:$Y$594)-ROW('All Player Data Store'!$Y$7)+1),COUNTIF($AC$8:AC275,AC275))),"")</f>
        <v/>
      </c>
      <c r="AX275" s="108" t="str">
        <f t="shared" si="28"/>
        <v/>
      </c>
      <c r="AY275" s="108" t="str">
        <f t="array" ref="AY275">IF(ISNUMBER(AC275),INDEX('All Player Data Store'!$T$8:$T$594,SMALL(IF('All Player Data Store'!$Y$7:$Y$594=AC275,ROW('All Player Data Store'!$Y$7:$Y$594)-ROW('All Player Data Store'!$Y$7)+1),COUNTIF($AC$8:AC275,AC275))),"")</f>
        <v/>
      </c>
      <c r="AZ275" s="108" t="str">
        <f t="shared" si="29"/>
        <v/>
      </c>
      <c r="BA275" s="108" t="str">
        <f t="array" ref="BA275">IF(ISNUMBER(AC275),INDEX('All Player Data Store'!$U$8:$U$594,SMALL(IF('All Player Data Store'!$Y$7:$Y$594=AC275,ROW('All Player Data Store'!$Y$7:$Y$594)-ROW('All Player Data Store'!$Y$7)+1),COUNTIF($AC$8:AC275,AC275))),"")</f>
        <v/>
      </c>
      <c r="BB275" s="108" t="str">
        <f t="shared" si="30"/>
        <v/>
      </c>
      <c r="BC275" s="108" t="str">
        <f t="array" ref="BC275">IF(ISNUMBER(AC275),INDEX('All Player Data Store'!$V$8:$V$594,SMALL(IF('All Player Data Store'!$Y$7:$Y$594=AC275,ROW('All Player Data Store'!$Y$7:$Y$594)-ROW('All Player Data Store'!$Y$7)+1),COUNTIF($AC$8:AC275,AC275))),"")</f>
        <v/>
      </c>
      <c r="BD275" s="108" t="str">
        <f t="shared" si="31"/>
        <v/>
      </c>
      <c r="BE275" s="1"/>
    </row>
    <row r="276" spans="2:57" ht="12" customHeight="1" x14ac:dyDescent="0.2">
      <c r="B276" s="118" t="str">
        <f t="shared" si="17"/>
        <v/>
      </c>
      <c r="C276" s="1"/>
      <c r="D276" s="68" t="str">
        <f t="shared" si="18"/>
        <v/>
      </c>
      <c r="E276" s="2"/>
      <c r="F276" s="78">
        <v>269</v>
      </c>
      <c r="G276" s="110" t="str">
        <f t="array" ref="G276">IF(ISNUMBER(AC276),INDEX('All Player Data Store'!$C$7:$C$594,SMALL(IF('All Player Data Store'!$Y$7:$Y$594=AC276,ROW('All Player Data Store'!$Y$7:$Y$594)-ROW('All Player Data Store'!$Y$7)+1),COUNTIF($AC$8:AC276,AC276))),"")</f>
        <v/>
      </c>
      <c r="H276" s="68" t="str">
        <f t="array" ref="H276">IF(ISNUMBER(AC276),INDEX('All Player Data Store'!$D$7:$D$594,SMALL(IF('All Player Data Store'!$Y$7:$Y$594=AC276,ROW('All Player Data Store'!$Y$7:$Y$594)-ROW('All Player Data Store'!$Y$7)+1),COUNTIF($AC$8:AC276,AC276))),"")</f>
        <v/>
      </c>
      <c r="I276" s="69" t="str">
        <f t="array" ref="I276">IF(ISNUMBER(AC276),INDEX('All Player Data Store'!$E$7:$E$594,SMALL(IF('All Player Data Store'!$Y$7:$Y$594=AC276,ROW('All Player Data Store'!$Y$7:$Y$594)-ROW('All Player Data Store'!$Y$7)+1),COUNTIF($AC$8:AC276,AC276))),"")</f>
        <v/>
      </c>
      <c r="J276" s="70" t="str">
        <f t="array" ref="J276">IF(ISNUMBER(AC276),INDEX('All Player Data Store'!$F$7:$F$594,SMALL(IF('All Player Data Store'!$Y$7:$Y$594=AC276,ROW('All Player Data Store'!$Y$7:$Y$594)-ROW('All Player Data Store'!$Y$7)+1),COUNTIF($AC$8:AC276,AC276))),"")</f>
        <v/>
      </c>
      <c r="K276" s="70" t="str">
        <f t="array" ref="K276">IF(ISNUMBER(AC276),INDEX('All Player Data Store'!$G$7:$G$594,SMALL(IF('All Player Data Store'!$Y$7:$Y$594=AC276,ROW('All Player Data Store'!$Y$7:$Y$594)-ROW('All Player Data Store'!$Y$7)+1),COUNTIF($AC$8:AC276,AC276))),"")</f>
        <v/>
      </c>
      <c r="L276" s="70" t="str">
        <f t="array" ref="L276">IF(ISNUMBER(AC276),INDEX('All Player Data Store'!$H$7:$H$594,SMALL(IF('All Player Data Store'!$Y$7:$Y$594=AC276,ROW('All Player Data Store'!$Y$7:$Y$594)-ROW('All Player Data Store'!$Y$7)+1),COUNTIF($AC$8:AC276,AC276))),"")</f>
        <v/>
      </c>
      <c r="M276" s="72" t="str">
        <f t="array" ref="M276">IF(ISNUMBER(AC276),INDEX('All Player Data Store'!$I$7:$I$594,SMALL(IF('All Player Data Store'!$Y$7:$Y$594=AC276,ROW('All Player Data Store'!$Y$7:$Y$594)-ROW('All Player Data Store'!$Y$7)+1),COUNTIF($AC$8:AC276,AC276))),"")</f>
        <v/>
      </c>
      <c r="N276" s="114" t="str">
        <f t="array" ref="N276">IF(ISNUMBER(AC276),INDEX('All Player Data Store'!$J$7:$J$594,SMALL(IF('All Player Data Store'!$Y$7:$Y$594=AC276,ROW('All Player Data Store'!$Y$7:$Y$594)-ROW('All Player Data Store'!$Y$7)+1),COUNTIF($AC$8:AC276,AC276))),"")</f>
        <v/>
      </c>
      <c r="O276" s="108" t="str">
        <f t="array" ref="O276">IF(ISNUMBER(AC276),INDEX('All Player Data Store'!$K$7:$K$594,SMALL(IF('All Player Data Store'!$Y$7:$Y$594=AC276,ROW('All Player Data Store'!$Y$7:$Y$594)-ROW('All Player Data Store'!$Y$7)+1),COUNTIF($AC$8:AC276,AC276))),"")</f>
        <v/>
      </c>
      <c r="P276" s="108" t="str">
        <f t="array" ref="P276">IF(ISNUMBER(AC276),INDEX('All Player Data Store'!$L$7:$L$594,SMALL(IF('All Player Data Store'!$Y$7:$Y$594=AC276,ROW('All Player Data Store'!$Y$7:$Y$594)-ROW('All Player Data Store'!$Y$7)+1),COUNTIF($AC$8:AC276,AC276))),"")</f>
        <v/>
      </c>
      <c r="Q276" s="108" t="str">
        <f t="array" ref="Q276">IF(ISNUMBER(AC276),INDEX('All Player Data Store'!$M$7:$M$594,SMALL(IF('All Player Data Store'!$Y$7:$Y$594=AC276,ROW('All Player Data Store'!$Y$7:$Y$594)-ROW('All Player Data Store'!$Y$7)+1),COUNTIF($AC$8:AC276,AC276))),"")</f>
        <v/>
      </c>
      <c r="R276" s="108" t="str">
        <f t="array" ref="R276">IF(ISNUMBER(AC276),INDEX('All Player Data Store'!$N$7:$N$594,SMALL(IF('All Player Data Store'!$Y$7:$Y$594=AC276,ROW('All Player Data Store'!$Y$7:$Y$594)-ROW('All Player Data Store'!$Y$7)+1),COUNTIF($AC$8:AC276,AC276))),"")</f>
        <v/>
      </c>
      <c r="S276" s="108" t="str">
        <f t="array" ref="S276">IF(ISNUMBER(AC276),INDEX('All Player Data Store'!$O$7:$O$594,SMALL(IF('All Player Data Store'!$Y$7:$Y$594=AC276,ROW('All Player Data Store'!$Y$7:$Y$594)-ROW('All Player Data Store'!$Y$7)+1),COUNTIF($AC$8:AC276,AC276))),"")</f>
        <v/>
      </c>
      <c r="T276" s="108" t="str">
        <f t="array" ref="T276">IF(ISNUMBER(AC276),INDEX('All Player Data Store'!$P$7:$P$594,SMALL(IF('All Player Data Store'!$Y$7:$Y$594=AC276,ROW('All Player Data Store'!$Y$7:$Y$594)-ROW('All Player Data Store'!$Y$7)+1),COUNTIF($AC$8:AC276,AC276))),"")</f>
        <v/>
      </c>
      <c r="U276" s="108" t="str">
        <f t="array" ref="U276">IF(ISNUMBER(AC276),INDEX('All Player Data Store'!$Q$7:$Q$594,SMALL(IF('All Player Data Store'!$Y$7:$Y$594=AC276,ROW('All Player Data Store'!$Y$7:$Y$594)-ROW('All Player Data Store'!$Y$7)+1),COUNTIF($AC$8:AC276,AC276))),"")</f>
        <v/>
      </c>
      <c r="V276" s="108" t="str">
        <f t="array" ref="V276">IF(ISNUMBER(AC276),INDEX('All Player Data Store'!$R$7:$R$594,SMALL(IF('All Player Data Store'!$Y$7:$Y$594=AC276,ROW('All Player Data Store'!$Y$7:$Y$594)-ROW('All Player Data Store'!$Y$7)+1),COUNTIF($AC$8:AC276,AC276))),"")</f>
        <v/>
      </c>
      <c r="W276" s="108" t="str">
        <f t="array" ref="W276">IF(ISNUMBER(AC276),INDEX('All Player Data Store'!$S$7:$S$594,SMALL(IF('All Player Data Store'!$Y$7:$Y$594=AC276,ROW('All Player Data Store'!$Y$7:$Y$594)-ROW('All Player Data Store'!$Y$7)+1),COUNTIF($AC$8:AC276,AC276))),"")</f>
        <v/>
      </c>
      <c r="X276" s="108" t="str">
        <f t="array" ref="X276">IF(ISNUMBER(AC276),INDEX('All Player Data Store'!$T$7:$T$594,SMALL(IF('All Player Data Store'!$Y$7:$Y$594=AC276,ROW('All Player Data Store'!$Y$7:$Y$594)-ROW('All Player Data Store'!$Y$7)+1),COUNTIF($AC$8:AC276,AC276))),"")</f>
        <v/>
      </c>
      <c r="Y276" s="108" t="str">
        <f t="array" ref="Y276">IF(ISNUMBER(AC276),INDEX('All Player Data Store'!$U$7:$U$594,SMALL(IF('All Player Data Store'!$Y$7:$Y$594=AC276,ROW('All Player Data Store'!$Y$7:$Y$594)-ROW('All Player Data Store'!$Y$7)+1),COUNTIF($AC$8:AC276,AC276))),"")</f>
        <v/>
      </c>
      <c r="Z276" s="108" t="str">
        <f t="array" ref="Z276">IF(ISNUMBER(AC276),INDEX('All Player Data Store'!$V$7:$V$594,SMALL(IF('All Player Data Store'!$Y$7:$Y$594=AC276,ROW('All Player Data Store'!$Y$7:$Y$594)-ROW('All Player Data Store'!$Y$7)+1),COUNTIF($AC$8:AC276,AC276))),"")</f>
        <v/>
      </c>
      <c r="AA276" s="112" t="str">
        <f t="array" ref="AA276">IF(ISNUMBER(AC276),INDEX('All Player Data Store'!$W$7:$W$594,SMALL(IF('All Player Data Store'!$Y$7:$Y$594=AC276,ROW('All Player Data Store'!$Y$7:$Y$594)-ROW('All Player Data Store'!$Y$7)+1),COUNTIF($AC$8:AC276,AC276))),"")</f>
        <v/>
      </c>
      <c r="AB276" s="108" t="str">
        <f t="array" ref="AB276">IF(ISNUMBER(AC276),INDEX('All Player Data Store'!$X$7:$X$594,SMALL(IF('All Player Data Store'!$Y$7:$Y$594=AC276,ROW('All Player Data Store'!$Y$7:$Y$594)-ROW('All Player Data Store'!$Y$7)+1),COUNTIF($AC$8:AC276,AC276))),"")</f>
        <v/>
      </c>
      <c r="AC276" s="115" t="str">
        <f>IF(ISERROR(IF(ISERROR(LARGE('All Player Data Store'!$Y$7:$Y$594,269)),"",(LARGE('All Player Data Store'!$Y$7:$Y$594,269)))),"",(IF(ISERROR(LARGE('All Player Data Store'!$Y$7:$Y$594,269)),"",(LARGE('All Player Data Store'!$Y$7:$Y$594,269)))))</f>
        <v/>
      </c>
      <c r="AD276" s="106">
        <f t="shared" si="16"/>
        <v>1</v>
      </c>
      <c r="AE276" s="107" t="str">
        <f t="array" ref="AE276">IF(ISNUMBER(AC276),INDEX('All Player Data Store'!$J$8:$J$594,SMALL(IF('All Player Data Store'!$Y$7:$Y$594=AC276,ROW('All Player Data Store'!$Y$7:$Y$594)-ROW('All Player Data Store'!$Y$7)+1),COUNTIF($AC$8:AC276,AC276))),"")</f>
        <v/>
      </c>
      <c r="AF276" s="108" t="str">
        <f t="shared" si="19"/>
        <v/>
      </c>
      <c r="AG276" s="108" t="str">
        <f t="array" ref="AG276">IF(ISNUMBER(AC276),INDEX('All Player Data Store'!$K$8:$K$594,SMALL(IF('All Player Data Store'!$Y$7:$Y$594=AC276,ROW('All Player Data Store'!$Y$7:$Y$594)-ROW('All Player Data Store'!$Y$7)+1),COUNTIF($AC$8:AC276,AC276))),"")</f>
        <v/>
      </c>
      <c r="AH276" s="108" t="str">
        <f t="shared" si="20"/>
        <v/>
      </c>
      <c r="AI276" s="108" t="str">
        <f t="array" ref="AI276">IF(ISNUMBER(AC276),INDEX('All Player Data Store'!$L$8:$L$594,SMALL(IF('All Player Data Store'!$Y$7:$Y$594=AC276,ROW('All Player Data Store'!$Y$7:$Y$594)-ROW('All Player Data Store'!$Y$7)+1),COUNTIF($AC$8:AC276,AC276))),"")</f>
        <v/>
      </c>
      <c r="AJ276" s="108" t="str">
        <f t="shared" si="21"/>
        <v/>
      </c>
      <c r="AK276" s="108" t="str">
        <f t="array" ref="AK276">IF(ISNUMBER(AC276),INDEX('All Player Data Store'!$M$8:$M$594,SMALL(IF('All Player Data Store'!$Y$7:$Y$594=AC276,ROW('All Player Data Store'!$Y$7:$Y$594)-ROW('All Player Data Store'!$Y$7)+1),COUNTIF($AC$8:AC276,AC276))),"")</f>
        <v/>
      </c>
      <c r="AL276" s="108" t="str">
        <f t="shared" si="22"/>
        <v/>
      </c>
      <c r="AM276" s="108" t="str">
        <f t="array" ref="AM276">IF(ISNUMBER(AC276),INDEX('All Player Data Store'!$N$8:$N$594,SMALL(IF('All Player Data Store'!$Y$7:$Y$594=AC276,ROW('All Player Data Store'!$Y$7:$Y$594)-ROW('All Player Data Store'!$Y$7)+1),COUNTIF($AC$8:AC276,AC276))),"")</f>
        <v/>
      </c>
      <c r="AN276" s="108" t="str">
        <f t="shared" si="23"/>
        <v/>
      </c>
      <c r="AO276" s="108" t="str">
        <f t="array" ref="AO276">IF(ISNUMBER(AC276),INDEX('All Player Data Store'!$O$8:$O$594,SMALL(IF('All Player Data Store'!$Y$7:$Y$594=AC276,ROW('All Player Data Store'!$Y$7:$Y$594)-ROW('All Player Data Store'!$Y$7)+1),COUNTIF($AC$8:AC276,AC276))),"")</f>
        <v/>
      </c>
      <c r="AP276" s="108" t="str">
        <f t="shared" si="24"/>
        <v/>
      </c>
      <c r="AQ276" s="108" t="str">
        <f t="array" ref="AQ276">IF(ISNUMBER(AC276),INDEX('All Player Data Store'!$P$8:$P$594,SMALL(IF('All Player Data Store'!$Y$7:$Y$594=AC276,ROW('All Player Data Store'!$Y$7:$Y$594)-ROW('All Player Data Store'!$Y$7)+1),COUNTIF($AC$8:AC276,AC276))),"")</f>
        <v/>
      </c>
      <c r="AR276" s="108" t="str">
        <f t="shared" si="25"/>
        <v/>
      </c>
      <c r="AS276" s="108" t="str">
        <f t="array" ref="AS276">IF(ISNUMBER(AC276),INDEX('All Player Data Store'!$Q$8:$Q$594,SMALL(IF('All Player Data Store'!$Y$7:$Y$594=AC276,ROW('All Player Data Store'!$Y$7:$Y$594)-ROW('All Player Data Store'!$Y$7)+1),COUNTIF($AC$8:AC276,AC276))),"")</f>
        <v/>
      </c>
      <c r="AT276" s="108" t="str">
        <f t="shared" si="26"/>
        <v/>
      </c>
      <c r="AU276" s="108" t="str">
        <f t="array" ref="AU276">IF(ISNUMBER(AC276),INDEX('All Player Data Store'!$R$8:$R$594,SMALL(IF('All Player Data Store'!$Y$7:$Y$594=AC276,ROW('All Player Data Store'!$Y$7:$Y$594)-ROW('All Player Data Store'!$Y$7)+1),COUNTIF($AC$8:AC276,AC276))),"")</f>
        <v/>
      </c>
      <c r="AV276" s="108" t="str">
        <f t="shared" si="27"/>
        <v/>
      </c>
      <c r="AW276" s="108" t="str">
        <f t="array" ref="AW276">IF(ISNUMBER(AC276),INDEX('All Player Data Store'!$S$8:$S$594,SMALL(IF('All Player Data Store'!$Y$7:$Y$594=AC276,ROW('All Player Data Store'!$Y$7:$Y$594)-ROW('All Player Data Store'!$Y$7)+1),COUNTIF($AC$8:AC276,AC276))),"")</f>
        <v/>
      </c>
      <c r="AX276" s="108" t="str">
        <f t="shared" si="28"/>
        <v/>
      </c>
      <c r="AY276" s="108" t="str">
        <f t="array" ref="AY276">IF(ISNUMBER(AC276),INDEX('All Player Data Store'!$T$8:$T$594,SMALL(IF('All Player Data Store'!$Y$7:$Y$594=AC276,ROW('All Player Data Store'!$Y$7:$Y$594)-ROW('All Player Data Store'!$Y$7)+1),COUNTIF($AC$8:AC276,AC276))),"")</f>
        <v/>
      </c>
      <c r="AZ276" s="108" t="str">
        <f t="shared" si="29"/>
        <v/>
      </c>
      <c r="BA276" s="108" t="str">
        <f t="array" ref="BA276">IF(ISNUMBER(AC276),INDEX('All Player Data Store'!$U$8:$U$594,SMALL(IF('All Player Data Store'!$Y$7:$Y$594=AC276,ROW('All Player Data Store'!$Y$7:$Y$594)-ROW('All Player Data Store'!$Y$7)+1),COUNTIF($AC$8:AC276,AC276))),"")</f>
        <v/>
      </c>
      <c r="BB276" s="108" t="str">
        <f t="shared" si="30"/>
        <v/>
      </c>
      <c r="BC276" s="108" t="str">
        <f t="array" ref="BC276">IF(ISNUMBER(AC276),INDEX('All Player Data Store'!$V$8:$V$594,SMALL(IF('All Player Data Store'!$Y$7:$Y$594=AC276,ROW('All Player Data Store'!$Y$7:$Y$594)-ROW('All Player Data Store'!$Y$7)+1),COUNTIF($AC$8:AC276,AC276))),"")</f>
        <v/>
      </c>
      <c r="BD276" s="108" t="str">
        <f t="shared" si="31"/>
        <v/>
      </c>
      <c r="BE276" s="1"/>
    </row>
    <row r="277" spans="2:57" ht="12" customHeight="1" x14ac:dyDescent="0.2">
      <c r="B277" s="118" t="str">
        <f t="shared" si="17"/>
        <v/>
      </c>
      <c r="C277" s="1"/>
      <c r="D277" s="68" t="str">
        <f t="shared" si="18"/>
        <v/>
      </c>
      <c r="E277" s="2"/>
      <c r="F277" s="78">
        <v>270</v>
      </c>
      <c r="G277" s="110" t="str">
        <f t="array" ref="G277">IF(ISNUMBER(AC277),INDEX('All Player Data Store'!$C$7:$C$594,SMALL(IF('All Player Data Store'!$Y$7:$Y$594=AC277,ROW('All Player Data Store'!$Y$7:$Y$594)-ROW('All Player Data Store'!$Y$7)+1),COUNTIF($AC$8:AC277,AC277))),"")</f>
        <v/>
      </c>
      <c r="H277" s="68" t="str">
        <f t="array" ref="H277">IF(ISNUMBER(AC277),INDEX('All Player Data Store'!$D$7:$D$594,SMALL(IF('All Player Data Store'!$Y$7:$Y$594=AC277,ROW('All Player Data Store'!$Y$7:$Y$594)-ROW('All Player Data Store'!$Y$7)+1),COUNTIF($AC$8:AC277,AC277))),"")</f>
        <v/>
      </c>
      <c r="I277" s="69" t="str">
        <f t="array" ref="I277">IF(ISNUMBER(AC277),INDEX('All Player Data Store'!$E$7:$E$594,SMALL(IF('All Player Data Store'!$Y$7:$Y$594=AC277,ROW('All Player Data Store'!$Y$7:$Y$594)-ROW('All Player Data Store'!$Y$7)+1),COUNTIF($AC$8:AC277,AC277))),"")</f>
        <v/>
      </c>
      <c r="J277" s="70" t="str">
        <f t="array" ref="J277">IF(ISNUMBER(AC277),INDEX('All Player Data Store'!$F$7:$F$594,SMALL(IF('All Player Data Store'!$Y$7:$Y$594=AC277,ROW('All Player Data Store'!$Y$7:$Y$594)-ROW('All Player Data Store'!$Y$7)+1),COUNTIF($AC$8:AC277,AC277))),"")</f>
        <v/>
      </c>
      <c r="K277" s="70" t="str">
        <f t="array" ref="K277">IF(ISNUMBER(AC277),INDEX('All Player Data Store'!$G$7:$G$594,SMALL(IF('All Player Data Store'!$Y$7:$Y$594=AC277,ROW('All Player Data Store'!$Y$7:$Y$594)-ROW('All Player Data Store'!$Y$7)+1),COUNTIF($AC$8:AC277,AC277))),"")</f>
        <v/>
      </c>
      <c r="L277" s="70" t="str">
        <f t="array" ref="L277">IF(ISNUMBER(AC277),INDEX('All Player Data Store'!$H$7:$H$594,SMALL(IF('All Player Data Store'!$Y$7:$Y$594=AC277,ROW('All Player Data Store'!$Y$7:$Y$594)-ROW('All Player Data Store'!$Y$7)+1),COUNTIF($AC$8:AC277,AC277))),"")</f>
        <v/>
      </c>
      <c r="M277" s="72" t="str">
        <f t="array" ref="M277">IF(ISNUMBER(AC277),INDEX('All Player Data Store'!$I$7:$I$594,SMALL(IF('All Player Data Store'!$Y$7:$Y$594=AC277,ROW('All Player Data Store'!$Y$7:$Y$594)-ROW('All Player Data Store'!$Y$7)+1),COUNTIF($AC$8:AC277,AC277))),"")</f>
        <v/>
      </c>
      <c r="N277" s="114" t="str">
        <f t="array" ref="N277">IF(ISNUMBER(AC277),INDEX('All Player Data Store'!$J$7:$J$594,SMALL(IF('All Player Data Store'!$Y$7:$Y$594=AC277,ROW('All Player Data Store'!$Y$7:$Y$594)-ROW('All Player Data Store'!$Y$7)+1),COUNTIF($AC$8:AC277,AC277))),"")</f>
        <v/>
      </c>
      <c r="O277" s="108" t="str">
        <f t="array" ref="O277">IF(ISNUMBER(AC277),INDEX('All Player Data Store'!$K$7:$K$594,SMALL(IF('All Player Data Store'!$Y$7:$Y$594=AC277,ROW('All Player Data Store'!$Y$7:$Y$594)-ROW('All Player Data Store'!$Y$7)+1),COUNTIF($AC$8:AC277,AC277))),"")</f>
        <v/>
      </c>
      <c r="P277" s="108" t="str">
        <f t="array" ref="P277">IF(ISNUMBER(AC277),INDEX('All Player Data Store'!$L$7:$L$594,SMALL(IF('All Player Data Store'!$Y$7:$Y$594=AC277,ROW('All Player Data Store'!$Y$7:$Y$594)-ROW('All Player Data Store'!$Y$7)+1),COUNTIF($AC$8:AC277,AC277))),"")</f>
        <v/>
      </c>
      <c r="Q277" s="108" t="str">
        <f t="array" ref="Q277">IF(ISNUMBER(AC277),INDEX('All Player Data Store'!$M$7:$M$594,SMALL(IF('All Player Data Store'!$Y$7:$Y$594=AC277,ROW('All Player Data Store'!$Y$7:$Y$594)-ROW('All Player Data Store'!$Y$7)+1),COUNTIF($AC$8:AC277,AC277))),"")</f>
        <v/>
      </c>
      <c r="R277" s="108" t="str">
        <f t="array" ref="R277">IF(ISNUMBER(AC277),INDEX('All Player Data Store'!$N$7:$N$594,SMALL(IF('All Player Data Store'!$Y$7:$Y$594=AC277,ROW('All Player Data Store'!$Y$7:$Y$594)-ROW('All Player Data Store'!$Y$7)+1),COUNTIF($AC$8:AC277,AC277))),"")</f>
        <v/>
      </c>
      <c r="S277" s="108" t="str">
        <f t="array" ref="S277">IF(ISNUMBER(AC277),INDEX('All Player Data Store'!$O$7:$O$594,SMALL(IF('All Player Data Store'!$Y$7:$Y$594=AC277,ROW('All Player Data Store'!$Y$7:$Y$594)-ROW('All Player Data Store'!$Y$7)+1),COUNTIF($AC$8:AC277,AC277))),"")</f>
        <v/>
      </c>
      <c r="T277" s="108" t="str">
        <f t="array" ref="T277">IF(ISNUMBER(AC277),INDEX('All Player Data Store'!$P$7:$P$594,SMALL(IF('All Player Data Store'!$Y$7:$Y$594=AC277,ROW('All Player Data Store'!$Y$7:$Y$594)-ROW('All Player Data Store'!$Y$7)+1),COUNTIF($AC$8:AC277,AC277))),"")</f>
        <v/>
      </c>
      <c r="U277" s="108" t="str">
        <f t="array" ref="U277">IF(ISNUMBER(AC277),INDEX('All Player Data Store'!$Q$7:$Q$594,SMALL(IF('All Player Data Store'!$Y$7:$Y$594=AC277,ROW('All Player Data Store'!$Y$7:$Y$594)-ROW('All Player Data Store'!$Y$7)+1),COUNTIF($AC$8:AC277,AC277))),"")</f>
        <v/>
      </c>
      <c r="V277" s="108" t="str">
        <f t="array" ref="V277">IF(ISNUMBER(AC277),INDEX('All Player Data Store'!$R$7:$R$594,SMALL(IF('All Player Data Store'!$Y$7:$Y$594=AC277,ROW('All Player Data Store'!$Y$7:$Y$594)-ROW('All Player Data Store'!$Y$7)+1),COUNTIF($AC$8:AC277,AC277))),"")</f>
        <v/>
      </c>
      <c r="W277" s="108" t="str">
        <f t="array" ref="W277">IF(ISNUMBER(AC277),INDEX('All Player Data Store'!$S$7:$S$594,SMALL(IF('All Player Data Store'!$Y$7:$Y$594=AC277,ROW('All Player Data Store'!$Y$7:$Y$594)-ROW('All Player Data Store'!$Y$7)+1),COUNTIF($AC$8:AC277,AC277))),"")</f>
        <v/>
      </c>
      <c r="X277" s="108" t="str">
        <f t="array" ref="X277">IF(ISNUMBER(AC277),INDEX('All Player Data Store'!$T$7:$T$594,SMALL(IF('All Player Data Store'!$Y$7:$Y$594=AC277,ROW('All Player Data Store'!$Y$7:$Y$594)-ROW('All Player Data Store'!$Y$7)+1),COUNTIF($AC$8:AC277,AC277))),"")</f>
        <v/>
      </c>
      <c r="Y277" s="108" t="str">
        <f t="array" ref="Y277">IF(ISNUMBER(AC277),INDEX('All Player Data Store'!$U$7:$U$594,SMALL(IF('All Player Data Store'!$Y$7:$Y$594=AC277,ROW('All Player Data Store'!$Y$7:$Y$594)-ROW('All Player Data Store'!$Y$7)+1),COUNTIF($AC$8:AC277,AC277))),"")</f>
        <v/>
      </c>
      <c r="Z277" s="108" t="str">
        <f t="array" ref="Z277">IF(ISNUMBER(AC277),INDEX('All Player Data Store'!$V$7:$V$594,SMALL(IF('All Player Data Store'!$Y$7:$Y$594=AC277,ROW('All Player Data Store'!$Y$7:$Y$594)-ROW('All Player Data Store'!$Y$7)+1),COUNTIF($AC$8:AC277,AC277))),"")</f>
        <v/>
      </c>
      <c r="AA277" s="112" t="str">
        <f t="array" ref="AA277">IF(ISNUMBER(AC277),INDEX('All Player Data Store'!$W$7:$W$594,SMALL(IF('All Player Data Store'!$Y$7:$Y$594=AC277,ROW('All Player Data Store'!$Y$7:$Y$594)-ROW('All Player Data Store'!$Y$7)+1),COUNTIF($AC$8:AC277,AC277))),"")</f>
        <v/>
      </c>
      <c r="AB277" s="108" t="str">
        <f t="array" ref="AB277">IF(ISNUMBER(AC277),INDEX('All Player Data Store'!$X$7:$X$594,SMALL(IF('All Player Data Store'!$Y$7:$Y$594=AC277,ROW('All Player Data Store'!$Y$7:$Y$594)-ROW('All Player Data Store'!$Y$7)+1),COUNTIF($AC$8:AC277,AC277))),"")</f>
        <v/>
      </c>
      <c r="AC277" s="115" t="str">
        <f>IF(ISERROR(IF(ISERROR(LARGE('All Player Data Store'!$Y$7:$Y$594,270)),"",(LARGE('All Player Data Store'!$Y$7:$Y$594,270)))),"",(IF(ISERROR(LARGE('All Player Data Store'!$Y$7:$Y$594,270)),"",(LARGE('All Player Data Store'!$Y$7:$Y$594,270)))))</f>
        <v/>
      </c>
      <c r="AD277" s="106">
        <f t="shared" si="16"/>
        <v>1</v>
      </c>
      <c r="AE277" s="107" t="str">
        <f t="array" ref="AE277">IF(ISNUMBER(AC277),INDEX('All Player Data Store'!$J$8:$J$594,SMALL(IF('All Player Data Store'!$Y$7:$Y$594=AC277,ROW('All Player Data Store'!$Y$7:$Y$594)-ROW('All Player Data Store'!$Y$7)+1),COUNTIF($AC$8:AC277,AC277))),"")</f>
        <v/>
      </c>
      <c r="AF277" s="108" t="str">
        <f t="shared" si="19"/>
        <v/>
      </c>
      <c r="AG277" s="108" t="str">
        <f t="array" ref="AG277">IF(ISNUMBER(AC277),INDEX('All Player Data Store'!$K$8:$K$594,SMALL(IF('All Player Data Store'!$Y$7:$Y$594=AC277,ROW('All Player Data Store'!$Y$7:$Y$594)-ROW('All Player Data Store'!$Y$7)+1),COUNTIF($AC$8:AC277,AC277))),"")</f>
        <v/>
      </c>
      <c r="AH277" s="108" t="str">
        <f t="shared" si="20"/>
        <v/>
      </c>
      <c r="AI277" s="108" t="str">
        <f t="array" ref="AI277">IF(ISNUMBER(AC277),INDEX('All Player Data Store'!$L$8:$L$594,SMALL(IF('All Player Data Store'!$Y$7:$Y$594=AC277,ROW('All Player Data Store'!$Y$7:$Y$594)-ROW('All Player Data Store'!$Y$7)+1),COUNTIF($AC$8:AC277,AC277))),"")</f>
        <v/>
      </c>
      <c r="AJ277" s="108" t="str">
        <f t="shared" si="21"/>
        <v/>
      </c>
      <c r="AK277" s="108" t="str">
        <f t="array" ref="AK277">IF(ISNUMBER(AC277),INDEX('All Player Data Store'!$M$8:$M$594,SMALL(IF('All Player Data Store'!$Y$7:$Y$594=AC277,ROW('All Player Data Store'!$Y$7:$Y$594)-ROW('All Player Data Store'!$Y$7)+1),COUNTIF($AC$8:AC277,AC277))),"")</f>
        <v/>
      </c>
      <c r="AL277" s="108" t="str">
        <f t="shared" si="22"/>
        <v/>
      </c>
      <c r="AM277" s="108" t="str">
        <f t="array" ref="AM277">IF(ISNUMBER(AC277),INDEX('All Player Data Store'!$N$8:$N$594,SMALL(IF('All Player Data Store'!$Y$7:$Y$594=AC277,ROW('All Player Data Store'!$Y$7:$Y$594)-ROW('All Player Data Store'!$Y$7)+1),COUNTIF($AC$8:AC277,AC277))),"")</f>
        <v/>
      </c>
      <c r="AN277" s="108" t="str">
        <f t="shared" si="23"/>
        <v/>
      </c>
      <c r="AO277" s="108" t="str">
        <f t="array" ref="AO277">IF(ISNUMBER(AC277),INDEX('All Player Data Store'!$O$8:$O$594,SMALL(IF('All Player Data Store'!$Y$7:$Y$594=AC277,ROW('All Player Data Store'!$Y$7:$Y$594)-ROW('All Player Data Store'!$Y$7)+1),COUNTIF($AC$8:AC277,AC277))),"")</f>
        <v/>
      </c>
      <c r="AP277" s="108" t="str">
        <f t="shared" si="24"/>
        <v/>
      </c>
      <c r="AQ277" s="108" t="str">
        <f t="array" ref="AQ277">IF(ISNUMBER(AC277),INDEX('All Player Data Store'!$P$8:$P$594,SMALL(IF('All Player Data Store'!$Y$7:$Y$594=AC277,ROW('All Player Data Store'!$Y$7:$Y$594)-ROW('All Player Data Store'!$Y$7)+1),COUNTIF($AC$8:AC277,AC277))),"")</f>
        <v/>
      </c>
      <c r="AR277" s="108" t="str">
        <f t="shared" si="25"/>
        <v/>
      </c>
      <c r="AS277" s="108" t="str">
        <f t="array" ref="AS277">IF(ISNUMBER(AC277),INDEX('All Player Data Store'!$Q$8:$Q$594,SMALL(IF('All Player Data Store'!$Y$7:$Y$594=AC277,ROW('All Player Data Store'!$Y$7:$Y$594)-ROW('All Player Data Store'!$Y$7)+1),COUNTIF($AC$8:AC277,AC277))),"")</f>
        <v/>
      </c>
      <c r="AT277" s="108" t="str">
        <f t="shared" si="26"/>
        <v/>
      </c>
      <c r="AU277" s="108" t="str">
        <f t="array" ref="AU277">IF(ISNUMBER(AC277),INDEX('All Player Data Store'!$R$8:$R$594,SMALL(IF('All Player Data Store'!$Y$7:$Y$594=AC277,ROW('All Player Data Store'!$Y$7:$Y$594)-ROW('All Player Data Store'!$Y$7)+1),COUNTIF($AC$8:AC277,AC277))),"")</f>
        <v/>
      </c>
      <c r="AV277" s="108" t="str">
        <f t="shared" si="27"/>
        <v/>
      </c>
      <c r="AW277" s="108" t="str">
        <f t="array" ref="AW277">IF(ISNUMBER(AC277),INDEX('All Player Data Store'!$S$8:$S$594,SMALL(IF('All Player Data Store'!$Y$7:$Y$594=AC277,ROW('All Player Data Store'!$Y$7:$Y$594)-ROW('All Player Data Store'!$Y$7)+1),COUNTIF($AC$8:AC277,AC277))),"")</f>
        <v/>
      </c>
      <c r="AX277" s="108" t="str">
        <f t="shared" si="28"/>
        <v/>
      </c>
      <c r="AY277" s="108" t="str">
        <f t="array" ref="AY277">IF(ISNUMBER(AC277),INDEX('All Player Data Store'!$T$8:$T$594,SMALL(IF('All Player Data Store'!$Y$7:$Y$594=AC277,ROW('All Player Data Store'!$Y$7:$Y$594)-ROW('All Player Data Store'!$Y$7)+1),COUNTIF($AC$8:AC277,AC277))),"")</f>
        <v/>
      </c>
      <c r="AZ277" s="108" t="str">
        <f t="shared" si="29"/>
        <v/>
      </c>
      <c r="BA277" s="108" t="str">
        <f t="array" ref="BA277">IF(ISNUMBER(AC277),INDEX('All Player Data Store'!$U$8:$U$594,SMALL(IF('All Player Data Store'!$Y$7:$Y$594=AC277,ROW('All Player Data Store'!$Y$7:$Y$594)-ROW('All Player Data Store'!$Y$7)+1),COUNTIF($AC$8:AC277,AC277))),"")</f>
        <v/>
      </c>
      <c r="BB277" s="108" t="str">
        <f t="shared" si="30"/>
        <v/>
      </c>
      <c r="BC277" s="108" t="str">
        <f t="array" ref="BC277">IF(ISNUMBER(AC277),INDEX('All Player Data Store'!$V$8:$V$594,SMALL(IF('All Player Data Store'!$Y$7:$Y$594=AC277,ROW('All Player Data Store'!$Y$7:$Y$594)-ROW('All Player Data Store'!$Y$7)+1),COUNTIF($AC$8:AC277,AC277))),"")</f>
        <v/>
      </c>
      <c r="BD277" s="108" t="str">
        <f t="shared" si="31"/>
        <v/>
      </c>
      <c r="BE277" s="1"/>
    </row>
    <row r="278" spans="2:57" ht="12" customHeight="1" x14ac:dyDescent="0.2">
      <c r="B278" s="118" t="str">
        <f t="shared" si="17"/>
        <v/>
      </c>
      <c r="C278" s="1"/>
      <c r="D278" s="68" t="str">
        <f t="shared" si="18"/>
        <v/>
      </c>
      <c r="E278" s="2"/>
      <c r="F278" s="78">
        <v>271</v>
      </c>
      <c r="G278" s="110" t="str">
        <f t="array" ref="G278">IF(ISNUMBER(AC278),INDEX('All Player Data Store'!$C$7:$C$594,SMALL(IF('All Player Data Store'!$Y$7:$Y$594=AC278,ROW('All Player Data Store'!$Y$7:$Y$594)-ROW('All Player Data Store'!$Y$7)+1),COUNTIF($AC$8:AC278,AC278))),"")</f>
        <v/>
      </c>
      <c r="H278" s="68" t="str">
        <f t="array" ref="H278">IF(ISNUMBER(AC278),INDEX('All Player Data Store'!$D$7:$D$594,SMALL(IF('All Player Data Store'!$Y$7:$Y$594=AC278,ROW('All Player Data Store'!$Y$7:$Y$594)-ROW('All Player Data Store'!$Y$7)+1),COUNTIF($AC$8:AC278,AC278))),"")</f>
        <v/>
      </c>
      <c r="I278" s="69" t="str">
        <f t="array" ref="I278">IF(ISNUMBER(AC278),INDEX('All Player Data Store'!$E$7:$E$594,SMALL(IF('All Player Data Store'!$Y$7:$Y$594=AC278,ROW('All Player Data Store'!$Y$7:$Y$594)-ROW('All Player Data Store'!$Y$7)+1),COUNTIF($AC$8:AC278,AC278))),"")</f>
        <v/>
      </c>
      <c r="J278" s="70" t="str">
        <f t="array" ref="J278">IF(ISNUMBER(AC278),INDEX('All Player Data Store'!$F$7:$F$594,SMALL(IF('All Player Data Store'!$Y$7:$Y$594=AC278,ROW('All Player Data Store'!$Y$7:$Y$594)-ROW('All Player Data Store'!$Y$7)+1),COUNTIF($AC$8:AC278,AC278))),"")</f>
        <v/>
      </c>
      <c r="K278" s="70" t="str">
        <f t="array" ref="K278">IF(ISNUMBER(AC278),INDEX('All Player Data Store'!$G$7:$G$594,SMALL(IF('All Player Data Store'!$Y$7:$Y$594=AC278,ROW('All Player Data Store'!$Y$7:$Y$594)-ROW('All Player Data Store'!$Y$7)+1),COUNTIF($AC$8:AC278,AC278))),"")</f>
        <v/>
      </c>
      <c r="L278" s="70" t="str">
        <f t="array" ref="L278">IF(ISNUMBER(AC278),INDEX('All Player Data Store'!$H$7:$H$594,SMALL(IF('All Player Data Store'!$Y$7:$Y$594=AC278,ROW('All Player Data Store'!$Y$7:$Y$594)-ROW('All Player Data Store'!$Y$7)+1),COUNTIF($AC$8:AC278,AC278))),"")</f>
        <v/>
      </c>
      <c r="M278" s="72" t="str">
        <f t="array" ref="M278">IF(ISNUMBER(AC278),INDEX('All Player Data Store'!$I$7:$I$594,SMALL(IF('All Player Data Store'!$Y$7:$Y$594=AC278,ROW('All Player Data Store'!$Y$7:$Y$594)-ROW('All Player Data Store'!$Y$7)+1),COUNTIF($AC$8:AC278,AC278))),"")</f>
        <v/>
      </c>
      <c r="N278" s="114" t="str">
        <f t="array" ref="N278">IF(ISNUMBER(AC278),INDEX('All Player Data Store'!$J$7:$J$594,SMALL(IF('All Player Data Store'!$Y$7:$Y$594=AC278,ROW('All Player Data Store'!$Y$7:$Y$594)-ROW('All Player Data Store'!$Y$7)+1),COUNTIF($AC$8:AC278,AC278))),"")</f>
        <v/>
      </c>
      <c r="O278" s="108" t="str">
        <f t="array" ref="O278">IF(ISNUMBER(AC278),INDEX('All Player Data Store'!$K$7:$K$594,SMALL(IF('All Player Data Store'!$Y$7:$Y$594=AC278,ROW('All Player Data Store'!$Y$7:$Y$594)-ROW('All Player Data Store'!$Y$7)+1),COUNTIF($AC$8:AC278,AC278))),"")</f>
        <v/>
      </c>
      <c r="P278" s="108" t="str">
        <f t="array" ref="P278">IF(ISNUMBER(AC278),INDEX('All Player Data Store'!$L$7:$L$594,SMALL(IF('All Player Data Store'!$Y$7:$Y$594=AC278,ROW('All Player Data Store'!$Y$7:$Y$594)-ROW('All Player Data Store'!$Y$7)+1),COUNTIF($AC$8:AC278,AC278))),"")</f>
        <v/>
      </c>
      <c r="Q278" s="108" t="str">
        <f t="array" ref="Q278">IF(ISNUMBER(AC278),INDEX('All Player Data Store'!$M$7:$M$594,SMALL(IF('All Player Data Store'!$Y$7:$Y$594=AC278,ROW('All Player Data Store'!$Y$7:$Y$594)-ROW('All Player Data Store'!$Y$7)+1),COUNTIF($AC$8:AC278,AC278))),"")</f>
        <v/>
      </c>
      <c r="R278" s="108" t="str">
        <f t="array" ref="R278">IF(ISNUMBER(AC278),INDEX('All Player Data Store'!$N$7:$N$594,SMALL(IF('All Player Data Store'!$Y$7:$Y$594=AC278,ROW('All Player Data Store'!$Y$7:$Y$594)-ROW('All Player Data Store'!$Y$7)+1),COUNTIF($AC$8:AC278,AC278))),"")</f>
        <v/>
      </c>
      <c r="S278" s="108" t="str">
        <f t="array" ref="S278">IF(ISNUMBER(AC278),INDEX('All Player Data Store'!$O$7:$O$594,SMALL(IF('All Player Data Store'!$Y$7:$Y$594=AC278,ROW('All Player Data Store'!$Y$7:$Y$594)-ROW('All Player Data Store'!$Y$7)+1),COUNTIF($AC$8:AC278,AC278))),"")</f>
        <v/>
      </c>
      <c r="T278" s="108" t="str">
        <f t="array" ref="T278">IF(ISNUMBER(AC278),INDEX('All Player Data Store'!$P$7:$P$594,SMALL(IF('All Player Data Store'!$Y$7:$Y$594=AC278,ROW('All Player Data Store'!$Y$7:$Y$594)-ROW('All Player Data Store'!$Y$7)+1),COUNTIF($AC$8:AC278,AC278))),"")</f>
        <v/>
      </c>
      <c r="U278" s="108" t="str">
        <f t="array" ref="U278">IF(ISNUMBER(AC278),INDEX('All Player Data Store'!$Q$7:$Q$594,SMALL(IF('All Player Data Store'!$Y$7:$Y$594=AC278,ROW('All Player Data Store'!$Y$7:$Y$594)-ROW('All Player Data Store'!$Y$7)+1),COUNTIF($AC$8:AC278,AC278))),"")</f>
        <v/>
      </c>
      <c r="V278" s="108" t="str">
        <f t="array" ref="V278">IF(ISNUMBER(AC278),INDEX('All Player Data Store'!$R$7:$R$594,SMALL(IF('All Player Data Store'!$Y$7:$Y$594=AC278,ROW('All Player Data Store'!$Y$7:$Y$594)-ROW('All Player Data Store'!$Y$7)+1),COUNTIF($AC$8:AC278,AC278))),"")</f>
        <v/>
      </c>
      <c r="W278" s="108" t="str">
        <f t="array" ref="W278">IF(ISNUMBER(AC278),INDEX('All Player Data Store'!$S$7:$S$594,SMALL(IF('All Player Data Store'!$Y$7:$Y$594=AC278,ROW('All Player Data Store'!$Y$7:$Y$594)-ROW('All Player Data Store'!$Y$7)+1),COUNTIF($AC$8:AC278,AC278))),"")</f>
        <v/>
      </c>
      <c r="X278" s="108" t="str">
        <f t="array" ref="X278">IF(ISNUMBER(AC278),INDEX('All Player Data Store'!$T$7:$T$594,SMALL(IF('All Player Data Store'!$Y$7:$Y$594=AC278,ROW('All Player Data Store'!$Y$7:$Y$594)-ROW('All Player Data Store'!$Y$7)+1),COUNTIF($AC$8:AC278,AC278))),"")</f>
        <v/>
      </c>
      <c r="Y278" s="108" t="str">
        <f t="array" ref="Y278">IF(ISNUMBER(AC278),INDEX('All Player Data Store'!$U$7:$U$594,SMALL(IF('All Player Data Store'!$Y$7:$Y$594=AC278,ROW('All Player Data Store'!$Y$7:$Y$594)-ROW('All Player Data Store'!$Y$7)+1),COUNTIF($AC$8:AC278,AC278))),"")</f>
        <v/>
      </c>
      <c r="Z278" s="108" t="str">
        <f t="array" ref="Z278">IF(ISNUMBER(AC278),INDEX('All Player Data Store'!$V$7:$V$594,SMALL(IF('All Player Data Store'!$Y$7:$Y$594=AC278,ROW('All Player Data Store'!$Y$7:$Y$594)-ROW('All Player Data Store'!$Y$7)+1),COUNTIF($AC$8:AC278,AC278))),"")</f>
        <v/>
      </c>
      <c r="AA278" s="112" t="str">
        <f t="array" ref="AA278">IF(ISNUMBER(AC278),INDEX('All Player Data Store'!$W$7:$W$594,SMALL(IF('All Player Data Store'!$Y$7:$Y$594=AC278,ROW('All Player Data Store'!$Y$7:$Y$594)-ROW('All Player Data Store'!$Y$7)+1),COUNTIF($AC$8:AC278,AC278))),"")</f>
        <v/>
      </c>
      <c r="AB278" s="108" t="str">
        <f t="array" ref="AB278">IF(ISNUMBER(AC278),INDEX('All Player Data Store'!$X$7:$X$594,SMALL(IF('All Player Data Store'!$Y$7:$Y$594=AC278,ROW('All Player Data Store'!$Y$7:$Y$594)-ROW('All Player Data Store'!$Y$7)+1),COUNTIF($AC$8:AC278,AC278))),"")</f>
        <v/>
      </c>
      <c r="AC278" s="115" t="str">
        <f>IF(ISERROR(IF(ISERROR(LARGE('All Player Data Store'!$Y$7:$Y$594,271)),"",(LARGE('All Player Data Store'!$Y$7:$Y$594,271)))),"",(IF(ISERROR(LARGE('All Player Data Store'!$Y$7:$Y$594,271)),"",(LARGE('All Player Data Store'!$Y$7:$Y$594,271)))))</f>
        <v/>
      </c>
      <c r="AD278" s="106">
        <f t="shared" si="16"/>
        <v>1</v>
      </c>
      <c r="AE278" s="107" t="str">
        <f t="array" ref="AE278">IF(ISNUMBER(AC278),INDEX('All Player Data Store'!$J$8:$J$594,SMALL(IF('All Player Data Store'!$Y$7:$Y$594=AC278,ROW('All Player Data Store'!$Y$7:$Y$594)-ROW('All Player Data Store'!$Y$7)+1),COUNTIF($AC$8:AC278,AC278))),"")</f>
        <v/>
      </c>
      <c r="AF278" s="108" t="str">
        <f t="shared" si="19"/>
        <v/>
      </c>
      <c r="AG278" s="108" t="str">
        <f t="array" ref="AG278">IF(ISNUMBER(AC278),INDEX('All Player Data Store'!$K$8:$K$594,SMALL(IF('All Player Data Store'!$Y$7:$Y$594=AC278,ROW('All Player Data Store'!$Y$7:$Y$594)-ROW('All Player Data Store'!$Y$7)+1),COUNTIF($AC$8:AC278,AC278))),"")</f>
        <v/>
      </c>
      <c r="AH278" s="108" t="str">
        <f t="shared" si="20"/>
        <v/>
      </c>
      <c r="AI278" s="108" t="str">
        <f t="array" ref="AI278">IF(ISNUMBER(AC278),INDEX('All Player Data Store'!$L$8:$L$594,SMALL(IF('All Player Data Store'!$Y$7:$Y$594=AC278,ROW('All Player Data Store'!$Y$7:$Y$594)-ROW('All Player Data Store'!$Y$7)+1),COUNTIF($AC$8:AC278,AC278))),"")</f>
        <v/>
      </c>
      <c r="AJ278" s="108" t="str">
        <f t="shared" si="21"/>
        <v/>
      </c>
      <c r="AK278" s="108" t="str">
        <f t="array" ref="AK278">IF(ISNUMBER(AC278),INDEX('All Player Data Store'!$M$8:$M$594,SMALL(IF('All Player Data Store'!$Y$7:$Y$594=AC278,ROW('All Player Data Store'!$Y$7:$Y$594)-ROW('All Player Data Store'!$Y$7)+1),COUNTIF($AC$8:AC278,AC278))),"")</f>
        <v/>
      </c>
      <c r="AL278" s="108" t="str">
        <f t="shared" si="22"/>
        <v/>
      </c>
      <c r="AM278" s="108" t="str">
        <f t="array" ref="AM278">IF(ISNUMBER(AC278),INDEX('All Player Data Store'!$N$8:$N$594,SMALL(IF('All Player Data Store'!$Y$7:$Y$594=AC278,ROW('All Player Data Store'!$Y$7:$Y$594)-ROW('All Player Data Store'!$Y$7)+1),COUNTIF($AC$8:AC278,AC278))),"")</f>
        <v/>
      </c>
      <c r="AN278" s="108" t="str">
        <f t="shared" si="23"/>
        <v/>
      </c>
      <c r="AO278" s="108" t="str">
        <f t="array" ref="AO278">IF(ISNUMBER(AC278),INDEX('All Player Data Store'!$O$8:$O$594,SMALL(IF('All Player Data Store'!$Y$7:$Y$594=AC278,ROW('All Player Data Store'!$Y$7:$Y$594)-ROW('All Player Data Store'!$Y$7)+1),COUNTIF($AC$8:AC278,AC278))),"")</f>
        <v/>
      </c>
      <c r="AP278" s="108" t="str">
        <f t="shared" si="24"/>
        <v/>
      </c>
      <c r="AQ278" s="108" t="str">
        <f t="array" ref="AQ278">IF(ISNUMBER(AC278),INDEX('All Player Data Store'!$P$8:$P$594,SMALL(IF('All Player Data Store'!$Y$7:$Y$594=AC278,ROW('All Player Data Store'!$Y$7:$Y$594)-ROW('All Player Data Store'!$Y$7)+1),COUNTIF($AC$8:AC278,AC278))),"")</f>
        <v/>
      </c>
      <c r="AR278" s="108" t="str">
        <f t="shared" si="25"/>
        <v/>
      </c>
      <c r="AS278" s="108" t="str">
        <f t="array" ref="AS278">IF(ISNUMBER(AC278),INDEX('All Player Data Store'!$Q$8:$Q$594,SMALL(IF('All Player Data Store'!$Y$7:$Y$594=AC278,ROW('All Player Data Store'!$Y$7:$Y$594)-ROW('All Player Data Store'!$Y$7)+1),COUNTIF($AC$8:AC278,AC278))),"")</f>
        <v/>
      </c>
      <c r="AT278" s="108" t="str">
        <f t="shared" si="26"/>
        <v/>
      </c>
      <c r="AU278" s="108" t="str">
        <f t="array" ref="AU278">IF(ISNUMBER(AC278),INDEX('All Player Data Store'!$R$8:$R$594,SMALL(IF('All Player Data Store'!$Y$7:$Y$594=AC278,ROW('All Player Data Store'!$Y$7:$Y$594)-ROW('All Player Data Store'!$Y$7)+1),COUNTIF($AC$8:AC278,AC278))),"")</f>
        <v/>
      </c>
      <c r="AV278" s="108" t="str">
        <f t="shared" si="27"/>
        <v/>
      </c>
      <c r="AW278" s="108" t="str">
        <f t="array" ref="AW278">IF(ISNUMBER(AC278),INDEX('All Player Data Store'!$S$8:$S$594,SMALL(IF('All Player Data Store'!$Y$7:$Y$594=AC278,ROW('All Player Data Store'!$Y$7:$Y$594)-ROW('All Player Data Store'!$Y$7)+1),COUNTIF($AC$8:AC278,AC278))),"")</f>
        <v/>
      </c>
      <c r="AX278" s="108" t="str">
        <f t="shared" si="28"/>
        <v/>
      </c>
      <c r="AY278" s="108" t="str">
        <f t="array" ref="AY278">IF(ISNUMBER(AC278),INDEX('All Player Data Store'!$T$8:$T$594,SMALL(IF('All Player Data Store'!$Y$7:$Y$594=AC278,ROW('All Player Data Store'!$Y$7:$Y$594)-ROW('All Player Data Store'!$Y$7)+1),COUNTIF($AC$8:AC278,AC278))),"")</f>
        <v/>
      </c>
      <c r="AZ278" s="108" t="str">
        <f t="shared" si="29"/>
        <v/>
      </c>
      <c r="BA278" s="108" t="str">
        <f t="array" ref="BA278">IF(ISNUMBER(AC278),INDEX('All Player Data Store'!$U$8:$U$594,SMALL(IF('All Player Data Store'!$Y$7:$Y$594=AC278,ROW('All Player Data Store'!$Y$7:$Y$594)-ROW('All Player Data Store'!$Y$7)+1),COUNTIF($AC$8:AC278,AC278))),"")</f>
        <v/>
      </c>
      <c r="BB278" s="108" t="str">
        <f t="shared" si="30"/>
        <v/>
      </c>
      <c r="BC278" s="108" t="str">
        <f t="array" ref="BC278">IF(ISNUMBER(AC278),INDEX('All Player Data Store'!$V$8:$V$594,SMALL(IF('All Player Data Store'!$Y$7:$Y$594=AC278,ROW('All Player Data Store'!$Y$7:$Y$594)-ROW('All Player Data Store'!$Y$7)+1),COUNTIF($AC$8:AC278,AC278))),"")</f>
        <v/>
      </c>
      <c r="BD278" s="108" t="str">
        <f t="shared" si="31"/>
        <v/>
      </c>
      <c r="BE278" s="1"/>
    </row>
    <row r="279" spans="2:57" ht="12" customHeight="1" x14ac:dyDescent="0.2">
      <c r="B279" s="118" t="str">
        <f t="shared" si="17"/>
        <v/>
      </c>
      <c r="C279" s="1"/>
      <c r="D279" s="68" t="str">
        <f t="shared" si="18"/>
        <v/>
      </c>
      <c r="E279" s="2"/>
      <c r="F279" s="78">
        <v>272</v>
      </c>
      <c r="G279" s="110" t="str">
        <f t="array" ref="G279">IF(ISNUMBER(AC279),INDEX('All Player Data Store'!$C$7:$C$594,SMALL(IF('All Player Data Store'!$Y$7:$Y$594=AC279,ROW('All Player Data Store'!$Y$7:$Y$594)-ROW('All Player Data Store'!$Y$7)+1),COUNTIF($AC$8:AC279,AC279))),"")</f>
        <v/>
      </c>
      <c r="H279" s="68" t="str">
        <f t="array" ref="H279">IF(ISNUMBER(AC279),INDEX('All Player Data Store'!$D$7:$D$594,SMALL(IF('All Player Data Store'!$Y$7:$Y$594=AC279,ROW('All Player Data Store'!$Y$7:$Y$594)-ROW('All Player Data Store'!$Y$7)+1),COUNTIF($AC$8:AC279,AC279))),"")</f>
        <v/>
      </c>
      <c r="I279" s="69" t="str">
        <f t="array" ref="I279">IF(ISNUMBER(AC279),INDEX('All Player Data Store'!$E$7:$E$594,SMALL(IF('All Player Data Store'!$Y$7:$Y$594=AC279,ROW('All Player Data Store'!$Y$7:$Y$594)-ROW('All Player Data Store'!$Y$7)+1),COUNTIF($AC$8:AC279,AC279))),"")</f>
        <v/>
      </c>
      <c r="J279" s="70" t="str">
        <f t="array" ref="J279">IF(ISNUMBER(AC279),INDEX('All Player Data Store'!$F$7:$F$594,SMALL(IF('All Player Data Store'!$Y$7:$Y$594=AC279,ROW('All Player Data Store'!$Y$7:$Y$594)-ROW('All Player Data Store'!$Y$7)+1),COUNTIF($AC$8:AC279,AC279))),"")</f>
        <v/>
      </c>
      <c r="K279" s="70" t="str">
        <f t="array" ref="K279">IF(ISNUMBER(AC279),INDEX('All Player Data Store'!$G$7:$G$594,SMALL(IF('All Player Data Store'!$Y$7:$Y$594=AC279,ROW('All Player Data Store'!$Y$7:$Y$594)-ROW('All Player Data Store'!$Y$7)+1),COUNTIF($AC$8:AC279,AC279))),"")</f>
        <v/>
      </c>
      <c r="L279" s="70" t="str">
        <f t="array" ref="L279">IF(ISNUMBER(AC279),INDEX('All Player Data Store'!$H$7:$H$594,SMALL(IF('All Player Data Store'!$Y$7:$Y$594=AC279,ROW('All Player Data Store'!$Y$7:$Y$594)-ROW('All Player Data Store'!$Y$7)+1),COUNTIF($AC$8:AC279,AC279))),"")</f>
        <v/>
      </c>
      <c r="M279" s="72" t="str">
        <f t="array" ref="M279">IF(ISNUMBER(AC279),INDEX('All Player Data Store'!$I$7:$I$594,SMALL(IF('All Player Data Store'!$Y$7:$Y$594=AC279,ROW('All Player Data Store'!$Y$7:$Y$594)-ROW('All Player Data Store'!$Y$7)+1),COUNTIF($AC$8:AC279,AC279))),"")</f>
        <v/>
      </c>
      <c r="N279" s="114" t="str">
        <f t="array" ref="N279">IF(ISNUMBER(AC279),INDEX('All Player Data Store'!$J$7:$J$594,SMALL(IF('All Player Data Store'!$Y$7:$Y$594=AC279,ROW('All Player Data Store'!$Y$7:$Y$594)-ROW('All Player Data Store'!$Y$7)+1),COUNTIF($AC$8:AC279,AC279))),"")</f>
        <v/>
      </c>
      <c r="O279" s="108" t="str">
        <f t="array" ref="O279">IF(ISNUMBER(AC279),INDEX('All Player Data Store'!$K$7:$K$594,SMALL(IF('All Player Data Store'!$Y$7:$Y$594=AC279,ROW('All Player Data Store'!$Y$7:$Y$594)-ROW('All Player Data Store'!$Y$7)+1),COUNTIF($AC$8:AC279,AC279))),"")</f>
        <v/>
      </c>
      <c r="P279" s="108" t="str">
        <f t="array" ref="P279">IF(ISNUMBER(AC279),INDEX('All Player Data Store'!$L$7:$L$594,SMALL(IF('All Player Data Store'!$Y$7:$Y$594=AC279,ROW('All Player Data Store'!$Y$7:$Y$594)-ROW('All Player Data Store'!$Y$7)+1),COUNTIF($AC$8:AC279,AC279))),"")</f>
        <v/>
      </c>
      <c r="Q279" s="108" t="str">
        <f t="array" ref="Q279">IF(ISNUMBER(AC279),INDEX('All Player Data Store'!$M$7:$M$594,SMALL(IF('All Player Data Store'!$Y$7:$Y$594=AC279,ROW('All Player Data Store'!$Y$7:$Y$594)-ROW('All Player Data Store'!$Y$7)+1),COUNTIF($AC$8:AC279,AC279))),"")</f>
        <v/>
      </c>
      <c r="R279" s="108" t="str">
        <f t="array" ref="R279">IF(ISNUMBER(AC279),INDEX('All Player Data Store'!$N$7:$N$594,SMALL(IF('All Player Data Store'!$Y$7:$Y$594=AC279,ROW('All Player Data Store'!$Y$7:$Y$594)-ROW('All Player Data Store'!$Y$7)+1),COUNTIF($AC$8:AC279,AC279))),"")</f>
        <v/>
      </c>
      <c r="S279" s="108" t="str">
        <f t="array" ref="S279">IF(ISNUMBER(AC279),INDEX('All Player Data Store'!$O$7:$O$594,SMALL(IF('All Player Data Store'!$Y$7:$Y$594=AC279,ROW('All Player Data Store'!$Y$7:$Y$594)-ROW('All Player Data Store'!$Y$7)+1),COUNTIF($AC$8:AC279,AC279))),"")</f>
        <v/>
      </c>
      <c r="T279" s="108" t="str">
        <f t="array" ref="T279">IF(ISNUMBER(AC279),INDEX('All Player Data Store'!$P$7:$P$594,SMALL(IF('All Player Data Store'!$Y$7:$Y$594=AC279,ROW('All Player Data Store'!$Y$7:$Y$594)-ROW('All Player Data Store'!$Y$7)+1),COUNTIF($AC$8:AC279,AC279))),"")</f>
        <v/>
      </c>
      <c r="U279" s="108" t="str">
        <f t="array" ref="U279">IF(ISNUMBER(AC279),INDEX('All Player Data Store'!$Q$7:$Q$594,SMALL(IF('All Player Data Store'!$Y$7:$Y$594=AC279,ROW('All Player Data Store'!$Y$7:$Y$594)-ROW('All Player Data Store'!$Y$7)+1),COUNTIF($AC$8:AC279,AC279))),"")</f>
        <v/>
      </c>
      <c r="V279" s="108" t="str">
        <f t="array" ref="V279">IF(ISNUMBER(AC279),INDEX('All Player Data Store'!$R$7:$R$594,SMALL(IF('All Player Data Store'!$Y$7:$Y$594=AC279,ROW('All Player Data Store'!$Y$7:$Y$594)-ROW('All Player Data Store'!$Y$7)+1),COUNTIF($AC$8:AC279,AC279))),"")</f>
        <v/>
      </c>
      <c r="W279" s="108" t="str">
        <f t="array" ref="W279">IF(ISNUMBER(AC279),INDEX('All Player Data Store'!$S$7:$S$594,SMALL(IF('All Player Data Store'!$Y$7:$Y$594=AC279,ROW('All Player Data Store'!$Y$7:$Y$594)-ROW('All Player Data Store'!$Y$7)+1),COUNTIF($AC$8:AC279,AC279))),"")</f>
        <v/>
      </c>
      <c r="X279" s="108" t="str">
        <f t="array" ref="X279">IF(ISNUMBER(AC279),INDEX('All Player Data Store'!$T$7:$T$594,SMALL(IF('All Player Data Store'!$Y$7:$Y$594=AC279,ROW('All Player Data Store'!$Y$7:$Y$594)-ROW('All Player Data Store'!$Y$7)+1),COUNTIF($AC$8:AC279,AC279))),"")</f>
        <v/>
      </c>
      <c r="Y279" s="108" t="str">
        <f t="array" ref="Y279">IF(ISNUMBER(AC279),INDEX('All Player Data Store'!$U$7:$U$594,SMALL(IF('All Player Data Store'!$Y$7:$Y$594=AC279,ROW('All Player Data Store'!$Y$7:$Y$594)-ROW('All Player Data Store'!$Y$7)+1),COUNTIF($AC$8:AC279,AC279))),"")</f>
        <v/>
      </c>
      <c r="Z279" s="108" t="str">
        <f t="array" ref="Z279">IF(ISNUMBER(AC279),INDEX('All Player Data Store'!$V$7:$V$594,SMALL(IF('All Player Data Store'!$Y$7:$Y$594=AC279,ROW('All Player Data Store'!$Y$7:$Y$594)-ROW('All Player Data Store'!$Y$7)+1),COUNTIF($AC$8:AC279,AC279))),"")</f>
        <v/>
      </c>
      <c r="AA279" s="112" t="str">
        <f t="array" ref="AA279">IF(ISNUMBER(AC279),INDEX('All Player Data Store'!$W$7:$W$594,SMALL(IF('All Player Data Store'!$Y$7:$Y$594=AC279,ROW('All Player Data Store'!$Y$7:$Y$594)-ROW('All Player Data Store'!$Y$7)+1),COUNTIF($AC$8:AC279,AC279))),"")</f>
        <v/>
      </c>
      <c r="AB279" s="108" t="str">
        <f t="array" ref="AB279">IF(ISNUMBER(AC279),INDEX('All Player Data Store'!$X$7:$X$594,SMALL(IF('All Player Data Store'!$Y$7:$Y$594=AC279,ROW('All Player Data Store'!$Y$7:$Y$594)-ROW('All Player Data Store'!$Y$7)+1),COUNTIF($AC$8:AC279,AC279))),"")</f>
        <v/>
      </c>
      <c r="AC279" s="115" t="str">
        <f>IF(ISERROR(IF(ISERROR(LARGE('All Player Data Store'!$Y$7:$Y$594,272)),"",(LARGE('All Player Data Store'!$Y$7:$Y$594,272)))),"",(IF(ISERROR(LARGE('All Player Data Store'!$Y$7:$Y$594,272)),"",(LARGE('All Player Data Store'!$Y$7:$Y$594,272)))))</f>
        <v/>
      </c>
      <c r="AD279" s="106">
        <f t="shared" si="16"/>
        <v>1</v>
      </c>
      <c r="AE279" s="107" t="str">
        <f t="array" ref="AE279">IF(ISNUMBER(AC279),INDEX('All Player Data Store'!$J$8:$J$594,SMALL(IF('All Player Data Store'!$Y$7:$Y$594=AC279,ROW('All Player Data Store'!$Y$7:$Y$594)-ROW('All Player Data Store'!$Y$7)+1),COUNTIF($AC$8:AC279,AC279))),"")</f>
        <v/>
      </c>
      <c r="AF279" s="108" t="str">
        <f t="shared" si="19"/>
        <v/>
      </c>
      <c r="AG279" s="108" t="str">
        <f t="array" ref="AG279">IF(ISNUMBER(AC279),INDEX('All Player Data Store'!$K$8:$K$594,SMALL(IF('All Player Data Store'!$Y$7:$Y$594=AC279,ROW('All Player Data Store'!$Y$7:$Y$594)-ROW('All Player Data Store'!$Y$7)+1),COUNTIF($AC$8:AC279,AC279))),"")</f>
        <v/>
      </c>
      <c r="AH279" s="108" t="str">
        <f t="shared" si="20"/>
        <v/>
      </c>
      <c r="AI279" s="108" t="str">
        <f t="array" ref="AI279">IF(ISNUMBER(AC279),INDEX('All Player Data Store'!$L$8:$L$594,SMALL(IF('All Player Data Store'!$Y$7:$Y$594=AC279,ROW('All Player Data Store'!$Y$7:$Y$594)-ROW('All Player Data Store'!$Y$7)+1),COUNTIF($AC$8:AC279,AC279))),"")</f>
        <v/>
      </c>
      <c r="AJ279" s="108" t="str">
        <f t="shared" si="21"/>
        <v/>
      </c>
      <c r="AK279" s="108" t="str">
        <f t="array" ref="AK279">IF(ISNUMBER(AC279),INDEX('All Player Data Store'!$M$8:$M$594,SMALL(IF('All Player Data Store'!$Y$7:$Y$594=AC279,ROW('All Player Data Store'!$Y$7:$Y$594)-ROW('All Player Data Store'!$Y$7)+1),COUNTIF($AC$8:AC279,AC279))),"")</f>
        <v/>
      </c>
      <c r="AL279" s="108" t="str">
        <f t="shared" si="22"/>
        <v/>
      </c>
      <c r="AM279" s="108" t="str">
        <f t="array" ref="AM279">IF(ISNUMBER(AC279),INDEX('All Player Data Store'!$N$8:$N$594,SMALL(IF('All Player Data Store'!$Y$7:$Y$594=AC279,ROW('All Player Data Store'!$Y$7:$Y$594)-ROW('All Player Data Store'!$Y$7)+1),COUNTIF($AC$8:AC279,AC279))),"")</f>
        <v/>
      </c>
      <c r="AN279" s="108" t="str">
        <f t="shared" si="23"/>
        <v/>
      </c>
      <c r="AO279" s="108" t="str">
        <f t="array" ref="AO279">IF(ISNUMBER(AC279),INDEX('All Player Data Store'!$O$8:$O$594,SMALL(IF('All Player Data Store'!$Y$7:$Y$594=AC279,ROW('All Player Data Store'!$Y$7:$Y$594)-ROW('All Player Data Store'!$Y$7)+1),COUNTIF($AC$8:AC279,AC279))),"")</f>
        <v/>
      </c>
      <c r="AP279" s="108" t="str">
        <f t="shared" si="24"/>
        <v/>
      </c>
      <c r="AQ279" s="108" t="str">
        <f t="array" ref="AQ279">IF(ISNUMBER(AC279),INDEX('All Player Data Store'!$P$8:$P$594,SMALL(IF('All Player Data Store'!$Y$7:$Y$594=AC279,ROW('All Player Data Store'!$Y$7:$Y$594)-ROW('All Player Data Store'!$Y$7)+1),COUNTIF($AC$8:AC279,AC279))),"")</f>
        <v/>
      </c>
      <c r="AR279" s="108" t="str">
        <f t="shared" si="25"/>
        <v/>
      </c>
      <c r="AS279" s="108" t="str">
        <f t="array" ref="AS279">IF(ISNUMBER(AC279),INDEX('All Player Data Store'!$Q$8:$Q$594,SMALL(IF('All Player Data Store'!$Y$7:$Y$594=AC279,ROW('All Player Data Store'!$Y$7:$Y$594)-ROW('All Player Data Store'!$Y$7)+1),COUNTIF($AC$8:AC279,AC279))),"")</f>
        <v/>
      </c>
      <c r="AT279" s="108" t="str">
        <f t="shared" si="26"/>
        <v/>
      </c>
      <c r="AU279" s="108" t="str">
        <f t="array" ref="AU279">IF(ISNUMBER(AC279),INDEX('All Player Data Store'!$R$8:$R$594,SMALL(IF('All Player Data Store'!$Y$7:$Y$594=AC279,ROW('All Player Data Store'!$Y$7:$Y$594)-ROW('All Player Data Store'!$Y$7)+1),COUNTIF($AC$8:AC279,AC279))),"")</f>
        <v/>
      </c>
      <c r="AV279" s="108" t="str">
        <f t="shared" si="27"/>
        <v/>
      </c>
      <c r="AW279" s="108" t="str">
        <f t="array" ref="AW279">IF(ISNUMBER(AC279),INDEX('All Player Data Store'!$S$8:$S$594,SMALL(IF('All Player Data Store'!$Y$7:$Y$594=AC279,ROW('All Player Data Store'!$Y$7:$Y$594)-ROW('All Player Data Store'!$Y$7)+1),COUNTIF($AC$8:AC279,AC279))),"")</f>
        <v/>
      </c>
      <c r="AX279" s="108" t="str">
        <f t="shared" si="28"/>
        <v/>
      </c>
      <c r="AY279" s="108" t="str">
        <f t="array" ref="AY279">IF(ISNUMBER(AC279),INDEX('All Player Data Store'!$T$8:$T$594,SMALL(IF('All Player Data Store'!$Y$7:$Y$594=AC279,ROW('All Player Data Store'!$Y$7:$Y$594)-ROW('All Player Data Store'!$Y$7)+1),COUNTIF($AC$8:AC279,AC279))),"")</f>
        <v/>
      </c>
      <c r="AZ279" s="108" t="str">
        <f t="shared" si="29"/>
        <v/>
      </c>
      <c r="BA279" s="108" t="str">
        <f t="array" ref="BA279">IF(ISNUMBER(AC279),INDEX('All Player Data Store'!$U$8:$U$594,SMALL(IF('All Player Data Store'!$Y$7:$Y$594=AC279,ROW('All Player Data Store'!$Y$7:$Y$594)-ROW('All Player Data Store'!$Y$7)+1),COUNTIF($AC$8:AC279,AC279))),"")</f>
        <v/>
      </c>
      <c r="BB279" s="108" t="str">
        <f t="shared" si="30"/>
        <v/>
      </c>
      <c r="BC279" s="108" t="str">
        <f t="array" ref="BC279">IF(ISNUMBER(AC279),INDEX('All Player Data Store'!$V$8:$V$594,SMALL(IF('All Player Data Store'!$Y$7:$Y$594=AC279,ROW('All Player Data Store'!$Y$7:$Y$594)-ROW('All Player Data Store'!$Y$7)+1),COUNTIF($AC$8:AC279,AC279))),"")</f>
        <v/>
      </c>
      <c r="BD279" s="108" t="str">
        <f t="shared" si="31"/>
        <v/>
      </c>
      <c r="BE279" s="1"/>
    </row>
    <row r="280" spans="2:57" ht="12" customHeight="1" x14ac:dyDescent="0.2">
      <c r="B280" s="118" t="str">
        <f t="shared" si="17"/>
        <v/>
      </c>
      <c r="C280" s="1"/>
      <c r="D280" s="68" t="str">
        <f t="shared" si="18"/>
        <v/>
      </c>
      <c r="E280" s="2"/>
      <c r="F280" s="78">
        <v>273</v>
      </c>
      <c r="G280" s="110" t="str">
        <f t="array" ref="G280">IF(ISNUMBER(AC280),INDEX('All Player Data Store'!$C$7:$C$594,SMALL(IF('All Player Data Store'!$Y$7:$Y$594=AC280,ROW('All Player Data Store'!$Y$7:$Y$594)-ROW('All Player Data Store'!$Y$7)+1),COUNTIF($AC$8:AC280,AC280))),"")</f>
        <v/>
      </c>
      <c r="H280" s="68" t="str">
        <f t="array" ref="H280">IF(ISNUMBER(AC280),INDEX('All Player Data Store'!$D$7:$D$594,SMALL(IF('All Player Data Store'!$Y$7:$Y$594=AC280,ROW('All Player Data Store'!$Y$7:$Y$594)-ROW('All Player Data Store'!$Y$7)+1),COUNTIF($AC$8:AC280,AC280))),"")</f>
        <v/>
      </c>
      <c r="I280" s="69" t="str">
        <f t="array" ref="I280">IF(ISNUMBER(AC280),INDEX('All Player Data Store'!$E$7:$E$594,SMALL(IF('All Player Data Store'!$Y$7:$Y$594=AC280,ROW('All Player Data Store'!$Y$7:$Y$594)-ROW('All Player Data Store'!$Y$7)+1),COUNTIF($AC$8:AC280,AC280))),"")</f>
        <v/>
      </c>
      <c r="J280" s="70" t="str">
        <f t="array" ref="J280">IF(ISNUMBER(AC280),INDEX('All Player Data Store'!$F$7:$F$594,SMALL(IF('All Player Data Store'!$Y$7:$Y$594=AC280,ROW('All Player Data Store'!$Y$7:$Y$594)-ROW('All Player Data Store'!$Y$7)+1),COUNTIF($AC$8:AC280,AC280))),"")</f>
        <v/>
      </c>
      <c r="K280" s="70" t="str">
        <f t="array" ref="K280">IF(ISNUMBER(AC280),INDEX('All Player Data Store'!$G$7:$G$594,SMALL(IF('All Player Data Store'!$Y$7:$Y$594=AC280,ROW('All Player Data Store'!$Y$7:$Y$594)-ROW('All Player Data Store'!$Y$7)+1),COUNTIF($AC$8:AC280,AC280))),"")</f>
        <v/>
      </c>
      <c r="L280" s="70" t="str">
        <f t="array" ref="L280">IF(ISNUMBER(AC280),INDEX('All Player Data Store'!$H$7:$H$594,SMALL(IF('All Player Data Store'!$Y$7:$Y$594=AC280,ROW('All Player Data Store'!$Y$7:$Y$594)-ROW('All Player Data Store'!$Y$7)+1),COUNTIF($AC$8:AC280,AC280))),"")</f>
        <v/>
      </c>
      <c r="M280" s="72" t="str">
        <f t="array" ref="M280">IF(ISNUMBER(AC280),INDEX('All Player Data Store'!$I$7:$I$594,SMALL(IF('All Player Data Store'!$Y$7:$Y$594=AC280,ROW('All Player Data Store'!$Y$7:$Y$594)-ROW('All Player Data Store'!$Y$7)+1),COUNTIF($AC$8:AC280,AC280))),"")</f>
        <v/>
      </c>
      <c r="N280" s="114" t="str">
        <f t="array" ref="N280">IF(ISNUMBER(AC280),INDEX('All Player Data Store'!$J$7:$J$594,SMALL(IF('All Player Data Store'!$Y$7:$Y$594=AC280,ROW('All Player Data Store'!$Y$7:$Y$594)-ROW('All Player Data Store'!$Y$7)+1),COUNTIF($AC$8:AC280,AC280))),"")</f>
        <v/>
      </c>
      <c r="O280" s="108" t="str">
        <f t="array" ref="O280">IF(ISNUMBER(AC280),INDEX('All Player Data Store'!$K$7:$K$594,SMALL(IF('All Player Data Store'!$Y$7:$Y$594=AC280,ROW('All Player Data Store'!$Y$7:$Y$594)-ROW('All Player Data Store'!$Y$7)+1),COUNTIF($AC$8:AC280,AC280))),"")</f>
        <v/>
      </c>
      <c r="P280" s="108" t="str">
        <f t="array" ref="P280">IF(ISNUMBER(AC280),INDEX('All Player Data Store'!$L$7:$L$594,SMALL(IF('All Player Data Store'!$Y$7:$Y$594=AC280,ROW('All Player Data Store'!$Y$7:$Y$594)-ROW('All Player Data Store'!$Y$7)+1),COUNTIF($AC$8:AC280,AC280))),"")</f>
        <v/>
      </c>
      <c r="Q280" s="108" t="str">
        <f t="array" ref="Q280">IF(ISNUMBER(AC280),INDEX('All Player Data Store'!$M$7:$M$594,SMALL(IF('All Player Data Store'!$Y$7:$Y$594=AC280,ROW('All Player Data Store'!$Y$7:$Y$594)-ROW('All Player Data Store'!$Y$7)+1),COUNTIF($AC$8:AC280,AC280))),"")</f>
        <v/>
      </c>
      <c r="R280" s="108" t="str">
        <f t="array" ref="R280">IF(ISNUMBER(AC280),INDEX('All Player Data Store'!$N$7:$N$594,SMALL(IF('All Player Data Store'!$Y$7:$Y$594=AC280,ROW('All Player Data Store'!$Y$7:$Y$594)-ROW('All Player Data Store'!$Y$7)+1),COUNTIF($AC$8:AC280,AC280))),"")</f>
        <v/>
      </c>
      <c r="S280" s="108" t="str">
        <f t="array" ref="S280">IF(ISNUMBER(AC280),INDEX('All Player Data Store'!$O$7:$O$594,SMALL(IF('All Player Data Store'!$Y$7:$Y$594=AC280,ROW('All Player Data Store'!$Y$7:$Y$594)-ROW('All Player Data Store'!$Y$7)+1),COUNTIF($AC$8:AC280,AC280))),"")</f>
        <v/>
      </c>
      <c r="T280" s="108" t="str">
        <f t="array" ref="T280">IF(ISNUMBER(AC280),INDEX('All Player Data Store'!$P$7:$P$594,SMALL(IF('All Player Data Store'!$Y$7:$Y$594=AC280,ROW('All Player Data Store'!$Y$7:$Y$594)-ROW('All Player Data Store'!$Y$7)+1),COUNTIF($AC$8:AC280,AC280))),"")</f>
        <v/>
      </c>
      <c r="U280" s="108" t="str">
        <f t="array" ref="U280">IF(ISNUMBER(AC280),INDEX('All Player Data Store'!$Q$7:$Q$594,SMALL(IF('All Player Data Store'!$Y$7:$Y$594=AC280,ROW('All Player Data Store'!$Y$7:$Y$594)-ROW('All Player Data Store'!$Y$7)+1),COUNTIF($AC$8:AC280,AC280))),"")</f>
        <v/>
      </c>
      <c r="V280" s="108" t="str">
        <f t="array" ref="V280">IF(ISNUMBER(AC280),INDEX('All Player Data Store'!$R$7:$R$594,SMALL(IF('All Player Data Store'!$Y$7:$Y$594=AC280,ROW('All Player Data Store'!$Y$7:$Y$594)-ROW('All Player Data Store'!$Y$7)+1),COUNTIF($AC$8:AC280,AC280))),"")</f>
        <v/>
      </c>
      <c r="W280" s="108" t="str">
        <f t="array" ref="W280">IF(ISNUMBER(AC280),INDEX('All Player Data Store'!$S$7:$S$594,SMALL(IF('All Player Data Store'!$Y$7:$Y$594=AC280,ROW('All Player Data Store'!$Y$7:$Y$594)-ROW('All Player Data Store'!$Y$7)+1),COUNTIF($AC$8:AC280,AC280))),"")</f>
        <v/>
      </c>
      <c r="X280" s="108" t="str">
        <f t="array" ref="X280">IF(ISNUMBER(AC280),INDEX('All Player Data Store'!$T$7:$T$594,SMALL(IF('All Player Data Store'!$Y$7:$Y$594=AC280,ROW('All Player Data Store'!$Y$7:$Y$594)-ROW('All Player Data Store'!$Y$7)+1),COUNTIF($AC$8:AC280,AC280))),"")</f>
        <v/>
      </c>
      <c r="Y280" s="108" t="str">
        <f t="array" ref="Y280">IF(ISNUMBER(AC280),INDEX('All Player Data Store'!$U$7:$U$594,SMALL(IF('All Player Data Store'!$Y$7:$Y$594=AC280,ROW('All Player Data Store'!$Y$7:$Y$594)-ROW('All Player Data Store'!$Y$7)+1),COUNTIF($AC$8:AC280,AC280))),"")</f>
        <v/>
      </c>
      <c r="Z280" s="108" t="str">
        <f t="array" ref="Z280">IF(ISNUMBER(AC280),INDEX('All Player Data Store'!$V$7:$V$594,SMALL(IF('All Player Data Store'!$Y$7:$Y$594=AC280,ROW('All Player Data Store'!$Y$7:$Y$594)-ROW('All Player Data Store'!$Y$7)+1),COUNTIF($AC$8:AC280,AC280))),"")</f>
        <v/>
      </c>
      <c r="AA280" s="112" t="str">
        <f t="array" ref="AA280">IF(ISNUMBER(AC280),INDEX('All Player Data Store'!$W$7:$W$594,SMALL(IF('All Player Data Store'!$Y$7:$Y$594=AC280,ROW('All Player Data Store'!$Y$7:$Y$594)-ROW('All Player Data Store'!$Y$7)+1),COUNTIF($AC$8:AC280,AC280))),"")</f>
        <v/>
      </c>
      <c r="AB280" s="108" t="str">
        <f t="array" ref="AB280">IF(ISNUMBER(AC280),INDEX('All Player Data Store'!$X$7:$X$594,SMALL(IF('All Player Data Store'!$Y$7:$Y$594=AC280,ROW('All Player Data Store'!$Y$7:$Y$594)-ROW('All Player Data Store'!$Y$7)+1),COUNTIF($AC$8:AC280,AC280))),"")</f>
        <v/>
      </c>
      <c r="AC280" s="115" t="str">
        <f>IF(ISERROR(IF(ISERROR(LARGE('All Player Data Store'!$Y$7:$Y$594,273)),"",(LARGE('All Player Data Store'!$Y$7:$Y$594,273)))),"",(IF(ISERROR(LARGE('All Player Data Store'!$Y$7:$Y$594,273)),"",(LARGE('All Player Data Store'!$Y$7:$Y$594,273)))))</f>
        <v/>
      </c>
      <c r="AD280" s="106">
        <f t="shared" si="16"/>
        <v>1</v>
      </c>
      <c r="AE280" s="107" t="str">
        <f t="array" ref="AE280">IF(ISNUMBER(AC280),INDEX('All Player Data Store'!$J$8:$J$594,SMALL(IF('All Player Data Store'!$Y$7:$Y$594=AC280,ROW('All Player Data Store'!$Y$7:$Y$594)-ROW('All Player Data Store'!$Y$7)+1),COUNTIF($AC$8:AC280,AC280))),"")</f>
        <v/>
      </c>
      <c r="AF280" s="108" t="str">
        <f t="shared" si="19"/>
        <v/>
      </c>
      <c r="AG280" s="108" t="str">
        <f t="array" ref="AG280">IF(ISNUMBER(AC280),INDEX('All Player Data Store'!$K$8:$K$594,SMALL(IF('All Player Data Store'!$Y$7:$Y$594=AC280,ROW('All Player Data Store'!$Y$7:$Y$594)-ROW('All Player Data Store'!$Y$7)+1),COUNTIF($AC$8:AC280,AC280))),"")</f>
        <v/>
      </c>
      <c r="AH280" s="108" t="str">
        <f t="shared" si="20"/>
        <v/>
      </c>
      <c r="AI280" s="108" t="str">
        <f t="array" ref="AI280">IF(ISNUMBER(AC280),INDEX('All Player Data Store'!$L$8:$L$594,SMALL(IF('All Player Data Store'!$Y$7:$Y$594=AC280,ROW('All Player Data Store'!$Y$7:$Y$594)-ROW('All Player Data Store'!$Y$7)+1),COUNTIF($AC$8:AC280,AC280))),"")</f>
        <v/>
      </c>
      <c r="AJ280" s="108" t="str">
        <f t="shared" si="21"/>
        <v/>
      </c>
      <c r="AK280" s="108" t="str">
        <f t="array" ref="AK280">IF(ISNUMBER(AC280),INDEX('All Player Data Store'!$M$8:$M$594,SMALL(IF('All Player Data Store'!$Y$7:$Y$594=AC280,ROW('All Player Data Store'!$Y$7:$Y$594)-ROW('All Player Data Store'!$Y$7)+1),COUNTIF($AC$8:AC280,AC280))),"")</f>
        <v/>
      </c>
      <c r="AL280" s="108" t="str">
        <f t="shared" si="22"/>
        <v/>
      </c>
      <c r="AM280" s="108" t="str">
        <f t="array" ref="AM280">IF(ISNUMBER(AC280),INDEX('All Player Data Store'!$N$8:$N$594,SMALL(IF('All Player Data Store'!$Y$7:$Y$594=AC280,ROW('All Player Data Store'!$Y$7:$Y$594)-ROW('All Player Data Store'!$Y$7)+1),COUNTIF($AC$8:AC280,AC280))),"")</f>
        <v/>
      </c>
      <c r="AN280" s="108" t="str">
        <f t="shared" si="23"/>
        <v/>
      </c>
      <c r="AO280" s="108" t="str">
        <f t="array" ref="AO280">IF(ISNUMBER(AC280),INDEX('All Player Data Store'!$O$8:$O$594,SMALL(IF('All Player Data Store'!$Y$7:$Y$594=AC280,ROW('All Player Data Store'!$Y$7:$Y$594)-ROW('All Player Data Store'!$Y$7)+1),COUNTIF($AC$8:AC280,AC280))),"")</f>
        <v/>
      </c>
      <c r="AP280" s="108" t="str">
        <f t="shared" si="24"/>
        <v/>
      </c>
      <c r="AQ280" s="108" t="str">
        <f t="array" ref="AQ280">IF(ISNUMBER(AC280),INDEX('All Player Data Store'!$P$8:$P$594,SMALL(IF('All Player Data Store'!$Y$7:$Y$594=AC280,ROW('All Player Data Store'!$Y$7:$Y$594)-ROW('All Player Data Store'!$Y$7)+1),COUNTIF($AC$8:AC280,AC280))),"")</f>
        <v/>
      </c>
      <c r="AR280" s="108" t="str">
        <f t="shared" si="25"/>
        <v/>
      </c>
      <c r="AS280" s="108" t="str">
        <f t="array" ref="AS280">IF(ISNUMBER(AC280),INDEX('All Player Data Store'!$Q$8:$Q$594,SMALL(IF('All Player Data Store'!$Y$7:$Y$594=AC280,ROW('All Player Data Store'!$Y$7:$Y$594)-ROW('All Player Data Store'!$Y$7)+1),COUNTIF($AC$8:AC280,AC280))),"")</f>
        <v/>
      </c>
      <c r="AT280" s="108" t="str">
        <f t="shared" si="26"/>
        <v/>
      </c>
      <c r="AU280" s="108" t="str">
        <f t="array" ref="AU280">IF(ISNUMBER(AC280),INDEX('All Player Data Store'!$R$8:$R$594,SMALL(IF('All Player Data Store'!$Y$7:$Y$594=AC280,ROW('All Player Data Store'!$Y$7:$Y$594)-ROW('All Player Data Store'!$Y$7)+1),COUNTIF($AC$8:AC280,AC280))),"")</f>
        <v/>
      </c>
      <c r="AV280" s="108" t="str">
        <f t="shared" si="27"/>
        <v/>
      </c>
      <c r="AW280" s="108" t="str">
        <f t="array" ref="AW280">IF(ISNUMBER(AC280),INDEX('All Player Data Store'!$S$8:$S$594,SMALL(IF('All Player Data Store'!$Y$7:$Y$594=AC280,ROW('All Player Data Store'!$Y$7:$Y$594)-ROW('All Player Data Store'!$Y$7)+1),COUNTIF($AC$8:AC280,AC280))),"")</f>
        <v/>
      </c>
      <c r="AX280" s="108" t="str">
        <f t="shared" si="28"/>
        <v/>
      </c>
      <c r="AY280" s="108" t="str">
        <f t="array" ref="AY280">IF(ISNUMBER(AC280),INDEX('All Player Data Store'!$T$8:$T$594,SMALL(IF('All Player Data Store'!$Y$7:$Y$594=AC280,ROW('All Player Data Store'!$Y$7:$Y$594)-ROW('All Player Data Store'!$Y$7)+1),COUNTIF($AC$8:AC280,AC280))),"")</f>
        <v/>
      </c>
      <c r="AZ280" s="108" t="str">
        <f t="shared" si="29"/>
        <v/>
      </c>
      <c r="BA280" s="108" t="str">
        <f t="array" ref="BA280">IF(ISNUMBER(AC280),INDEX('All Player Data Store'!$U$8:$U$594,SMALL(IF('All Player Data Store'!$Y$7:$Y$594=AC280,ROW('All Player Data Store'!$Y$7:$Y$594)-ROW('All Player Data Store'!$Y$7)+1),COUNTIF($AC$8:AC280,AC280))),"")</f>
        <v/>
      </c>
      <c r="BB280" s="108" t="str">
        <f t="shared" si="30"/>
        <v/>
      </c>
      <c r="BC280" s="108" t="str">
        <f t="array" ref="BC280">IF(ISNUMBER(AC280),INDEX('All Player Data Store'!$V$8:$V$594,SMALL(IF('All Player Data Store'!$Y$7:$Y$594=AC280,ROW('All Player Data Store'!$Y$7:$Y$594)-ROW('All Player Data Store'!$Y$7)+1),COUNTIF($AC$8:AC280,AC280))),"")</f>
        <v/>
      </c>
      <c r="BD280" s="108" t="str">
        <f t="shared" si="31"/>
        <v/>
      </c>
      <c r="BE280" s="1"/>
    </row>
    <row r="281" spans="2:57" ht="12" customHeight="1" x14ac:dyDescent="0.2">
      <c r="B281" s="118" t="str">
        <f t="shared" si="17"/>
        <v/>
      </c>
      <c r="C281" s="1"/>
      <c r="D281" s="68" t="str">
        <f t="shared" si="18"/>
        <v/>
      </c>
      <c r="E281" s="2"/>
      <c r="F281" s="78">
        <v>274</v>
      </c>
      <c r="G281" s="110" t="str">
        <f t="array" ref="G281">IF(ISNUMBER(AC281),INDEX('All Player Data Store'!$C$7:$C$594,SMALL(IF('All Player Data Store'!$Y$7:$Y$594=AC281,ROW('All Player Data Store'!$Y$7:$Y$594)-ROW('All Player Data Store'!$Y$7)+1),COUNTIF($AC$8:AC281,AC281))),"")</f>
        <v/>
      </c>
      <c r="H281" s="68" t="str">
        <f t="array" ref="H281">IF(ISNUMBER(AC281),INDEX('All Player Data Store'!$D$7:$D$594,SMALL(IF('All Player Data Store'!$Y$7:$Y$594=AC281,ROW('All Player Data Store'!$Y$7:$Y$594)-ROW('All Player Data Store'!$Y$7)+1),COUNTIF($AC$8:AC281,AC281))),"")</f>
        <v/>
      </c>
      <c r="I281" s="69" t="str">
        <f t="array" ref="I281">IF(ISNUMBER(AC281),INDEX('All Player Data Store'!$E$7:$E$594,SMALL(IF('All Player Data Store'!$Y$7:$Y$594=AC281,ROW('All Player Data Store'!$Y$7:$Y$594)-ROW('All Player Data Store'!$Y$7)+1),COUNTIF($AC$8:AC281,AC281))),"")</f>
        <v/>
      </c>
      <c r="J281" s="70" t="str">
        <f t="array" ref="J281">IF(ISNUMBER(AC281),INDEX('All Player Data Store'!$F$7:$F$594,SMALL(IF('All Player Data Store'!$Y$7:$Y$594=AC281,ROW('All Player Data Store'!$Y$7:$Y$594)-ROW('All Player Data Store'!$Y$7)+1),COUNTIF($AC$8:AC281,AC281))),"")</f>
        <v/>
      </c>
      <c r="K281" s="70" t="str">
        <f t="array" ref="K281">IF(ISNUMBER(AC281),INDEX('All Player Data Store'!$G$7:$G$594,SMALL(IF('All Player Data Store'!$Y$7:$Y$594=AC281,ROW('All Player Data Store'!$Y$7:$Y$594)-ROW('All Player Data Store'!$Y$7)+1),COUNTIF($AC$8:AC281,AC281))),"")</f>
        <v/>
      </c>
      <c r="L281" s="70" t="str">
        <f t="array" ref="L281">IF(ISNUMBER(AC281),INDEX('All Player Data Store'!$H$7:$H$594,SMALL(IF('All Player Data Store'!$Y$7:$Y$594=AC281,ROW('All Player Data Store'!$Y$7:$Y$594)-ROW('All Player Data Store'!$Y$7)+1),COUNTIF($AC$8:AC281,AC281))),"")</f>
        <v/>
      </c>
      <c r="M281" s="72" t="str">
        <f t="array" ref="M281">IF(ISNUMBER(AC281),INDEX('All Player Data Store'!$I$7:$I$594,SMALL(IF('All Player Data Store'!$Y$7:$Y$594=AC281,ROW('All Player Data Store'!$Y$7:$Y$594)-ROW('All Player Data Store'!$Y$7)+1),COUNTIF($AC$8:AC281,AC281))),"")</f>
        <v/>
      </c>
      <c r="N281" s="114" t="str">
        <f t="array" ref="N281">IF(ISNUMBER(AC281),INDEX('All Player Data Store'!$J$7:$J$594,SMALL(IF('All Player Data Store'!$Y$7:$Y$594=AC281,ROW('All Player Data Store'!$Y$7:$Y$594)-ROW('All Player Data Store'!$Y$7)+1),COUNTIF($AC$8:AC281,AC281))),"")</f>
        <v/>
      </c>
      <c r="O281" s="108" t="str">
        <f t="array" ref="O281">IF(ISNUMBER(AC281),INDEX('All Player Data Store'!$K$7:$K$594,SMALL(IF('All Player Data Store'!$Y$7:$Y$594=AC281,ROW('All Player Data Store'!$Y$7:$Y$594)-ROW('All Player Data Store'!$Y$7)+1),COUNTIF($AC$8:AC281,AC281))),"")</f>
        <v/>
      </c>
      <c r="P281" s="108" t="str">
        <f t="array" ref="P281">IF(ISNUMBER(AC281),INDEX('All Player Data Store'!$L$7:$L$594,SMALL(IF('All Player Data Store'!$Y$7:$Y$594=AC281,ROW('All Player Data Store'!$Y$7:$Y$594)-ROW('All Player Data Store'!$Y$7)+1),COUNTIF($AC$8:AC281,AC281))),"")</f>
        <v/>
      </c>
      <c r="Q281" s="108" t="str">
        <f t="array" ref="Q281">IF(ISNUMBER(AC281),INDEX('All Player Data Store'!$M$7:$M$594,SMALL(IF('All Player Data Store'!$Y$7:$Y$594=AC281,ROW('All Player Data Store'!$Y$7:$Y$594)-ROW('All Player Data Store'!$Y$7)+1),COUNTIF($AC$8:AC281,AC281))),"")</f>
        <v/>
      </c>
      <c r="R281" s="108" t="str">
        <f t="array" ref="R281">IF(ISNUMBER(AC281),INDEX('All Player Data Store'!$N$7:$N$594,SMALL(IF('All Player Data Store'!$Y$7:$Y$594=AC281,ROW('All Player Data Store'!$Y$7:$Y$594)-ROW('All Player Data Store'!$Y$7)+1),COUNTIF($AC$8:AC281,AC281))),"")</f>
        <v/>
      </c>
      <c r="S281" s="108" t="str">
        <f t="array" ref="S281">IF(ISNUMBER(AC281),INDEX('All Player Data Store'!$O$7:$O$594,SMALL(IF('All Player Data Store'!$Y$7:$Y$594=AC281,ROW('All Player Data Store'!$Y$7:$Y$594)-ROW('All Player Data Store'!$Y$7)+1),COUNTIF($AC$8:AC281,AC281))),"")</f>
        <v/>
      </c>
      <c r="T281" s="108" t="str">
        <f t="array" ref="T281">IF(ISNUMBER(AC281),INDEX('All Player Data Store'!$P$7:$P$594,SMALL(IF('All Player Data Store'!$Y$7:$Y$594=AC281,ROW('All Player Data Store'!$Y$7:$Y$594)-ROW('All Player Data Store'!$Y$7)+1),COUNTIF($AC$8:AC281,AC281))),"")</f>
        <v/>
      </c>
      <c r="U281" s="108" t="str">
        <f t="array" ref="U281">IF(ISNUMBER(AC281),INDEX('All Player Data Store'!$Q$7:$Q$594,SMALL(IF('All Player Data Store'!$Y$7:$Y$594=AC281,ROW('All Player Data Store'!$Y$7:$Y$594)-ROW('All Player Data Store'!$Y$7)+1),COUNTIF($AC$8:AC281,AC281))),"")</f>
        <v/>
      </c>
      <c r="V281" s="108" t="str">
        <f t="array" ref="V281">IF(ISNUMBER(AC281),INDEX('All Player Data Store'!$R$7:$R$594,SMALL(IF('All Player Data Store'!$Y$7:$Y$594=AC281,ROW('All Player Data Store'!$Y$7:$Y$594)-ROW('All Player Data Store'!$Y$7)+1),COUNTIF($AC$8:AC281,AC281))),"")</f>
        <v/>
      </c>
      <c r="W281" s="108" t="str">
        <f t="array" ref="W281">IF(ISNUMBER(AC281),INDEX('All Player Data Store'!$S$7:$S$594,SMALL(IF('All Player Data Store'!$Y$7:$Y$594=AC281,ROW('All Player Data Store'!$Y$7:$Y$594)-ROW('All Player Data Store'!$Y$7)+1),COUNTIF($AC$8:AC281,AC281))),"")</f>
        <v/>
      </c>
      <c r="X281" s="108" t="str">
        <f t="array" ref="X281">IF(ISNUMBER(AC281),INDEX('All Player Data Store'!$T$7:$T$594,SMALL(IF('All Player Data Store'!$Y$7:$Y$594=AC281,ROW('All Player Data Store'!$Y$7:$Y$594)-ROW('All Player Data Store'!$Y$7)+1),COUNTIF($AC$8:AC281,AC281))),"")</f>
        <v/>
      </c>
      <c r="Y281" s="108" t="str">
        <f t="array" ref="Y281">IF(ISNUMBER(AC281),INDEX('All Player Data Store'!$U$7:$U$594,SMALL(IF('All Player Data Store'!$Y$7:$Y$594=AC281,ROW('All Player Data Store'!$Y$7:$Y$594)-ROW('All Player Data Store'!$Y$7)+1),COUNTIF($AC$8:AC281,AC281))),"")</f>
        <v/>
      </c>
      <c r="Z281" s="108" t="str">
        <f t="array" ref="Z281">IF(ISNUMBER(AC281),INDEX('All Player Data Store'!$V$7:$V$594,SMALL(IF('All Player Data Store'!$Y$7:$Y$594=AC281,ROW('All Player Data Store'!$Y$7:$Y$594)-ROW('All Player Data Store'!$Y$7)+1),COUNTIF($AC$8:AC281,AC281))),"")</f>
        <v/>
      </c>
      <c r="AA281" s="112" t="str">
        <f t="array" ref="AA281">IF(ISNUMBER(AC281),INDEX('All Player Data Store'!$W$7:$W$594,SMALL(IF('All Player Data Store'!$Y$7:$Y$594=AC281,ROW('All Player Data Store'!$Y$7:$Y$594)-ROW('All Player Data Store'!$Y$7)+1),COUNTIF($AC$8:AC281,AC281))),"")</f>
        <v/>
      </c>
      <c r="AB281" s="108" t="str">
        <f t="array" ref="AB281">IF(ISNUMBER(AC281),INDEX('All Player Data Store'!$X$7:$X$594,SMALL(IF('All Player Data Store'!$Y$7:$Y$594=AC281,ROW('All Player Data Store'!$Y$7:$Y$594)-ROW('All Player Data Store'!$Y$7)+1),COUNTIF($AC$8:AC281,AC281))),"")</f>
        <v/>
      </c>
      <c r="AC281" s="115" t="str">
        <f>IF(ISERROR(IF(ISERROR(LARGE('All Player Data Store'!$Y$7:$Y$594,274)),"",(LARGE('All Player Data Store'!$Y$7:$Y$594,274)))),"",(IF(ISERROR(LARGE('All Player Data Store'!$Y$7:$Y$594,274)),"",(LARGE('All Player Data Store'!$Y$7:$Y$594,274)))))</f>
        <v/>
      </c>
      <c r="AD281" s="106">
        <f t="shared" si="16"/>
        <v>1</v>
      </c>
      <c r="AE281" s="107" t="str">
        <f t="array" ref="AE281">IF(ISNUMBER(AC281),INDEX('All Player Data Store'!$J$8:$J$594,SMALL(IF('All Player Data Store'!$Y$7:$Y$594=AC281,ROW('All Player Data Store'!$Y$7:$Y$594)-ROW('All Player Data Store'!$Y$7)+1),COUNTIF($AC$8:AC281,AC281))),"")</f>
        <v/>
      </c>
      <c r="AF281" s="108" t="str">
        <f t="shared" si="19"/>
        <v/>
      </c>
      <c r="AG281" s="108" t="str">
        <f t="array" ref="AG281">IF(ISNUMBER(AC281),INDEX('All Player Data Store'!$K$8:$K$594,SMALL(IF('All Player Data Store'!$Y$7:$Y$594=AC281,ROW('All Player Data Store'!$Y$7:$Y$594)-ROW('All Player Data Store'!$Y$7)+1),COUNTIF($AC$8:AC281,AC281))),"")</f>
        <v/>
      </c>
      <c r="AH281" s="108" t="str">
        <f t="shared" si="20"/>
        <v/>
      </c>
      <c r="AI281" s="108" t="str">
        <f t="array" ref="AI281">IF(ISNUMBER(AC281),INDEX('All Player Data Store'!$L$8:$L$594,SMALL(IF('All Player Data Store'!$Y$7:$Y$594=AC281,ROW('All Player Data Store'!$Y$7:$Y$594)-ROW('All Player Data Store'!$Y$7)+1),COUNTIF($AC$8:AC281,AC281))),"")</f>
        <v/>
      </c>
      <c r="AJ281" s="108" t="str">
        <f t="shared" si="21"/>
        <v/>
      </c>
      <c r="AK281" s="108" t="str">
        <f t="array" ref="AK281">IF(ISNUMBER(AC281),INDEX('All Player Data Store'!$M$8:$M$594,SMALL(IF('All Player Data Store'!$Y$7:$Y$594=AC281,ROW('All Player Data Store'!$Y$7:$Y$594)-ROW('All Player Data Store'!$Y$7)+1),COUNTIF($AC$8:AC281,AC281))),"")</f>
        <v/>
      </c>
      <c r="AL281" s="108" t="str">
        <f t="shared" si="22"/>
        <v/>
      </c>
      <c r="AM281" s="108" t="str">
        <f t="array" ref="AM281">IF(ISNUMBER(AC281),INDEX('All Player Data Store'!$N$8:$N$594,SMALL(IF('All Player Data Store'!$Y$7:$Y$594=AC281,ROW('All Player Data Store'!$Y$7:$Y$594)-ROW('All Player Data Store'!$Y$7)+1),COUNTIF($AC$8:AC281,AC281))),"")</f>
        <v/>
      </c>
      <c r="AN281" s="108" t="str">
        <f t="shared" si="23"/>
        <v/>
      </c>
      <c r="AO281" s="108" t="str">
        <f t="array" ref="AO281">IF(ISNUMBER(AC281),INDEX('All Player Data Store'!$O$8:$O$594,SMALL(IF('All Player Data Store'!$Y$7:$Y$594=AC281,ROW('All Player Data Store'!$Y$7:$Y$594)-ROW('All Player Data Store'!$Y$7)+1),COUNTIF($AC$8:AC281,AC281))),"")</f>
        <v/>
      </c>
      <c r="AP281" s="108" t="str">
        <f t="shared" si="24"/>
        <v/>
      </c>
      <c r="AQ281" s="108" t="str">
        <f t="array" ref="AQ281">IF(ISNUMBER(AC281),INDEX('All Player Data Store'!$P$8:$P$594,SMALL(IF('All Player Data Store'!$Y$7:$Y$594=AC281,ROW('All Player Data Store'!$Y$7:$Y$594)-ROW('All Player Data Store'!$Y$7)+1),COUNTIF($AC$8:AC281,AC281))),"")</f>
        <v/>
      </c>
      <c r="AR281" s="108" t="str">
        <f t="shared" si="25"/>
        <v/>
      </c>
      <c r="AS281" s="108" t="str">
        <f t="array" ref="AS281">IF(ISNUMBER(AC281),INDEX('All Player Data Store'!$Q$8:$Q$594,SMALL(IF('All Player Data Store'!$Y$7:$Y$594=AC281,ROW('All Player Data Store'!$Y$7:$Y$594)-ROW('All Player Data Store'!$Y$7)+1),COUNTIF($AC$8:AC281,AC281))),"")</f>
        <v/>
      </c>
      <c r="AT281" s="108" t="str">
        <f t="shared" si="26"/>
        <v/>
      </c>
      <c r="AU281" s="108" t="str">
        <f t="array" ref="AU281">IF(ISNUMBER(AC281),INDEX('All Player Data Store'!$R$8:$R$594,SMALL(IF('All Player Data Store'!$Y$7:$Y$594=AC281,ROW('All Player Data Store'!$Y$7:$Y$594)-ROW('All Player Data Store'!$Y$7)+1),COUNTIF($AC$8:AC281,AC281))),"")</f>
        <v/>
      </c>
      <c r="AV281" s="108" t="str">
        <f t="shared" si="27"/>
        <v/>
      </c>
      <c r="AW281" s="108" t="str">
        <f t="array" ref="AW281">IF(ISNUMBER(AC281),INDEX('All Player Data Store'!$S$8:$S$594,SMALL(IF('All Player Data Store'!$Y$7:$Y$594=AC281,ROW('All Player Data Store'!$Y$7:$Y$594)-ROW('All Player Data Store'!$Y$7)+1),COUNTIF($AC$8:AC281,AC281))),"")</f>
        <v/>
      </c>
      <c r="AX281" s="108" t="str">
        <f t="shared" si="28"/>
        <v/>
      </c>
      <c r="AY281" s="108" t="str">
        <f t="array" ref="AY281">IF(ISNUMBER(AC281),INDEX('All Player Data Store'!$T$8:$T$594,SMALL(IF('All Player Data Store'!$Y$7:$Y$594=AC281,ROW('All Player Data Store'!$Y$7:$Y$594)-ROW('All Player Data Store'!$Y$7)+1),COUNTIF($AC$8:AC281,AC281))),"")</f>
        <v/>
      </c>
      <c r="AZ281" s="108" t="str">
        <f t="shared" si="29"/>
        <v/>
      </c>
      <c r="BA281" s="108" t="str">
        <f t="array" ref="BA281">IF(ISNUMBER(AC281),INDEX('All Player Data Store'!$U$8:$U$594,SMALL(IF('All Player Data Store'!$Y$7:$Y$594=AC281,ROW('All Player Data Store'!$Y$7:$Y$594)-ROW('All Player Data Store'!$Y$7)+1),COUNTIF($AC$8:AC281,AC281))),"")</f>
        <v/>
      </c>
      <c r="BB281" s="108" t="str">
        <f t="shared" si="30"/>
        <v/>
      </c>
      <c r="BC281" s="108" t="str">
        <f t="array" ref="BC281">IF(ISNUMBER(AC281),INDEX('All Player Data Store'!$V$8:$V$594,SMALL(IF('All Player Data Store'!$Y$7:$Y$594=AC281,ROW('All Player Data Store'!$Y$7:$Y$594)-ROW('All Player Data Store'!$Y$7)+1),COUNTIF($AC$8:AC281,AC281))),"")</f>
        <v/>
      </c>
      <c r="BD281" s="108" t="str">
        <f t="shared" si="31"/>
        <v/>
      </c>
      <c r="BE281" s="1"/>
    </row>
    <row r="282" spans="2:57" ht="12" customHeight="1" x14ac:dyDescent="0.2">
      <c r="B282" s="118" t="str">
        <f t="shared" si="17"/>
        <v/>
      </c>
      <c r="C282" s="1"/>
      <c r="D282" s="68" t="str">
        <f t="shared" si="18"/>
        <v/>
      </c>
      <c r="E282" s="2"/>
      <c r="F282" s="78">
        <v>275</v>
      </c>
      <c r="G282" s="110" t="str">
        <f t="array" ref="G282">IF(ISNUMBER(AC282),INDEX('All Player Data Store'!$C$7:$C$594,SMALL(IF('All Player Data Store'!$Y$7:$Y$594=AC282,ROW('All Player Data Store'!$Y$7:$Y$594)-ROW('All Player Data Store'!$Y$7)+1),COUNTIF($AC$8:AC282,AC282))),"")</f>
        <v/>
      </c>
      <c r="H282" s="68" t="str">
        <f t="array" ref="H282">IF(ISNUMBER(AC282),INDEX('All Player Data Store'!$D$7:$D$594,SMALL(IF('All Player Data Store'!$Y$7:$Y$594=AC282,ROW('All Player Data Store'!$Y$7:$Y$594)-ROW('All Player Data Store'!$Y$7)+1),COUNTIF($AC$8:AC282,AC282))),"")</f>
        <v/>
      </c>
      <c r="I282" s="69" t="str">
        <f t="array" ref="I282">IF(ISNUMBER(AC282),INDEX('All Player Data Store'!$E$7:$E$594,SMALL(IF('All Player Data Store'!$Y$7:$Y$594=AC282,ROW('All Player Data Store'!$Y$7:$Y$594)-ROW('All Player Data Store'!$Y$7)+1),COUNTIF($AC$8:AC282,AC282))),"")</f>
        <v/>
      </c>
      <c r="J282" s="70" t="str">
        <f t="array" ref="J282">IF(ISNUMBER(AC282),INDEX('All Player Data Store'!$F$7:$F$594,SMALL(IF('All Player Data Store'!$Y$7:$Y$594=AC282,ROW('All Player Data Store'!$Y$7:$Y$594)-ROW('All Player Data Store'!$Y$7)+1),COUNTIF($AC$8:AC282,AC282))),"")</f>
        <v/>
      </c>
      <c r="K282" s="70" t="str">
        <f t="array" ref="K282">IF(ISNUMBER(AC282),INDEX('All Player Data Store'!$G$7:$G$594,SMALL(IF('All Player Data Store'!$Y$7:$Y$594=AC282,ROW('All Player Data Store'!$Y$7:$Y$594)-ROW('All Player Data Store'!$Y$7)+1),COUNTIF($AC$8:AC282,AC282))),"")</f>
        <v/>
      </c>
      <c r="L282" s="70" t="str">
        <f t="array" ref="L282">IF(ISNUMBER(AC282),INDEX('All Player Data Store'!$H$7:$H$594,SMALL(IF('All Player Data Store'!$Y$7:$Y$594=AC282,ROW('All Player Data Store'!$Y$7:$Y$594)-ROW('All Player Data Store'!$Y$7)+1),COUNTIF($AC$8:AC282,AC282))),"")</f>
        <v/>
      </c>
      <c r="M282" s="72" t="str">
        <f t="array" ref="M282">IF(ISNUMBER(AC282),INDEX('All Player Data Store'!$I$7:$I$594,SMALL(IF('All Player Data Store'!$Y$7:$Y$594=AC282,ROW('All Player Data Store'!$Y$7:$Y$594)-ROW('All Player Data Store'!$Y$7)+1),COUNTIF($AC$8:AC282,AC282))),"")</f>
        <v/>
      </c>
      <c r="N282" s="114" t="str">
        <f t="array" ref="N282">IF(ISNUMBER(AC282),INDEX('All Player Data Store'!$J$7:$J$594,SMALL(IF('All Player Data Store'!$Y$7:$Y$594=AC282,ROW('All Player Data Store'!$Y$7:$Y$594)-ROW('All Player Data Store'!$Y$7)+1),COUNTIF($AC$8:AC282,AC282))),"")</f>
        <v/>
      </c>
      <c r="O282" s="108" t="str">
        <f t="array" ref="O282">IF(ISNUMBER(AC282),INDEX('All Player Data Store'!$K$7:$K$594,SMALL(IF('All Player Data Store'!$Y$7:$Y$594=AC282,ROW('All Player Data Store'!$Y$7:$Y$594)-ROW('All Player Data Store'!$Y$7)+1),COUNTIF($AC$8:AC282,AC282))),"")</f>
        <v/>
      </c>
      <c r="P282" s="108" t="str">
        <f t="array" ref="P282">IF(ISNUMBER(AC282),INDEX('All Player Data Store'!$L$7:$L$594,SMALL(IF('All Player Data Store'!$Y$7:$Y$594=AC282,ROW('All Player Data Store'!$Y$7:$Y$594)-ROW('All Player Data Store'!$Y$7)+1),COUNTIF($AC$8:AC282,AC282))),"")</f>
        <v/>
      </c>
      <c r="Q282" s="108" t="str">
        <f t="array" ref="Q282">IF(ISNUMBER(AC282),INDEX('All Player Data Store'!$M$7:$M$594,SMALL(IF('All Player Data Store'!$Y$7:$Y$594=AC282,ROW('All Player Data Store'!$Y$7:$Y$594)-ROW('All Player Data Store'!$Y$7)+1),COUNTIF($AC$8:AC282,AC282))),"")</f>
        <v/>
      </c>
      <c r="R282" s="108" t="str">
        <f t="array" ref="R282">IF(ISNUMBER(AC282),INDEX('All Player Data Store'!$N$7:$N$594,SMALL(IF('All Player Data Store'!$Y$7:$Y$594=AC282,ROW('All Player Data Store'!$Y$7:$Y$594)-ROW('All Player Data Store'!$Y$7)+1),COUNTIF($AC$8:AC282,AC282))),"")</f>
        <v/>
      </c>
      <c r="S282" s="108" t="str">
        <f t="array" ref="S282">IF(ISNUMBER(AC282),INDEX('All Player Data Store'!$O$7:$O$594,SMALL(IF('All Player Data Store'!$Y$7:$Y$594=AC282,ROW('All Player Data Store'!$Y$7:$Y$594)-ROW('All Player Data Store'!$Y$7)+1),COUNTIF($AC$8:AC282,AC282))),"")</f>
        <v/>
      </c>
      <c r="T282" s="108" t="str">
        <f t="array" ref="T282">IF(ISNUMBER(AC282),INDEX('All Player Data Store'!$P$7:$P$594,SMALL(IF('All Player Data Store'!$Y$7:$Y$594=AC282,ROW('All Player Data Store'!$Y$7:$Y$594)-ROW('All Player Data Store'!$Y$7)+1),COUNTIF($AC$8:AC282,AC282))),"")</f>
        <v/>
      </c>
      <c r="U282" s="108" t="str">
        <f t="array" ref="U282">IF(ISNUMBER(AC282),INDEX('All Player Data Store'!$Q$7:$Q$594,SMALL(IF('All Player Data Store'!$Y$7:$Y$594=AC282,ROW('All Player Data Store'!$Y$7:$Y$594)-ROW('All Player Data Store'!$Y$7)+1),COUNTIF($AC$8:AC282,AC282))),"")</f>
        <v/>
      </c>
      <c r="V282" s="108" t="str">
        <f t="array" ref="V282">IF(ISNUMBER(AC282),INDEX('All Player Data Store'!$R$7:$R$594,SMALL(IF('All Player Data Store'!$Y$7:$Y$594=AC282,ROW('All Player Data Store'!$Y$7:$Y$594)-ROW('All Player Data Store'!$Y$7)+1),COUNTIF($AC$8:AC282,AC282))),"")</f>
        <v/>
      </c>
      <c r="W282" s="108" t="str">
        <f t="array" ref="W282">IF(ISNUMBER(AC282),INDEX('All Player Data Store'!$S$7:$S$594,SMALL(IF('All Player Data Store'!$Y$7:$Y$594=AC282,ROW('All Player Data Store'!$Y$7:$Y$594)-ROW('All Player Data Store'!$Y$7)+1),COUNTIF($AC$8:AC282,AC282))),"")</f>
        <v/>
      </c>
      <c r="X282" s="108" t="str">
        <f t="array" ref="X282">IF(ISNUMBER(AC282),INDEX('All Player Data Store'!$T$7:$T$594,SMALL(IF('All Player Data Store'!$Y$7:$Y$594=AC282,ROW('All Player Data Store'!$Y$7:$Y$594)-ROW('All Player Data Store'!$Y$7)+1),COUNTIF($AC$8:AC282,AC282))),"")</f>
        <v/>
      </c>
      <c r="Y282" s="108" t="str">
        <f t="array" ref="Y282">IF(ISNUMBER(AC282),INDEX('All Player Data Store'!$U$7:$U$594,SMALL(IF('All Player Data Store'!$Y$7:$Y$594=AC282,ROW('All Player Data Store'!$Y$7:$Y$594)-ROW('All Player Data Store'!$Y$7)+1),COUNTIF($AC$8:AC282,AC282))),"")</f>
        <v/>
      </c>
      <c r="Z282" s="108" t="str">
        <f t="array" ref="Z282">IF(ISNUMBER(AC282),INDEX('All Player Data Store'!$V$7:$V$594,SMALL(IF('All Player Data Store'!$Y$7:$Y$594=AC282,ROW('All Player Data Store'!$Y$7:$Y$594)-ROW('All Player Data Store'!$Y$7)+1),COUNTIF($AC$8:AC282,AC282))),"")</f>
        <v/>
      </c>
      <c r="AA282" s="112" t="str">
        <f t="array" ref="AA282">IF(ISNUMBER(AC282),INDEX('All Player Data Store'!$W$7:$W$594,SMALL(IF('All Player Data Store'!$Y$7:$Y$594=AC282,ROW('All Player Data Store'!$Y$7:$Y$594)-ROW('All Player Data Store'!$Y$7)+1),COUNTIF($AC$8:AC282,AC282))),"")</f>
        <v/>
      </c>
      <c r="AB282" s="108" t="str">
        <f t="array" ref="AB282">IF(ISNUMBER(AC282),INDEX('All Player Data Store'!$X$7:$X$594,SMALL(IF('All Player Data Store'!$Y$7:$Y$594=AC282,ROW('All Player Data Store'!$Y$7:$Y$594)-ROW('All Player Data Store'!$Y$7)+1),COUNTIF($AC$8:AC282,AC282))),"")</f>
        <v/>
      </c>
      <c r="AC282" s="115" t="str">
        <f>IF(ISERROR(IF(ISERROR(LARGE('All Player Data Store'!$Y$7:$Y$594,275)),"",(LARGE('All Player Data Store'!$Y$7:$Y$594,275)))),"",(IF(ISERROR(LARGE('All Player Data Store'!$Y$7:$Y$594,275)),"",(LARGE('All Player Data Store'!$Y$7:$Y$594,275)))))</f>
        <v/>
      </c>
      <c r="AD282" s="106">
        <f t="shared" si="16"/>
        <v>1</v>
      </c>
      <c r="AE282" s="107" t="str">
        <f t="array" ref="AE282">IF(ISNUMBER(AC282),INDEX('All Player Data Store'!$J$8:$J$594,SMALL(IF('All Player Data Store'!$Y$7:$Y$594=AC282,ROW('All Player Data Store'!$Y$7:$Y$594)-ROW('All Player Data Store'!$Y$7)+1),COUNTIF($AC$8:AC282,AC282))),"")</f>
        <v/>
      </c>
      <c r="AF282" s="108" t="str">
        <f t="shared" si="19"/>
        <v/>
      </c>
      <c r="AG282" s="108" t="str">
        <f t="array" ref="AG282">IF(ISNUMBER(AC282),INDEX('All Player Data Store'!$K$8:$K$594,SMALL(IF('All Player Data Store'!$Y$7:$Y$594=AC282,ROW('All Player Data Store'!$Y$7:$Y$594)-ROW('All Player Data Store'!$Y$7)+1),COUNTIF($AC$8:AC282,AC282))),"")</f>
        <v/>
      </c>
      <c r="AH282" s="108" t="str">
        <f t="shared" si="20"/>
        <v/>
      </c>
      <c r="AI282" s="108" t="str">
        <f t="array" ref="AI282">IF(ISNUMBER(AC282),INDEX('All Player Data Store'!$L$8:$L$594,SMALL(IF('All Player Data Store'!$Y$7:$Y$594=AC282,ROW('All Player Data Store'!$Y$7:$Y$594)-ROW('All Player Data Store'!$Y$7)+1),COUNTIF($AC$8:AC282,AC282))),"")</f>
        <v/>
      </c>
      <c r="AJ282" s="108" t="str">
        <f t="shared" si="21"/>
        <v/>
      </c>
      <c r="AK282" s="108" t="str">
        <f t="array" ref="AK282">IF(ISNUMBER(AC282),INDEX('All Player Data Store'!$M$8:$M$594,SMALL(IF('All Player Data Store'!$Y$7:$Y$594=AC282,ROW('All Player Data Store'!$Y$7:$Y$594)-ROW('All Player Data Store'!$Y$7)+1),COUNTIF($AC$8:AC282,AC282))),"")</f>
        <v/>
      </c>
      <c r="AL282" s="108" t="str">
        <f t="shared" si="22"/>
        <v/>
      </c>
      <c r="AM282" s="108" t="str">
        <f t="array" ref="AM282">IF(ISNUMBER(AC282),INDEX('All Player Data Store'!$N$8:$N$594,SMALL(IF('All Player Data Store'!$Y$7:$Y$594=AC282,ROW('All Player Data Store'!$Y$7:$Y$594)-ROW('All Player Data Store'!$Y$7)+1),COUNTIF($AC$8:AC282,AC282))),"")</f>
        <v/>
      </c>
      <c r="AN282" s="108" t="str">
        <f t="shared" si="23"/>
        <v/>
      </c>
      <c r="AO282" s="108" t="str">
        <f t="array" ref="AO282">IF(ISNUMBER(AC282),INDEX('All Player Data Store'!$O$8:$O$594,SMALL(IF('All Player Data Store'!$Y$7:$Y$594=AC282,ROW('All Player Data Store'!$Y$7:$Y$594)-ROW('All Player Data Store'!$Y$7)+1),COUNTIF($AC$8:AC282,AC282))),"")</f>
        <v/>
      </c>
      <c r="AP282" s="108" t="str">
        <f t="shared" si="24"/>
        <v/>
      </c>
      <c r="AQ282" s="108" t="str">
        <f t="array" ref="AQ282">IF(ISNUMBER(AC282),INDEX('All Player Data Store'!$P$8:$P$594,SMALL(IF('All Player Data Store'!$Y$7:$Y$594=AC282,ROW('All Player Data Store'!$Y$7:$Y$594)-ROW('All Player Data Store'!$Y$7)+1),COUNTIF($AC$8:AC282,AC282))),"")</f>
        <v/>
      </c>
      <c r="AR282" s="108" t="str">
        <f t="shared" si="25"/>
        <v/>
      </c>
      <c r="AS282" s="108" t="str">
        <f t="array" ref="AS282">IF(ISNUMBER(AC282),INDEX('All Player Data Store'!$Q$8:$Q$594,SMALL(IF('All Player Data Store'!$Y$7:$Y$594=AC282,ROW('All Player Data Store'!$Y$7:$Y$594)-ROW('All Player Data Store'!$Y$7)+1),COUNTIF($AC$8:AC282,AC282))),"")</f>
        <v/>
      </c>
      <c r="AT282" s="108" t="str">
        <f t="shared" si="26"/>
        <v/>
      </c>
      <c r="AU282" s="108" t="str">
        <f t="array" ref="AU282">IF(ISNUMBER(AC282),INDEX('All Player Data Store'!$R$8:$R$594,SMALL(IF('All Player Data Store'!$Y$7:$Y$594=AC282,ROW('All Player Data Store'!$Y$7:$Y$594)-ROW('All Player Data Store'!$Y$7)+1),COUNTIF($AC$8:AC282,AC282))),"")</f>
        <v/>
      </c>
      <c r="AV282" s="108" t="str">
        <f t="shared" si="27"/>
        <v/>
      </c>
      <c r="AW282" s="108" t="str">
        <f t="array" ref="AW282">IF(ISNUMBER(AC282),INDEX('All Player Data Store'!$S$8:$S$594,SMALL(IF('All Player Data Store'!$Y$7:$Y$594=AC282,ROW('All Player Data Store'!$Y$7:$Y$594)-ROW('All Player Data Store'!$Y$7)+1),COUNTIF($AC$8:AC282,AC282))),"")</f>
        <v/>
      </c>
      <c r="AX282" s="108" t="str">
        <f t="shared" si="28"/>
        <v/>
      </c>
      <c r="AY282" s="108" t="str">
        <f t="array" ref="AY282">IF(ISNUMBER(AC282),INDEX('All Player Data Store'!$T$8:$T$594,SMALL(IF('All Player Data Store'!$Y$7:$Y$594=AC282,ROW('All Player Data Store'!$Y$7:$Y$594)-ROW('All Player Data Store'!$Y$7)+1),COUNTIF($AC$8:AC282,AC282))),"")</f>
        <v/>
      </c>
      <c r="AZ282" s="108" t="str">
        <f t="shared" si="29"/>
        <v/>
      </c>
      <c r="BA282" s="108" t="str">
        <f t="array" ref="BA282">IF(ISNUMBER(AC282),INDEX('All Player Data Store'!$U$8:$U$594,SMALL(IF('All Player Data Store'!$Y$7:$Y$594=AC282,ROW('All Player Data Store'!$Y$7:$Y$594)-ROW('All Player Data Store'!$Y$7)+1),COUNTIF($AC$8:AC282,AC282))),"")</f>
        <v/>
      </c>
      <c r="BB282" s="108" t="str">
        <f t="shared" si="30"/>
        <v/>
      </c>
      <c r="BC282" s="108" t="str">
        <f t="array" ref="BC282">IF(ISNUMBER(AC282),INDEX('All Player Data Store'!$V$8:$V$594,SMALL(IF('All Player Data Store'!$Y$7:$Y$594=AC282,ROW('All Player Data Store'!$Y$7:$Y$594)-ROW('All Player Data Store'!$Y$7)+1),COUNTIF($AC$8:AC282,AC282))),"")</f>
        <v/>
      </c>
      <c r="BD282" s="108" t="str">
        <f t="shared" si="31"/>
        <v/>
      </c>
      <c r="BE282" s="1"/>
    </row>
    <row r="283" spans="2:57" ht="12" customHeight="1" x14ac:dyDescent="0.2">
      <c r="B283" s="118" t="str">
        <f t="shared" si="17"/>
        <v/>
      </c>
      <c r="C283" s="1"/>
      <c r="D283" s="68" t="str">
        <f t="shared" si="18"/>
        <v/>
      </c>
      <c r="E283" s="2"/>
      <c r="F283" s="78">
        <v>276</v>
      </c>
      <c r="G283" s="110" t="str">
        <f t="array" ref="G283">IF(ISNUMBER(AC283),INDEX('All Player Data Store'!$C$7:$C$594,SMALL(IF('All Player Data Store'!$Y$7:$Y$594=AC283,ROW('All Player Data Store'!$Y$7:$Y$594)-ROW('All Player Data Store'!$Y$7)+1),COUNTIF($AC$8:AC283,AC283))),"")</f>
        <v/>
      </c>
      <c r="H283" s="68" t="str">
        <f t="array" ref="H283">IF(ISNUMBER(AC283),INDEX('All Player Data Store'!$D$7:$D$594,SMALL(IF('All Player Data Store'!$Y$7:$Y$594=AC283,ROW('All Player Data Store'!$Y$7:$Y$594)-ROW('All Player Data Store'!$Y$7)+1),COUNTIF($AC$8:AC283,AC283))),"")</f>
        <v/>
      </c>
      <c r="I283" s="69" t="str">
        <f t="array" ref="I283">IF(ISNUMBER(AC283),INDEX('All Player Data Store'!$E$7:$E$594,SMALL(IF('All Player Data Store'!$Y$7:$Y$594=AC283,ROW('All Player Data Store'!$Y$7:$Y$594)-ROW('All Player Data Store'!$Y$7)+1),COUNTIF($AC$8:AC283,AC283))),"")</f>
        <v/>
      </c>
      <c r="J283" s="70" t="str">
        <f t="array" ref="J283">IF(ISNUMBER(AC283),INDEX('All Player Data Store'!$F$7:$F$594,SMALL(IF('All Player Data Store'!$Y$7:$Y$594=AC283,ROW('All Player Data Store'!$Y$7:$Y$594)-ROW('All Player Data Store'!$Y$7)+1),COUNTIF($AC$8:AC283,AC283))),"")</f>
        <v/>
      </c>
      <c r="K283" s="70" t="str">
        <f t="array" ref="K283">IF(ISNUMBER(AC283),INDEX('All Player Data Store'!$G$7:$G$594,SMALL(IF('All Player Data Store'!$Y$7:$Y$594=AC283,ROW('All Player Data Store'!$Y$7:$Y$594)-ROW('All Player Data Store'!$Y$7)+1),COUNTIF($AC$8:AC283,AC283))),"")</f>
        <v/>
      </c>
      <c r="L283" s="70" t="str">
        <f t="array" ref="L283">IF(ISNUMBER(AC283),INDEX('All Player Data Store'!$H$7:$H$594,SMALL(IF('All Player Data Store'!$Y$7:$Y$594=AC283,ROW('All Player Data Store'!$Y$7:$Y$594)-ROW('All Player Data Store'!$Y$7)+1),COUNTIF($AC$8:AC283,AC283))),"")</f>
        <v/>
      </c>
      <c r="M283" s="72" t="str">
        <f t="array" ref="M283">IF(ISNUMBER(AC283),INDEX('All Player Data Store'!$I$7:$I$594,SMALL(IF('All Player Data Store'!$Y$7:$Y$594=AC283,ROW('All Player Data Store'!$Y$7:$Y$594)-ROW('All Player Data Store'!$Y$7)+1),COUNTIF($AC$8:AC283,AC283))),"")</f>
        <v/>
      </c>
      <c r="N283" s="114" t="str">
        <f t="array" ref="N283">IF(ISNUMBER(AC283),INDEX('All Player Data Store'!$J$7:$J$594,SMALL(IF('All Player Data Store'!$Y$7:$Y$594=AC283,ROW('All Player Data Store'!$Y$7:$Y$594)-ROW('All Player Data Store'!$Y$7)+1),COUNTIF($AC$8:AC283,AC283))),"")</f>
        <v/>
      </c>
      <c r="O283" s="108" t="str">
        <f t="array" ref="O283">IF(ISNUMBER(AC283),INDEX('All Player Data Store'!$K$7:$K$594,SMALL(IF('All Player Data Store'!$Y$7:$Y$594=AC283,ROW('All Player Data Store'!$Y$7:$Y$594)-ROW('All Player Data Store'!$Y$7)+1),COUNTIF($AC$8:AC283,AC283))),"")</f>
        <v/>
      </c>
      <c r="P283" s="108" t="str">
        <f t="array" ref="P283">IF(ISNUMBER(AC283),INDEX('All Player Data Store'!$L$7:$L$594,SMALL(IF('All Player Data Store'!$Y$7:$Y$594=AC283,ROW('All Player Data Store'!$Y$7:$Y$594)-ROW('All Player Data Store'!$Y$7)+1),COUNTIF($AC$8:AC283,AC283))),"")</f>
        <v/>
      </c>
      <c r="Q283" s="108" t="str">
        <f t="array" ref="Q283">IF(ISNUMBER(AC283),INDEX('All Player Data Store'!$M$7:$M$594,SMALL(IF('All Player Data Store'!$Y$7:$Y$594=AC283,ROW('All Player Data Store'!$Y$7:$Y$594)-ROW('All Player Data Store'!$Y$7)+1),COUNTIF($AC$8:AC283,AC283))),"")</f>
        <v/>
      </c>
      <c r="R283" s="108" t="str">
        <f t="array" ref="R283">IF(ISNUMBER(AC283),INDEX('All Player Data Store'!$N$7:$N$594,SMALL(IF('All Player Data Store'!$Y$7:$Y$594=AC283,ROW('All Player Data Store'!$Y$7:$Y$594)-ROW('All Player Data Store'!$Y$7)+1),COUNTIF($AC$8:AC283,AC283))),"")</f>
        <v/>
      </c>
      <c r="S283" s="108" t="str">
        <f t="array" ref="S283">IF(ISNUMBER(AC283),INDEX('All Player Data Store'!$O$7:$O$594,SMALL(IF('All Player Data Store'!$Y$7:$Y$594=AC283,ROW('All Player Data Store'!$Y$7:$Y$594)-ROW('All Player Data Store'!$Y$7)+1),COUNTIF($AC$8:AC283,AC283))),"")</f>
        <v/>
      </c>
      <c r="T283" s="108" t="str">
        <f t="array" ref="T283">IF(ISNUMBER(AC283),INDEX('All Player Data Store'!$P$7:$P$594,SMALL(IF('All Player Data Store'!$Y$7:$Y$594=AC283,ROW('All Player Data Store'!$Y$7:$Y$594)-ROW('All Player Data Store'!$Y$7)+1),COUNTIF($AC$8:AC283,AC283))),"")</f>
        <v/>
      </c>
      <c r="U283" s="108" t="str">
        <f t="array" ref="U283">IF(ISNUMBER(AC283),INDEX('All Player Data Store'!$Q$7:$Q$594,SMALL(IF('All Player Data Store'!$Y$7:$Y$594=AC283,ROW('All Player Data Store'!$Y$7:$Y$594)-ROW('All Player Data Store'!$Y$7)+1),COUNTIF($AC$8:AC283,AC283))),"")</f>
        <v/>
      </c>
      <c r="V283" s="108" t="str">
        <f t="array" ref="V283">IF(ISNUMBER(AC283),INDEX('All Player Data Store'!$R$7:$R$594,SMALL(IF('All Player Data Store'!$Y$7:$Y$594=AC283,ROW('All Player Data Store'!$Y$7:$Y$594)-ROW('All Player Data Store'!$Y$7)+1),COUNTIF($AC$8:AC283,AC283))),"")</f>
        <v/>
      </c>
      <c r="W283" s="108" t="str">
        <f t="array" ref="W283">IF(ISNUMBER(AC283),INDEX('All Player Data Store'!$S$7:$S$594,SMALL(IF('All Player Data Store'!$Y$7:$Y$594=AC283,ROW('All Player Data Store'!$Y$7:$Y$594)-ROW('All Player Data Store'!$Y$7)+1),COUNTIF($AC$8:AC283,AC283))),"")</f>
        <v/>
      </c>
      <c r="X283" s="108" t="str">
        <f t="array" ref="X283">IF(ISNUMBER(AC283),INDEX('All Player Data Store'!$T$7:$T$594,SMALL(IF('All Player Data Store'!$Y$7:$Y$594=AC283,ROW('All Player Data Store'!$Y$7:$Y$594)-ROW('All Player Data Store'!$Y$7)+1),COUNTIF($AC$8:AC283,AC283))),"")</f>
        <v/>
      </c>
      <c r="Y283" s="108" t="str">
        <f t="array" ref="Y283">IF(ISNUMBER(AC283),INDEX('All Player Data Store'!$U$7:$U$594,SMALL(IF('All Player Data Store'!$Y$7:$Y$594=AC283,ROW('All Player Data Store'!$Y$7:$Y$594)-ROW('All Player Data Store'!$Y$7)+1),COUNTIF($AC$8:AC283,AC283))),"")</f>
        <v/>
      </c>
      <c r="Z283" s="108" t="str">
        <f t="array" ref="Z283">IF(ISNUMBER(AC283),INDEX('All Player Data Store'!$V$7:$V$594,SMALL(IF('All Player Data Store'!$Y$7:$Y$594=AC283,ROW('All Player Data Store'!$Y$7:$Y$594)-ROW('All Player Data Store'!$Y$7)+1),COUNTIF($AC$8:AC283,AC283))),"")</f>
        <v/>
      </c>
      <c r="AA283" s="112" t="str">
        <f t="array" ref="AA283">IF(ISNUMBER(AC283),INDEX('All Player Data Store'!$W$7:$W$594,SMALL(IF('All Player Data Store'!$Y$7:$Y$594=AC283,ROW('All Player Data Store'!$Y$7:$Y$594)-ROW('All Player Data Store'!$Y$7)+1),COUNTIF($AC$8:AC283,AC283))),"")</f>
        <v/>
      </c>
      <c r="AB283" s="108" t="str">
        <f t="array" ref="AB283">IF(ISNUMBER(AC283),INDEX('All Player Data Store'!$X$7:$X$594,SMALL(IF('All Player Data Store'!$Y$7:$Y$594=AC283,ROW('All Player Data Store'!$Y$7:$Y$594)-ROW('All Player Data Store'!$Y$7)+1),COUNTIF($AC$8:AC283,AC283))),"")</f>
        <v/>
      </c>
      <c r="AC283" s="115" t="str">
        <f>IF(ISERROR(IF(ISERROR(LARGE('All Player Data Store'!$Y$7:$Y$594,276)),"",(LARGE('All Player Data Store'!$Y$7:$Y$594,276)))),"",(IF(ISERROR(LARGE('All Player Data Store'!$Y$7:$Y$594,276)),"",(LARGE('All Player Data Store'!$Y$7:$Y$594,276)))))</f>
        <v/>
      </c>
      <c r="AD283" s="106">
        <f t="shared" si="16"/>
        <v>1</v>
      </c>
      <c r="AE283" s="107" t="str">
        <f t="array" ref="AE283">IF(ISNUMBER(AC283),INDEX('All Player Data Store'!$J$8:$J$594,SMALL(IF('All Player Data Store'!$Y$7:$Y$594=AC283,ROW('All Player Data Store'!$Y$7:$Y$594)-ROW('All Player Data Store'!$Y$7)+1),COUNTIF($AC$8:AC283,AC283))),"")</f>
        <v/>
      </c>
      <c r="AF283" s="108" t="str">
        <f t="shared" si="19"/>
        <v/>
      </c>
      <c r="AG283" s="108" t="str">
        <f t="array" ref="AG283">IF(ISNUMBER(AC283),INDEX('All Player Data Store'!$K$8:$K$594,SMALL(IF('All Player Data Store'!$Y$7:$Y$594=AC283,ROW('All Player Data Store'!$Y$7:$Y$594)-ROW('All Player Data Store'!$Y$7)+1),COUNTIF($AC$8:AC283,AC283))),"")</f>
        <v/>
      </c>
      <c r="AH283" s="108" t="str">
        <f t="shared" si="20"/>
        <v/>
      </c>
      <c r="AI283" s="108" t="str">
        <f t="array" ref="AI283">IF(ISNUMBER(AC283),INDEX('All Player Data Store'!$L$8:$L$594,SMALL(IF('All Player Data Store'!$Y$7:$Y$594=AC283,ROW('All Player Data Store'!$Y$7:$Y$594)-ROW('All Player Data Store'!$Y$7)+1),COUNTIF($AC$8:AC283,AC283))),"")</f>
        <v/>
      </c>
      <c r="AJ283" s="108" t="str">
        <f t="shared" si="21"/>
        <v/>
      </c>
      <c r="AK283" s="108" t="str">
        <f t="array" ref="AK283">IF(ISNUMBER(AC283),INDEX('All Player Data Store'!$M$8:$M$594,SMALL(IF('All Player Data Store'!$Y$7:$Y$594=AC283,ROW('All Player Data Store'!$Y$7:$Y$594)-ROW('All Player Data Store'!$Y$7)+1),COUNTIF($AC$8:AC283,AC283))),"")</f>
        <v/>
      </c>
      <c r="AL283" s="108" t="str">
        <f t="shared" si="22"/>
        <v/>
      </c>
      <c r="AM283" s="108" t="str">
        <f t="array" ref="AM283">IF(ISNUMBER(AC283),INDEX('All Player Data Store'!$N$8:$N$594,SMALL(IF('All Player Data Store'!$Y$7:$Y$594=AC283,ROW('All Player Data Store'!$Y$7:$Y$594)-ROW('All Player Data Store'!$Y$7)+1),COUNTIF($AC$8:AC283,AC283))),"")</f>
        <v/>
      </c>
      <c r="AN283" s="108" t="str">
        <f t="shared" si="23"/>
        <v/>
      </c>
      <c r="AO283" s="108" t="str">
        <f t="array" ref="AO283">IF(ISNUMBER(AC283),INDEX('All Player Data Store'!$O$8:$O$594,SMALL(IF('All Player Data Store'!$Y$7:$Y$594=AC283,ROW('All Player Data Store'!$Y$7:$Y$594)-ROW('All Player Data Store'!$Y$7)+1),COUNTIF($AC$8:AC283,AC283))),"")</f>
        <v/>
      </c>
      <c r="AP283" s="108" t="str">
        <f t="shared" si="24"/>
        <v/>
      </c>
      <c r="AQ283" s="108" t="str">
        <f t="array" ref="AQ283">IF(ISNUMBER(AC283),INDEX('All Player Data Store'!$P$8:$P$594,SMALL(IF('All Player Data Store'!$Y$7:$Y$594=AC283,ROW('All Player Data Store'!$Y$7:$Y$594)-ROW('All Player Data Store'!$Y$7)+1),COUNTIF($AC$8:AC283,AC283))),"")</f>
        <v/>
      </c>
      <c r="AR283" s="108" t="str">
        <f t="shared" si="25"/>
        <v/>
      </c>
      <c r="AS283" s="108" t="str">
        <f t="array" ref="AS283">IF(ISNUMBER(AC283),INDEX('All Player Data Store'!$Q$8:$Q$594,SMALL(IF('All Player Data Store'!$Y$7:$Y$594=AC283,ROW('All Player Data Store'!$Y$7:$Y$594)-ROW('All Player Data Store'!$Y$7)+1),COUNTIF($AC$8:AC283,AC283))),"")</f>
        <v/>
      </c>
      <c r="AT283" s="108" t="str">
        <f t="shared" si="26"/>
        <v/>
      </c>
      <c r="AU283" s="108" t="str">
        <f t="array" ref="AU283">IF(ISNUMBER(AC283),INDEX('All Player Data Store'!$R$8:$R$594,SMALL(IF('All Player Data Store'!$Y$7:$Y$594=AC283,ROW('All Player Data Store'!$Y$7:$Y$594)-ROW('All Player Data Store'!$Y$7)+1),COUNTIF($AC$8:AC283,AC283))),"")</f>
        <v/>
      </c>
      <c r="AV283" s="108" t="str">
        <f t="shared" si="27"/>
        <v/>
      </c>
      <c r="AW283" s="108" t="str">
        <f t="array" ref="AW283">IF(ISNUMBER(AC283),INDEX('All Player Data Store'!$S$8:$S$594,SMALL(IF('All Player Data Store'!$Y$7:$Y$594=AC283,ROW('All Player Data Store'!$Y$7:$Y$594)-ROW('All Player Data Store'!$Y$7)+1),COUNTIF($AC$8:AC283,AC283))),"")</f>
        <v/>
      </c>
      <c r="AX283" s="108" t="str">
        <f t="shared" si="28"/>
        <v/>
      </c>
      <c r="AY283" s="108" t="str">
        <f t="array" ref="AY283">IF(ISNUMBER(AC283),INDEX('All Player Data Store'!$T$8:$T$594,SMALL(IF('All Player Data Store'!$Y$7:$Y$594=AC283,ROW('All Player Data Store'!$Y$7:$Y$594)-ROW('All Player Data Store'!$Y$7)+1),COUNTIF($AC$8:AC283,AC283))),"")</f>
        <v/>
      </c>
      <c r="AZ283" s="108" t="str">
        <f t="shared" si="29"/>
        <v/>
      </c>
      <c r="BA283" s="108" t="str">
        <f t="array" ref="BA283">IF(ISNUMBER(AC283),INDEX('All Player Data Store'!$U$8:$U$594,SMALL(IF('All Player Data Store'!$Y$7:$Y$594=AC283,ROW('All Player Data Store'!$Y$7:$Y$594)-ROW('All Player Data Store'!$Y$7)+1),COUNTIF($AC$8:AC283,AC283))),"")</f>
        <v/>
      </c>
      <c r="BB283" s="108" t="str">
        <f t="shared" si="30"/>
        <v/>
      </c>
      <c r="BC283" s="108" t="str">
        <f t="array" ref="BC283">IF(ISNUMBER(AC283),INDEX('All Player Data Store'!$V$8:$V$594,SMALL(IF('All Player Data Store'!$Y$7:$Y$594=AC283,ROW('All Player Data Store'!$Y$7:$Y$594)-ROW('All Player Data Store'!$Y$7)+1),COUNTIF($AC$8:AC283,AC283))),"")</f>
        <v/>
      </c>
      <c r="BD283" s="108" t="str">
        <f t="shared" si="31"/>
        <v/>
      </c>
      <c r="BE283" s="1"/>
    </row>
    <row r="284" spans="2:57" ht="12" customHeight="1" x14ac:dyDescent="0.2">
      <c r="B284" s="118" t="str">
        <f t="shared" si="17"/>
        <v/>
      </c>
      <c r="C284" s="1"/>
      <c r="D284" s="68" t="str">
        <f t="shared" si="18"/>
        <v/>
      </c>
      <c r="E284" s="2"/>
      <c r="F284" s="78">
        <v>277</v>
      </c>
      <c r="G284" s="110" t="str">
        <f t="array" ref="G284">IF(ISNUMBER(AC284),INDEX('All Player Data Store'!$C$7:$C$594,SMALL(IF('All Player Data Store'!$Y$7:$Y$594=AC284,ROW('All Player Data Store'!$Y$7:$Y$594)-ROW('All Player Data Store'!$Y$7)+1),COUNTIF($AC$8:AC284,AC284))),"")</f>
        <v/>
      </c>
      <c r="H284" s="68" t="str">
        <f t="array" ref="H284">IF(ISNUMBER(AC284),INDEX('All Player Data Store'!$D$7:$D$594,SMALL(IF('All Player Data Store'!$Y$7:$Y$594=AC284,ROW('All Player Data Store'!$Y$7:$Y$594)-ROW('All Player Data Store'!$Y$7)+1),COUNTIF($AC$8:AC284,AC284))),"")</f>
        <v/>
      </c>
      <c r="I284" s="69" t="str">
        <f t="array" ref="I284">IF(ISNUMBER(AC284),INDEX('All Player Data Store'!$E$7:$E$594,SMALL(IF('All Player Data Store'!$Y$7:$Y$594=AC284,ROW('All Player Data Store'!$Y$7:$Y$594)-ROW('All Player Data Store'!$Y$7)+1),COUNTIF($AC$8:AC284,AC284))),"")</f>
        <v/>
      </c>
      <c r="J284" s="70" t="str">
        <f t="array" ref="J284">IF(ISNUMBER(AC284),INDEX('All Player Data Store'!$F$7:$F$594,SMALL(IF('All Player Data Store'!$Y$7:$Y$594=AC284,ROW('All Player Data Store'!$Y$7:$Y$594)-ROW('All Player Data Store'!$Y$7)+1),COUNTIF($AC$8:AC284,AC284))),"")</f>
        <v/>
      </c>
      <c r="K284" s="70" t="str">
        <f t="array" ref="K284">IF(ISNUMBER(AC284),INDEX('All Player Data Store'!$G$7:$G$594,SMALL(IF('All Player Data Store'!$Y$7:$Y$594=AC284,ROW('All Player Data Store'!$Y$7:$Y$594)-ROW('All Player Data Store'!$Y$7)+1),COUNTIF($AC$8:AC284,AC284))),"")</f>
        <v/>
      </c>
      <c r="L284" s="70" t="str">
        <f t="array" ref="L284">IF(ISNUMBER(AC284),INDEX('All Player Data Store'!$H$7:$H$594,SMALL(IF('All Player Data Store'!$Y$7:$Y$594=AC284,ROW('All Player Data Store'!$Y$7:$Y$594)-ROW('All Player Data Store'!$Y$7)+1),COUNTIF($AC$8:AC284,AC284))),"")</f>
        <v/>
      </c>
      <c r="M284" s="72" t="str">
        <f t="array" ref="M284">IF(ISNUMBER(AC284),INDEX('All Player Data Store'!$I$7:$I$594,SMALL(IF('All Player Data Store'!$Y$7:$Y$594=AC284,ROW('All Player Data Store'!$Y$7:$Y$594)-ROW('All Player Data Store'!$Y$7)+1),COUNTIF($AC$8:AC284,AC284))),"")</f>
        <v/>
      </c>
      <c r="N284" s="114" t="str">
        <f t="array" ref="N284">IF(ISNUMBER(AC284),INDEX('All Player Data Store'!$J$7:$J$594,SMALL(IF('All Player Data Store'!$Y$7:$Y$594=AC284,ROW('All Player Data Store'!$Y$7:$Y$594)-ROW('All Player Data Store'!$Y$7)+1),COUNTIF($AC$8:AC284,AC284))),"")</f>
        <v/>
      </c>
      <c r="O284" s="108" t="str">
        <f t="array" ref="O284">IF(ISNUMBER(AC284),INDEX('All Player Data Store'!$K$7:$K$594,SMALL(IF('All Player Data Store'!$Y$7:$Y$594=AC284,ROW('All Player Data Store'!$Y$7:$Y$594)-ROW('All Player Data Store'!$Y$7)+1),COUNTIF($AC$8:AC284,AC284))),"")</f>
        <v/>
      </c>
      <c r="P284" s="108" t="str">
        <f t="array" ref="P284">IF(ISNUMBER(AC284),INDEX('All Player Data Store'!$L$7:$L$594,SMALL(IF('All Player Data Store'!$Y$7:$Y$594=AC284,ROW('All Player Data Store'!$Y$7:$Y$594)-ROW('All Player Data Store'!$Y$7)+1),COUNTIF($AC$8:AC284,AC284))),"")</f>
        <v/>
      </c>
      <c r="Q284" s="108" t="str">
        <f t="array" ref="Q284">IF(ISNUMBER(AC284),INDEX('All Player Data Store'!$M$7:$M$594,SMALL(IF('All Player Data Store'!$Y$7:$Y$594=AC284,ROW('All Player Data Store'!$Y$7:$Y$594)-ROW('All Player Data Store'!$Y$7)+1),COUNTIF($AC$8:AC284,AC284))),"")</f>
        <v/>
      </c>
      <c r="R284" s="108" t="str">
        <f t="array" ref="R284">IF(ISNUMBER(AC284),INDEX('All Player Data Store'!$N$7:$N$594,SMALL(IF('All Player Data Store'!$Y$7:$Y$594=AC284,ROW('All Player Data Store'!$Y$7:$Y$594)-ROW('All Player Data Store'!$Y$7)+1),COUNTIF($AC$8:AC284,AC284))),"")</f>
        <v/>
      </c>
      <c r="S284" s="108" t="str">
        <f t="array" ref="S284">IF(ISNUMBER(AC284),INDEX('All Player Data Store'!$O$7:$O$594,SMALL(IF('All Player Data Store'!$Y$7:$Y$594=AC284,ROW('All Player Data Store'!$Y$7:$Y$594)-ROW('All Player Data Store'!$Y$7)+1),COUNTIF($AC$8:AC284,AC284))),"")</f>
        <v/>
      </c>
      <c r="T284" s="108" t="str">
        <f t="array" ref="T284">IF(ISNUMBER(AC284),INDEX('All Player Data Store'!$P$7:$P$594,SMALL(IF('All Player Data Store'!$Y$7:$Y$594=AC284,ROW('All Player Data Store'!$Y$7:$Y$594)-ROW('All Player Data Store'!$Y$7)+1),COUNTIF($AC$8:AC284,AC284))),"")</f>
        <v/>
      </c>
      <c r="U284" s="108" t="str">
        <f t="array" ref="U284">IF(ISNUMBER(AC284),INDEX('All Player Data Store'!$Q$7:$Q$594,SMALL(IF('All Player Data Store'!$Y$7:$Y$594=AC284,ROW('All Player Data Store'!$Y$7:$Y$594)-ROW('All Player Data Store'!$Y$7)+1),COUNTIF($AC$8:AC284,AC284))),"")</f>
        <v/>
      </c>
      <c r="V284" s="108" t="str">
        <f t="array" ref="V284">IF(ISNUMBER(AC284),INDEX('All Player Data Store'!$R$7:$R$594,SMALL(IF('All Player Data Store'!$Y$7:$Y$594=AC284,ROW('All Player Data Store'!$Y$7:$Y$594)-ROW('All Player Data Store'!$Y$7)+1),COUNTIF($AC$8:AC284,AC284))),"")</f>
        <v/>
      </c>
      <c r="W284" s="108" t="str">
        <f t="array" ref="W284">IF(ISNUMBER(AC284),INDEX('All Player Data Store'!$S$7:$S$594,SMALL(IF('All Player Data Store'!$Y$7:$Y$594=AC284,ROW('All Player Data Store'!$Y$7:$Y$594)-ROW('All Player Data Store'!$Y$7)+1),COUNTIF($AC$8:AC284,AC284))),"")</f>
        <v/>
      </c>
      <c r="X284" s="108" t="str">
        <f t="array" ref="X284">IF(ISNUMBER(AC284),INDEX('All Player Data Store'!$T$7:$T$594,SMALL(IF('All Player Data Store'!$Y$7:$Y$594=AC284,ROW('All Player Data Store'!$Y$7:$Y$594)-ROW('All Player Data Store'!$Y$7)+1),COUNTIF($AC$8:AC284,AC284))),"")</f>
        <v/>
      </c>
      <c r="Y284" s="108" t="str">
        <f t="array" ref="Y284">IF(ISNUMBER(AC284),INDEX('All Player Data Store'!$U$7:$U$594,SMALL(IF('All Player Data Store'!$Y$7:$Y$594=AC284,ROW('All Player Data Store'!$Y$7:$Y$594)-ROW('All Player Data Store'!$Y$7)+1),COUNTIF($AC$8:AC284,AC284))),"")</f>
        <v/>
      </c>
      <c r="Z284" s="108" t="str">
        <f t="array" ref="Z284">IF(ISNUMBER(AC284),INDEX('All Player Data Store'!$V$7:$V$594,SMALL(IF('All Player Data Store'!$Y$7:$Y$594=AC284,ROW('All Player Data Store'!$Y$7:$Y$594)-ROW('All Player Data Store'!$Y$7)+1),COUNTIF($AC$8:AC284,AC284))),"")</f>
        <v/>
      </c>
      <c r="AA284" s="112" t="str">
        <f t="array" ref="AA284">IF(ISNUMBER(AC284),INDEX('All Player Data Store'!$W$7:$W$594,SMALL(IF('All Player Data Store'!$Y$7:$Y$594=AC284,ROW('All Player Data Store'!$Y$7:$Y$594)-ROW('All Player Data Store'!$Y$7)+1),COUNTIF($AC$8:AC284,AC284))),"")</f>
        <v/>
      </c>
      <c r="AB284" s="108" t="str">
        <f t="array" ref="AB284">IF(ISNUMBER(AC284),INDEX('All Player Data Store'!$X$7:$X$594,SMALL(IF('All Player Data Store'!$Y$7:$Y$594=AC284,ROW('All Player Data Store'!$Y$7:$Y$594)-ROW('All Player Data Store'!$Y$7)+1),COUNTIF($AC$8:AC284,AC284))),"")</f>
        <v/>
      </c>
      <c r="AC284" s="115" t="str">
        <f>IF(ISERROR(IF(ISERROR(LARGE('All Player Data Store'!$Y$7:$Y$594,277)),"",(LARGE('All Player Data Store'!$Y$7:$Y$594,277)))),"",(IF(ISERROR(LARGE('All Player Data Store'!$Y$7:$Y$594,277)),"",(LARGE('All Player Data Store'!$Y$7:$Y$594,277)))))</f>
        <v/>
      </c>
      <c r="AD284" s="106">
        <f t="shared" si="16"/>
        <v>1</v>
      </c>
      <c r="AE284" s="107" t="str">
        <f t="array" ref="AE284">IF(ISNUMBER(AC284),INDEX('All Player Data Store'!$J$8:$J$594,SMALL(IF('All Player Data Store'!$Y$7:$Y$594=AC284,ROW('All Player Data Store'!$Y$7:$Y$594)-ROW('All Player Data Store'!$Y$7)+1),COUNTIF($AC$8:AC284,AC284))),"")</f>
        <v/>
      </c>
      <c r="AF284" s="108" t="str">
        <f t="shared" si="19"/>
        <v/>
      </c>
      <c r="AG284" s="108" t="str">
        <f t="array" ref="AG284">IF(ISNUMBER(AC284),INDEX('All Player Data Store'!$K$8:$K$594,SMALL(IF('All Player Data Store'!$Y$7:$Y$594=AC284,ROW('All Player Data Store'!$Y$7:$Y$594)-ROW('All Player Data Store'!$Y$7)+1),COUNTIF($AC$8:AC284,AC284))),"")</f>
        <v/>
      </c>
      <c r="AH284" s="108" t="str">
        <f t="shared" si="20"/>
        <v/>
      </c>
      <c r="AI284" s="108" t="str">
        <f t="array" ref="AI284">IF(ISNUMBER(AC284),INDEX('All Player Data Store'!$L$8:$L$594,SMALL(IF('All Player Data Store'!$Y$7:$Y$594=AC284,ROW('All Player Data Store'!$Y$7:$Y$594)-ROW('All Player Data Store'!$Y$7)+1),COUNTIF($AC$8:AC284,AC284))),"")</f>
        <v/>
      </c>
      <c r="AJ284" s="108" t="str">
        <f t="shared" si="21"/>
        <v/>
      </c>
      <c r="AK284" s="108" t="str">
        <f t="array" ref="AK284">IF(ISNUMBER(AC284),INDEX('All Player Data Store'!$M$8:$M$594,SMALL(IF('All Player Data Store'!$Y$7:$Y$594=AC284,ROW('All Player Data Store'!$Y$7:$Y$594)-ROW('All Player Data Store'!$Y$7)+1),COUNTIF($AC$8:AC284,AC284))),"")</f>
        <v/>
      </c>
      <c r="AL284" s="108" t="str">
        <f t="shared" si="22"/>
        <v/>
      </c>
      <c r="AM284" s="108" t="str">
        <f t="array" ref="AM284">IF(ISNUMBER(AC284),INDEX('All Player Data Store'!$N$8:$N$594,SMALL(IF('All Player Data Store'!$Y$7:$Y$594=AC284,ROW('All Player Data Store'!$Y$7:$Y$594)-ROW('All Player Data Store'!$Y$7)+1),COUNTIF($AC$8:AC284,AC284))),"")</f>
        <v/>
      </c>
      <c r="AN284" s="108" t="str">
        <f t="shared" si="23"/>
        <v/>
      </c>
      <c r="AO284" s="108" t="str">
        <f t="array" ref="AO284">IF(ISNUMBER(AC284),INDEX('All Player Data Store'!$O$8:$O$594,SMALL(IF('All Player Data Store'!$Y$7:$Y$594=AC284,ROW('All Player Data Store'!$Y$7:$Y$594)-ROW('All Player Data Store'!$Y$7)+1),COUNTIF($AC$8:AC284,AC284))),"")</f>
        <v/>
      </c>
      <c r="AP284" s="108" t="str">
        <f t="shared" si="24"/>
        <v/>
      </c>
      <c r="AQ284" s="108" t="str">
        <f t="array" ref="AQ284">IF(ISNUMBER(AC284),INDEX('All Player Data Store'!$P$8:$P$594,SMALL(IF('All Player Data Store'!$Y$7:$Y$594=AC284,ROW('All Player Data Store'!$Y$7:$Y$594)-ROW('All Player Data Store'!$Y$7)+1),COUNTIF($AC$8:AC284,AC284))),"")</f>
        <v/>
      </c>
      <c r="AR284" s="108" t="str">
        <f t="shared" si="25"/>
        <v/>
      </c>
      <c r="AS284" s="108" t="str">
        <f t="array" ref="AS284">IF(ISNUMBER(AC284),INDEX('All Player Data Store'!$Q$8:$Q$594,SMALL(IF('All Player Data Store'!$Y$7:$Y$594=AC284,ROW('All Player Data Store'!$Y$7:$Y$594)-ROW('All Player Data Store'!$Y$7)+1),COUNTIF($AC$8:AC284,AC284))),"")</f>
        <v/>
      </c>
      <c r="AT284" s="108" t="str">
        <f t="shared" si="26"/>
        <v/>
      </c>
      <c r="AU284" s="108" t="str">
        <f t="array" ref="AU284">IF(ISNUMBER(AC284),INDEX('All Player Data Store'!$R$8:$R$594,SMALL(IF('All Player Data Store'!$Y$7:$Y$594=AC284,ROW('All Player Data Store'!$Y$7:$Y$594)-ROW('All Player Data Store'!$Y$7)+1),COUNTIF($AC$8:AC284,AC284))),"")</f>
        <v/>
      </c>
      <c r="AV284" s="108" t="str">
        <f t="shared" si="27"/>
        <v/>
      </c>
      <c r="AW284" s="108" t="str">
        <f t="array" ref="AW284">IF(ISNUMBER(AC284),INDEX('All Player Data Store'!$S$8:$S$594,SMALL(IF('All Player Data Store'!$Y$7:$Y$594=AC284,ROW('All Player Data Store'!$Y$7:$Y$594)-ROW('All Player Data Store'!$Y$7)+1),COUNTIF($AC$8:AC284,AC284))),"")</f>
        <v/>
      </c>
      <c r="AX284" s="108" t="str">
        <f t="shared" si="28"/>
        <v/>
      </c>
      <c r="AY284" s="108" t="str">
        <f t="array" ref="AY284">IF(ISNUMBER(AC284),INDEX('All Player Data Store'!$T$8:$T$594,SMALL(IF('All Player Data Store'!$Y$7:$Y$594=AC284,ROW('All Player Data Store'!$Y$7:$Y$594)-ROW('All Player Data Store'!$Y$7)+1),COUNTIF($AC$8:AC284,AC284))),"")</f>
        <v/>
      </c>
      <c r="AZ284" s="108" t="str">
        <f t="shared" si="29"/>
        <v/>
      </c>
      <c r="BA284" s="108" t="str">
        <f t="array" ref="BA284">IF(ISNUMBER(AC284),INDEX('All Player Data Store'!$U$8:$U$594,SMALL(IF('All Player Data Store'!$Y$7:$Y$594=AC284,ROW('All Player Data Store'!$Y$7:$Y$594)-ROW('All Player Data Store'!$Y$7)+1),COUNTIF($AC$8:AC284,AC284))),"")</f>
        <v/>
      </c>
      <c r="BB284" s="108" t="str">
        <f t="shared" si="30"/>
        <v/>
      </c>
      <c r="BC284" s="108" t="str">
        <f t="array" ref="BC284">IF(ISNUMBER(AC284),INDEX('All Player Data Store'!$V$8:$V$594,SMALL(IF('All Player Data Store'!$Y$7:$Y$594=AC284,ROW('All Player Data Store'!$Y$7:$Y$594)-ROW('All Player Data Store'!$Y$7)+1),COUNTIF($AC$8:AC284,AC284))),"")</f>
        <v/>
      </c>
      <c r="BD284" s="108" t="str">
        <f t="shared" si="31"/>
        <v/>
      </c>
      <c r="BE284" s="1"/>
    </row>
    <row r="285" spans="2:57" ht="12" customHeight="1" x14ac:dyDescent="0.2">
      <c r="B285" s="118" t="str">
        <f t="shared" si="17"/>
        <v/>
      </c>
      <c r="C285" s="1"/>
      <c r="D285" s="68" t="str">
        <f t="shared" si="18"/>
        <v/>
      </c>
      <c r="E285" s="2"/>
      <c r="F285" s="78">
        <v>278</v>
      </c>
      <c r="G285" s="110" t="str">
        <f t="array" ref="G285">IF(ISNUMBER(AC285),INDEX('All Player Data Store'!$C$7:$C$594,SMALL(IF('All Player Data Store'!$Y$7:$Y$594=AC285,ROW('All Player Data Store'!$Y$7:$Y$594)-ROW('All Player Data Store'!$Y$7)+1),COUNTIF($AC$8:AC285,AC285))),"")</f>
        <v/>
      </c>
      <c r="H285" s="68" t="str">
        <f t="array" ref="H285">IF(ISNUMBER(AC285),INDEX('All Player Data Store'!$D$7:$D$594,SMALL(IF('All Player Data Store'!$Y$7:$Y$594=AC285,ROW('All Player Data Store'!$Y$7:$Y$594)-ROW('All Player Data Store'!$Y$7)+1),COUNTIF($AC$8:AC285,AC285))),"")</f>
        <v/>
      </c>
      <c r="I285" s="69" t="str">
        <f t="array" ref="I285">IF(ISNUMBER(AC285),INDEX('All Player Data Store'!$E$7:$E$594,SMALL(IF('All Player Data Store'!$Y$7:$Y$594=AC285,ROW('All Player Data Store'!$Y$7:$Y$594)-ROW('All Player Data Store'!$Y$7)+1),COUNTIF($AC$8:AC285,AC285))),"")</f>
        <v/>
      </c>
      <c r="J285" s="70" t="str">
        <f t="array" ref="J285">IF(ISNUMBER(AC285),INDEX('All Player Data Store'!$F$7:$F$594,SMALL(IF('All Player Data Store'!$Y$7:$Y$594=AC285,ROW('All Player Data Store'!$Y$7:$Y$594)-ROW('All Player Data Store'!$Y$7)+1),COUNTIF($AC$8:AC285,AC285))),"")</f>
        <v/>
      </c>
      <c r="K285" s="70" t="str">
        <f t="array" ref="K285">IF(ISNUMBER(AC285),INDEX('All Player Data Store'!$G$7:$G$594,SMALL(IF('All Player Data Store'!$Y$7:$Y$594=AC285,ROW('All Player Data Store'!$Y$7:$Y$594)-ROW('All Player Data Store'!$Y$7)+1),COUNTIF($AC$8:AC285,AC285))),"")</f>
        <v/>
      </c>
      <c r="L285" s="70" t="str">
        <f t="array" ref="L285">IF(ISNUMBER(AC285),INDEX('All Player Data Store'!$H$7:$H$594,SMALL(IF('All Player Data Store'!$Y$7:$Y$594=AC285,ROW('All Player Data Store'!$Y$7:$Y$594)-ROW('All Player Data Store'!$Y$7)+1),COUNTIF($AC$8:AC285,AC285))),"")</f>
        <v/>
      </c>
      <c r="M285" s="72" t="str">
        <f t="array" ref="M285">IF(ISNUMBER(AC285),INDEX('All Player Data Store'!$I$7:$I$594,SMALL(IF('All Player Data Store'!$Y$7:$Y$594=AC285,ROW('All Player Data Store'!$Y$7:$Y$594)-ROW('All Player Data Store'!$Y$7)+1),COUNTIF($AC$8:AC285,AC285))),"")</f>
        <v/>
      </c>
      <c r="N285" s="114" t="str">
        <f t="array" ref="N285">IF(ISNUMBER(AC285),INDEX('All Player Data Store'!$J$7:$J$594,SMALL(IF('All Player Data Store'!$Y$7:$Y$594=AC285,ROW('All Player Data Store'!$Y$7:$Y$594)-ROW('All Player Data Store'!$Y$7)+1),COUNTIF($AC$8:AC285,AC285))),"")</f>
        <v/>
      </c>
      <c r="O285" s="108" t="str">
        <f t="array" ref="O285">IF(ISNUMBER(AC285),INDEX('All Player Data Store'!$K$7:$K$594,SMALL(IF('All Player Data Store'!$Y$7:$Y$594=AC285,ROW('All Player Data Store'!$Y$7:$Y$594)-ROW('All Player Data Store'!$Y$7)+1),COUNTIF($AC$8:AC285,AC285))),"")</f>
        <v/>
      </c>
      <c r="P285" s="108" t="str">
        <f t="array" ref="P285">IF(ISNUMBER(AC285),INDEX('All Player Data Store'!$L$7:$L$594,SMALL(IF('All Player Data Store'!$Y$7:$Y$594=AC285,ROW('All Player Data Store'!$Y$7:$Y$594)-ROW('All Player Data Store'!$Y$7)+1),COUNTIF($AC$8:AC285,AC285))),"")</f>
        <v/>
      </c>
      <c r="Q285" s="108" t="str">
        <f t="array" ref="Q285">IF(ISNUMBER(AC285),INDEX('All Player Data Store'!$M$7:$M$594,SMALL(IF('All Player Data Store'!$Y$7:$Y$594=AC285,ROW('All Player Data Store'!$Y$7:$Y$594)-ROW('All Player Data Store'!$Y$7)+1),COUNTIF($AC$8:AC285,AC285))),"")</f>
        <v/>
      </c>
      <c r="R285" s="108" t="str">
        <f t="array" ref="R285">IF(ISNUMBER(AC285),INDEX('All Player Data Store'!$N$7:$N$594,SMALL(IF('All Player Data Store'!$Y$7:$Y$594=AC285,ROW('All Player Data Store'!$Y$7:$Y$594)-ROW('All Player Data Store'!$Y$7)+1),COUNTIF($AC$8:AC285,AC285))),"")</f>
        <v/>
      </c>
      <c r="S285" s="108" t="str">
        <f t="array" ref="S285">IF(ISNUMBER(AC285),INDEX('All Player Data Store'!$O$7:$O$594,SMALL(IF('All Player Data Store'!$Y$7:$Y$594=AC285,ROW('All Player Data Store'!$Y$7:$Y$594)-ROW('All Player Data Store'!$Y$7)+1),COUNTIF($AC$8:AC285,AC285))),"")</f>
        <v/>
      </c>
      <c r="T285" s="108" t="str">
        <f t="array" ref="T285">IF(ISNUMBER(AC285),INDEX('All Player Data Store'!$P$7:$P$594,SMALL(IF('All Player Data Store'!$Y$7:$Y$594=AC285,ROW('All Player Data Store'!$Y$7:$Y$594)-ROW('All Player Data Store'!$Y$7)+1),COUNTIF($AC$8:AC285,AC285))),"")</f>
        <v/>
      </c>
      <c r="U285" s="108" t="str">
        <f t="array" ref="U285">IF(ISNUMBER(AC285),INDEX('All Player Data Store'!$Q$7:$Q$594,SMALL(IF('All Player Data Store'!$Y$7:$Y$594=AC285,ROW('All Player Data Store'!$Y$7:$Y$594)-ROW('All Player Data Store'!$Y$7)+1),COUNTIF($AC$8:AC285,AC285))),"")</f>
        <v/>
      </c>
      <c r="V285" s="108" t="str">
        <f t="array" ref="V285">IF(ISNUMBER(AC285),INDEX('All Player Data Store'!$R$7:$R$594,SMALL(IF('All Player Data Store'!$Y$7:$Y$594=AC285,ROW('All Player Data Store'!$Y$7:$Y$594)-ROW('All Player Data Store'!$Y$7)+1),COUNTIF($AC$8:AC285,AC285))),"")</f>
        <v/>
      </c>
      <c r="W285" s="108" t="str">
        <f t="array" ref="W285">IF(ISNUMBER(AC285),INDEX('All Player Data Store'!$S$7:$S$594,SMALL(IF('All Player Data Store'!$Y$7:$Y$594=AC285,ROW('All Player Data Store'!$Y$7:$Y$594)-ROW('All Player Data Store'!$Y$7)+1),COUNTIF($AC$8:AC285,AC285))),"")</f>
        <v/>
      </c>
      <c r="X285" s="108" t="str">
        <f t="array" ref="X285">IF(ISNUMBER(AC285),INDEX('All Player Data Store'!$T$7:$T$594,SMALL(IF('All Player Data Store'!$Y$7:$Y$594=AC285,ROW('All Player Data Store'!$Y$7:$Y$594)-ROW('All Player Data Store'!$Y$7)+1),COUNTIF($AC$8:AC285,AC285))),"")</f>
        <v/>
      </c>
      <c r="Y285" s="108" t="str">
        <f t="array" ref="Y285">IF(ISNUMBER(AC285),INDEX('All Player Data Store'!$U$7:$U$594,SMALL(IF('All Player Data Store'!$Y$7:$Y$594=AC285,ROW('All Player Data Store'!$Y$7:$Y$594)-ROW('All Player Data Store'!$Y$7)+1),COUNTIF($AC$8:AC285,AC285))),"")</f>
        <v/>
      </c>
      <c r="Z285" s="108" t="str">
        <f t="array" ref="Z285">IF(ISNUMBER(AC285),INDEX('All Player Data Store'!$V$7:$V$594,SMALL(IF('All Player Data Store'!$Y$7:$Y$594=AC285,ROW('All Player Data Store'!$Y$7:$Y$594)-ROW('All Player Data Store'!$Y$7)+1),COUNTIF($AC$8:AC285,AC285))),"")</f>
        <v/>
      </c>
      <c r="AA285" s="112" t="str">
        <f t="array" ref="AA285">IF(ISNUMBER(AC285),INDEX('All Player Data Store'!$W$7:$W$594,SMALL(IF('All Player Data Store'!$Y$7:$Y$594=AC285,ROW('All Player Data Store'!$Y$7:$Y$594)-ROW('All Player Data Store'!$Y$7)+1),COUNTIF($AC$8:AC285,AC285))),"")</f>
        <v/>
      </c>
      <c r="AB285" s="108" t="str">
        <f t="array" ref="AB285">IF(ISNUMBER(AC285),INDEX('All Player Data Store'!$X$7:$X$594,SMALL(IF('All Player Data Store'!$Y$7:$Y$594=AC285,ROW('All Player Data Store'!$Y$7:$Y$594)-ROW('All Player Data Store'!$Y$7)+1),COUNTIF($AC$8:AC285,AC285))),"")</f>
        <v/>
      </c>
      <c r="AC285" s="115" t="str">
        <f>IF(ISERROR(IF(ISERROR(LARGE('All Player Data Store'!$Y$7:$Y$594,278)),"",(LARGE('All Player Data Store'!$Y$7:$Y$594,278)))),"",(IF(ISERROR(LARGE('All Player Data Store'!$Y$7:$Y$594,278)),"",(LARGE('All Player Data Store'!$Y$7:$Y$594,278)))))</f>
        <v/>
      </c>
      <c r="AD285" s="106">
        <f t="shared" si="16"/>
        <v>1</v>
      </c>
      <c r="AE285" s="107" t="str">
        <f t="array" ref="AE285">IF(ISNUMBER(AC285),INDEX('All Player Data Store'!$J$8:$J$594,SMALL(IF('All Player Data Store'!$Y$7:$Y$594=AC285,ROW('All Player Data Store'!$Y$7:$Y$594)-ROW('All Player Data Store'!$Y$7)+1),COUNTIF($AC$8:AC285,AC285))),"")</f>
        <v/>
      </c>
      <c r="AF285" s="108" t="str">
        <f t="shared" si="19"/>
        <v/>
      </c>
      <c r="AG285" s="108" t="str">
        <f t="array" ref="AG285">IF(ISNUMBER(AC285),INDEX('All Player Data Store'!$K$8:$K$594,SMALL(IF('All Player Data Store'!$Y$7:$Y$594=AC285,ROW('All Player Data Store'!$Y$7:$Y$594)-ROW('All Player Data Store'!$Y$7)+1),COUNTIF($AC$8:AC285,AC285))),"")</f>
        <v/>
      </c>
      <c r="AH285" s="108" t="str">
        <f t="shared" si="20"/>
        <v/>
      </c>
      <c r="AI285" s="108" t="str">
        <f t="array" ref="AI285">IF(ISNUMBER(AC285),INDEX('All Player Data Store'!$L$8:$L$594,SMALL(IF('All Player Data Store'!$Y$7:$Y$594=AC285,ROW('All Player Data Store'!$Y$7:$Y$594)-ROW('All Player Data Store'!$Y$7)+1),COUNTIF($AC$8:AC285,AC285))),"")</f>
        <v/>
      </c>
      <c r="AJ285" s="108" t="str">
        <f t="shared" si="21"/>
        <v/>
      </c>
      <c r="AK285" s="108" t="str">
        <f t="array" ref="AK285">IF(ISNUMBER(AC285),INDEX('All Player Data Store'!$M$8:$M$594,SMALL(IF('All Player Data Store'!$Y$7:$Y$594=AC285,ROW('All Player Data Store'!$Y$7:$Y$594)-ROW('All Player Data Store'!$Y$7)+1),COUNTIF($AC$8:AC285,AC285))),"")</f>
        <v/>
      </c>
      <c r="AL285" s="108" t="str">
        <f t="shared" si="22"/>
        <v/>
      </c>
      <c r="AM285" s="108" t="str">
        <f t="array" ref="AM285">IF(ISNUMBER(AC285),INDEX('All Player Data Store'!$N$8:$N$594,SMALL(IF('All Player Data Store'!$Y$7:$Y$594=AC285,ROW('All Player Data Store'!$Y$7:$Y$594)-ROW('All Player Data Store'!$Y$7)+1),COUNTIF($AC$8:AC285,AC285))),"")</f>
        <v/>
      </c>
      <c r="AN285" s="108" t="str">
        <f t="shared" si="23"/>
        <v/>
      </c>
      <c r="AO285" s="108" t="str">
        <f t="array" ref="AO285">IF(ISNUMBER(AC285),INDEX('All Player Data Store'!$O$8:$O$594,SMALL(IF('All Player Data Store'!$Y$7:$Y$594=AC285,ROW('All Player Data Store'!$Y$7:$Y$594)-ROW('All Player Data Store'!$Y$7)+1),COUNTIF($AC$8:AC285,AC285))),"")</f>
        <v/>
      </c>
      <c r="AP285" s="108" t="str">
        <f t="shared" si="24"/>
        <v/>
      </c>
      <c r="AQ285" s="108" t="str">
        <f t="array" ref="AQ285">IF(ISNUMBER(AC285),INDEX('All Player Data Store'!$P$8:$P$594,SMALL(IF('All Player Data Store'!$Y$7:$Y$594=AC285,ROW('All Player Data Store'!$Y$7:$Y$594)-ROW('All Player Data Store'!$Y$7)+1),COUNTIF($AC$8:AC285,AC285))),"")</f>
        <v/>
      </c>
      <c r="AR285" s="108" t="str">
        <f t="shared" si="25"/>
        <v/>
      </c>
      <c r="AS285" s="108" t="str">
        <f t="array" ref="AS285">IF(ISNUMBER(AC285),INDEX('All Player Data Store'!$Q$8:$Q$594,SMALL(IF('All Player Data Store'!$Y$7:$Y$594=AC285,ROW('All Player Data Store'!$Y$7:$Y$594)-ROW('All Player Data Store'!$Y$7)+1),COUNTIF($AC$8:AC285,AC285))),"")</f>
        <v/>
      </c>
      <c r="AT285" s="108" t="str">
        <f t="shared" si="26"/>
        <v/>
      </c>
      <c r="AU285" s="108" t="str">
        <f t="array" ref="AU285">IF(ISNUMBER(AC285),INDEX('All Player Data Store'!$R$8:$R$594,SMALL(IF('All Player Data Store'!$Y$7:$Y$594=AC285,ROW('All Player Data Store'!$Y$7:$Y$594)-ROW('All Player Data Store'!$Y$7)+1),COUNTIF($AC$8:AC285,AC285))),"")</f>
        <v/>
      </c>
      <c r="AV285" s="108" t="str">
        <f t="shared" si="27"/>
        <v/>
      </c>
      <c r="AW285" s="108" t="str">
        <f t="array" ref="AW285">IF(ISNUMBER(AC285),INDEX('All Player Data Store'!$S$8:$S$594,SMALL(IF('All Player Data Store'!$Y$7:$Y$594=AC285,ROW('All Player Data Store'!$Y$7:$Y$594)-ROW('All Player Data Store'!$Y$7)+1),COUNTIF($AC$8:AC285,AC285))),"")</f>
        <v/>
      </c>
      <c r="AX285" s="108" t="str">
        <f t="shared" si="28"/>
        <v/>
      </c>
      <c r="AY285" s="108" t="str">
        <f t="array" ref="AY285">IF(ISNUMBER(AC285),INDEX('All Player Data Store'!$T$8:$T$594,SMALL(IF('All Player Data Store'!$Y$7:$Y$594=AC285,ROW('All Player Data Store'!$Y$7:$Y$594)-ROW('All Player Data Store'!$Y$7)+1),COUNTIF($AC$8:AC285,AC285))),"")</f>
        <v/>
      </c>
      <c r="AZ285" s="108" t="str">
        <f t="shared" si="29"/>
        <v/>
      </c>
      <c r="BA285" s="108" t="str">
        <f t="array" ref="BA285">IF(ISNUMBER(AC285),INDEX('All Player Data Store'!$U$8:$U$594,SMALL(IF('All Player Data Store'!$Y$7:$Y$594=AC285,ROW('All Player Data Store'!$Y$7:$Y$594)-ROW('All Player Data Store'!$Y$7)+1),COUNTIF($AC$8:AC285,AC285))),"")</f>
        <v/>
      </c>
      <c r="BB285" s="108" t="str">
        <f t="shared" si="30"/>
        <v/>
      </c>
      <c r="BC285" s="108" t="str">
        <f t="array" ref="BC285">IF(ISNUMBER(AC285),INDEX('All Player Data Store'!$V$8:$V$594,SMALL(IF('All Player Data Store'!$Y$7:$Y$594=AC285,ROW('All Player Data Store'!$Y$7:$Y$594)-ROW('All Player Data Store'!$Y$7)+1),COUNTIF($AC$8:AC285,AC285))),"")</f>
        <v/>
      </c>
      <c r="BD285" s="108" t="str">
        <f t="shared" si="31"/>
        <v/>
      </c>
      <c r="BE285" s="1"/>
    </row>
    <row r="286" spans="2:57" ht="12" customHeight="1" x14ac:dyDescent="0.2">
      <c r="B286" s="118" t="str">
        <f t="shared" si="17"/>
        <v/>
      </c>
      <c r="C286" s="1"/>
      <c r="D286" s="68" t="str">
        <f t="shared" si="18"/>
        <v/>
      </c>
      <c r="E286" s="2"/>
      <c r="F286" s="78">
        <v>279</v>
      </c>
      <c r="G286" s="110" t="str">
        <f t="array" ref="G286">IF(ISNUMBER(AC286),INDEX('All Player Data Store'!$C$7:$C$594,SMALL(IF('All Player Data Store'!$Y$7:$Y$594=AC286,ROW('All Player Data Store'!$Y$7:$Y$594)-ROW('All Player Data Store'!$Y$7)+1),COUNTIF($AC$8:AC286,AC286))),"")</f>
        <v/>
      </c>
      <c r="H286" s="68" t="str">
        <f t="array" ref="H286">IF(ISNUMBER(AC286),INDEX('All Player Data Store'!$D$7:$D$594,SMALL(IF('All Player Data Store'!$Y$7:$Y$594=AC286,ROW('All Player Data Store'!$Y$7:$Y$594)-ROW('All Player Data Store'!$Y$7)+1),COUNTIF($AC$8:AC286,AC286))),"")</f>
        <v/>
      </c>
      <c r="I286" s="69" t="str">
        <f t="array" ref="I286">IF(ISNUMBER(AC286),INDEX('All Player Data Store'!$E$7:$E$594,SMALL(IF('All Player Data Store'!$Y$7:$Y$594=AC286,ROW('All Player Data Store'!$Y$7:$Y$594)-ROW('All Player Data Store'!$Y$7)+1),COUNTIF($AC$8:AC286,AC286))),"")</f>
        <v/>
      </c>
      <c r="J286" s="70" t="str">
        <f t="array" ref="J286">IF(ISNUMBER(AC286),INDEX('All Player Data Store'!$F$7:$F$594,SMALL(IF('All Player Data Store'!$Y$7:$Y$594=AC286,ROW('All Player Data Store'!$Y$7:$Y$594)-ROW('All Player Data Store'!$Y$7)+1),COUNTIF($AC$8:AC286,AC286))),"")</f>
        <v/>
      </c>
      <c r="K286" s="70" t="str">
        <f t="array" ref="K286">IF(ISNUMBER(AC286),INDEX('All Player Data Store'!$G$7:$G$594,SMALL(IF('All Player Data Store'!$Y$7:$Y$594=AC286,ROW('All Player Data Store'!$Y$7:$Y$594)-ROW('All Player Data Store'!$Y$7)+1),COUNTIF($AC$8:AC286,AC286))),"")</f>
        <v/>
      </c>
      <c r="L286" s="70" t="str">
        <f t="array" ref="L286">IF(ISNUMBER(AC286),INDEX('All Player Data Store'!$H$7:$H$594,SMALL(IF('All Player Data Store'!$Y$7:$Y$594=AC286,ROW('All Player Data Store'!$Y$7:$Y$594)-ROW('All Player Data Store'!$Y$7)+1),COUNTIF($AC$8:AC286,AC286))),"")</f>
        <v/>
      </c>
      <c r="M286" s="72" t="str">
        <f t="array" ref="M286">IF(ISNUMBER(AC286),INDEX('All Player Data Store'!$I$7:$I$594,SMALL(IF('All Player Data Store'!$Y$7:$Y$594=AC286,ROW('All Player Data Store'!$Y$7:$Y$594)-ROW('All Player Data Store'!$Y$7)+1),COUNTIF($AC$8:AC286,AC286))),"")</f>
        <v/>
      </c>
      <c r="N286" s="114" t="str">
        <f t="array" ref="N286">IF(ISNUMBER(AC286),INDEX('All Player Data Store'!$J$7:$J$594,SMALL(IF('All Player Data Store'!$Y$7:$Y$594=AC286,ROW('All Player Data Store'!$Y$7:$Y$594)-ROW('All Player Data Store'!$Y$7)+1),COUNTIF($AC$8:AC286,AC286))),"")</f>
        <v/>
      </c>
      <c r="O286" s="108" t="str">
        <f t="array" ref="O286">IF(ISNUMBER(AC286),INDEX('All Player Data Store'!$K$7:$K$594,SMALL(IF('All Player Data Store'!$Y$7:$Y$594=AC286,ROW('All Player Data Store'!$Y$7:$Y$594)-ROW('All Player Data Store'!$Y$7)+1),COUNTIF($AC$8:AC286,AC286))),"")</f>
        <v/>
      </c>
      <c r="P286" s="108" t="str">
        <f t="array" ref="P286">IF(ISNUMBER(AC286),INDEX('All Player Data Store'!$L$7:$L$594,SMALL(IF('All Player Data Store'!$Y$7:$Y$594=AC286,ROW('All Player Data Store'!$Y$7:$Y$594)-ROW('All Player Data Store'!$Y$7)+1),COUNTIF($AC$8:AC286,AC286))),"")</f>
        <v/>
      </c>
      <c r="Q286" s="108" t="str">
        <f t="array" ref="Q286">IF(ISNUMBER(AC286),INDEX('All Player Data Store'!$M$7:$M$594,SMALL(IF('All Player Data Store'!$Y$7:$Y$594=AC286,ROW('All Player Data Store'!$Y$7:$Y$594)-ROW('All Player Data Store'!$Y$7)+1),COUNTIF($AC$8:AC286,AC286))),"")</f>
        <v/>
      </c>
      <c r="R286" s="108" t="str">
        <f t="array" ref="R286">IF(ISNUMBER(AC286),INDEX('All Player Data Store'!$N$7:$N$594,SMALL(IF('All Player Data Store'!$Y$7:$Y$594=AC286,ROW('All Player Data Store'!$Y$7:$Y$594)-ROW('All Player Data Store'!$Y$7)+1),COUNTIF($AC$8:AC286,AC286))),"")</f>
        <v/>
      </c>
      <c r="S286" s="108" t="str">
        <f t="array" ref="S286">IF(ISNUMBER(AC286),INDEX('All Player Data Store'!$O$7:$O$594,SMALL(IF('All Player Data Store'!$Y$7:$Y$594=AC286,ROW('All Player Data Store'!$Y$7:$Y$594)-ROW('All Player Data Store'!$Y$7)+1),COUNTIF($AC$8:AC286,AC286))),"")</f>
        <v/>
      </c>
      <c r="T286" s="108" t="str">
        <f t="array" ref="T286">IF(ISNUMBER(AC286),INDEX('All Player Data Store'!$P$7:$P$594,SMALL(IF('All Player Data Store'!$Y$7:$Y$594=AC286,ROW('All Player Data Store'!$Y$7:$Y$594)-ROW('All Player Data Store'!$Y$7)+1),COUNTIF($AC$8:AC286,AC286))),"")</f>
        <v/>
      </c>
      <c r="U286" s="108" t="str">
        <f t="array" ref="U286">IF(ISNUMBER(AC286),INDEX('All Player Data Store'!$Q$7:$Q$594,SMALL(IF('All Player Data Store'!$Y$7:$Y$594=AC286,ROW('All Player Data Store'!$Y$7:$Y$594)-ROW('All Player Data Store'!$Y$7)+1),COUNTIF($AC$8:AC286,AC286))),"")</f>
        <v/>
      </c>
      <c r="V286" s="108" t="str">
        <f t="array" ref="V286">IF(ISNUMBER(AC286),INDEX('All Player Data Store'!$R$7:$R$594,SMALL(IF('All Player Data Store'!$Y$7:$Y$594=AC286,ROW('All Player Data Store'!$Y$7:$Y$594)-ROW('All Player Data Store'!$Y$7)+1),COUNTIF($AC$8:AC286,AC286))),"")</f>
        <v/>
      </c>
      <c r="W286" s="108" t="str">
        <f t="array" ref="W286">IF(ISNUMBER(AC286),INDEX('All Player Data Store'!$S$7:$S$594,SMALL(IF('All Player Data Store'!$Y$7:$Y$594=AC286,ROW('All Player Data Store'!$Y$7:$Y$594)-ROW('All Player Data Store'!$Y$7)+1),COUNTIF($AC$8:AC286,AC286))),"")</f>
        <v/>
      </c>
      <c r="X286" s="108" t="str">
        <f t="array" ref="X286">IF(ISNUMBER(AC286),INDEX('All Player Data Store'!$T$7:$T$594,SMALL(IF('All Player Data Store'!$Y$7:$Y$594=AC286,ROW('All Player Data Store'!$Y$7:$Y$594)-ROW('All Player Data Store'!$Y$7)+1),COUNTIF($AC$8:AC286,AC286))),"")</f>
        <v/>
      </c>
      <c r="Y286" s="108" t="str">
        <f t="array" ref="Y286">IF(ISNUMBER(AC286),INDEX('All Player Data Store'!$U$7:$U$594,SMALL(IF('All Player Data Store'!$Y$7:$Y$594=AC286,ROW('All Player Data Store'!$Y$7:$Y$594)-ROW('All Player Data Store'!$Y$7)+1),COUNTIF($AC$8:AC286,AC286))),"")</f>
        <v/>
      </c>
      <c r="Z286" s="108" t="str">
        <f t="array" ref="Z286">IF(ISNUMBER(AC286),INDEX('All Player Data Store'!$V$7:$V$594,SMALL(IF('All Player Data Store'!$Y$7:$Y$594=AC286,ROW('All Player Data Store'!$Y$7:$Y$594)-ROW('All Player Data Store'!$Y$7)+1),COUNTIF($AC$8:AC286,AC286))),"")</f>
        <v/>
      </c>
      <c r="AA286" s="112" t="str">
        <f t="array" ref="AA286">IF(ISNUMBER(AC286),INDEX('All Player Data Store'!$W$7:$W$594,SMALL(IF('All Player Data Store'!$Y$7:$Y$594=AC286,ROW('All Player Data Store'!$Y$7:$Y$594)-ROW('All Player Data Store'!$Y$7)+1),COUNTIF($AC$8:AC286,AC286))),"")</f>
        <v/>
      </c>
      <c r="AB286" s="108" t="str">
        <f t="array" ref="AB286">IF(ISNUMBER(AC286),INDEX('All Player Data Store'!$X$7:$X$594,SMALL(IF('All Player Data Store'!$Y$7:$Y$594=AC286,ROW('All Player Data Store'!$Y$7:$Y$594)-ROW('All Player Data Store'!$Y$7)+1),COUNTIF($AC$8:AC286,AC286))),"")</f>
        <v/>
      </c>
      <c r="AC286" s="115" t="str">
        <f>IF(ISERROR(IF(ISERROR(LARGE('All Player Data Store'!$Y$7:$Y$594,279)),"",(LARGE('All Player Data Store'!$Y$7:$Y$594,279)))),"",(IF(ISERROR(LARGE('All Player Data Store'!$Y$7:$Y$594,279)),"",(LARGE('All Player Data Store'!$Y$7:$Y$594,279)))))</f>
        <v/>
      </c>
      <c r="AD286" s="106">
        <f t="shared" si="16"/>
        <v>1</v>
      </c>
      <c r="AE286" s="107" t="str">
        <f t="array" ref="AE286">IF(ISNUMBER(AC286),INDEX('All Player Data Store'!$J$8:$J$594,SMALL(IF('All Player Data Store'!$Y$7:$Y$594=AC286,ROW('All Player Data Store'!$Y$7:$Y$594)-ROW('All Player Data Store'!$Y$7)+1),COUNTIF($AC$8:AC286,AC286))),"")</f>
        <v/>
      </c>
      <c r="AF286" s="108" t="str">
        <f t="shared" si="19"/>
        <v/>
      </c>
      <c r="AG286" s="108" t="str">
        <f t="array" ref="AG286">IF(ISNUMBER(AC286),INDEX('All Player Data Store'!$K$8:$K$594,SMALL(IF('All Player Data Store'!$Y$7:$Y$594=AC286,ROW('All Player Data Store'!$Y$7:$Y$594)-ROW('All Player Data Store'!$Y$7)+1),COUNTIF($AC$8:AC286,AC286))),"")</f>
        <v/>
      </c>
      <c r="AH286" s="108" t="str">
        <f t="shared" si="20"/>
        <v/>
      </c>
      <c r="AI286" s="108" t="str">
        <f t="array" ref="AI286">IF(ISNUMBER(AC286),INDEX('All Player Data Store'!$L$8:$L$594,SMALL(IF('All Player Data Store'!$Y$7:$Y$594=AC286,ROW('All Player Data Store'!$Y$7:$Y$594)-ROW('All Player Data Store'!$Y$7)+1),COUNTIF($AC$8:AC286,AC286))),"")</f>
        <v/>
      </c>
      <c r="AJ286" s="108" t="str">
        <f t="shared" si="21"/>
        <v/>
      </c>
      <c r="AK286" s="108" t="str">
        <f t="array" ref="AK286">IF(ISNUMBER(AC286),INDEX('All Player Data Store'!$M$8:$M$594,SMALL(IF('All Player Data Store'!$Y$7:$Y$594=AC286,ROW('All Player Data Store'!$Y$7:$Y$594)-ROW('All Player Data Store'!$Y$7)+1),COUNTIF($AC$8:AC286,AC286))),"")</f>
        <v/>
      </c>
      <c r="AL286" s="108" t="str">
        <f t="shared" si="22"/>
        <v/>
      </c>
      <c r="AM286" s="108" t="str">
        <f t="array" ref="AM286">IF(ISNUMBER(AC286),INDEX('All Player Data Store'!$N$8:$N$594,SMALL(IF('All Player Data Store'!$Y$7:$Y$594=AC286,ROW('All Player Data Store'!$Y$7:$Y$594)-ROW('All Player Data Store'!$Y$7)+1),COUNTIF($AC$8:AC286,AC286))),"")</f>
        <v/>
      </c>
      <c r="AN286" s="108" t="str">
        <f t="shared" si="23"/>
        <v/>
      </c>
      <c r="AO286" s="108" t="str">
        <f t="array" ref="AO286">IF(ISNUMBER(AC286),INDEX('All Player Data Store'!$O$8:$O$594,SMALL(IF('All Player Data Store'!$Y$7:$Y$594=AC286,ROW('All Player Data Store'!$Y$7:$Y$594)-ROW('All Player Data Store'!$Y$7)+1),COUNTIF($AC$8:AC286,AC286))),"")</f>
        <v/>
      </c>
      <c r="AP286" s="108" t="str">
        <f t="shared" si="24"/>
        <v/>
      </c>
      <c r="AQ286" s="108" t="str">
        <f t="array" ref="AQ286">IF(ISNUMBER(AC286),INDEX('All Player Data Store'!$P$8:$P$594,SMALL(IF('All Player Data Store'!$Y$7:$Y$594=AC286,ROW('All Player Data Store'!$Y$7:$Y$594)-ROW('All Player Data Store'!$Y$7)+1),COUNTIF($AC$8:AC286,AC286))),"")</f>
        <v/>
      </c>
      <c r="AR286" s="108" t="str">
        <f t="shared" si="25"/>
        <v/>
      </c>
      <c r="AS286" s="108" t="str">
        <f t="array" ref="AS286">IF(ISNUMBER(AC286),INDEX('All Player Data Store'!$Q$8:$Q$594,SMALL(IF('All Player Data Store'!$Y$7:$Y$594=AC286,ROW('All Player Data Store'!$Y$7:$Y$594)-ROW('All Player Data Store'!$Y$7)+1),COUNTIF($AC$8:AC286,AC286))),"")</f>
        <v/>
      </c>
      <c r="AT286" s="108" t="str">
        <f t="shared" si="26"/>
        <v/>
      </c>
      <c r="AU286" s="108" t="str">
        <f t="array" ref="AU286">IF(ISNUMBER(AC286),INDEX('All Player Data Store'!$R$8:$R$594,SMALL(IF('All Player Data Store'!$Y$7:$Y$594=AC286,ROW('All Player Data Store'!$Y$7:$Y$594)-ROW('All Player Data Store'!$Y$7)+1),COUNTIF($AC$8:AC286,AC286))),"")</f>
        <v/>
      </c>
      <c r="AV286" s="108" t="str">
        <f t="shared" si="27"/>
        <v/>
      </c>
      <c r="AW286" s="108" t="str">
        <f t="array" ref="AW286">IF(ISNUMBER(AC286),INDEX('All Player Data Store'!$S$8:$S$594,SMALL(IF('All Player Data Store'!$Y$7:$Y$594=AC286,ROW('All Player Data Store'!$Y$7:$Y$594)-ROW('All Player Data Store'!$Y$7)+1),COUNTIF($AC$8:AC286,AC286))),"")</f>
        <v/>
      </c>
      <c r="AX286" s="108" t="str">
        <f t="shared" si="28"/>
        <v/>
      </c>
      <c r="AY286" s="108" t="str">
        <f t="array" ref="AY286">IF(ISNUMBER(AC286),INDEX('All Player Data Store'!$T$8:$T$594,SMALL(IF('All Player Data Store'!$Y$7:$Y$594=AC286,ROW('All Player Data Store'!$Y$7:$Y$594)-ROW('All Player Data Store'!$Y$7)+1),COUNTIF($AC$8:AC286,AC286))),"")</f>
        <v/>
      </c>
      <c r="AZ286" s="108" t="str">
        <f t="shared" si="29"/>
        <v/>
      </c>
      <c r="BA286" s="108" t="str">
        <f t="array" ref="BA286">IF(ISNUMBER(AC286),INDEX('All Player Data Store'!$U$8:$U$594,SMALL(IF('All Player Data Store'!$Y$7:$Y$594=AC286,ROW('All Player Data Store'!$Y$7:$Y$594)-ROW('All Player Data Store'!$Y$7)+1),COUNTIF($AC$8:AC286,AC286))),"")</f>
        <v/>
      </c>
      <c r="BB286" s="108" t="str">
        <f t="shared" si="30"/>
        <v/>
      </c>
      <c r="BC286" s="108" t="str">
        <f t="array" ref="BC286">IF(ISNUMBER(AC286),INDEX('All Player Data Store'!$V$8:$V$594,SMALL(IF('All Player Data Store'!$Y$7:$Y$594=AC286,ROW('All Player Data Store'!$Y$7:$Y$594)-ROW('All Player Data Store'!$Y$7)+1),COUNTIF($AC$8:AC286,AC286))),"")</f>
        <v/>
      </c>
      <c r="BD286" s="108" t="str">
        <f t="shared" si="31"/>
        <v/>
      </c>
      <c r="BE286" s="1"/>
    </row>
    <row r="287" spans="2:57" ht="12" customHeight="1" x14ac:dyDescent="0.2">
      <c r="B287" s="118" t="str">
        <f t="shared" si="17"/>
        <v/>
      </c>
      <c r="C287" s="1"/>
      <c r="D287" s="68" t="str">
        <f t="shared" si="18"/>
        <v/>
      </c>
      <c r="E287" s="2"/>
      <c r="F287" s="78">
        <v>280</v>
      </c>
      <c r="G287" s="110" t="str">
        <f t="array" ref="G287">IF(ISNUMBER(AC287),INDEX('All Player Data Store'!$C$7:$C$594,SMALL(IF('All Player Data Store'!$Y$7:$Y$594=AC287,ROW('All Player Data Store'!$Y$7:$Y$594)-ROW('All Player Data Store'!$Y$7)+1),COUNTIF($AC$8:AC287,AC287))),"")</f>
        <v/>
      </c>
      <c r="H287" s="68" t="str">
        <f t="array" ref="H287">IF(ISNUMBER(AC287),INDEX('All Player Data Store'!$D$7:$D$594,SMALL(IF('All Player Data Store'!$Y$7:$Y$594=AC287,ROW('All Player Data Store'!$Y$7:$Y$594)-ROW('All Player Data Store'!$Y$7)+1),COUNTIF($AC$8:AC287,AC287))),"")</f>
        <v/>
      </c>
      <c r="I287" s="69" t="str">
        <f t="array" ref="I287">IF(ISNUMBER(AC287),INDEX('All Player Data Store'!$E$7:$E$594,SMALL(IF('All Player Data Store'!$Y$7:$Y$594=AC287,ROW('All Player Data Store'!$Y$7:$Y$594)-ROW('All Player Data Store'!$Y$7)+1),COUNTIF($AC$8:AC287,AC287))),"")</f>
        <v/>
      </c>
      <c r="J287" s="70" t="str">
        <f t="array" ref="J287">IF(ISNUMBER(AC287),INDEX('All Player Data Store'!$F$7:$F$594,SMALL(IF('All Player Data Store'!$Y$7:$Y$594=AC287,ROW('All Player Data Store'!$Y$7:$Y$594)-ROW('All Player Data Store'!$Y$7)+1),COUNTIF($AC$8:AC287,AC287))),"")</f>
        <v/>
      </c>
      <c r="K287" s="70" t="str">
        <f t="array" ref="K287">IF(ISNUMBER(AC287),INDEX('All Player Data Store'!$G$7:$G$594,SMALL(IF('All Player Data Store'!$Y$7:$Y$594=AC287,ROW('All Player Data Store'!$Y$7:$Y$594)-ROW('All Player Data Store'!$Y$7)+1),COUNTIF($AC$8:AC287,AC287))),"")</f>
        <v/>
      </c>
      <c r="L287" s="70" t="str">
        <f t="array" ref="L287">IF(ISNUMBER(AC287),INDEX('All Player Data Store'!$H$7:$H$594,SMALL(IF('All Player Data Store'!$Y$7:$Y$594=AC287,ROW('All Player Data Store'!$Y$7:$Y$594)-ROW('All Player Data Store'!$Y$7)+1),COUNTIF($AC$8:AC287,AC287))),"")</f>
        <v/>
      </c>
      <c r="M287" s="72" t="str">
        <f t="array" ref="M287">IF(ISNUMBER(AC287),INDEX('All Player Data Store'!$I$7:$I$594,SMALL(IF('All Player Data Store'!$Y$7:$Y$594=AC287,ROW('All Player Data Store'!$Y$7:$Y$594)-ROW('All Player Data Store'!$Y$7)+1),COUNTIF($AC$8:AC287,AC287))),"")</f>
        <v/>
      </c>
      <c r="N287" s="114" t="str">
        <f t="array" ref="N287">IF(ISNUMBER(AC287),INDEX('All Player Data Store'!$J$7:$J$594,SMALL(IF('All Player Data Store'!$Y$7:$Y$594=AC287,ROW('All Player Data Store'!$Y$7:$Y$594)-ROW('All Player Data Store'!$Y$7)+1),COUNTIF($AC$8:AC287,AC287))),"")</f>
        <v/>
      </c>
      <c r="O287" s="108" t="str">
        <f t="array" ref="O287">IF(ISNUMBER(AC287),INDEX('All Player Data Store'!$K$7:$K$594,SMALL(IF('All Player Data Store'!$Y$7:$Y$594=AC287,ROW('All Player Data Store'!$Y$7:$Y$594)-ROW('All Player Data Store'!$Y$7)+1),COUNTIF($AC$8:AC287,AC287))),"")</f>
        <v/>
      </c>
      <c r="P287" s="108" t="str">
        <f t="array" ref="P287">IF(ISNUMBER(AC287),INDEX('All Player Data Store'!$L$7:$L$594,SMALL(IF('All Player Data Store'!$Y$7:$Y$594=AC287,ROW('All Player Data Store'!$Y$7:$Y$594)-ROW('All Player Data Store'!$Y$7)+1),COUNTIF($AC$8:AC287,AC287))),"")</f>
        <v/>
      </c>
      <c r="Q287" s="108" t="str">
        <f t="array" ref="Q287">IF(ISNUMBER(AC287),INDEX('All Player Data Store'!$M$7:$M$594,SMALL(IF('All Player Data Store'!$Y$7:$Y$594=AC287,ROW('All Player Data Store'!$Y$7:$Y$594)-ROW('All Player Data Store'!$Y$7)+1),COUNTIF($AC$8:AC287,AC287))),"")</f>
        <v/>
      </c>
      <c r="R287" s="108" t="str">
        <f t="array" ref="R287">IF(ISNUMBER(AC287),INDEX('All Player Data Store'!$N$7:$N$594,SMALL(IF('All Player Data Store'!$Y$7:$Y$594=AC287,ROW('All Player Data Store'!$Y$7:$Y$594)-ROW('All Player Data Store'!$Y$7)+1),COUNTIF($AC$8:AC287,AC287))),"")</f>
        <v/>
      </c>
      <c r="S287" s="108" t="str">
        <f t="array" ref="S287">IF(ISNUMBER(AC287),INDEX('All Player Data Store'!$O$7:$O$594,SMALL(IF('All Player Data Store'!$Y$7:$Y$594=AC287,ROW('All Player Data Store'!$Y$7:$Y$594)-ROW('All Player Data Store'!$Y$7)+1),COUNTIF($AC$8:AC287,AC287))),"")</f>
        <v/>
      </c>
      <c r="T287" s="108" t="str">
        <f t="array" ref="T287">IF(ISNUMBER(AC287),INDEX('All Player Data Store'!$P$7:$P$594,SMALL(IF('All Player Data Store'!$Y$7:$Y$594=AC287,ROW('All Player Data Store'!$Y$7:$Y$594)-ROW('All Player Data Store'!$Y$7)+1),COUNTIF($AC$8:AC287,AC287))),"")</f>
        <v/>
      </c>
      <c r="U287" s="108" t="str">
        <f t="array" ref="U287">IF(ISNUMBER(AC287),INDEX('All Player Data Store'!$Q$7:$Q$594,SMALL(IF('All Player Data Store'!$Y$7:$Y$594=AC287,ROW('All Player Data Store'!$Y$7:$Y$594)-ROW('All Player Data Store'!$Y$7)+1),COUNTIF($AC$8:AC287,AC287))),"")</f>
        <v/>
      </c>
      <c r="V287" s="108" t="str">
        <f t="array" ref="V287">IF(ISNUMBER(AC287),INDEX('All Player Data Store'!$R$7:$R$594,SMALL(IF('All Player Data Store'!$Y$7:$Y$594=AC287,ROW('All Player Data Store'!$Y$7:$Y$594)-ROW('All Player Data Store'!$Y$7)+1),COUNTIF($AC$8:AC287,AC287))),"")</f>
        <v/>
      </c>
      <c r="W287" s="108" t="str">
        <f t="array" ref="W287">IF(ISNUMBER(AC287),INDEX('All Player Data Store'!$S$7:$S$594,SMALL(IF('All Player Data Store'!$Y$7:$Y$594=AC287,ROW('All Player Data Store'!$Y$7:$Y$594)-ROW('All Player Data Store'!$Y$7)+1),COUNTIF($AC$8:AC287,AC287))),"")</f>
        <v/>
      </c>
      <c r="X287" s="108" t="str">
        <f t="array" ref="X287">IF(ISNUMBER(AC287),INDEX('All Player Data Store'!$T$7:$T$594,SMALL(IF('All Player Data Store'!$Y$7:$Y$594=AC287,ROW('All Player Data Store'!$Y$7:$Y$594)-ROW('All Player Data Store'!$Y$7)+1),COUNTIF($AC$8:AC287,AC287))),"")</f>
        <v/>
      </c>
      <c r="Y287" s="108" t="str">
        <f t="array" ref="Y287">IF(ISNUMBER(AC287),INDEX('All Player Data Store'!$U$7:$U$594,SMALL(IF('All Player Data Store'!$Y$7:$Y$594=AC287,ROW('All Player Data Store'!$Y$7:$Y$594)-ROW('All Player Data Store'!$Y$7)+1),COUNTIF($AC$8:AC287,AC287))),"")</f>
        <v/>
      </c>
      <c r="Z287" s="108" t="str">
        <f t="array" ref="Z287">IF(ISNUMBER(AC287),INDEX('All Player Data Store'!$V$7:$V$594,SMALL(IF('All Player Data Store'!$Y$7:$Y$594=AC287,ROW('All Player Data Store'!$Y$7:$Y$594)-ROW('All Player Data Store'!$Y$7)+1),COUNTIF($AC$8:AC287,AC287))),"")</f>
        <v/>
      </c>
      <c r="AA287" s="112" t="str">
        <f t="array" ref="AA287">IF(ISNUMBER(AC287),INDEX('All Player Data Store'!$W$7:$W$594,SMALL(IF('All Player Data Store'!$Y$7:$Y$594=AC287,ROW('All Player Data Store'!$Y$7:$Y$594)-ROW('All Player Data Store'!$Y$7)+1),COUNTIF($AC$8:AC287,AC287))),"")</f>
        <v/>
      </c>
      <c r="AB287" s="108" t="str">
        <f t="array" ref="AB287">IF(ISNUMBER(AC287),INDEX('All Player Data Store'!$X$7:$X$594,SMALL(IF('All Player Data Store'!$Y$7:$Y$594=AC287,ROW('All Player Data Store'!$Y$7:$Y$594)-ROW('All Player Data Store'!$Y$7)+1),COUNTIF($AC$8:AC287,AC287))),"")</f>
        <v/>
      </c>
      <c r="AC287" s="115" t="str">
        <f>IF(ISERROR(IF(ISERROR(LARGE('All Player Data Store'!$Y$7:$Y$594,280)),"",(LARGE('All Player Data Store'!$Y$7:$Y$594,280)))),"",(IF(ISERROR(LARGE('All Player Data Store'!$Y$7:$Y$594,280)),"",(LARGE('All Player Data Store'!$Y$7:$Y$594,280)))))</f>
        <v/>
      </c>
      <c r="AD287" s="106">
        <f t="shared" si="16"/>
        <v>1</v>
      </c>
      <c r="AE287" s="107" t="str">
        <f t="array" ref="AE287">IF(ISNUMBER(AC287),INDEX('All Player Data Store'!$J$8:$J$594,SMALL(IF('All Player Data Store'!$Y$7:$Y$594=AC287,ROW('All Player Data Store'!$Y$7:$Y$594)-ROW('All Player Data Store'!$Y$7)+1),COUNTIF($AC$8:AC287,AC287))),"")</f>
        <v/>
      </c>
      <c r="AF287" s="108" t="str">
        <f t="shared" si="19"/>
        <v/>
      </c>
      <c r="AG287" s="108" t="str">
        <f t="array" ref="AG287">IF(ISNUMBER(AC287),INDEX('All Player Data Store'!$K$8:$K$594,SMALL(IF('All Player Data Store'!$Y$7:$Y$594=AC287,ROW('All Player Data Store'!$Y$7:$Y$594)-ROW('All Player Data Store'!$Y$7)+1),COUNTIF($AC$8:AC287,AC287))),"")</f>
        <v/>
      </c>
      <c r="AH287" s="108" t="str">
        <f t="shared" si="20"/>
        <v/>
      </c>
      <c r="AI287" s="108" t="str">
        <f t="array" ref="AI287">IF(ISNUMBER(AC287),INDEX('All Player Data Store'!$L$8:$L$594,SMALL(IF('All Player Data Store'!$Y$7:$Y$594=AC287,ROW('All Player Data Store'!$Y$7:$Y$594)-ROW('All Player Data Store'!$Y$7)+1),COUNTIF($AC$8:AC287,AC287))),"")</f>
        <v/>
      </c>
      <c r="AJ287" s="108" t="str">
        <f t="shared" si="21"/>
        <v/>
      </c>
      <c r="AK287" s="108" t="str">
        <f t="array" ref="AK287">IF(ISNUMBER(AC287),INDEX('All Player Data Store'!$M$8:$M$594,SMALL(IF('All Player Data Store'!$Y$7:$Y$594=AC287,ROW('All Player Data Store'!$Y$7:$Y$594)-ROW('All Player Data Store'!$Y$7)+1),COUNTIF($AC$8:AC287,AC287))),"")</f>
        <v/>
      </c>
      <c r="AL287" s="108" t="str">
        <f t="shared" si="22"/>
        <v/>
      </c>
      <c r="AM287" s="108" t="str">
        <f t="array" ref="AM287">IF(ISNUMBER(AC287),INDEX('All Player Data Store'!$N$8:$N$594,SMALL(IF('All Player Data Store'!$Y$7:$Y$594=AC287,ROW('All Player Data Store'!$Y$7:$Y$594)-ROW('All Player Data Store'!$Y$7)+1),COUNTIF($AC$8:AC287,AC287))),"")</f>
        <v/>
      </c>
      <c r="AN287" s="108" t="str">
        <f t="shared" si="23"/>
        <v/>
      </c>
      <c r="AO287" s="108" t="str">
        <f t="array" ref="AO287">IF(ISNUMBER(AC287),INDEX('All Player Data Store'!$O$8:$O$594,SMALL(IF('All Player Data Store'!$Y$7:$Y$594=AC287,ROW('All Player Data Store'!$Y$7:$Y$594)-ROW('All Player Data Store'!$Y$7)+1),COUNTIF($AC$8:AC287,AC287))),"")</f>
        <v/>
      </c>
      <c r="AP287" s="108" t="str">
        <f t="shared" si="24"/>
        <v/>
      </c>
      <c r="AQ287" s="108" t="str">
        <f t="array" ref="AQ287">IF(ISNUMBER(AC287),INDEX('All Player Data Store'!$P$8:$P$594,SMALL(IF('All Player Data Store'!$Y$7:$Y$594=AC287,ROW('All Player Data Store'!$Y$7:$Y$594)-ROW('All Player Data Store'!$Y$7)+1),COUNTIF($AC$8:AC287,AC287))),"")</f>
        <v/>
      </c>
      <c r="AR287" s="108" t="str">
        <f t="shared" si="25"/>
        <v/>
      </c>
      <c r="AS287" s="108" t="str">
        <f t="array" ref="AS287">IF(ISNUMBER(AC287),INDEX('All Player Data Store'!$Q$8:$Q$594,SMALL(IF('All Player Data Store'!$Y$7:$Y$594=AC287,ROW('All Player Data Store'!$Y$7:$Y$594)-ROW('All Player Data Store'!$Y$7)+1),COUNTIF($AC$8:AC287,AC287))),"")</f>
        <v/>
      </c>
      <c r="AT287" s="108" t="str">
        <f t="shared" si="26"/>
        <v/>
      </c>
      <c r="AU287" s="108" t="str">
        <f t="array" ref="AU287">IF(ISNUMBER(AC287),INDEX('All Player Data Store'!$R$8:$R$594,SMALL(IF('All Player Data Store'!$Y$7:$Y$594=AC287,ROW('All Player Data Store'!$Y$7:$Y$594)-ROW('All Player Data Store'!$Y$7)+1),COUNTIF($AC$8:AC287,AC287))),"")</f>
        <v/>
      </c>
      <c r="AV287" s="108" t="str">
        <f t="shared" si="27"/>
        <v/>
      </c>
      <c r="AW287" s="108" t="str">
        <f t="array" ref="AW287">IF(ISNUMBER(AC287),INDEX('All Player Data Store'!$S$8:$S$594,SMALL(IF('All Player Data Store'!$Y$7:$Y$594=AC287,ROW('All Player Data Store'!$Y$7:$Y$594)-ROW('All Player Data Store'!$Y$7)+1),COUNTIF($AC$8:AC287,AC287))),"")</f>
        <v/>
      </c>
      <c r="AX287" s="108" t="str">
        <f t="shared" si="28"/>
        <v/>
      </c>
      <c r="AY287" s="108" t="str">
        <f t="array" ref="AY287">IF(ISNUMBER(AC287),INDEX('All Player Data Store'!$T$8:$T$594,SMALL(IF('All Player Data Store'!$Y$7:$Y$594=AC287,ROW('All Player Data Store'!$Y$7:$Y$594)-ROW('All Player Data Store'!$Y$7)+1),COUNTIF($AC$8:AC287,AC287))),"")</f>
        <v/>
      </c>
      <c r="AZ287" s="108" t="str">
        <f t="shared" si="29"/>
        <v/>
      </c>
      <c r="BA287" s="108" t="str">
        <f t="array" ref="BA287">IF(ISNUMBER(AC287),INDEX('All Player Data Store'!$U$8:$U$594,SMALL(IF('All Player Data Store'!$Y$7:$Y$594=AC287,ROW('All Player Data Store'!$Y$7:$Y$594)-ROW('All Player Data Store'!$Y$7)+1),COUNTIF($AC$8:AC287,AC287))),"")</f>
        <v/>
      </c>
      <c r="BB287" s="108" t="str">
        <f t="shared" si="30"/>
        <v/>
      </c>
      <c r="BC287" s="108" t="str">
        <f t="array" ref="BC287">IF(ISNUMBER(AC287),INDEX('All Player Data Store'!$V$8:$V$594,SMALL(IF('All Player Data Store'!$Y$7:$Y$594=AC287,ROW('All Player Data Store'!$Y$7:$Y$594)-ROW('All Player Data Store'!$Y$7)+1),COUNTIF($AC$8:AC287,AC287))),"")</f>
        <v/>
      </c>
      <c r="BD287" s="108" t="str">
        <f t="shared" si="31"/>
        <v/>
      </c>
      <c r="BE287" s="1"/>
    </row>
    <row r="288" spans="2:57" ht="12" customHeight="1" x14ac:dyDescent="0.2">
      <c r="B288" s="118" t="str">
        <f t="shared" si="17"/>
        <v/>
      </c>
      <c r="C288" s="1"/>
      <c r="D288" s="68" t="str">
        <f t="shared" si="18"/>
        <v/>
      </c>
      <c r="E288" s="2"/>
      <c r="F288" s="78">
        <v>281</v>
      </c>
      <c r="G288" s="110" t="str">
        <f t="array" ref="G288">IF(ISNUMBER(AC288),INDEX('All Player Data Store'!$C$7:$C$594,SMALL(IF('All Player Data Store'!$Y$7:$Y$594=AC288,ROW('All Player Data Store'!$Y$7:$Y$594)-ROW('All Player Data Store'!$Y$7)+1),COUNTIF($AC$8:AC288,AC288))),"")</f>
        <v/>
      </c>
      <c r="H288" s="68" t="str">
        <f t="array" ref="H288">IF(ISNUMBER(AC288),INDEX('All Player Data Store'!$D$7:$D$594,SMALL(IF('All Player Data Store'!$Y$7:$Y$594=AC288,ROW('All Player Data Store'!$Y$7:$Y$594)-ROW('All Player Data Store'!$Y$7)+1),COUNTIF($AC$8:AC288,AC288))),"")</f>
        <v/>
      </c>
      <c r="I288" s="69" t="str">
        <f t="array" ref="I288">IF(ISNUMBER(AC288),INDEX('All Player Data Store'!$E$7:$E$594,SMALL(IF('All Player Data Store'!$Y$7:$Y$594=AC288,ROW('All Player Data Store'!$Y$7:$Y$594)-ROW('All Player Data Store'!$Y$7)+1),COUNTIF($AC$8:AC288,AC288))),"")</f>
        <v/>
      </c>
      <c r="J288" s="70" t="str">
        <f t="array" ref="J288">IF(ISNUMBER(AC288),INDEX('All Player Data Store'!$F$7:$F$594,SMALL(IF('All Player Data Store'!$Y$7:$Y$594=AC288,ROW('All Player Data Store'!$Y$7:$Y$594)-ROW('All Player Data Store'!$Y$7)+1),COUNTIF($AC$8:AC288,AC288))),"")</f>
        <v/>
      </c>
      <c r="K288" s="70" t="str">
        <f t="array" ref="K288">IF(ISNUMBER(AC288),INDEX('All Player Data Store'!$G$7:$G$594,SMALL(IF('All Player Data Store'!$Y$7:$Y$594=AC288,ROW('All Player Data Store'!$Y$7:$Y$594)-ROW('All Player Data Store'!$Y$7)+1),COUNTIF($AC$8:AC288,AC288))),"")</f>
        <v/>
      </c>
      <c r="L288" s="70" t="str">
        <f t="array" ref="L288">IF(ISNUMBER(AC288),INDEX('All Player Data Store'!$H$7:$H$594,SMALL(IF('All Player Data Store'!$Y$7:$Y$594=AC288,ROW('All Player Data Store'!$Y$7:$Y$594)-ROW('All Player Data Store'!$Y$7)+1),COUNTIF($AC$8:AC288,AC288))),"")</f>
        <v/>
      </c>
      <c r="M288" s="72" t="str">
        <f t="array" ref="M288">IF(ISNUMBER(AC288),INDEX('All Player Data Store'!$I$7:$I$594,SMALL(IF('All Player Data Store'!$Y$7:$Y$594=AC288,ROW('All Player Data Store'!$Y$7:$Y$594)-ROW('All Player Data Store'!$Y$7)+1),COUNTIF($AC$8:AC288,AC288))),"")</f>
        <v/>
      </c>
      <c r="N288" s="114" t="str">
        <f t="array" ref="N288">IF(ISNUMBER(AC288),INDEX('All Player Data Store'!$J$7:$J$594,SMALL(IF('All Player Data Store'!$Y$7:$Y$594=AC288,ROW('All Player Data Store'!$Y$7:$Y$594)-ROW('All Player Data Store'!$Y$7)+1),COUNTIF($AC$8:AC288,AC288))),"")</f>
        <v/>
      </c>
      <c r="O288" s="108" t="str">
        <f t="array" ref="O288">IF(ISNUMBER(AC288),INDEX('All Player Data Store'!$K$7:$K$594,SMALL(IF('All Player Data Store'!$Y$7:$Y$594=AC288,ROW('All Player Data Store'!$Y$7:$Y$594)-ROW('All Player Data Store'!$Y$7)+1),COUNTIF($AC$8:AC288,AC288))),"")</f>
        <v/>
      </c>
      <c r="P288" s="108" t="str">
        <f t="array" ref="P288">IF(ISNUMBER(AC288),INDEX('All Player Data Store'!$L$7:$L$594,SMALL(IF('All Player Data Store'!$Y$7:$Y$594=AC288,ROW('All Player Data Store'!$Y$7:$Y$594)-ROW('All Player Data Store'!$Y$7)+1),COUNTIF($AC$8:AC288,AC288))),"")</f>
        <v/>
      </c>
      <c r="Q288" s="108" t="str">
        <f t="array" ref="Q288">IF(ISNUMBER(AC288),INDEX('All Player Data Store'!$M$7:$M$594,SMALL(IF('All Player Data Store'!$Y$7:$Y$594=AC288,ROW('All Player Data Store'!$Y$7:$Y$594)-ROW('All Player Data Store'!$Y$7)+1),COUNTIF($AC$8:AC288,AC288))),"")</f>
        <v/>
      </c>
      <c r="R288" s="108" t="str">
        <f t="array" ref="R288">IF(ISNUMBER(AC288),INDEX('All Player Data Store'!$N$7:$N$594,SMALL(IF('All Player Data Store'!$Y$7:$Y$594=AC288,ROW('All Player Data Store'!$Y$7:$Y$594)-ROW('All Player Data Store'!$Y$7)+1),COUNTIF($AC$8:AC288,AC288))),"")</f>
        <v/>
      </c>
      <c r="S288" s="108" t="str">
        <f t="array" ref="S288">IF(ISNUMBER(AC288),INDEX('All Player Data Store'!$O$7:$O$594,SMALL(IF('All Player Data Store'!$Y$7:$Y$594=AC288,ROW('All Player Data Store'!$Y$7:$Y$594)-ROW('All Player Data Store'!$Y$7)+1),COUNTIF($AC$8:AC288,AC288))),"")</f>
        <v/>
      </c>
      <c r="T288" s="108" t="str">
        <f t="array" ref="T288">IF(ISNUMBER(AC288),INDEX('All Player Data Store'!$P$7:$P$594,SMALL(IF('All Player Data Store'!$Y$7:$Y$594=AC288,ROW('All Player Data Store'!$Y$7:$Y$594)-ROW('All Player Data Store'!$Y$7)+1),COUNTIF($AC$8:AC288,AC288))),"")</f>
        <v/>
      </c>
      <c r="U288" s="108" t="str">
        <f t="array" ref="U288">IF(ISNUMBER(AC288),INDEX('All Player Data Store'!$Q$7:$Q$594,SMALL(IF('All Player Data Store'!$Y$7:$Y$594=AC288,ROW('All Player Data Store'!$Y$7:$Y$594)-ROW('All Player Data Store'!$Y$7)+1),COUNTIF($AC$8:AC288,AC288))),"")</f>
        <v/>
      </c>
      <c r="V288" s="108" t="str">
        <f t="array" ref="V288">IF(ISNUMBER(AC288),INDEX('All Player Data Store'!$R$7:$R$594,SMALL(IF('All Player Data Store'!$Y$7:$Y$594=AC288,ROW('All Player Data Store'!$Y$7:$Y$594)-ROW('All Player Data Store'!$Y$7)+1),COUNTIF($AC$8:AC288,AC288))),"")</f>
        <v/>
      </c>
      <c r="W288" s="108" t="str">
        <f t="array" ref="W288">IF(ISNUMBER(AC288),INDEX('All Player Data Store'!$S$7:$S$594,SMALL(IF('All Player Data Store'!$Y$7:$Y$594=AC288,ROW('All Player Data Store'!$Y$7:$Y$594)-ROW('All Player Data Store'!$Y$7)+1),COUNTIF($AC$8:AC288,AC288))),"")</f>
        <v/>
      </c>
      <c r="X288" s="108" t="str">
        <f t="array" ref="X288">IF(ISNUMBER(AC288),INDEX('All Player Data Store'!$T$7:$T$594,SMALL(IF('All Player Data Store'!$Y$7:$Y$594=AC288,ROW('All Player Data Store'!$Y$7:$Y$594)-ROW('All Player Data Store'!$Y$7)+1),COUNTIF($AC$8:AC288,AC288))),"")</f>
        <v/>
      </c>
      <c r="Y288" s="108" t="str">
        <f t="array" ref="Y288">IF(ISNUMBER(AC288),INDEX('All Player Data Store'!$U$7:$U$594,SMALL(IF('All Player Data Store'!$Y$7:$Y$594=AC288,ROW('All Player Data Store'!$Y$7:$Y$594)-ROW('All Player Data Store'!$Y$7)+1),COUNTIF($AC$8:AC288,AC288))),"")</f>
        <v/>
      </c>
      <c r="Z288" s="108" t="str">
        <f t="array" ref="Z288">IF(ISNUMBER(AC288),INDEX('All Player Data Store'!$V$7:$V$594,SMALL(IF('All Player Data Store'!$Y$7:$Y$594=AC288,ROW('All Player Data Store'!$Y$7:$Y$594)-ROW('All Player Data Store'!$Y$7)+1),COUNTIF($AC$8:AC288,AC288))),"")</f>
        <v/>
      </c>
      <c r="AA288" s="112" t="str">
        <f t="array" ref="AA288">IF(ISNUMBER(AC288),INDEX('All Player Data Store'!$W$7:$W$594,SMALL(IF('All Player Data Store'!$Y$7:$Y$594=AC288,ROW('All Player Data Store'!$Y$7:$Y$594)-ROW('All Player Data Store'!$Y$7)+1),COUNTIF($AC$8:AC288,AC288))),"")</f>
        <v/>
      </c>
      <c r="AB288" s="108" t="str">
        <f t="array" ref="AB288">IF(ISNUMBER(AC288),INDEX('All Player Data Store'!$X$7:$X$594,SMALL(IF('All Player Data Store'!$Y$7:$Y$594=AC288,ROW('All Player Data Store'!$Y$7:$Y$594)-ROW('All Player Data Store'!$Y$7)+1),COUNTIF($AC$8:AC288,AC288))),"")</f>
        <v/>
      </c>
      <c r="AC288" s="115" t="str">
        <f>IF(ISERROR(IF(ISERROR(LARGE('All Player Data Store'!$Y$7:$Y$594,281)),"",(LARGE('All Player Data Store'!$Y$7:$Y$594,281)))),"",(IF(ISERROR(LARGE('All Player Data Store'!$Y$7:$Y$594,281)),"",(LARGE('All Player Data Store'!$Y$7:$Y$594,281)))))</f>
        <v/>
      </c>
      <c r="AD288" s="106">
        <f t="shared" si="16"/>
        <v>1</v>
      </c>
      <c r="AE288" s="107" t="str">
        <f t="array" ref="AE288">IF(ISNUMBER(AC288),INDEX('All Player Data Store'!$J$8:$J$594,SMALL(IF('All Player Data Store'!$Y$7:$Y$594=AC288,ROW('All Player Data Store'!$Y$7:$Y$594)-ROW('All Player Data Store'!$Y$7)+1),COUNTIF($AC$8:AC288,AC288))),"")</f>
        <v/>
      </c>
      <c r="AF288" s="108" t="str">
        <f t="shared" si="19"/>
        <v/>
      </c>
      <c r="AG288" s="108" t="str">
        <f t="array" ref="AG288">IF(ISNUMBER(AC288),INDEX('All Player Data Store'!$K$8:$K$594,SMALL(IF('All Player Data Store'!$Y$7:$Y$594=AC288,ROW('All Player Data Store'!$Y$7:$Y$594)-ROW('All Player Data Store'!$Y$7)+1),COUNTIF($AC$8:AC288,AC288))),"")</f>
        <v/>
      </c>
      <c r="AH288" s="108" t="str">
        <f t="shared" si="20"/>
        <v/>
      </c>
      <c r="AI288" s="108" t="str">
        <f t="array" ref="AI288">IF(ISNUMBER(AC288),INDEX('All Player Data Store'!$L$8:$L$594,SMALL(IF('All Player Data Store'!$Y$7:$Y$594=AC288,ROW('All Player Data Store'!$Y$7:$Y$594)-ROW('All Player Data Store'!$Y$7)+1),COUNTIF($AC$8:AC288,AC288))),"")</f>
        <v/>
      </c>
      <c r="AJ288" s="108" t="str">
        <f t="shared" si="21"/>
        <v/>
      </c>
      <c r="AK288" s="108" t="str">
        <f t="array" ref="AK288">IF(ISNUMBER(AC288),INDEX('All Player Data Store'!$M$8:$M$594,SMALL(IF('All Player Data Store'!$Y$7:$Y$594=AC288,ROW('All Player Data Store'!$Y$7:$Y$594)-ROW('All Player Data Store'!$Y$7)+1),COUNTIF($AC$8:AC288,AC288))),"")</f>
        <v/>
      </c>
      <c r="AL288" s="108" t="str">
        <f t="shared" si="22"/>
        <v/>
      </c>
      <c r="AM288" s="108" t="str">
        <f t="array" ref="AM288">IF(ISNUMBER(AC288),INDEX('All Player Data Store'!$N$8:$N$594,SMALL(IF('All Player Data Store'!$Y$7:$Y$594=AC288,ROW('All Player Data Store'!$Y$7:$Y$594)-ROW('All Player Data Store'!$Y$7)+1),COUNTIF($AC$8:AC288,AC288))),"")</f>
        <v/>
      </c>
      <c r="AN288" s="108" t="str">
        <f t="shared" si="23"/>
        <v/>
      </c>
      <c r="AO288" s="108" t="str">
        <f t="array" ref="AO288">IF(ISNUMBER(AC288),INDEX('All Player Data Store'!$O$8:$O$594,SMALL(IF('All Player Data Store'!$Y$7:$Y$594=AC288,ROW('All Player Data Store'!$Y$7:$Y$594)-ROW('All Player Data Store'!$Y$7)+1),COUNTIF($AC$8:AC288,AC288))),"")</f>
        <v/>
      </c>
      <c r="AP288" s="108" t="str">
        <f t="shared" si="24"/>
        <v/>
      </c>
      <c r="AQ288" s="108" t="str">
        <f t="array" ref="AQ288">IF(ISNUMBER(AC288),INDEX('All Player Data Store'!$P$8:$P$594,SMALL(IF('All Player Data Store'!$Y$7:$Y$594=AC288,ROW('All Player Data Store'!$Y$7:$Y$594)-ROW('All Player Data Store'!$Y$7)+1),COUNTIF($AC$8:AC288,AC288))),"")</f>
        <v/>
      </c>
      <c r="AR288" s="108" t="str">
        <f t="shared" si="25"/>
        <v/>
      </c>
      <c r="AS288" s="108" t="str">
        <f t="array" ref="AS288">IF(ISNUMBER(AC288),INDEX('All Player Data Store'!$Q$8:$Q$594,SMALL(IF('All Player Data Store'!$Y$7:$Y$594=AC288,ROW('All Player Data Store'!$Y$7:$Y$594)-ROW('All Player Data Store'!$Y$7)+1),COUNTIF($AC$8:AC288,AC288))),"")</f>
        <v/>
      </c>
      <c r="AT288" s="108" t="str">
        <f t="shared" si="26"/>
        <v/>
      </c>
      <c r="AU288" s="108" t="str">
        <f t="array" ref="AU288">IF(ISNUMBER(AC288),INDEX('All Player Data Store'!$R$8:$R$594,SMALL(IF('All Player Data Store'!$Y$7:$Y$594=AC288,ROW('All Player Data Store'!$Y$7:$Y$594)-ROW('All Player Data Store'!$Y$7)+1),COUNTIF($AC$8:AC288,AC288))),"")</f>
        <v/>
      </c>
      <c r="AV288" s="108" t="str">
        <f t="shared" si="27"/>
        <v/>
      </c>
      <c r="AW288" s="108" t="str">
        <f t="array" ref="AW288">IF(ISNUMBER(AC288),INDEX('All Player Data Store'!$S$8:$S$594,SMALL(IF('All Player Data Store'!$Y$7:$Y$594=AC288,ROW('All Player Data Store'!$Y$7:$Y$594)-ROW('All Player Data Store'!$Y$7)+1),COUNTIF($AC$8:AC288,AC288))),"")</f>
        <v/>
      </c>
      <c r="AX288" s="108" t="str">
        <f t="shared" si="28"/>
        <v/>
      </c>
      <c r="AY288" s="108" t="str">
        <f t="array" ref="AY288">IF(ISNUMBER(AC288),INDEX('All Player Data Store'!$T$8:$T$594,SMALL(IF('All Player Data Store'!$Y$7:$Y$594=AC288,ROW('All Player Data Store'!$Y$7:$Y$594)-ROW('All Player Data Store'!$Y$7)+1),COUNTIF($AC$8:AC288,AC288))),"")</f>
        <v/>
      </c>
      <c r="AZ288" s="108" t="str">
        <f t="shared" si="29"/>
        <v/>
      </c>
      <c r="BA288" s="108" t="str">
        <f t="array" ref="BA288">IF(ISNUMBER(AC288),INDEX('All Player Data Store'!$U$8:$U$594,SMALL(IF('All Player Data Store'!$Y$7:$Y$594=AC288,ROW('All Player Data Store'!$Y$7:$Y$594)-ROW('All Player Data Store'!$Y$7)+1),COUNTIF($AC$8:AC288,AC288))),"")</f>
        <v/>
      </c>
      <c r="BB288" s="108" t="str">
        <f t="shared" si="30"/>
        <v/>
      </c>
      <c r="BC288" s="108" t="str">
        <f t="array" ref="BC288">IF(ISNUMBER(AC288),INDEX('All Player Data Store'!$V$8:$V$594,SMALL(IF('All Player Data Store'!$Y$7:$Y$594=AC288,ROW('All Player Data Store'!$Y$7:$Y$594)-ROW('All Player Data Store'!$Y$7)+1),COUNTIF($AC$8:AC288,AC288))),"")</f>
        <v/>
      </c>
      <c r="BD288" s="108" t="str">
        <f t="shared" si="31"/>
        <v/>
      </c>
      <c r="BE288" s="1"/>
    </row>
    <row r="289" spans="2:57" ht="12" customHeight="1" x14ac:dyDescent="0.2">
      <c r="B289" s="118" t="str">
        <f t="shared" si="17"/>
        <v/>
      </c>
      <c r="C289" s="1"/>
      <c r="D289" s="68" t="str">
        <f t="shared" si="18"/>
        <v/>
      </c>
      <c r="E289" s="2"/>
      <c r="F289" s="78">
        <v>282</v>
      </c>
      <c r="G289" s="110" t="str">
        <f t="array" ref="G289">IF(ISNUMBER(AC289),INDEX('All Player Data Store'!$C$7:$C$594,SMALL(IF('All Player Data Store'!$Y$7:$Y$594=AC289,ROW('All Player Data Store'!$Y$7:$Y$594)-ROW('All Player Data Store'!$Y$7)+1),COUNTIF($AC$8:AC289,AC289))),"")</f>
        <v/>
      </c>
      <c r="H289" s="68" t="str">
        <f t="array" ref="H289">IF(ISNUMBER(AC289),INDEX('All Player Data Store'!$D$7:$D$594,SMALL(IF('All Player Data Store'!$Y$7:$Y$594=AC289,ROW('All Player Data Store'!$Y$7:$Y$594)-ROW('All Player Data Store'!$Y$7)+1),COUNTIF($AC$8:AC289,AC289))),"")</f>
        <v/>
      </c>
      <c r="I289" s="69" t="str">
        <f t="array" ref="I289">IF(ISNUMBER(AC289),INDEX('All Player Data Store'!$E$7:$E$594,SMALL(IF('All Player Data Store'!$Y$7:$Y$594=AC289,ROW('All Player Data Store'!$Y$7:$Y$594)-ROW('All Player Data Store'!$Y$7)+1),COUNTIF($AC$8:AC289,AC289))),"")</f>
        <v/>
      </c>
      <c r="J289" s="70" t="str">
        <f t="array" ref="J289">IF(ISNUMBER(AC289),INDEX('All Player Data Store'!$F$7:$F$594,SMALL(IF('All Player Data Store'!$Y$7:$Y$594=AC289,ROW('All Player Data Store'!$Y$7:$Y$594)-ROW('All Player Data Store'!$Y$7)+1),COUNTIF($AC$8:AC289,AC289))),"")</f>
        <v/>
      </c>
      <c r="K289" s="70" t="str">
        <f t="array" ref="K289">IF(ISNUMBER(AC289),INDEX('All Player Data Store'!$G$7:$G$594,SMALL(IF('All Player Data Store'!$Y$7:$Y$594=AC289,ROW('All Player Data Store'!$Y$7:$Y$594)-ROW('All Player Data Store'!$Y$7)+1),COUNTIF($AC$8:AC289,AC289))),"")</f>
        <v/>
      </c>
      <c r="L289" s="70" t="str">
        <f t="array" ref="L289">IF(ISNUMBER(AC289),INDEX('All Player Data Store'!$H$7:$H$594,SMALL(IF('All Player Data Store'!$Y$7:$Y$594=AC289,ROW('All Player Data Store'!$Y$7:$Y$594)-ROW('All Player Data Store'!$Y$7)+1),COUNTIF($AC$8:AC289,AC289))),"")</f>
        <v/>
      </c>
      <c r="M289" s="72" t="str">
        <f t="array" ref="M289">IF(ISNUMBER(AC289),INDEX('All Player Data Store'!$I$7:$I$594,SMALL(IF('All Player Data Store'!$Y$7:$Y$594=AC289,ROW('All Player Data Store'!$Y$7:$Y$594)-ROW('All Player Data Store'!$Y$7)+1),COUNTIF($AC$8:AC289,AC289))),"")</f>
        <v/>
      </c>
      <c r="N289" s="114" t="str">
        <f t="array" ref="N289">IF(ISNUMBER(AC289),INDEX('All Player Data Store'!$J$7:$J$594,SMALL(IF('All Player Data Store'!$Y$7:$Y$594=AC289,ROW('All Player Data Store'!$Y$7:$Y$594)-ROW('All Player Data Store'!$Y$7)+1),COUNTIF($AC$8:AC289,AC289))),"")</f>
        <v/>
      </c>
      <c r="O289" s="108" t="str">
        <f t="array" ref="O289">IF(ISNUMBER(AC289),INDEX('All Player Data Store'!$K$7:$K$594,SMALL(IF('All Player Data Store'!$Y$7:$Y$594=AC289,ROW('All Player Data Store'!$Y$7:$Y$594)-ROW('All Player Data Store'!$Y$7)+1),COUNTIF($AC$8:AC289,AC289))),"")</f>
        <v/>
      </c>
      <c r="P289" s="108" t="str">
        <f t="array" ref="P289">IF(ISNUMBER(AC289),INDEX('All Player Data Store'!$L$7:$L$594,SMALL(IF('All Player Data Store'!$Y$7:$Y$594=AC289,ROW('All Player Data Store'!$Y$7:$Y$594)-ROW('All Player Data Store'!$Y$7)+1),COUNTIF($AC$8:AC289,AC289))),"")</f>
        <v/>
      </c>
      <c r="Q289" s="108" t="str">
        <f t="array" ref="Q289">IF(ISNUMBER(AC289),INDEX('All Player Data Store'!$M$7:$M$594,SMALL(IF('All Player Data Store'!$Y$7:$Y$594=AC289,ROW('All Player Data Store'!$Y$7:$Y$594)-ROW('All Player Data Store'!$Y$7)+1),COUNTIF($AC$8:AC289,AC289))),"")</f>
        <v/>
      </c>
      <c r="R289" s="108" t="str">
        <f t="array" ref="R289">IF(ISNUMBER(AC289),INDEX('All Player Data Store'!$N$7:$N$594,SMALL(IF('All Player Data Store'!$Y$7:$Y$594=AC289,ROW('All Player Data Store'!$Y$7:$Y$594)-ROW('All Player Data Store'!$Y$7)+1),COUNTIF($AC$8:AC289,AC289))),"")</f>
        <v/>
      </c>
      <c r="S289" s="108" t="str">
        <f t="array" ref="S289">IF(ISNUMBER(AC289),INDEX('All Player Data Store'!$O$7:$O$594,SMALL(IF('All Player Data Store'!$Y$7:$Y$594=AC289,ROW('All Player Data Store'!$Y$7:$Y$594)-ROW('All Player Data Store'!$Y$7)+1),COUNTIF($AC$8:AC289,AC289))),"")</f>
        <v/>
      </c>
      <c r="T289" s="108" t="str">
        <f t="array" ref="T289">IF(ISNUMBER(AC289),INDEX('All Player Data Store'!$P$7:$P$594,SMALL(IF('All Player Data Store'!$Y$7:$Y$594=AC289,ROW('All Player Data Store'!$Y$7:$Y$594)-ROW('All Player Data Store'!$Y$7)+1),COUNTIF($AC$8:AC289,AC289))),"")</f>
        <v/>
      </c>
      <c r="U289" s="108" t="str">
        <f t="array" ref="U289">IF(ISNUMBER(AC289),INDEX('All Player Data Store'!$Q$7:$Q$594,SMALL(IF('All Player Data Store'!$Y$7:$Y$594=AC289,ROW('All Player Data Store'!$Y$7:$Y$594)-ROW('All Player Data Store'!$Y$7)+1),COUNTIF($AC$8:AC289,AC289))),"")</f>
        <v/>
      </c>
      <c r="V289" s="108" t="str">
        <f t="array" ref="V289">IF(ISNUMBER(AC289),INDEX('All Player Data Store'!$R$7:$R$594,SMALL(IF('All Player Data Store'!$Y$7:$Y$594=AC289,ROW('All Player Data Store'!$Y$7:$Y$594)-ROW('All Player Data Store'!$Y$7)+1),COUNTIF($AC$8:AC289,AC289))),"")</f>
        <v/>
      </c>
      <c r="W289" s="108" t="str">
        <f t="array" ref="W289">IF(ISNUMBER(AC289),INDEX('All Player Data Store'!$S$7:$S$594,SMALL(IF('All Player Data Store'!$Y$7:$Y$594=AC289,ROW('All Player Data Store'!$Y$7:$Y$594)-ROW('All Player Data Store'!$Y$7)+1),COUNTIF($AC$8:AC289,AC289))),"")</f>
        <v/>
      </c>
      <c r="X289" s="108" t="str">
        <f t="array" ref="X289">IF(ISNUMBER(AC289),INDEX('All Player Data Store'!$T$7:$T$594,SMALL(IF('All Player Data Store'!$Y$7:$Y$594=AC289,ROW('All Player Data Store'!$Y$7:$Y$594)-ROW('All Player Data Store'!$Y$7)+1),COUNTIF($AC$8:AC289,AC289))),"")</f>
        <v/>
      </c>
      <c r="Y289" s="108" t="str">
        <f t="array" ref="Y289">IF(ISNUMBER(AC289),INDEX('All Player Data Store'!$U$7:$U$594,SMALL(IF('All Player Data Store'!$Y$7:$Y$594=AC289,ROW('All Player Data Store'!$Y$7:$Y$594)-ROW('All Player Data Store'!$Y$7)+1),COUNTIF($AC$8:AC289,AC289))),"")</f>
        <v/>
      </c>
      <c r="Z289" s="108" t="str">
        <f t="array" ref="Z289">IF(ISNUMBER(AC289),INDEX('All Player Data Store'!$V$7:$V$594,SMALL(IF('All Player Data Store'!$Y$7:$Y$594=AC289,ROW('All Player Data Store'!$Y$7:$Y$594)-ROW('All Player Data Store'!$Y$7)+1),COUNTIF($AC$8:AC289,AC289))),"")</f>
        <v/>
      </c>
      <c r="AA289" s="112" t="str">
        <f t="array" ref="AA289">IF(ISNUMBER(AC289),INDEX('All Player Data Store'!$W$7:$W$594,SMALL(IF('All Player Data Store'!$Y$7:$Y$594=AC289,ROW('All Player Data Store'!$Y$7:$Y$594)-ROW('All Player Data Store'!$Y$7)+1),COUNTIF($AC$8:AC289,AC289))),"")</f>
        <v/>
      </c>
      <c r="AB289" s="108" t="str">
        <f t="array" ref="AB289">IF(ISNUMBER(AC289),INDEX('All Player Data Store'!$X$7:$X$594,SMALL(IF('All Player Data Store'!$Y$7:$Y$594=AC289,ROW('All Player Data Store'!$Y$7:$Y$594)-ROW('All Player Data Store'!$Y$7)+1),COUNTIF($AC$8:AC289,AC289))),"")</f>
        <v/>
      </c>
      <c r="AC289" s="115" t="str">
        <f>IF(ISERROR(IF(ISERROR(LARGE('All Player Data Store'!$Y$7:$Y$594,282)),"",(LARGE('All Player Data Store'!$Y$7:$Y$594,282)))),"",(IF(ISERROR(LARGE('All Player Data Store'!$Y$7:$Y$594,282)),"",(LARGE('All Player Data Store'!$Y$7:$Y$594,282)))))</f>
        <v/>
      </c>
      <c r="AD289" s="106">
        <f t="shared" si="16"/>
        <v>1</v>
      </c>
      <c r="AE289" s="107" t="str">
        <f t="array" ref="AE289">IF(ISNUMBER(AC289),INDEX('All Player Data Store'!$J$8:$J$594,SMALL(IF('All Player Data Store'!$Y$7:$Y$594=AC289,ROW('All Player Data Store'!$Y$7:$Y$594)-ROW('All Player Data Store'!$Y$7)+1),COUNTIF($AC$8:AC289,AC289))),"")</f>
        <v/>
      </c>
      <c r="AF289" s="108" t="str">
        <f t="shared" si="19"/>
        <v/>
      </c>
      <c r="AG289" s="108" t="str">
        <f t="array" ref="AG289">IF(ISNUMBER(AC289),INDEX('All Player Data Store'!$K$8:$K$594,SMALL(IF('All Player Data Store'!$Y$7:$Y$594=AC289,ROW('All Player Data Store'!$Y$7:$Y$594)-ROW('All Player Data Store'!$Y$7)+1),COUNTIF($AC$8:AC289,AC289))),"")</f>
        <v/>
      </c>
      <c r="AH289" s="108" t="str">
        <f t="shared" si="20"/>
        <v/>
      </c>
      <c r="AI289" s="108" t="str">
        <f t="array" ref="AI289">IF(ISNUMBER(AC289),INDEX('All Player Data Store'!$L$8:$L$594,SMALL(IF('All Player Data Store'!$Y$7:$Y$594=AC289,ROW('All Player Data Store'!$Y$7:$Y$594)-ROW('All Player Data Store'!$Y$7)+1),COUNTIF($AC$8:AC289,AC289))),"")</f>
        <v/>
      </c>
      <c r="AJ289" s="108" t="str">
        <f t="shared" si="21"/>
        <v/>
      </c>
      <c r="AK289" s="108" t="str">
        <f t="array" ref="AK289">IF(ISNUMBER(AC289),INDEX('All Player Data Store'!$M$8:$M$594,SMALL(IF('All Player Data Store'!$Y$7:$Y$594=AC289,ROW('All Player Data Store'!$Y$7:$Y$594)-ROW('All Player Data Store'!$Y$7)+1),COUNTIF($AC$8:AC289,AC289))),"")</f>
        <v/>
      </c>
      <c r="AL289" s="108" t="str">
        <f t="shared" si="22"/>
        <v/>
      </c>
      <c r="AM289" s="108" t="str">
        <f t="array" ref="AM289">IF(ISNUMBER(AC289),INDEX('All Player Data Store'!$N$8:$N$594,SMALL(IF('All Player Data Store'!$Y$7:$Y$594=AC289,ROW('All Player Data Store'!$Y$7:$Y$594)-ROW('All Player Data Store'!$Y$7)+1),COUNTIF($AC$8:AC289,AC289))),"")</f>
        <v/>
      </c>
      <c r="AN289" s="108" t="str">
        <f t="shared" si="23"/>
        <v/>
      </c>
      <c r="AO289" s="108" t="str">
        <f t="array" ref="AO289">IF(ISNUMBER(AC289),INDEX('All Player Data Store'!$O$8:$O$594,SMALL(IF('All Player Data Store'!$Y$7:$Y$594=AC289,ROW('All Player Data Store'!$Y$7:$Y$594)-ROW('All Player Data Store'!$Y$7)+1),COUNTIF($AC$8:AC289,AC289))),"")</f>
        <v/>
      </c>
      <c r="AP289" s="108" t="str">
        <f t="shared" si="24"/>
        <v/>
      </c>
      <c r="AQ289" s="108" t="str">
        <f t="array" ref="AQ289">IF(ISNUMBER(AC289),INDEX('All Player Data Store'!$P$8:$P$594,SMALL(IF('All Player Data Store'!$Y$7:$Y$594=AC289,ROW('All Player Data Store'!$Y$7:$Y$594)-ROW('All Player Data Store'!$Y$7)+1),COUNTIF($AC$8:AC289,AC289))),"")</f>
        <v/>
      </c>
      <c r="AR289" s="108" t="str">
        <f t="shared" si="25"/>
        <v/>
      </c>
      <c r="AS289" s="108" t="str">
        <f t="array" ref="AS289">IF(ISNUMBER(AC289),INDEX('All Player Data Store'!$Q$8:$Q$594,SMALL(IF('All Player Data Store'!$Y$7:$Y$594=AC289,ROW('All Player Data Store'!$Y$7:$Y$594)-ROW('All Player Data Store'!$Y$7)+1),COUNTIF($AC$8:AC289,AC289))),"")</f>
        <v/>
      </c>
      <c r="AT289" s="108" t="str">
        <f t="shared" si="26"/>
        <v/>
      </c>
      <c r="AU289" s="108" t="str">
        <f t="array" ref="AU289">IF(ISNUMBER(AC289),INDEX('All Player Data Store'!$R$8:$R$594,SMALL(IF('All Player Data Store'!$Y$7:$Y$594=AC289,ROW('All Player Data Store'!$Y$7:$Y$594)-ROW('All Player Data Store'!$Y$7)+1),COUNTIF($AC$8:AC289,AC289))),"")</f>
        <v/>
      </c>
      <c r="AV289" s="108" t="str">
        <f t="shared" si="27"/>
        <v/>
      </c>
      <c r="AW289" s="108" t="str">
        <f t="array" ref="AW289">IF(ISNUMBER(AC289),INDEX('All Player Data Store'!$S$8:$S$594,SMALL(IF('All Player Data Store'!$Y$7:$Y$594=AC289,ROW('All Player Data Store'!$Y$7:$Y$594)-ROW('All Player Data Store'!$Y$7)+1),COUNTIF($AC$8:AC289,AC289))),"")</f>
        <v/>
      </c>
      <c r="AX289" s="108" t="str">
        <f t="shared" si="28"/>
        <v/>
      </c>
      <c r="AY289" s="108" t="str">
        <f t="array" ref="AY289">IF(ISNUMBER(AC289),INDEX('All Player Data Store'!$T$8:$T$594,SMALL(IF('All Player Data Store'!$Y$7:$Y$594=AC289,ROW('All Player Data Store'!$Y$7:$Y$594)-ROW('All Player Data Store'!$Y$7)+1),COUNTIF($AC$8:AC289,AC289))),"")</f>
        <v/>
      </c>
      <c r="AZ289" s="108" t="str">
        <f t="shared" si="29"/>
        <v/>
      </c>
      <c r="BA289" s="108" t="str">
        <f t="array" ref="BA289">IF(ISNUMBER(AC289),INDEX('All Player Data Store'!$U$8:$U$594,SMALL(IF('All Player Data Store'!$Y$7:$Y$594=AC289,ROW('All Player Data Store'!$Y$7:$Y$594)-ROW('All Player Data Store'!$Y$7)+1),COUNTIF($AC$8:AC289,AC289))),"")</f>
        <v/>
      </c>
      <c r="BB289" s="108" t="str">
        <f t="shared" si="30"/>
        <v/>
      </c>
      <c r="BC289" s="108" t="str">
        <f t="array" ref="BC289">IF(ISNUMBER(AC289),INDEX('All Player Data Store'!$V$8:$V$594,SMALL(IF('All Player Data Store'!$Y$7:$Y$594=AC289,ROW('All Player Data Store'!$Y$7:$Y$594)-ROW('All Player Data Store'!$Y$7)+1),COUNTIF($AC$8:AC289,AC289))),"")</f>
        <v/>
      </c>
      <c r="BD289" s="108" t="str">
        <f t="shared" si="31"/>
        <v/>
      </c>
      <c r="BE289" s="1"/>
    </row>
    <row r="290" spans="2:57" ht="12" customHeight="1" x14ac:dyDescent="0.2">
      <c r="B290" s="118" t="str">
        <f t="shared" si="17"/>
        <v/>
      </c>
      <c r="C290" s="1"/>
      <c r="D290" s="68" t="str">
        <f t="shared" si="18"/>
        <v/>
      </c>
      <c r="E290" s="2"/>
      <c r="F290" s="78">
        <v>283</v>
      </c>
      <c r="G290" s="110" t="str">
        <f t="array" ref="G290">IF(ISNUMBER(AC290),INDEX('All Player Data Store'!$C$7:$C$594,SMALL(IF('All Player Data Store'!$Y$7:$Y$594=AC290,ROW('All Player Data Store'!$Y$7:$Y$594)-ROW('All Player Data Store'!$Y$7)+1),COUNTIF($AC$8:AC290,AC290))),"")</f>
        <v/>
      </c>
      <c r="H290" s="68" t="str">
        <f t="array" ref="H290">IF(ISNUMBER(AC290),INDEX('All Player Data Store'!$D$7:$D$594,SMALL(IF('All Player Data Store'!$Y$7:$Y$594=AC290,ROW('All Player Data Store'!$Y$7:$Y$594)-ROW('All Player Data Store'!$Y$7)+1),COUNTIF($AC$8:AC290,AC290))),"")</f>
        <v/>
      </c>
      <c r="I290" s="69" t="str">
        <f t="array" ref="I290">IF(ISNUMBER(AC290),INDEX('All Player Data Store'!$E$7:$E$594,SMALL(IF('All Player Data Store'!$Y$7:$Y$594=AC290,ROW('All Player Data Store'!$Y$7:$Y$594)-ROW('All Player Data Store'!$Y$7)+1),COUNTIF($AC$8:AC290,AC290))),"")</f>
        <v/>
      </c>
      <c r="J290" s="70" t="str">
        <f t="array" ref="J290">IF(ISNUMBER(AC290),INDEX('All Player Data Store'!$F$7:$F$594,SMALL(IF('All Player Data Store'!$Y$7:$Y$594=AC290,ROW('All Player Data Store'!$Y$7:$Y$594)-ROW('All Player Data Store'!$Y$7)+1),COUNTIF($AC$8:AC290,AC290))),"")</f>
        <v/>
      </c>
      <c r="K290" s="70" t="str">
        <f t="array" ref="K290">IF(ISNUMBER(AC290),INDEX('All Player Data Store'!$G$7:$G$594,SMALL(IF('All Player Data Store'!$Y$7:$Y$594=AC290,ROW('All Player Data Store'!$Y$7:$Y$594)-ROW('All Player Data Store'!$Y$7)+1),COUNTIF($AC$8:AC290,AC290))),"")</f>
        <v/>
      </c>
      <c r="L290" s="70" t="str">
        <f t="array" ref="L290">IF(ISNUMBER(AC290),INDEX('All Player Data Store'!$H$7:$H$594,SMALL(IF('All Player Data Store'!$Y$7:$Y$594=AC290,ROW('All Player Data Store'!$Y$7:$Y$594)-ROW('All Player Data Store'!$Y$7)+1),COUNTIF($AC$8:AC290,AC290))),"")</f>
        <v/>
      </c>
      <c r="M290" s="72" t="str">
        <f t="array" ref="M290">IF(ISNUMBER(AC290),INDEX('All Player Data Store'!$I$7:$I$594,SMALL(IF('All Player Data Store'!$Y$7:$Y$594=AC290,ROW('All Player Data Store'!$Y$7:$Y$594)-ROW('All Player Data Store'!$Y$7)+1),COUNTIF($AC$8:AC290,AC290))),"")</f>
        <v/>
      </c>
      <c r="N290" s="114" t="str">
        <f t="array" ref="N290">IF(ISNUMBER(AC290),INDEX('All Player Data Store'!$J$7:$J$594,SMALL(IF('All Player Data Store'!$Y$7:$Y$594=AC290,ROW('All Player Data Store'!$Y$7:$Y$594)-ROW('All Player Data Store'!$Y$7)+1),COUNTIF($AC$8:AC290,AC290))),"")</f>
        <v/>
      </c>
      <c r="O290" s="108" t="str">
        <f t="array" ref="O290">IF(ISNUMBER(AC290),INDEX('All Player Data Store'!$K$7:$K$594,SMALL(IF('All Player Data Store'!$Y$7:$Y$594=AC290,ROW('All Player Data Store'!$Y$7:$Y$594)-ROW('All Player Data Store'!$Y$7)+1),COUNTIF($AC$8:AC290,AC290))),"")</f>
        <v/>
      </c>
      <c r="P290" s="108" t="str">
        <f t="array" ref="P290">IF(ISNUMBER(AC290),INDEX('All Player Data Store'!$L$7:$L$594,SMALL(IF('All Player Data Store'!$Y$7:$Y$594=AC290,ROW('All Player Data Store'!$Y$7:$Y$594)-ROW('All Player Data Store'!$Y$7)+1),COUNTIF($AC$8:AC290,AC290))),"")</f>
        <v/>
      </c>
      <c r="Q290" s="108" t="str">
        <f t="array" ref="Q290">IF(ISNUMBER(AC290),INDEX('All Player Data Store'!$M$7:$M$594,SMALL(IF('All Player Data Store'!$Y$7:$Y$594=AC290,ROW('All Player Data Store'!$Y$7:$Y$594)-ROW('All Player Data Store'!$Y$7)+1),COUNTIF($AC$8:AC290,AC290))),"")</f>
        <v/>
      </c>
      <c r="R290" s="108" t="str">
        <f t="array" ref="R290">IF(ISNUMBER(AC290),INDEX('All Player Data Store'!$N$7:$N$594,SMALL(IF('All Player Data Store'!$Y$7:$Y$594=AC290,ROW('All Player Data Store'!$Y$7:$Y$594)-ROW('All Player Data Store'!$Y$7)+1),COUNTIF($AC$8:AC290,AC290))),"")</f>
        <v/>
      </c>
      <c r="S290" s="108" t="str">
        <f t="array" ref="S290">IF(ISNUMBER(AC290),INDEX('All Player Data Store'!$O$7:$O$594,SMALL(IF('All Player Data Store'!$Y$7:$Y$594=AC290,ROW('All Player Data Store'!$Y$7:$Y$594)-ROW('All Player Data Store'!$Y$7)+1),COUNTIF($AC$8:AC290,AC290))),"")</f>
        <v/>
      </c>
      <c r="T290" s="108" t="str">
        <f t="array" ref="T290">IF(ISNUMBER(AC290),INDEX('All Player Data Store'!$P$7:$P$594,SMALL(IF('All Player Data Store'!$Y$7:$Y$594=AC290,ROW('All Player Data Store'!$Y$7:$Y$594)-ROW('All Player Data Store'!$Y$7)+1),COUNTIF($AC$8:AC290,AC290))),"")</f>
        <v/>
      </c>
      <c r="U290" s="108" t="str">
        <f t="array" ref="U290">IF(ISNUMBER(AC290),INDEX('All Player Data Store'!$Q$7:$Q$594,SMALL(IF('All Player Data Store'!$Y$7:$Y$594=AC290,ROW('All Player Data Store'!$Y$7:$Y$594)-ROW('All Player Data Store'!$Y$7)+1),COUNTIF($AC$8:AC290,AC290))),"")</f>
        <v/>
      </c>
      <c r="V290" s="108" t="str">
        <f t="array" ref="V290">IF(ISNUMBER(AC290),INDEX('All Player Data Store'!$R$7:$R$594,SMALL(IF('All Player Data Store'!$Y$7:$Y$594=AC290,ROW('All Player Data Store'!$Y$7:$Y$594)-ROW('All Player Data Store'!$Y$7)+1),COUNTIF($AC$8:AC290,AC290))),"")</f>
        <v/>
      </c>
      <c r="W290" s="108" t="str">
        <f t="array" ref="W290">IF(ISNUMBER(AC290),INDEX('All Player Data Store'!$S$7:$S$594,SMALL(IF('All Player Data Store'!$Y$7:$Y$594=AC290,ROW('All Player Data Store'!$Y$7:$Y$594)-ROW('All Player Data Store'!$Y$7)+1),COUNTIF($AC$8:AC290,AC290))),"")</f>
        <v/>
      </c>
      <c r="X290" s="108" t="str">
        <f t="array" ref="X290">IF(ISNUMBER(AC290),INDEX('All Player Data Store'!$T$7:$T$594,SMALL(IF('All Player Data Store'!$Y$7:$Y$594=AC290,ROW('All Player Data Store'!$Y$7:$Y$594)-ROW('All Player Data Store'!$Y$7)+1),COUNTIF($AC$8:AC290,AC290))),"")</f>
        <v/>
      </c>
      <c r="Y290" s="108" t="str">
        <f t="array" ref="Y290">IF(ISNUMBER(AC290),INDEX('All Player Data Store'!$U$7:$U$594,SMALL(IF('All Player Data Store'!$Y$7:$Y$594=AC290,ROW('All Player Data Store'!$Y$7:$Y$594)-ROW('All Player Data Store'!$Y$7)+1),COUNTIF($AC$8:AC290,AC290))),"")</f>
        <v/>
      </c>
      <c r="Z290" s="108" t="str">
        <f t="array" ref="Z290">IF(ISNUMBER(AC290),INDEX('All Player Data Store'!$V$7:$V$594,SMALL(IF('All Player Data Store'!$Y$7:$Y$594=AC290,ROW('All Player Data Store'!$Y$7:$Y$594)-ROW('All Player Data Store'!$Y$7)+1),COUNTIF($AC$8:AC290,AC290))),"")</f>
        <v/>
      </c>
      <c r="AA290" s="112" t="str">
        <f t="array" ref="AA290">IF(ISNUMBER(AC290),INDEX('All Player Data Store'!$W$7:$W$594,SMALL(IF('All Player Data Store'!$Y$7:$Y$594=AC290,ROW('All Player Data Store'!$Y$7:$Y$594)-ROW('All Player Data Store'!$Y$7)+1),COUNTIF($AC$8:AC290,AC290))),"")</f>
        <v/>
      </c>
      <c r="AB290" s="108" t="str">
        <f t="array" ref="AB290">IF(ISNUMBER(AC290),INDEX('All Player Data Store'!$X$7:$X$594,SMALL(IF('All Player Data Store'!$Y$7:$Y$594=AC290,ROW('All Player Data Store'!$Y$7:$Y$594)-ROW('All Player Data Store'!$Y$7)+1),COUNTIF($AC$8:AC290,AC290))),"")</f>
        <v/>
      </c>
      <c r="AC290" s="115" t="str">
        <f>IF(ISERROR(IF(ISERROR(LARGE('All Player Data Store'!$Y$7:$Y$594,283)),"",(LARGE('All Player Data Store'!$Y$7:$Y$594,283)))),"",(IF(ISERROR(LARGE('All Player Data Store'!$Y$7:$Y$594,283)),"",(LARGE('All Player Data Store'!$Y$7:$Y$594,283)))))</f>
        <v/>
      </c>
      <c r="AD290" s="106">
        <f t="shared" si="16"/>
        <v>1</v>
      </c>
      <c r="AE290" s="107" t="str">
        <f t="array" ref="AE290">IF(ISNUMBER(AC290),INDEX('All Player Data Store'!$J$8:$J$594,SMALL(IF('All Player Data Store'!$Y$7:$Y$594=AC290,ROW('All Player Data Store'!$Y$7:$Y$594)-ROW('All Player Data Store'!$Y$7)+1),COUNTIF($AC$8:AC290,AC290))),"")</f>
        <v/>
      </c>
      <c r="AF290" s="108" t="str">
        <f t="shared" si="19"/>
        <v/>
      </c>
      <c r="AG290" s="108" t="str">
        <f t="array" ref="AG290">IF(ISNUMBER(AC290),INDEX('All Player Data Store'!$K$8:$K$594,SMALL(IF('All Player Data Store'!$Y$7:$Y$594=AC290,ROW('All Player Data Store'!$Y$7:$Y$594)-ROW('All Player Data Store'!$Y$7)+1),COUNTIF($AC$8:AC290,AC290))),"")</f>
        <v/>
      </c>
      <c r="AH290" s="108" t="str">
        <f t="shared" si="20"/>
        <v/>
      </c>
      <c r="AI290" s="108" t="str">
        <f t="array" ref="AI290">IF(ISNUMBER(AC290),INDEX('All Player Data Store'!$L$8:$L$594,SMALL(IF('All Player Data Store'!$Y$7:$Y$594=AC290,ROW('All Player Data Store'!$Y$7:$Y$594)-ROW('All Player Data Store'!$Y$7)+1),COUNTIF($AC$8:AC290,AC290))),"")</f>
        <v/>
      </c>
      <c r="AJ290" s="108" t="str">
        <f t="shared" si="21"/>
        <v/>
      </c>
      <c r="AK290" s="108" t="str">
        <f t="array" ref="AK290">IF(ISNUMBER(AC290),INDEX('All Player Data Store'!$M$8:$M$594,SMALL(IF('All Player Data Store'!$Y$7:$Y$594=AC290,ROW('All Player Data Store'!$Y$7:$Y$594)-ROW('All Player Data Store'!$Y$7)+1),COUNTIF($AC$8:AC290,AC290))),"")</f>
        <v/>
      </c>
      <c r="AL290" s="108" t="str">
        <f t="shared" si="22"/>
        <v/>
      </c>
      <c r="AM290" s="108" t="str">
        <f t="array" ref="AM290">IF(ISNUMBER(AC290),INDEX('All Player Data Store'!$N$8:$N$594,SMALL(IF('All Player Data Store'!$Y$7:$Y$594=AC290,ROW('All Player Data Store'!$Y$7:$Y$594)-ROW('All Player Data Store'!$Y$7)+1),COUNTIF($AC$8:AC290,AC290))),"")</f>
        <v/>
      </c>
      <c r="AN290" s="108" t="str">
        <f t="shared" si="23"/>
        <v/>
      </c>
      <c r="AO290" s="108" t="str">
        <f t="array" ref="AO290">IF(ISNUMBER(AC290),INDEX('All Player Data Store'!$O$8:$O$594,SMALL(IF('All Player Data Store'!$Y$7:$Y$594=AC290,ROW('All Player Data Store'!$Y$7:$Y$594)-ROW('All Player Data Store'!$Y$7)+1),COUNTIF($AC$8:AC290,AC290))),"")</f>
        <v/>
      </c>
      <c r="AP290" s="108" t="str">
        <f t="shared" si="24"/>
        <v/>
      </c>
      <c r="AQ290" s="108" t="str">
        <f t="array" ref="AQ290">IF(ISNUMBER(AC290),INDEX('All Player Data Store'!$P$8:$P$594,SMALL(IF('All Player Data Store'!$Y$7:$Y$594=AC290,ROW('All Player Data Store'!$Y$7:$Y$594)-ROW('All Player Data Store'!$Y$7)+1),COUNTIF($AC$8:AC290,AC290))),"")</f>
        <v/>
      </c>
      <c r="AR290" s="108" t="str">
        <f t="shared" si="25"/>
        <v/>
      </c>
      <c r="AS290" s="108" t="str">
        <f t="array" ref="AS290">IF(ISNUMBER(AC290),INDEX('All Player Data Store'!$Q$8:$Q$594,SMALL(IF('All Player Data Store'!$Y$7:$Y$594=AC290,ROW('All Player Data Store'!$Y$7:$Y$594)-ROW('All Player Data Store'!$Y$7)+1),COUNTIF($AC$8:AC290,AC290))),"")</f>
        <v/>
      </c>
      <c r="AT290" s="108" t="str">
        <f t="shared" si="26"/>
        <v/>
      </c>
      <c r="AU290" s="108" t="str">
        <f t="array" ref="AU290">IF(ISNUMBER(AC290),INDEX('All Player Data Store'!$R$8:$R$594,SMALL(IF('All Player Data Store'!$Y$7:$Y$594=AC290,ROW('All Player Data Store'!$Y$7:$Y$594)-ROW('All Player Data Store'!$Y$7)+1),COUNTIF($AC$8:AC290,AC290))),"")</f>
        <v/>
      </c>
      <c r="AV290" s="108" t="str">
        <f t="shared" si="27"/>
        <v/>
      </c>
      <c r="AW290" s="108" t="str">
        <f t="array" ref="AW290">IF(ISNUMBER(AC290),INDEX('All Player Data Store'!$S$8:$S$594,SMALL(IF('All Player Data Store'!$Y$7:$Y$594=AC290,ROW('All Player Data Store'!$Y$7:$Y$594)-ROW('All Player Data Store'!$Y$7)+1),COUNTIF($AC$8:AC290,AC290))),"")</f>
        <v/>
      </c>
      <c r="AX290" s="108" t="str">
        <f t="shared" si="28"/>
        <v/>
      </c>
      <c r="AY290" s="108" t="str">
        <f t="array" ref="AY290">IF(ISNUMBER(AC290),INDEX('All Player Data Store'!$T$8:$T$594,SMALL(IF('All Player Data Store'!$Y$7:$Y$594=AC290,ROW('All Player Data Store'!$Y$7:$Y$594)-ROW('All Player Data Store'!$Y$7)+1),COUNTIF($AC$8:AC290,AC290))),"")</f>
        <v/>
      </c>
      <c r="AZ290" s="108" t="str">
        <f t="shared" si="29"/>
        <v/>
      </c>
      <c r="BA290" s="108" t="str">
        <f t="array" ref="BA290">IF(ISNUMBER(AC290),INDEX('All Player Data Store'!$U$8:$U$594,SMALL(IF('All Player Data Store'!$Y$7:$Y$594=AC290,ROW('All Player Data Store'!$Y$7:$Y$594)-ROW('All Player Data Store'!$Y$7)+1),COUNTIF($AC$8:AC290,AC290))),"")</f>
        <v/>
      </c>
      <c r="BB290" s="108" t="str">
        <f t="shared" si="30"/>
        <v/>
      </c>
      <c r="BC290" s="108" t="str">
        <f t="array" ref="BC290">IF(ISNUMBER(AC290),INDEX('All Player Data Store'!$V$8:$V$594,SMALL(IF('All Player Data Store'!$Y$7:$Y$594=AC290,ROW('All Player Data Store'!$Y$7:$Y$594)-ROW('All Player Data Store'!$Y$7)+1),COUNTIF($AC$8:AC290,AC290))),"")</f>
        <v/>
      </c>
      <c r="BD290" s="108" t="str">
        <f t="shared" si="31"/>
        <v/>
      </c>
      <c r="BE290" s="1"/>
    </row>
    <row r="291" spans="2:57" ht="12" customHeight="1" x14ac:dyDescent="0.2">
      <c r="B291" s="118" t="str">
        <f t="shared" si="17"/>
        <v/>
      </c>
      <c r="C291" s="1"/>
      <c r="D291" s="68" t="str">
        <f t="shared" si="18"/>
        <v/>
      </c>
      <c r="E291" s="2"/>
      <c r="F291" s="78">
        <v>284</v>
      </c>
      <c r="G291" s="110" t="str">
        <f t="array" ref="G291">IF(ISNUMBER(AC291),INDEX('All Player Data Store'!$C$7:$C$594,SMALL(IF('All Player Data Store'!$Y$7:$Y$594=AC291,ROW('All Player Data Store'!$Y$7:$Y$594)-ROW('All Player Data Store'!$Y$7)+1),COUNTIF($AC$8:AC291,AC291))),"")</f>
        <v/>
      </c>
      <c r="H291" s="68" t="str">
        <f t="array" ref="H291">IF(ISNUMBER(AC291),INDEX('All Player Data Store'!$D$7:$D$594,SMALL(IF('All Player Data Store'!$Y$7:$Y$594=AC291,ROW('All Player Data Store'!$Y$7:$Y$594)-ROW('All Player Data Store'!$Y$7)+1),COUNTIF($AC$8:AC291,AC291))),"")</f>
        <v/>
      </c>
      <c r="I291" s="69" t="str">
        <f t="array" ref="I291">IF(ISNUMBER(AC291),INDEX('All Player Data Store'!$E$7:$E$594,SMALL(IF('All Player Data Store'!$Y$7:$Y$594=AC291,ROW('All Player Data Store'!$Y$7:$Y$594)-ROW('All Player Data Store'!$Y$7)+1),COUNTIF($AC$8:AC291,AC291))),"")</f>
        <v/>
      </c>
      <c r="J291" s="70" t="str">
        <f t="array" ref="J291">IF(ISNUMBER(AC291),INDEX('All Player Data Store'!$F$7:$F$594,SMALL(IF('All Player Data Store'!$Y$7:$Y$594=AC291,ROW('All Player Data Store'!$Y$7:$Y$594)-ROW('All Player Data Store'!$Y$7)+1),COUNTIF($AC$8:AC291,AC291))),"")</f>
        <v/>
      </c>
      <c r="K291" s="70" t="str">
        <f t="array" ref="K291">IF(ISNUMBER(AC291),INDEX('All Player Data Store'!$G$7:$G$594,SMALL(IF('All Player Data Store'!$Y$7:$Y$594=AC291,ROW('All Player Data Store'!$Y$7:$Y$594)-ROW('All Player Data Store'!$Y$7)+1),COUNTIF($AC$8:AC291,AC291))),"")</f>
        <v/>
      </c>
      <c r="L291" s="70" t="str">
        <f t="array" ref="L291">IF(ISNUMBER(AC291),INDEX('All Player Data Store'!$H$7:$H$594,SMALL(IF('All Player Data Store'!$Y$7:$Y$594=AC291,ROW('All Player Data Store'!$Y$7:$Y$594)-ROW('All Player Data Store'!$Y$7)+1),COUNTIF($AC$8:AC291,AC291))),"")</f>
        <v/>
      </c>
      <c r="M291" s="72" t="str">
        <f t="array" ref="M291">IF(ISNUMBER(AC291),INDEX('All Player Data Store'!$I$7:$I$594,SMALL(IF('All Player Data Store'!$Y$7:$Y$594=AC291,ROW('All Player Data Store'!$Y$7:$Y$594)-ROW('All Player Data Store'!$Y$7)+1),COUNTIF($AC$8:AC291,AC291))),"")</f>
        <v/>
      </c>
      <c r="N291" s="114" t="str">
        <f t="array" ref="N291">IF(ISNUMBER(AC291),INDEX('All Player Data Store'!$J$7:$J$594,SMALL(IF('All Player Data Store'!$Y$7:$Y$594=AC291,ROW('All Player Data Store'!$Y$7:$Y$594)-ROW('All Player Data Store'!$Y$7)+1),COUNTIF($AC$8:AC291,AC291))),"")</f>
        <v/>
      </c>
      <c r="O291" s="108" t="str">
        <f t="array" ref="O291">IF(ISNUMBER(AC291),INDEX('All Player Data Store'!$K$7:$K$594,SMALL(IF('All Player Data Store'!$Y$7:$Y$594=AC291,ROW('All Player Data Store'!$Y$7:$Y$594)-ROW('All Player Data Store'!$Y$7)+1),COUNTIF($AC$8:AC291,AC291))),"")</f>
        <v/>
      </c>
      <c r="P291" s="108" t="str">
        <f t="array" ref="P291">IF(ISNUMBER(AC291),INDEX('All Player Data Store'!$L$7:$L$594,SMALL(IF('All Player Data Store'!$Y$7:$Y$594=AC291,ROW('All Player Data Store'!$Y$7:$Y$594)-ROW('All Player Data Store'!$Y$7)+1),COUNTIF($AC$8:AC291,AC291))),"")</f>
        <v/>
      </c>
      <c r="Q291" s="108" t="str">
        <f t="array" ref="Q291">IF(ISNUMBER(AC291),INDEX('All Player Data Store'!$M$7:$M$594,SMALL(IF('All Player Data Store'!$Y$7:$Y$594=AC291,ROW('All Player Data Store'!$Y$7:$Y$594)-ROW('All Player Data Store'!$Y$7)+1),COUNTIF($AC$8:AC291,AC291))),"")</f>
        <v/>
      </c>
      <c r="R291" s="108" t="str">
        <f t="array" ref="R291">IF(ISNUMBER(AC291),INDEX('All Player Data Store'!$N$7:$N$594,SMALL(IF('All Player Data Store'!$Y$7:$Y$594=AC291,ROW('All Player Data Store'!$Y$7:$Y$594)-ROW('All Player Data Store'!$Y$7)+1),COUNTIF($AC$8:AC291,AC291))),"")</f>
        <v/>
      </c>
      <c r="S291" s="108" t="str">
        <f t="array" ref="S291">IF(ISNUMBER(AC291),INDEX('All Player Data Store'!$O$7:$O$594,SMALL(IF('All Player Data Store'!$Y$7:$Y$594=AC291,ROW('All Player Data Store'!$Y$7:$Y$594)-ROW('All Player Data Store'!$Y$7)+1),COUNTIF($AC$8:AC291,AC291))),"")</f>
        <v/>
      </c>
      <c r="T291" s="108" t="str">
        <f t="array" ref="T291">IF(ISNUMBER(AC291),INDEX('All Player Data Store'!$P$7:$P$594,SMALL(IF('All Player Data Store'!$Y$7:$Y$594=AC291,ROW('All Player Data Store'!$Y$7:$Y$594)-ROW('All Player Data Store'!$Y$7)+1),COUNTIF($AC$8:AC291,AC291))),"")</f>
        <v/>
      </c>
      <c r="U291" s="108" t="str">
        <f t="array" ref="U291">IF(ISNUMBER(AC291),INDEX('All Player Data Store'!$Q$7:$Q$594,SMALL(IF('All Player Data Store'!$Y$7:$Y$594=AC291,ROW('All Player Data Store'!$Y$7:$Y$594)-ROW('All Player Data Store'!$Y$7)+1),COUNTIF($AC$8:AC291,AC291))),"")</f>
        <v/>
      </c>
      <c r="V291" s="108" t="str">
        <f t="array" ref="V291">IF(ISNUMBER(AC291),INDEX('All Player Data Store'!$R$7:$R$594,SMALL(IF('All Player Data Store'!$Y$7:$Y$594=AC291,ROW('All Player Data Store'!$Y$7:$Y$594)-ROW('All Player Data Store'!$Y$7)+1),COUNTIF($AC$8:AC291,AC291))),"")</f>
        <v/>
      </c>
      <c r="W291" s="108" t="str">
        <f t="array" ref="W291">IF(ISNUMBER(AC291),INDEX('All Player Data Store'!$S$7:$S$594,SMALL(IF('All Player Data Store'!$Y$7:$Y$594=AC291,ROW('All Player Data Store'!$Y$7:$Y$594)-ROW('All Player Data Store'!$Y$7)+1),COUNTIF($AC$8:AC291,AC291))),"")</f>
        <v/>
      </c>
      <c r="X291" s="108" t="str">
        <f t="array" ref="X291">IF(ISNUMBER(AC291),INDEX('All Player Data Store'!$T$7:$T$594,SMALL(IF('All Player Data Store'!$Y$7:$Y$594=AC291,ROW('All Player Data Store'!$Y$7:$Y$594)-ROW('All Player Data Store'!$Y$7)+1),COUNTIF($AC$8:AC291,AC291))),"")</f>
        <v/>
      </c>
      <c r="Y291" s="108" t="str">
        <f t="array" ref="Y291">IF(ISNUMBER(AC291),INDEX('All Player Data Store'!$U$7:$U$594,SMALL(IF('All Player Data Store'!$Y$7:$Y$594=AC291,ROW('All Player Data Store'!$Y$7:$Y$594)-ROW('All Player Data Store'!$Y$7)+1),COUNTIF($AC$8:AC291,AC291))),"")</f>
        <v/>
      </c>
      <c r="Z291" s="108" t="str">
        <f t="array" ref="Z291">IF(ISNUMBER(AC291),INDEX('All Player Data Store'!$V$7:$V$594,SMALL(IF('All Player Data Store'!$Y$7:$Y$594=AC291,ROW('All Player Data Store'!$Y$7:$Y$594)-ROW('All Player Data Store'!$Y$7)+1),COUNTIF($AC$8:AC291,AC291))),"")</f>
        <v/>
      </c>
      <c r="AA291" s="112" t="str">
        <f t="array" ref="AA291">IF(ISNUMBER(AC291),INDEX('All Player Data Store'!$W$7:$W$594,SMALL(IF('All Player Data Store'!$Y$7:$Y$594=AC291,ROW('All Player Data Store'!$Y$7:$Y$594)-ROW('All Player Data Store'!$Y$7)+1),COUNTIF($AC$8:AC291,AC291))),"")</f>
        <v/>
      </c>
      <c r="AB291" s="108" t="str">
        <f t="array" ref="AB291">IF(ISNUMBER(AC291),INDEX('All Player Data Store'!$X$7:$X$594,SMALL(IF('All Player Data Store'!$Y$7:$Y$594=AC291,ROW('All Player Data Store'!$Y$7:$Y$594)-ROW('All Player Data Store'!$Y$7)+1),COUNTIF($AC$8:AC291,AC291))),"")</f>
        <v/>
      </c>
      <c r="AC291" s="115" t="str">
        <f>IF(ISERROR(IF(ISERROR(LARGE('All Player Data Store'!$Y$7:$Y$594,284)),"",(LARGE('All Player Data Store'!$Y$7:$Y$594,284)))),"",(IF(ISERROR(LARGE('All Player Data Store'!$Y$7:$Y$594,284)),"",(LARGE('All Player Data Store'!$Y$7:$Y$594,284)))))</f>
        <v/>
      </c>
      <c r="AD291" s="106">
        <f t="shared" si="16"/>
        <v>1</v>
      </c>
      <c r="AE291" s="107" t="str">
        <f t="array" ref="AE291">IF(ISNUMBER(AC291),INDEX('All Player Data Store'!$J$8:$J$594,SMALL(IF('All Player Data Store'!$Y$7:$Y$594=AC291,ROW('All Player Data Store'!$Y$7:$Y$594)-ROW('All Player Data Store'!$Y$7)+1),COUNTIF($AC$8:AC291,AC291))),"")</f>
        <v/>
      </c>
      <c r="AF291" s="108" t="str">
        <f t="shared" si="19"/>
        <v/>
      </c>
      <c r="AG291" s="108" t="str">
        <f t="array" ref="AG291">IF(ISNUMBER(AC291),INDEX('All Player Data Store'!$K$8:$K$594,SMALL(IF('All Player Data Store'!$Y$7:$Y$594=AC291,ROW('All Player Data Store'!$Y$7:$Y$594)-ROW('All Player Data Store'!$Y$7)+1),COUNTIF($AC$8:AC291,AC291))),"")</f>
        <v/>
      </c>
      <c r="AH291" s="108" t="str">
        <f t="shared" si="20"/>
        <v/>
      </c>
      <c r="AI291" s="108" t="str">
        <f t="array" ref="AI291">IF(ISNUMBER(AC291),INDEX('All Player Data Store'!$L$8:$L$594,SMALL(IF('All Player Data Store'!$Y$7:$Y$594=AC291,ROW('All Player Data Store'!$Y$7:$Y$594)-ROW('All Player Data Store'!$Y$7)+1),COUNTIF($AC$8:AC291,AC291))),"")</f>
        <v/>
      </c>
      <c r="AJ291" s="108" t="str">
        <f t="shared" si="21"/>
        <v/>
      </c>
      <c r="AK291" s="108" t="str">
        <f t="array" ref="AK291">IF(ISNUMBER(AC291),INDEX('All Player Data Store'!$M$8:$M$594,SMALL(IF('All Player Data Store'!$Y$7:$Y$594=AC291,ROW('All Player Data Store'!$Y$7:$Y$594)-ROW('All Player Data Store'!$Y$7)+1),COUNTIF($AC$8:AC291,AC291))),"")</f>
        <v/>
      </c>
      <c r="AL291" s="108" t="str">
        <f t="shared" si="22"/>
        <v/>
      </c>
      <c r="AM291" s="108" t="str">
        <f t="array" ref="AM291">IF(ISNUMBER(AC291),INDEX('All Player Data Store'!$N$8:$N$594,SMALL(IF('All Player Data Store'!$Y$7:$Y$594=AC291,ROW('All Player Data Store'!$Y$7:$Y$594)-ROW('All Player Data Store'!$Y$7)+1),COUNTIF($AC$8:AC291,AC291))),"")</f>
        <v/>
      </c>
      <c r="AN291" s="108" t="str">
        <f t="shared" si="23"/>
        <v/>
      </c>
      <c r="AO291" s="108" t="str">
        <f t="array" ref="AO291">IF(ISNUMBER(AC291),INDEX('All Player Data Store'!$O$8:$O$594,SMALL(IF('All Player Data Store'!$Y$7:$Y$594=AC291,ROW('All Player Data Store'!$Y$7:$Y$594)-ROW('All Player Data Store'!$Y$7)+1),COUNTIF($AC$8:AC291,AC291))),"")</f>
        <v/>
      </c>
      <c r="AP291" s="108" t="str">
        <f t="shared" si="24"/>
        <v/>
      </c>
      <c r="AQ291" s="108" t="str">
        <f t="array" ref="AQ291">IF(ISNUMBER(AC291),INDEX('All Player Data Store'!$P$8:$P$594,SMALL(IF('All Player Data Store'!$Y$7:$Y$594=AC291,ROW('All Player Data Store'!$Y$7:$Y$594)-ROW('All Player Data Store'!$Y$7)+1),COUNTIF($AC$8:AC291,AC291))),"")</f>
        <v/>
      </c>
      <c r="AR291" s="108" t="str">
        <f t="shared" si="25"/>
        <v/>
      </c>
      <c r="AS291" s="108" t="str">
        <f t="array" ref="AS291">IF(ISNUMBER(AC291),INDEX('All Player Data Store'!$Q$8:$Q$594,SMALL(IF('All Player Data Store'!$Y$7:$Y$594=AC291,ROW('All Player Data Store'!$Y$7:$Y$594)-ROW('All Player Data Store'!$Y$7)+1),COUNTIF($AC$8:AC291,AC291))),"")</f>
        <v/>
      </c>
      <c r="AT291" s="108" t="str">
        <f t="shared" si="26"/>
        <v/>
      </c>
      <c r="AU291" s="108" t="str">
        <f t="array" ref="AU291">IF(ISNUMBER(AC291),INDEX('All Player Data Store'!$R$8:$R$594,SMALL(IF('All Player Data Store'!$Y$7:$Y$594=AC291,ROW('All Player Data Store'!$Y$7:$Y$594)-ROW('All Player Data Store'!$Y$7)+1),COUNTIF($AC$8:AC291,AC291))),"")</f>
        <v/>
      </c>
      <c r="AV291" s="108" t="str">
        <f t="shared" si="27"/>
        <v/>
      </c>
      <c r="AW291" s="108" t="str">
        <f t="array" ref="AW291">IF(ISNUMBER(AC291),INDEX('All Player Data Store'!$S$8:$S$594,SMALL(IF('All Player Data Store'!$Y$7:$Y$594=AC291,ROW('All Player Data Store'!$Y$7:$Y$594)-ROW('All Player Data Store'!$Y$7)+1),COUNTIF($AC$8:AC291,AC291))),"")</f>
        <v/>
      </c>
      <c r="AX291" s="108" t="str">
        <f t="shared" si="28"/>
        <v/>
      </c>
      <c r="AY291" s="108" t="str">
        <f t="array" ref="AY291">IF(ISNUMBER(AC291),INDEX('All Player Data Store'!$T$8:$T$594,SMALL(IF('All Player Data Store'!$Y$7:$Y$594=AC291,ROW('All Player Data Store'!$Y$7:$Y$594)-ROW('All Player Data Store'!$Y$7)+1),COUNTIF($AC$8:AC291,AC291))),"")</f>
        <v/>
      </c>
      <c r="AZ291" s="108" t="str">
        <f t="shared" si="29"/>
        <v/>
      </c>
      <c r="BA291" s="108" t="str">
        <f t="array" ref="BA291">IF(ISNUMBER(AC291),INDEX('All Player Data Store'!$U$8:$U$594,SMALL(IF('All Player Data Store'!$Y$7:$Y$594=AC291,ROW('All Player Data Store'!$Y$7:$Y$594)-ROW('All Player Data Store'!$Y$7)+1),COUNTIF($AC$8:AC291,AC291))),"")</f>
        <v/>
      </c>
      <c r="BB291" s="108" t="str">
        <f t="shared" si="30"/>
        <v/>
      </c>
      <c r="BC291" s="108" t="str">
        <f t="array" ref="BC291">IF(ISNUMBER(AC291),INDEX('All Player Data Store'!$V$8:$V$594,SMALL(IF('All Player Data Store'!$Y$7:$Y$594=AC291,ROW('All Player Data Store'!$Y$7:$Y$594)-ROW('All Player Data Store'!$Y$7)+1),COUNTIF($AC$8:AC291,AC291))),"")</f>
        <v/>
      </c>
      <c r="BD291" s="108" t="str">
        <f t="shared" si="31"/>
        <v/>
      </c>
      <c r="BE291" s="1"/>
    </row>
    <row r="292" spans="2:57" ht="12" customHeight="1" x14ac:dyDescent="0.2">
      <c r="B292" s="118" t="str">
        <f t="shared" si="17"/>
        <v/>
      </c>
      <c r="C292" s="1"/>
      <c r="D292" s="68" t="str">
        <f t="shared" si="18"/>
        <v/>
      </c>
      <c r="E292" s="2"/>
      <c r="F292" s="78">
        <v>285</v>
      </c>
      <c r="G292" s="110" t="str">
        <f t="array" ref="G292">IF(ISNUMBER(AC292),INDEX('All Player Data Store'!$C$7:$C$594,SMALL(IF('All Player Data Store'!$Y$7:$Y$594=AC292,ROW('All Player Data Store'!$Y$7:$Y$594)-ROW('All Player Data Store'!$Y$7)+1),COUNTIF($AC$8:AC292,AC292))),"")</f>
        <v/>
      </c>
      <c r="H292" s="68" t="str">
        <f t="array" ref="H292">IF(ISNUMBER(AC292),INDEX('All Player Data Store'!$D$7:$D$594,SMALL(IF('All Player Data Store'!$Y$7:$Y$594=AC292,ROW('All Player Data Store'!$Y$7:$Y$594)-ROW('All Player Data Store'!$Y$7)+1),COUNTIF($AC$8:AC292,AC292))),"")</f>
        <v/>
      </c>
      <c r="I292" s="69" t="str">
        <f t="array" ref="I292">IF(ISNUMBER(AC292),INDEX('All Player Data Store'!$E$7:$E$594,SMALL(IF('All Player Data Store'!$Y$7:$Y$594=AC292,ROW('All Player Data Store'!$Y$7:$Y$594)-ROW('All Player Data Store'!$Y$7)+1),COUNTIF($AC$8:AC292,AC292))),"")</f>
        <v/>
      </c>
      <c r="J292" s="70" t="str">
        <f t="array" ref="J292">IF(ISNUMBER(AC292),INDEX('All Player Data Store'!$F$7:$F$594,SMALL(IF('All Player Data Store'!$Y$7:$Y$594=AC292,ROW('All Player Data Store'!$Y$7:$Y$594)-ROW('All Player Data Store'!$Y$7)+1),COUNTIF($AC$8:AC292,AC292))),"")</f>
        <v/>
      </c>
      <c r="K292" s="70" t="str">
        <f t="array" ref="K292">IF(ISNUMBER(AC292),INDEX('All Player Data Store'!$G$7:$G$594,SMALL(IF('All Player Data Store'!$Y$7:$Y$594=AC292,ROW('All Player Data Store'!$Y$7:$Y$594)-ROW('All Player Data Store'!$Y$7)+1),COUNTIF($AC$8:AC292,AC292))),"")</f>
        <v/>
      </c>
      <c r="L292" s="70" t="str">
        <f t="array" ref="L292">IF(ISNUMBER(AC292),INDEX('All Player Data Store'!$H$7:$H$594,SMALL(IF('All Player Data Store'!$Y$7:$Y$594=AC292,ROW('All Player Data Store'!$Y$7:$Y$594)-ROW('All Player Data Store'!$Y$7)+1),COUNTIF($AC$8:AC292,AC292))),"")</f>
        <v/>
      </c>
      <c r="M292" s="72" t="str">
        <f t="array" ref="M292">IF(ISNUMBER(AC292),INDEX('All Player Data Store'!$I$7:$I$594,SMALL(IF('All Player Data Store'!$Y$7:$Y$594=AC292,ROW('All Player Data Store'!$Y$7:$Y$594)-ROW('All Player Data Store'!$Y$7)+1),COUNTIF($AC$8:AC292,AC292))),"")</f>
        <v/>
      </c>
      <c r="N292" s="114" t="str">
        <f t="array" ref="N292">IF(ISNUMBER(AC292),INDEX('All Player Data Store'!$J$7:$J$594,SMALL(IF('All Player Data Store'!$Y$7:$Y$594=AC292,ROW('All Player Data Store'!$Y$7:$Y$594)-ROW('All Player Data Store'!$Y$7)+1),COUNTIF($AC$8:AC292,AC292))),"")</f>
        <v/>
      </c>
      <c r="O292" s="108" t="str">
        <f t="array" ref="O292">IF(ISNUMBER(AC292),INDEX('All Player Data Store'!$K$7:$K$594,SMALL(IF('All Player Data Store'!$Y$7:$Y$594=AC292,ROW('All Player Data Store'!$Y$7:$Y$594)-ROW('All Player Data Store'!$Y$7)+1),COUNTIF($AC$8:AC292,AC292))),"")</f>
        <v/>
      </c>
      <c r="P292" s="108" t="str">
        <f t="array" ref="P292">IF(ISNUMBER(AC292),INDEX('All Player Data Store'!$L$7:$L$594,SMALL(IF('All Player Data Store'!$Y$7:$Y$594=AC292,ROW('All Player Data Store'!$Y$7:$Y$594)-ROW('All Player Data Store'!$Y$7)+1),COUNTIF($AC$8:AC292,AC292))),"")</f>
        <v/>
      </c>
      <c r="Q292" s="108" t="str">
        <f t="array" ref="Q292">IF(ISNUMBER(AC292),INDEX('All Player Data Store'!$M$7:$M$594,SMALL(IF('All Player Data Store'!$Y$7:$Y$594=AC292,ROW('All Player Data Store'!$Y$7:$Y$594)-ROW('All Player Data Store'!$Y$7)+1),COUNTIF($AC$8:AC292,AC292))),"")</f>
        <v/>
      </c>
      <c r="R292" s="108" t="str">
        <f t="array" ref="R292">IF(ISNUMBER(AC292),INDEX('All Player Data Store'!$N$7:$N$594,SMALL(IF('All Player Data Store'!$Y$7:$Y$594=AC292,ROW('All Player Data Store'!$Y$7:$Y$594)-ROW('All Player Data Store'!$Y$7)+1),COUNTIF($AC$8:AC292,AC292))),"")</f>
        <v/>
      </c>
      <c r="S292" s="108" t="str">
        <f t="array" ref="S292">IF(ISNUMBER(AC292),INDEX('All Player Data Store'!$O$7:$O$594,SMALL(IF('All Player Data Store'!$Y$7:$Y$594=AC292,ROW('All Player Data Store'!$Y$7:$Y$594)-ROW('All Player Data Store'!$Y$7)+1),COUNTIF($AC$8:AC292,AC292))),"")</f>
        <v/>
      </c>
      <c r="T292" s="108" t="str">
        <f t="array" ref="T292">IF(ISNUMBER(AC292),INDEX('All Player Data Store'!$P$7:$P$594,SMALL(IF('All Player Data Store'!$Y$7:$Y$594=AC292,ROW('All Player Data Store'!$Y$7:$Y$594)-ROW('All Player Data Store'!$Y$7)+1),COUNTIF($AC$8:AC292,AC292))),"")</f>
        <v/>
      </c>
      <c r="U292" s="108" t="str">
        <f t="array" ref="U292">IF(ISNUMBER(AC292),INDEX('All Player Data Store'!$Q$7:$Q$594,SMALL(IF('All Player Data Store'!$Y$7:$Y$594=AC292,ROW('All Player Data Store'!$Y$7:$Y$594)-ROW('All Player Data Store'!$Y$7)+1),COUNTIF($AC$8:AC292,AC292))),"")</f>
        <v/>
      </c>
      <c r="V292" s="108" t="str">
        <f t="array" ref="V292">IF(ISNUMBER(AC292),INDEX('All Player Data Store'!$R$7:$R$594,SMALL(IF('All Player Data Store'!$Y$7:$Y$594=AC292,ROW('All Player Data Store'!$Y$7:$Y$594)-ROW('All Player Data Store'!$Y$7)+1),COUNTIF($AC$8:AC292,AC292))),"")</f>
        <v/>
      </c>
      <c r="W292" s="108" t="str">
        <f t="array" ref="W292">IF(ISNUMBER(AC292),INDEX('All Player Data Store'!$S$7:$S$594,SMALL(IF('All Player Data Store'!$Y$7:$Y$594=AC292,ROW('All Player Data Store'!$Y$7:$Y$594)-ROW('All Player Data Store'!$Y$7)+1),COUNTIF($AC$8:AC292,AC292))),"")</f>
        <v/>
      </c>
      <c r="X292" s="108" t="str">
        <f t="array" ref="X292">IF(ISNUMBER(AC292),INDEX('All Player Data Store'!$T$7:$T$594,SMALL(IF('All Player Data Store'!$Y$7:$Y$594=AC292,ROW('All Player Data Store'!$Y$7:$Y$594)-ROW('All Player Data Store'!$Y$7)+1),COUNTIF($AC$8:AC292,AC292))),"")</f>
        <v/>
      </c>
      <c r="Y292" s="108" t="str">
        <f t="array" ref="Y292">IF(ISNUMBER(AC292),INDEX('All Player Data Store'!$U$7:$U$594,SMALL(IF('All Player Data Store'!$Y$7:$Y$594=AC292,ROW('All Player Data Store'!$Y$7:$Y$594)-ROW('All Player Data Store'!$Y$7)+1),COUNTIF($AC$8:AC292,AC292))),"")</f>
        <v/>
      </c>
      <c r="Z292" s="108" t="str">
        <f t="array" ref="Z292">IF(ISNUMBER(AC292),INDEX('All Player Data Store'!$V$7:$V$594,SMALL(IF('All Player Data Store'!$Y$7:$Y$594=AC292,ROW('All Player Data Store'!$Y$7:$Y$594)-ROW('All Player Data Store'!$Y$7)+1),COUNTIF($AC$8:AC292,AC292))),"")</f>
        <v/>
      </c>
      <c r="AA292" s="112" t="str">
        <f t="array" ref="AA292">IF(ISNUMBER(AC292),INDEX('All Player Data Store'!$W$7:$W$594,SMALL(IF('All Player Data Store'!$Y$7:$Y$594=AC292,ROW('All Player Data Store'!$Y$7:$Y$594)-ROW('All Player Data Store'!$Y$7)+1),COUNTIF($AC$8:AC292,AC292))),"")</f>
        <v/>
      </c>
      <c r="AB292" s="108" t="str">
        <f t="array" ref="AB292">IF(ISNUMBER(AC292),INDEX('All Player Data Store'!$X$7:$X$594,SMALL(IF('All Player Data Store'!$Y$7:$Y$594=AC292,ROW('All Player Data Store'!$Y$7:$Y$594)-ROW('All Player Data Store'!$Y$7)+1),COUNTIF($AC$8:AC292,AC292))),"")</f>
        <v/>
      </c>
      <c r="AC292" s="115" t="str">
        <f>IF(ISERROR(IF(ISERROR(LARGE('All Player Data Store'!$Y$7:$Y$594,285)),"",(LARGE('All Player Data Store'!$Y$7:$Y$594,285)))),"",(IF(ISERROR(LARGE('All Player Data Store'!$Y$7:$Y$594,285)),"",(LARGE('All Player Data Store'!$Y$7:$Y$594,285)))))</f>
        <v/>
      </c>
      <c r="AD292" s="106">
        <f t="shared" si="16"/>
        <v>1</v>
      </c>
      <c r="AE292" s="107" t="str">
        <f t="array" ref="AE292">IF(ISNUMBER(AC292),INDEX('All Player Data Store'!$J$8:$J$594,SMALL(IF('All Player Data Store'!$Y$7:$Y$594=AC292,ROW('All Player Data Store'!$Y$7:$Y$594)-ROW('All Player Data Store'!$Y$7)+1),COUNTIF($AC$8:AC292,AC292))),"")</f>
        <v/>
      </c>
      <c r="AF292" s="108" t="str">
        <f t="shared" si="19"/>
        <v/>
      </c>
      <c r="AG292" s="108" t="str">
        <f t="array" ref="AG292">IF(ISNUMBER(AC292),INDEX('All Player Data Store'!$K$8:$K$594,SMALL(IF('All Player Data Store'!$Y$7:$Y$594=AC292,ROW('All Player Data Store'!$Y$7:$Y$594)-ROW('All Player Data Store'!$Y$7)+1),COUNTIF($AC$8:AC292,AC292))),"")</f>
        <v/>
      </c>
      <c r="AH292" s="108" t="str">
        <f t="shared" si="20"/>
        <v/>
      </c>
      <c r="AI292" s="108" t="str">
        <f t="array" ref="AI292">IF(ISNUMBER(AC292),INDEX('All Player Data Store'!$L$8:$L$594,SMALL(IF('All Player Data Store'!$Y$7:$Y$594=AC292,ROW('All Player Data Store'!$Y$7:$Y$594)-ROW('All Player Data Store'!$Y$7)+1),COUNTIF($AC$8:AC292,AC292))),"")</f>
        <v/>
      </c>
      <c r="AJ292" s="108" t="str">
        <f t="shared" si="21"/>
        <v/>
      </c>
      <c r="AK292" s="108" t="str">
        <f t="array" ref="AK292">IF(ISNUMBER(AC292),INDEX('All Player Data Store'!$M$8:$M$594,SMALL(IF('All Player Data Store'!$Y$7:$Y$594=AC292,ROW('All Player Data Store'!$Y$7:$Y$594)-ROW('All Player Data Store'!$Y$7)+1),COUNTIF($AC$8:AC292,AC292))),"")</f>
        <v/>
      </c>
      <c r="AL292" s="108" t="str">
        <f t="shared" si="22"/>
        <v/>
      </c>
      <c r="AM292" s="108" t="str">
        <f t="array" ref="AM292">IF(ISNUMBER(AC292),INDEX('All Player Data Store'!$N$8:$N$594,SMALL(IF('All Player Data Store'!$Y$7:$Y$594=AC292,ROW('All Player Data Store'!$Y$7:$Y$594)-ROW('All Player Data Store'!$Y$7)+1),COUNTIF($AC$8:AC292,AC292))),"")</f>
        <v/>
      </c>
      <c r="AN292" s="108" t="str">
        <f t="shared" si="23"/>
        <v/>
      </c>
      <c r="AO292" s="108" t="str">
        <f t="array" ref="AO292">IF(ISNUMBER(AC292),INDEX('All Player Data Store'!$O$8:$O$594,SMALL(IF('All Player Data Store'!$Y$7:$Y$594=AC292,ROW('All Player Data Store'!$Y$7:$Y$594)-ROW('All Player Data Store'!$Y$7)+1),COUNTIF($AC$8:AC292,AC292))),"")</f>
        <v/>
      </c>
      <c r="AP292" s="108" t="str">
        <f t="shared" si="24"/>
        <v/>
      </c>
      <c r="AQ292" s="108" t="str">
        <f t="array" ref="AQ292">IF(ISNUMBER(AC292),INDEX('All Player Data Store'!$P$8:$P$594,SMALL(IF('All Player Data Store'!$Y$7:$Y$594=AC292,ROW('All Player Data Store'!$Y$7:$Y$594)-ROW('All Player Data Store'!$Y$7)+1),COUNTIF($AC$8:AC292,AC292))),"")</f>
        <v/>
      </c>
      <c r="AR292" s="108" t="str">
        <f t="shared" si="25"/>
        <v/>
      </c>
      <c r="AS292" s="108" t="str">
        <f t="array" ref="AS292">IF(ISNUMBER(AC292),INDEX('All Player Data Store'!$Q$8:$Q$594,SMALL(IF('All Player Data Store'!$Y$7:$Y$594=AC292,ROW('All Player Data Store'!$Y$7:$Y$594)-ROW('All Player Data Store'!$Y$7)+1),COUNTIF($AC$8:AC292,AC292))),"")</f>
        <v/>
      </c>
      <c r="AT292" s="108" t="str">
        <f t="shared" si="26"/>
        <v/>
      </c>
      <c r="AU292" s="108" t="str">
        <f t="array" ref="AU292">IF(ISNUMBER(AC292),INDEX('All Player Data Store'!$R$8:$R$594,SMALL(IF('All Player Data Store'!$Y$7:$Y$594=AC292,ROW('All Player Data Store'!$Y$7:$Y$594)-ROW('All Player Data Store'!$Y$7)+1),COUNTIF($AC$8:AC292,AC292))),"")</f>
        <v/>
      </c>
      <c r="AV292" s="108" t="str">
        <f t="shared" si="27"/>
        <v/>
      </c>
      <c r="AW292" s="108" t="str">
        <f t="array" ref="AW292">IF(ISNUMBER(AC292),INDEX('All Player Data Store'!$S$8:$S$594,SMALL(IF('All Player Data Store'!$Y$7:$Y$594=AC292,ROW('All Player Data Store'!$Y$7:$Y$594)-ROW('All Player Data Store'!$Y$7)+1),COUNTIF($AC$8:AC292,AC292))),"")</f>
        <v/>
      </c>
      <c r="AX292" s="108" t="str">
        <f t="shared" si="28"/>
        <v/>
      </c>
      <c r="AY292" s="108" t="str">
        <f t="array" ref="AY292">IF(ISNUMBER(AC292),INDEX('All Player Data Store'!$T$8:$T$594,SMALL(IF('All Player Data Store'!$Y$7:$Y$594=AC292,ROW('All Player Data Store'!$Y$7:$Y$594)-ROW('All Player Data Store'!$Y$7)+1),COUNTIF($AC$8:AC292,AC292))),"")</f>
        <v/>
      </c>
      <c r="AZ292" s="108" t="str">
        <f t="shared" si="29"/>
        <v/>
      </c>
      <c r="BA292" s="108" t="str">
        <f t="array" ref="BA292">IF(ISNUMBER(AC292),INDEX('All Player Data Store'!$U$8:$U$594,SMALL(IF('All Player Data Store'!$Y$7:$Y$594=AC292,ROW('All Player Data Store'!$Y$7:$Y$594)-ROW('All Player Data Store'!$Y$7)+1),COUNTIF($AC$8:AC292,AC292))),"")</f>
        <v/>
      </c>
      <c r="BB292" s="108" t="str">
        <f t="shared" si="30"/>
        <v/>
      </c>
      <c r="BC292" s="108" t="str">
        <f t="array" ref="BC292">IF(ISNUMBER(AC292),INDEX('All Player Data Store'!$V$8:$V$594,SMALL(IF('All Player Data Store'!$Y$7:$Y$594=AC292,ROW('All Player Data Store'!$Y$7:$Y$594)-ROW('All Player Data Store'!$Y$7)+1),COUNTIF($AC$8:AC292,AC292))),"")</f>
        <v/>
      </c>
      <c r="BD292" s="108" t="str">
        <f t="shared" si="31"/>
        <v/>
      </c>
      <c r="BE292" s="1"/>
    </row>
    <row r="293" spans="2:57" ht="12" customHeight="1" x14ac:dyDescent="0.2">
      <c r="B293" s="118" t="str">
        <f t="shared" si="17"/>
        <v/>
      </c>
      <c r="C293" s="1"/>
      <c r="D293" s="68" t="str">
        <f t="shared" si="18"/>
        <v/>
      </c>
      <c r="E293" s="2"/>
      <c r="F293" s="78">
        <v>286</v>
      </c>
      <c r="G293" s="110" t="str">
        <f t="array" ref="G293">IF(ISNUMBER(AC293),INDEX('All Player Data Store'!$C$7:$C$594,SMALL(IF('All Player Data Store'!$Y$7:$Y$594=AC293,ROW('All Player Data Store'!$Y$7:$Y$594)-ROW('All Player Data Store'!$Y$7)+1),COUNTIF($AC$8:AC293,AC293))),"")</f>
        <v/>
      </c>
      <c r="H293" s="68" t="str">
        <f t="array" ref="H293">IF(ISNUMBER(AC293),INDEX('All Player Data Store'!$D$7:$D$594,SMALL(IF('All Player Data Store'!$Y$7:$Y$594=AC293,ROW('All Player Data Store'!$Y$7:$Y$594)-ROW('All Player Data Store'!$Y$7)+1),COUNTIF($AC$8:AC293,AC293))),"")</f>
        <v/>
      </c>
      <c r="I293" s="69" t="str">
        <f t="array" ref="I293">IF(ISNUMBER(AC293),INDEX('All Player Data Store'!$E$7:$E$594,SMALL(IF('All Player Data Store'!$Y$7:$Y$594=AC293,ROW('All Player Data Store'!$Y$7:$Y$594)-ROW('All Player Data Store'!$Y$7)+1),COUNTIF($AC$8:AC293,AC293))),"")</f>
        <v/>
      </c>
      <c r="J293" s="70" t="str">
        <f t="array" ref="J293">IF(ISNUMBER(AC293),INDEX('All Player Data Store'!$F$7:$F$594,SMALL(IF('All Player Data Store'!$Y$7:$Y$594=AC293,ROW('All Player Data Store'!$Y$7:$Y$594)-ROW('All Player Data Store'!$Y$7)+1),COUNTIF($AC$8:AC293,AC293))),"")</f>
        <v/>
      </c>
      <c r="K293" s="70" t="str">
        <f t="array" ref="K293">IF(ISNUMBER(AC293),INDEX('All Player Data Store'!$G$7:$G$594,SMALL(IF('All Player Data Store'!$Y$7:$Y$594=AC293,ROW('All Player Data Store'!$Y$7:$Y$594)-ROW('All Player Data Store'!$Y$7)+1),COUNTIF($AC$8:AC293,AC293))),"")</f>
        <v/>
      </c>
      <c r="L293" s="70" t="str">
        <f t="array" ref="L293">IF(ISNUMBER(AC293),INDEX('All Player Data Store'!$H$7:$H$594,SMALL(IF('All Player Data Store'!$Y$7:$Y$594=AC293,ROW('All Player Data Store'!$Y$7:$Y$594)-ROW('All Player Data Store'!$Y$7)+1),COUNTIF($AC$8:AC293,AC293))),"")</f>
        <v/>
      </c>
      <c r="M293" s="72" t="str">
        <f t="array" ref="M293">IF(ISNUMBER(AC293),INDEX('All Player Data Store'!$I$7:$I$594,SMALL(IF('All Player Data Store'!$Y$7:$Y$594=AC293,ROW('All Player Data Store'!$Y$7:$Y$594)-ROW('All Player Data Store'!$Y$7)+1),COUNTIF($AC$8:AC293,AC293))),"")</f>
        <v/>
      </c>
      <c r="N293" s="114" t="str">
        <f t="array" ref="N293">IF(ISNUMBER(AC293),INDEX('All Player Data Store'!$J$7:$J$594,SMALL(IF('All Player Data Store'!$Y$7:$Y$594=AC293,ROW('All Player Data Store'!$Y$7:$Y$594)-ROW('All Player Data Store'!$Y$7)+1),COUNTIF($AC$8:AC293,AC293))),"")</f>
        <v/>
      </c>
      <c r="O293" s="108" t="str">
        <f t="array" ref="O293">IF(ISNUMBER(AC293),INDEX('All Player Data Store'!$K$7:$K$594,SMALL(IF('All Player Data Store'!$Y$7:$Y$594=AC293,ROW('All Player Data Store'!$Y$7:$Y$594)-ROW('All Player Data Store'!$Y$7)+1),COUNTIF($AC$8:AC293,AC293))),"")</f>
        <v/>
      </c>
      <c r="P293" s="108" t="str">
        <f t="array" ref="P293">IF(ISNUMBER(AC293),INDEX('All Player Data Store'!$L$7:$L$594,SMALL(IF('All Player Data Store'!$Y$7:$Y$594=AC293,ROW('All Player Data Store'!$Y$7:$Y$594)-ROW('All Player Data Store'!$Y$7)+1),COUNTIF($AC$8:AC293,AC293))),"")</f>
        <v/>
      </c>
      <c r="Q293" s="108" t="str">
        <f t="array" ref="Q293">IF(ISNUMBER(AC293),INDEX('All Player Data Store'!$M$7:$M$594,SMALL(IF('All Player Data Store'!$Y$7:$Y$594=AC293,ROW('All Player Data Store'!$Y$7:$Y$594)-ROW('All Player Data Store'!$Y$7)+1),COUNTIF($AC$8:AC293,AC293))),"")</f>
        <v/>
      </c>
      <c r="R293" s="108" t="str">
        <f t="array" ref="R293">IF(ISNUMBER(AC293),INDEX('All Player Data Store'!$N$7:$N$594,SMALL(IF('All Player Data Store'!$Y$7:$Y$594=AC293,ROW('All Player Data Store'!$Y$7:$Y$594)-ROW('All Player Data Store'!$Y$7)+1),COUNTIF($AC$8:AC293,AC293))),"")</f>
        <v/>
      </c>
      <c r="S293" s="108" t="str">
        <f t="array" ref="S293">IF(ISNUMBER(AC293),INDEX('All Player Data Store'!$O$7:$O$594,SMALL(IF('All Player Data Store'!$Y$7:$Y$594=AC293,ROW('All Player Data Store'!$Y$7:$Y$594)-ROW('All Player Data Store'!$Y$7)+1),COUNTIF($AC$8:AC293,AC293))),"")</f>
        <v/>
      </c>
      <c r="T293" s="108" t="str">
        <f t="array" ref="T293">IF(ISNUMBER(AC293),INDEX('All Player Data Store'!$P$7:$P$594,SMALL(IF('All Player Data Store'!$Y$7:$Y$594=AC293,ROW('All Player Data Store'!$Y$7:$Y$594)-ROW('All Player Data Store'!$Y$7)+1),COUNTIF($AC$8:AC293,AC293))),"")</f>
        <v/>
      </c>
      <c r="U293" s="108" t="str">
        <f t="array" ref="U293">IF(ISNUMBER(AC293),INDEX('All Player Data Store'!$Q$7:$Q$594,SMALL(IF('All Player Data Store'!$Y$7:$Y$594=AC293,ROW('All Player Data Store'!$Y$7:$Y$594)-ROW('All Player Data Store'!$Y$7)+1),COUNTIF($AC$8:AC293,AC293))),"")</f>
        <v/>
      </c>
      <c r="V293" s="108" t="str">
        <f t="array" ref="V293">IF(ISNUMBER(AC293),INDEX('All Player Data Store'!$R$7:$R$594,SMALL(IF('All Player Data Store'!$Y$7:$Y$594=AC293,ROW('All Player Data Store'!$Y$7:$Y$594)-ROW('All Player Data Store'!$Y$7)+1),COUNTIF($AC$8:AC293,AC293))),"")</f>
        <v/>
      </c>
      <c r="W293" s="108" t="str">
        <f t="array" ref="W293">IF(ISNUMBER(AC293),INDEX('All Player Data Store'!$S$7:$S$594,SMALL(IF('All Player Data Store'!$Y$7:$Y$594=AC293,ROW('All Player Data Store'!$Y$7:$Y$594)-ROW('All Player Data Store'!$Y$7)+1),COUNTIF($AC$8:AC293,AC293))),"")</f>
        <v/>
      </c>
      <c r="X293" s="108" t="str">
        <f t="array" ref="X293">IF(ISNUMBER(AC293),INDEX('All Player Data Store'!$T$7:$T$594,SMALL(IF('All Player Data Store'!$Y$7:$Y$594=AC293,ROW('All Player Data Store'!$Y$7:$Y$594)-ROW('All Player Data Store'!$Y$7)+1),COUNTIF($AC$8:AC293,AC293))),"")</f>
        <v/>
      </c>
      <c r="Y293" s="108" t="str">
        <f t="array" ref="Y293">IF(ISNUMBER(AC293),INDEX('All Player Data Store'!$U$7:$U$594,SMALL(IF('All Player Data Store'!$Y$7:$Y$594=AC293,ROW('All Player Data Store'!$Y$7:$Y$594)-ROW('All Player Data Store'!$Y$7)+1),COUNTIF($AC$8:AC293,AC293))),"")</f>
        <v/>
      </c>
      <c r="Z293" s="108" t="str">
        <f t="array" ref="Z293">IF(ISNUMBER(AC293),INDEX('All Player Data Store'!$V$7:$V$594,SMALL(IF('All Player Data Store'!$Y$7:$Y$594=AC293,ROW('All Player Data Store'!$Y$7:$Y$594)-ROW('All Player Data Store'!$Y$7)+1),COUNTIF($AC$8:AC293,AC293))),"")</f>
        <v/>
      </c>
      <c r="AA293" s="112" t="str">
        <f t="array" ref="AA293">IF(ISNUMBER(AC293),INDEX('All Player Data Store'!$W$7:$W$594,SMALL(IF('All Player Data Store'!$Y$7:$Y$594=AC293,ROW('All Player Data Store'!$Y$7:$Y$594)-ROW('All Player Data Store'!$Y$7)+1),COUNTIF($AC$8:AC293,AC293))),"")</f>
        <v/>
      </c>
      <c r="AB293" s="108" t="str">
        <f t="array" ref="AB293">IF(ISNUMBER(AC293),INDEX('All Player Data Store'!$X$7:$X$594,SMALL(IF('All Player Data Store'!$Y$7:$Y$594=AC293,ROW('All Player Data Store'!$Y$7:$Y$594)-ROW('All Player Data Store'!$Y$7)+1),COUNTIF($AC$8:AC293,AC293))),"")</f>
        <v/>
      </c>
      <c r="AC293" s="115" t="str">
        <f>IF(ISERROR(IF(ISERROR(LARGE('All Player Data Store'!$Y$7:$Y$594,286)),"",(LARGE('All Player Data Store'!$Y$7:$Y$594,286)))),"",(IF(ISERROR(LARGE('All Player Data Store'!$Y$7:$Y$594,286)),"",(LARGE('All Player Data Store'!$Y$7:$Y$594,286)))))</f>
        <v/>
      </c>
      <c r="AD293" s="106">
        <f t="shared" si="16"/>
        <v>1</v>
      </c>
      <c r="AE293" s="107" t="str">
        <f t="array" ref="AE293">IF(ISNUMBER(AC293),INDEX('All Player Data Store'!$J$8:$J$594,SMALL(IF('All Player Data Store'!$Y$7:$Y$594=AC293,ROW('All Player Data Store'!$Y$7:$Y$594)-ROW('All Player Data Store'!$Y$7)+1),COUNTIF($AC$8:AC293,AC293))),"")</f>
        <v/>
      </c>
      <c r="AF293" s="108" t="str">
        <f t="shared" si="19"/>
        <v/>
      </c>
      <c r="AG293" s="108" t="str">
        <f t="array" ref="AG293">IF(ISNUMBER(AC293),INDEX('All Player Data Store'!$K$8:$K$594,SMALL(IF('All Player Data Store'!$Y$7:$Y$594=AC293,ROW('All Player Data Store'!$Y$7:$Y$594)-ROW('All Player Data Store'!$Y$7)+1),COUNTIF($AC$8:AC293,AC293))),"")</f>
        <v/>
      </c>
      <c r="AH293" s="108" t="str">
        <f t="shared" si="20"/>
        <v/>
      </c>
      <c r="AI293" s="108" t="str">
        <f t="array" ref="AI293">IF(ISNUMBER(AC293),INDEX('All Player Data Store'!$L$8:$L$594,SMALL(IF('All Player Data Store'!$Y$7:$Y$594=AC293,ROW('All Player Data Store'!$Y$7:$Y$594)-ROW('All Player Data Store'!$Y$7)+1),COUNTIF($AC$8:AC293,AC293))),"")</f>
        <v/>
      </c>
      <c r="AJ293" s="108" t="str">
        <f t="shared" si="21"/>
        <v/>
      </c>
      <c r="AK293" s="108" t="str">
        <f t="array" ref="AK293">IF(ISNUMBER(AC293),INDEX('All Player Data Store'!$M$8:$M$594,SMALL(IF('All Player Data Store'!$Y$7:$Y$594=AC293,ROW('All Player Data Store'!$Y$7:$Y$594)-ROW('All Player Data Store'!$Y$7)+1),COUNTIF($AC$8:AC293,AC293))),"")</f>
        <v/>
      </c>
      <c r="AL293" s="108" t="str">
        <f t="shared" si="22"/>
        <v/>
      </c>
      <c r="AM293" s="108" t="str">
        <f t="array" ref="AM293">IF(ISNUMBER(AC293),INDEX('All Player Data Store'!$N$8:$N$594,SMALL(IF('All Player Data Store'!$Y$7:$Y$594=AC293,ROW('All Player Data Store'!$Y$7:$Y$594)-ROW('All Player Data Store'!$Y$7)+1),COUNTIF($AC$8:AC293,AC293))),"")</f>
        <v/>
      </c>
      <c r="AN293" s="108" t="str">
        <f t="shared" si="23"/>
        <v/>
      </c>
      <c r="AO293" s="108" t="str">
        <f t="array" ref="AO293">IF(ISNUMBER(AC293),INDEX('All Player Data Store'!$O$8:$O$594,SMALL(IF('All Player Data Store'!$Y$7:$Y$594=AC293,ROW('All Player Data Store'!$Y$7:$Y$594)-ROW('All Player Data Store'!$Y$7)+1),COUNTIF($AC$8:AC293,AC293))),"")</f>
        <v/>
      </c>
      <c r="AP293" s="108" t="str">
        <f t="shared" si="24"/>
        <v/>
      </c>
      <c r="AQ293" s="108" t="str">
        <f t="array" ref="AQ293">IF(ISNUMBER(AC293),INDEX('All Player Data Store'!$P$8:$P$594,SMALL(IF('All Player Data Store'!$Y$7:$Y$594=AC293,ROW('All Player Data Store'!$Y$7:$Y$594)-ROW('All Player Data Store'!$Y$7)+1),COUNTIF($AC$8:AC293,AC293))),"")</f>
        <v/>
      </c>
      <c r="AR293" s="108" t="str">
        <f t="shared" si="25"/>
        <v/>
      </c>
      <c r="AS293" s="108" t="str">
        <f t="array" ref="AS293">IF(ISNUMBER(AC293),INDEX('All Player Data Store'!$Q$8:$Q$594,SMALL(IF('All Player Data Store'!$Y$7:$Y$594=AC293,ROW('All Player Data Store'!$Y$7:$Y$594)-ROW('All Player Data Store'!$Y$7)+1),COUNTIF($AC$8:AC293,AC293))),"")</f>
        <v/>
      </c>
      <c r="AT293" s="108" t="str">
        <f t="shared" si="26"/>
        <v/>
      </c>
      <c r="AU293" s="108" t="str">
        <f t="array" ref="AU293">IF(ISNUMBER(AC293),INDEX('All Player Data Store'!$R$8:$R$594,SMALL(IF('All Player Data Store'!$Y$7:$Y$594=AC293,ROW('All Player Data Store'!$Y$7:$Y$594)-ROW('All Player Data Store'!$Y$7)+1),COUNTIF($AC$8:AC293,AC293))),"")</f>
        <v/>
      </c>
      <c r="AV293" s="108" t="str">
        <f t="shared" si="27"/>
        <v/>
      </c>
      <c r="AW293" s="108" t="str">
        <f t="array" ref="AW293">IF(ISNUMBER(AC293),INDEX('All Player Data Store'!$S$8:$S$594,SMALL(IF('All Player Data Store'!$Y$7:$Y$594=AC293,ROW('All Player Data Store'!$Y$7:$Y$594)-ROW('All Player Data Store'!$Y$7)+1),COUNTIF($AC$8:AC293,AC293))),"")</f>
        <v/>
      </c>
      <c r="AX293" s="108" t="str">
        <f t="shared" si="28"/>
        <v/>
      </c>
      <c r="AY293" s="108" t="str">
        <f t="array" ref="AY293">IF(ISNUMBER(AC293),INDEX('All Player Data Store'!$T$8:$T$594,SMALL(IF('All Player Data Store'!$Y$7:$Y$594=AC293,ROW('All Player Data Store'!$Y$7:$Y$594)-ROW('All Player Data Store'!$Y$7)+1),COUNTIF($AC$8:AC293,AC293))),"")</f>
        <v/>
      </c>
      <c r="AZ293" s="108" t="str">
        <f t="shared" si="29"/>
        <v/>
      </c>
      <c r="BA293" s="108" t="str">
        <f t="array" ref="BA293">IF(ISNUMBER(AC293),INDEX('All Player Data Store'!$U$8:$U$594,SMALL(IF('All Player Data Store'!$Y$7:$Y$594=AC293,ROW('All Player Data Store'!$Y$7:$Y$594)-ROW('All Player Data Store'!$Y$7)+1),COUNTIF($AC$8:AC293,AC293))),"")</f>
        <v/>
      </c>
      <c r="BB293" s="108" t="str">
        <f t="shared" si="30"/>
        <v/>
      </c>
      <c r="BC293" s="108" t="str">
        <f t="array" ref="BC293">IF(ISNUMBER(AC293),INDEX('All Player Data Store'!$V$8:$V$594,SMALL(IF('All Player Data Store'!$Y$7:$Y$594=AC293,ROW('All Player Data Store'!$Y$7:$Y$594)-ROW('All Player Data Store'!$Y$7)+1),COUNTIF($AC$8:AC293,AC293))),"")</f>
        <v/>
      </c>
      <c r="BD293" s="108" t="str">
        <f t="shared" si="31"/>
        <v/>
      </c>
      <c r="BE293" s="1"/>
    </row>
    <row r="294" spans="2:57" ht="12" customHeight="1" x14ac:dyDescent="0.2">
      <c r="B294" s="118" t="str">
        <f t="shared" si="17"/>
        <v/>
      </c>
      <c r="C294" s="1"/>
      <c r="D294" s="68" t="str">
        <f t="shared" si="18"/>
        <v/>
      </c>
      <c r="E294" s="2"/>
      <c r="F294" s="78">
        <v>287</v>
      </c>
      <c r="G294" s="110" t="str">
        <f t="array" ref="G294">IF(ISNUMBER(AC294),INDEX('All Player Data Store'!$C$7:$C$594,SMALL(IF('All Player Data Store'!$Y$7:$Y$594=AC294,ROW('All Player Data Store'!$Y$7:$Y$594)-ROW('All Player Data Store'!$Y$7)+1),COUNTIF($AC$8:AC294,AC294))),"")</f>
        <v/>
      </c>
      <c r="H294" s="68" t="str">
        <f t="array" ref="H294">IF(ISNUMBER(AC294),INDEX('All Player Data Store'!$D$7:$D$594,SMALL(IF('All Player Data Store'!$Y$7:$Y$594=AC294,ROW('All Player Data Store'!$Y$7:$Y$594)-ROW('All Player Data Store'!$Y$7)+1),COUNTIF($AC$8:AC294,AC294))),"")</f>
        <v/>
      </c>
      <c r="I294" s="69" t="str">
        <f t="array" ref="I294">IF(ISNUMBER(AC294),INDEX('All Player Data Store'!$E$7:$E$594,SMALL(IF('All Player Data Store'!$Y$7:$Y$594=AC294,ROW('All Player Data Store'!$Y$7:$Y$594)-ROW('All Player Data Store'!$Y$7)+1),COUNTIF($AC$8:AC294,AC294))),"")</f>
        <v/>
      </c>
      <c r="J294" s="70" t="str">
        <f t="array" ref="J294">IF(ISNUMBER(AC294),INDEX('All Player Data Store'!$F$7:$F$594,SMALL(IF('All Player Data Store'!$Y$7:$Y$594=AC294,ROW('All Player Data Store'!$Y$7:$Y$594)-ROW('All Player Data Store'!$Y$7)+1),COUNTIF($AC$8:AC294,AC294))),"")</f>
        <v/>
      </c>
      <c r="K294" s="70" t="str">
        <f t="array" ref="K294">IF(ISNUMBER(AC294),INDEX('All Player Data Store'!$G$7:$G$594,SMALL(IF('All Player Data Store'!$Y$7:$Y$594=AC294,ROW('All Player Data Store'!$Y$7:$Y$594)-ROW('All Player Data Store'!$Y$7)+1),COUNTIF($AC$8:AC294,AC294))),"")</f>
        <v/>
      </c>
      <c r="L294" s="70" t="str">
        <f t="array" ref="L294">IF(ISNUMBER(AC294),INDEX('All Player Data Store'!$H$7:$H$594,SMALL(IF('All Player Data Store'!$Y$7:$Y$594=AC294,ROW('All Player Data Store'!$Y$7:$Y$594)-ROW('All Player Data Store'!$Y$7)+1),COUNTIF($AC$8:AC294,AC294))),"")</f>
        <v/>
      </c>
      <c r="M294" s="72" t="str">
        <f t="array" ref="M294">IF(ISNUMBER(AC294),INDEX('All Player Data Store'!$I$7:$I$594,SMALL(IF('All Player Data Store'!$Y$7:$Y$594=AC294,ROW('All Player Data Store'!$Y$7:$Y$594)-ROW('All Player Data Store'!$Y$7)+1),COUNTIF($AC$8:AC294,AC294))),"")</f>
        <v/>
      </c>
      <c r="N294" s="114" t="str">
        <f t="array" ref="N294">IF(ISNUMBER(AC294),INDEX('All Player Data Store'!$J$7:$J$594,SMALL(IF('All Player Data Store'!$Y$7:$Y$594=AC294,ROW('All Player Data Store'!$Y$7:$Y$594)-ROW('All Player Data Store'!$Y$7)+1),COUNTIF($AC$8:AC294,AC294))),"")</f>
        <v/>
      </c>
      <c r="O294" s="108" t="str">
        <f t="array" ref="O294">IF(ISNUMBER(AC294),INDEX('All Player Data Store'!$K$7:$K$594,SMALL(IF('All Player Data Store'!$Y$7:$Y$594=AC294,ROW('All Player Data Store'!$Y$7:$Y$594)-ROW('All Player Data Store'!$Y$7)+1),COUNTIF($AC$8:AC294,AC294))),"")</f>
        <v/>
      </c>
      <c r="P294" s="108" t="str">
        <f t="array" ref="P294">IF(ISNUMBER(AC294),INDEX('All Player Data Store'!$L$7:$L$594,SMALL(IF('All Player Data Store'!$Y$7:$Y$594=AC294,ROW('All Player Data Store'!$Y$7:$Y$594)-ROW('All Player Data Store'!$Y$7)+1),COUNTIF($AC$8:AC294,AC294))),"")</f>
        <v/>
      </c>
      <c r="Q294" s="108" t="str">
        <f t="array" ref="Q294">IF(ISNUMBER(AC294),INDEX('All Player Data Store'!$M$7:$M$594,SMALL(IF('All Player Data Store'!$Y$7:$Y$594=AC294,ROW('All Player Data Store'!$Y$7:$Y$594)-ROW('All Player Data Store'!$Y$7)+1),COUNTIF($AC$8:AC294,AC294))),"")</f>
        <v/>
      </c>
      <c r="R294" s="108" t="str">
        <f t="array" ref="R294">IF(ISNUMBER(AC294),INDEX('All Player Data Store'!$N$7:$N$594,SMALL(IF('All Player Data Store'!$Y$7:$Y$594=AC294,ROW('All Player Data Store'!$Y$7:$Y$594)-ROW('All Player Data Store'!$Y$7)+1),COUNTIF($AC$8:AC294,AC294))),"")</f>
        <v/>
      </c>
      <c r="S294" s="108" t="str">
        <f t="array" ref="S294">IF(ISNUMBER(AC294),INDEX('All Player Data Store'!$O$7:$O$594,SMALL(IF('All Player Data Store'!$Y$7:$Y$594=AC294,ROW('All Player Data Store'!$Y$7:$Y$594)-ROW('All Player Data Store'!$Y$7)+1),COUNTIF($AC$8:AC294,AC294))),"")</f>
        <v/>
      </c>
      <c r="T294" s="108" t="str">
        <f t="array" ref="T294">IF(ISNUMBER(AC294),INDEX('All Player Data Store'!$P$7:$P$594,SMALL(IF('All Player Data Store'!$Y$7:$Y$594=AC294,ROW('All Player Data Store'!$Y$7:$Y$594)-ROW('All Player Data Store'!$Y$7)+1),COUNTIF($AC$8:AC294,AC294))),"")</f>
        <v/>
      </c>
      <c r="U294" s="108" t="str">
        <f t="array" ref="U294">IF(ISNUMBER(AC294),INDEX('All Player Data Store'!$Q$7:$Q$594,SMALL(IF('All Player Data Store'!$Y$7:$Y$594=AC294,ROW('All Player Data Store'!$Y$7:$Y$594)-ROW('All Player Data Store'!$Y$7)+1),COUNTIF($AC$8:AC294,AC294))),"")</f>
        <v/>
      </c>
      <c r="V294" s="108" t="str">
        <f t="array" ref="V294">IF(ISNUMBER(AC294),INDEX('All Player Data Store'!$R$7:$R$594,SMALL(IF('All Player Data Store'!$Y$7:$Y$594=AC294,ROW('All Player Data Store'!$Y$7:$Y$594)-ROW('All Player Data Store'!$Y$7)+1),COUNTIF($AC$8:AC294,AC294))),"")</f>
        <v/>
      </c>
      <c r="W294" s="108" t="str">
        <f t="array" ref="W294">IF(ISNUMBER(AC294),INDEX('All Player Data Store'!$S$7:$S$594,SMALL(IF('All Player Data Store'!$Y$7:$Y$594=AC294,ROW('All Player Data Store'!$Y$7:$Y$594)-ROW('All Player Data Store'!$Y$7)+1),COUNTIF($AC$8:AC294,AC294))),"")</f>
        <v/>
      </c>
      <c r="X294" s="108" t="str">
        <f t="array" ref="X294">IF(ISNUMBER(AC294),INDEX('All Player Data Store'!$T$7:$T$594,SMALL(IF('All Player Data Store'!$Y$7:$Y$594=AC294,ROW('All Player Data Store'!$Y$7:$Y$594)-ROW('All Player Data Store'!$Y$7)+1),COUNTIF($AC$8:AC294,AC294))),"")</f>
        <v/>
      </c>
      <c r="Y294" s="108" t="str">
        <f t="array" ref="Y294">IF(ISNUMBER(AC294),INDEX('All Player Data Store'!$U$7:$U$594,SMALL(IF('All Player Data Store'!$Y$7:$Y$594=AC294,ROW('All Player Data Store'!$Y$7:$Y$594)-ROW('All Player Data Store'!$Y$7)+1),COUNTIF($AC$8:AC294,AC294))),"")</f>
        <v/>
      </c>
      <c r="Z294" s="108" t="str">
        <f t="array" ref="Z294">IF(ISNUMBER(AC294),INDEX('All Player Data Store'!$V$7:$V$594,SMALL(IF('All Player Data Store'!$Y$7:$Y$594=AC294,ROW('All Player Data Store'!$Y$7:$Y$594)-ROW('All Player Data Store'!$Y$7)+1),COUNTIF($AC$8:AC294,AC294))),"")</f>
        <v/>
      </c>
      <c r="AA294" s="112" t="str">
        <f t="array" ref="AA294">IF(ISNUMBER(AC294),INDEX('All Player Data Store'!$W$7:$W$594,SMALL(IF('All Player Data Store'!$Y$7:$Y$594=AC294,ROW('All Player Data Store'!$Y$7:$Y$594)-ROW('All Player Data Store'!$Y$7)+1),COUNTIF($AC$8:AC294,AC294))),"")</f>
        <v/>
      </c>
      <c r="AB294" s="108" t="str">
        <f t="array" ref="AB294">IF(ISNUMBER(AC294),INDEX('All Player Data Store'!$X$7:$X$594,SMALL(IF('All Player Data Store'!$Y$7:$Y$594=AC294,ROW('All Player Data Store'!$Y$7:$Y$594)-ROW('All Player Data Store'!$Y$7)+1),COUNTIF($AC$8:AC294,AC294))),"")</f>
        <v/>
      </c>
      <c r="AC294" s="115" t="str">
        <f>IF(ISERROR(IF(ISERROR(LARGE('All Player Data Store'!$Y$7:$Y$594,287)),"",(LARGE('All Player Data Store'!$Y$7:$Y$594,287)))),"",(IF(ISERROR(LARGE('All Player Data Store'!$Y$7:$Y$594,287)),"",(LARGE('All Player Data Store'!$Y$7:$Y$594,287)))))</f>
        <v/>
      </c>
      <c r="AD294" s="106">
        <f t="shared" si="16"/>
        <v>1</v>
      </c>
      <c r="AE294" s="107" t="str">
        <f t="array" ref="AE294">IF(ISNUMBER(AC294),INDEX('All Player Data Store'!$J$8:$J$594,SMALL(IF('All Player Data Store'!$Y$7:$Y$594=AC294,ROW('All Player Data Store'!$Y$7:$Y$594)-ROW('All Player Data Store'!$Y$7)+1),COUNTIF($AC$8:AC294,AC294))),"")</f>
        <v/>
      </c>
      <c r="AF294" s="108" t="str">
        <f t="shared" si="19"/>
        <v/>
      </c>
      <c r="AG294" s="108" t="str">
        <f t="array" ref="AG294">IF(ISNUMBER(AC294),INDEX('All Player Data Store'!$K$8:$K$594,SMALL(IF('All Player Data Store'!$Y$7:$Y$594=AC294,ROW('All Player Data Store'!$Y$7:$Y$594)-ROW('All Player Data Store'!$Y$7)+1),COUNTIF($AC$8:AC294,AC294))),"")</f>
        <v/>
      </c>
      <c r="AH294" s="108" t="str">
        <f t="shared" si="20"/>
        <v/>
      </c>
      <c r="AI294" s="108" t="str">
        <f t="array" ref="AI294">IF(ISNUMBER(AC294),INDEX('All Player Data Store'!$L$8:$L$594,SMALL(IF('All Player Data Store'!$Y$7:$Y$594=AC294,ROW('All Player Data Store'!$Y$7:$Y$594)-ROW('All Player Data Store'!$Y$7)+1),COUNTIF($AC$8:AC294,AC294))),"")</f>
        <v/>
      </c>
      <c r="AJ294" s="108" t="str">
        <f t="shared" si="21"/>
        <v/>
      </c>
      <c r="AK294" s="108" t="str">
        <f t="array" ref="AK294">IF(ISNUMBER(AC294),INDEX('All Player Data Store'!$M$8:$M$594,SMALL(IF('All Player Data Store'!$Y$7:$Y$594=AC294,ROW('All Player Data Store'!$Y$7:$Y$594)-ROW('All Player Data Store'!$Y$7)+1),COUNTIF($AC$8:AC294,AC294))),"")</f>
        <v/>
      </c>
      <c r="AL294" s="108" t="str">
        <f t="shared" si="22"/>
        <v/>
      </c>
      <c r="AM294" s="108" t="str">
        <f t="array" ref="AM294">IF(ISNUMBER(AC294),INDEX('All Player Data Store'!$N$8:$N$594,SMALL(IF('All Player Data Store'!$Y$7:$Y$594=AC294,ROW('All Player Data Store'!$Y$7:$Y$594)-ROW('All Player Data Store'!$Y$7)+1),COUNTIF($AC$8:AC294,AC294))),"")</f>
        <v/>
      </c>
      <c r="AN294" s="108" t="str">
        <f t="shared" si="23"/>
        <v/>
      </c>
      <c r="AO294" s="108" t="str">
        <f t="array" ref="AO294">IF(ISNUMBER(AC294),INDEX('All Player Data Store'!$O$8:$O$594,SMALL(IF('All Player Data Store'!$Y$7:$Y$594=AC294,ROW('All Player Data Store'!$Y$7:$Y$594)-ROW('All Player Data Store'!$Y$7)+1),COUNTIF($AC$8:AC294,AC294))),"")</f>
        <v/>
      </c>
      <c r="AP294" s="108" t="str">
        <f t="shared" si="24"/>
        <v/>
      </c>
      <c r="AQ294" s="108" t="str">
        <f t="array" ref="AQ294">IF(ISNUMBER(AC294),INDEX('All Player Data Store'!$P$8:$P$594,SMALL(IF('All Player Data Store'!$Y$7:$Y$594=AC294,ROW('All Player Data Store'!$Y$7:$Y$594)-ROW('All Player Data Store'!$Y$7)+1),COUNTIF($AC$8:AC294,AC294))),"")</f>
        <v/>
      </c>
      <c r="AR294" s="108" t="str">
        <f t="shared" si="25"/>
        <v/>
      </c>
      <c r="AS294" s="108" t="str">
        <f t="array" ref="AS294">IF(ISNUMBER(AC294),INDEX('All Player Data Store'!$Q$8:$Q$594,SMALL(IF('All Player Data Store'!$Y$7:$Y$594=AC294,ROW('All Player Data Store'!$Y$7:$Y$594)-ROW('All Player Data Store'!$Y$7)+1),COUNTIF($AC$8:AC294,AC294))),"")</f>
        <v/>
      </c>
      <c r="AT294" s="108" t="str">
        <f t="shared" si="26"/>
        <v/>
      </c>
      <c r="AU294" s="108" t="str">
        <f t="array" ref="AU294">IF(ISNUMBER(AC294),INDEX('All Player Data Store'!$R$8:$R$594,SMALL(IF('All Player Data Store'!$Y$7:$Y$594=AC294,ROW('All Player Data Store'!$Y$7:$Y$594)-ROW('All Player Data Store'!$Y$7)+1),COUNTIF($AC$8:AC294,AC294))),"")</f>
        <v/>
      </c>
      <c r="AV294" s="108" t="str">
        <f t="shared" si="27"/>
        <v/>
      </c>
      <c r="AW294" s="108" t="str">
        <f t="array" ref="AW294">IF(ISNUMBER(AC294),INDEX('All Player Data Store'!$S$8:$S$594,SMALL(IF('All Player Data Store'!$Y$7:$Y$594=AC294,ROW('All Player Data Store'!$Y$7:$Y$594)-ROW('All Player Data Store'!$Y$7)+1),COUNTIF($AC$8:AC294,AC294))),"")</f>
        <v/>
      </c>
      <c r="AX294" s="108" t="str">
        <f t="shared" si="28"/>
        <v/>
      </c>
      <c r="AY294" s="108" t="str">
        <f t="array" ref="AY294">IF(ISNUMBER(AC294),INDEX('All Player Data Store'!$T$8:$T$594,SMALL(IF('All Player Data Store'!$Y$7:$Y$594=AC294,ROW('All Player Data Store'!$Y$7:$Y$594)-ROW('All Player Data Store'!$Y$7)+1),COUNTIF($AC$8:AC294,AC294))),"")</f>
        <v/>
      </c>
      <c r="AZ294" s="108" t="str">
        <f t="shared" si="29"/>
        <v/>
      </c>
      <c r="BA294" s="108" t="str">
        <f t="array" ref="BA294">IF(ISNUMBER(AC294),INDEX('All Player Data Store'!$U$8:$U$594,SMALL(IF('All Player Data Store'!$Y$7:$Y$594=AC294,ROW('All Player Data Store'!$Y$7:$Y$594)-ROW('All Player Data Store'!$Y$7)+1),COUNTIF($AC$8:AC294,AC294))),"")</f>
        <v/>
      </c>
      <c r="BB294" s="108" t="str">
        <f t="shared" si="30"/>
        <v/>
      </c>
      <c r="BC294" s="108" t="str">
        <f t="array" ref="BC294">IF(ISNUMBER(AC294),INDEX('All Player Data Store'!$V$8:$V$594,SMALL(IF('All Player Data Store'!$Y$7:$Y$594=AC294,ROW('All Player Data Store'!$Y$7:$Y$594)-ROW('All Player Data Store'!$Y$7)+1),COUNTIF($AC$8:AC294,AC294))),"")</f>
        <v/>
      </c>
      <c r="BD294" s="108" t="str">
        <f t="shared" si="31"/>
        <v/>
      </c>
      <c r="BE294" s="1"/>
    </row>
    <row r="295" spans="2:57" ht="12" customHeight="1" x14ac:dyDescent="0.2">
      <c r="B295" s="118" t="str">
        <f t="shared" si="17"/>
        <v/>
      </c>
      <c r="C295" s="1"/>
      <c r="D295" s="68" t="str">
        <f t="shared" si="18"/>
        <v/>
      </c>
      <c r="E295" s="2"/>
      <c r="F295" s="78">
        <v>288</v>
      </c>
      <c r="G295" s="110" t="str">
        <f t="array" ref="G295">IF(ISNUMBER(AC295),INDEX('All Player Data Store'!$C$7:$C$594,SMALL(IF('All Player Data Store'!$Y$7:$Y$594=AC295,ROW('All Player Data Store'!$Y$7:$Y$594)-ROW('All Player Data Store'!$Y$7)+1),COUNTIF($AC$8:AC295,AC295))),"")</f>
        <v/>
      </c>
      <c r="H295" s="68" t="str">
        <f t="array" ref="H295">IF(ISNUMBER(AC295),INDEX('All Player Data Store'!$D$7:$D$594,SMALL(IF('All Player Data Store'!$Y$7:$Y$594=AC295,ROW('All Player Data Store'!$Y$7:$Y$594)-ROW('All Player Data Store'!$Y$7)+1),COUNTIF($AC$8:AC295,AC295))),"")</f>
        <v/>
      </c>
      <c r="I295" s="69" t="str">
        <f t="array" ref="I295">IF(ISNUMBER(AC295),INDEX('All Player Data Store'!$E$7:$E$594,SMALL(IF('All Player Data Store'!$Y$7:$Y$594=AC295,ROW('All Player Data Store'!$Y$7:$Y$594)-ROW('All Player Data Store'!$Y$7)+1),COUNTIF($AC$8:AC295,AC295))),"")</f>
        <v/>
      </c>
      <c r="J295" s="70" t="str">
        <f t="array" ref="J295">IF(ISNUMBER(AC295),INDEX('All Player Data Store'!$F$7:$F$594,SMALL(IF('All Player Data Store'!$Y$7:$Y$594=AC295,ROW('All Player Data Store'!$Y$7:$Y$594)-ROW('All Player Data Store'!$Y$7)+1),COUNTIF($AC$8:AC295,AC295))),"")</f>
        <v/>
      </c>
      <c r="K295" s="70" t="str">
        <f t="array" ref="K295">IF(ISNUMBER(AC295),INDEX('All Player Data Store'!$G$7:$G$594,SMALL(IF('All Player Data Store'!$Y$7:$Y$594=AC295,ROW('All Player Data Store'!$Y$7:$Y$594)-ROW('All Player Data Store'!$Y$7)+1),COUNTIF($AC$8:AC295,AC295))),"")</f>
        <v/>
      </c>
      <c r="L295" s="70" t="str">
        <f t="array" ref="L295">IF(ISNUMBER(AC295),INDEX('All Player Data Store'!$H$7:$H$594,SMALL(IF('All Player Data Store'!$Y$7:$Y$594=AC295,ROW('All Player Data Store'!$Y$7:$Y$594)-ROW('All Player Data Store'!$Y$7)+1),COUNTIF($AC$8:AC295,AC295))),"")</f>
        <v/>
      </c>
      <c r="M295" s="72" t="str">
        <f t="array" ref="M295">IF(ISNUMBER(AC295),INDEX('All Player Data Store'!$I$7:$I$594,SMALL(IF('All Player Data Store'!$Y$7:$Y$594=AC295,ROW('All Player Data Store'!$Y$7:$Y$594)-ROW('All Player Data Store'!$Y$7)+1),COUNTIF($AC$8:AC295,AC295))),"")</f>
        <v/>
      </c>
      <c r="N295" s="114" t="str">
        <f t="array" ref="N295">IF(ISNUMBER(AC295),INDEX('All Player Data Store'!$J$7:$J$594,SMALL(IF('All Player Data Store'!$Y$7:$Y$594=AC295,ROW('All Player Data Store'!$Y$7:$Y$594)-ROW('All Player Data Store'!$Y$7)+1),COUNTIF($AC$8:AC295,AC295))),"")</f>
        <v/>
      </c>
      <c r="O295" s="108" t="str">
        <f t="array" ref="O295">IF(ISNUMBER(AC295),INDEX('All Player Data Store'!$K$7:$K$594,SMALL(IF('All Player Data Store'!$Y$7:$Y$594=AC295,ROW('All Player Data Store'!$Y$7:$Y$594)-ROW('All Player Data Store'!$Y$7)+1),COUNTIF($AC$8:AC295,AC295))),"")</f>
        <v/>
      </c>
      <c r="P295" s="108" t="str">
        <f t="array" ref="P295">IF(ISNUMBER(AC295),INDEX('All Player Data Store'!$L$7:$L$594,SMALL(IF('All Player Data Store'!$Y$7:$Y$594=AC295,ROW('All Player Data Store'!$Y$7:$Y$594)-ROW('All Player Data Store'!$Y$7)+1),COUNTIF($AC$8:AC295,AC295))),"")</f>
        <v/>
      </c>
      <c r="Q295" s="108" t="str">
        <f t="array" ref="Q295">IF(ISNUMBER(AC295),INDEX('All Player Data Store'!$M$7:$M$594,SMALL(IF('All Player Data Store'!$Y$7:$Y$594=AC295,ROW('All Player Data Store'!$Y$7:$Y$594)-ROW('All Player Data Store'!$Y$7)+1),COUNTIF($AC$8:AC295,AC295))),"")</f>
        <v/>
      </c>
      <c r="R295" s="108" t="str">
        <f t="array" ref="R295">IF(ISNUMBER(AC295),INDEX('All Player Data Store'!$N$7:$N$594,SMALL(IF('All Player Data Store'!$Y$7:$Y$594=AC295,ROW('All Player Data Store'!$Y$7:$Y$594)-ROW('All Player Data Store'!$Y$7)+1),COUNTIF($AC$8:AC295,AC295))),"")</f>
        <v/>
      </c>
      <c r="S295" s="108" t="str">
        <f t="array" ref="S295">IF(ISNUMBER(AC295),INDEX('All Player Data Store'!$O$7:$O$594,SMALL(IF('All Player Data Store'!$Y$7:$Y$594=AC295,ROW('All Player Data Store'!$Y$7:$Y$594)-ROW('All Player Data Store'!$Y$7)+1),COUNTIF($AC$8:AC295,AC295))),"")</f>
        <v/>
      </c>
      <c r="T295" s="108" t="str">
        <f t="array" ref="T295">IF(ISNUMBER(AC295),INDEX('All Player Data Store'!$P$7:$P$594,SMALL(IF('All Player Data Store'!$Y$7:$Y$594=AC295,ROW('All Player Data Store'!$Y$7:$Y$594)-ROW('All Player Data Store'!$Y$7)+1),COUNTIF($AC$8:AC295,AC295))),"")</f>
        <v/>
      </c>
      <c r="U295" s="108" t="str">
        <f t="array" ref="U295">IF(ISNUMBER(AC295),INDEX('All Player Data Store'!$Q$7:$Q$594,SMALL(IF('All Player Data Store'!$Y$7:$Y$594=AC295,ROW('All Player Data Store'!$Y$7:$Y$594)-ROW('All Player Data Store'!$Y$7)+1),COUNTIF($AC$8:AC295,AC295))),"")</f>
        <v/>
      </c>
      <c r="V295" s="108" t="str">
        <f t="array" ref="V295">IF(ISNUMBER(AC295),INDEX('All Player Data Store'!$R$7:$R$594,SMALL(IF('All Player Data Store'!$Y$7:$Y$594=AC295,ROW('All Player Data Store'!$Y$7:$Y$594)-ROW('All Player Data Store'!$Y$7)+1),COUNTIF($AC$8:AC295,AC295))),"")</f>
        <v/>
      </c>
      <c r="W295" s="108" t="str">
        <f t="array" ref="W295">IF(ISNUMBER(AC295),INDEX('All Player Data Store'!$S$7:$S$594,SMALL(IF('All Player Data Store'!$Y$7:$Y$594=AC295,ROW('All Player Data Store'!$Y$7:$Y$594)-ROW('All Player Data Store'!$Y$7)+1),COUNTIF($AC$8:AC295,AC295))),"")</f>
        <v/>
      </c>
      <c r="X295" s="108" t="str">
        <f t="array" ref="X295">IF(ISNUMBER(AC295),INDEX('All Player Data Store'!$T$7:$T$594,SMALL(IF('All Player Data Store'!$Y$7:$Y$594=AC295,ROW('All Player Data Store'!$Y$7:$Y$594)-ROW('All Player Data Store'!$Y$7)+1),COUNTIF($AC$8:AC295,AC295))),"")</f>
        <v/>
      </c>
      <c r="Y295" s="108" t="str">
        <f t="array" ref="Y295">IF(ISNUMBER(AC295),INDEX('All Player Data Store'!$U$7:$U$594,SMALL(IF('All Player Data Store'!$Y$7:$Y$594=AC295,ROW('All Player Data Store'!$Y$7:$Y$594)-ROW('All Player Data Store'!$Y$7)+1),COUNTIF($AC$8:AC295,AC295))),"")</f>
        <v/>
      </c>
      <c r="Z295" s="108" t="str">
        <f t="array" ref="Z295">IF(ISNUMBER(AC295),INDEX('All Player Data Store'!$V$7:$V$594,SMALL(IF('All Player Data Store'!$Y$7:$Y$594=AC295,ROW('All Player Data Store'!$Y$7:$Y$594)-ROW('All Player Data Store'!$Y$7)+1),COUNTIF($AC$8:AC295,AC295))),"")</f>
        <v/>
      </c>
      <c r="AA295" s="112" t="str">
        <f t="array" ref="AA295">IF(ISNUMBER(AC295),INDEX('All Player Data Store'!$W$7:$W$594,SMALL(IF('All Player Data Store'!$Y$7:$Y$594=AC295,ROW('All Player Data Store'!$Y$7:$Y$594)-ROW('All Player Data Store'!$Y$7)+1),COUNTIF($AC$8:AC295,AC295))),"")</f>
        <v/>
      </c>
      <c r="AB295" s="108" t="str">
        <f t="array" ref="AB295">IF(ISNUMBER(AC295),INDEX('All Player Data Store'!$X$7:$X$594,SMALL(IF('All Player Data Store'!$Y$7:$Y$594=AC295,ROW('All Player Data Store'!$Y$7:$Y$594)-ROW('All Player Data Store'!$Y$7)+1),COUNTIF($AC$8:AC295,AC295))),"")</f>
        <v/>
      </c>
      <c r="AC295" s="115" t="str">
        <f>IF(ISERROR(IF(ISERROR(LARGE('All Player Data Store'!$Y$7:$Y$594,288)),"",(LARGE('All Player Data Store'!$Y$7:$Y$594,288)))),"",(IF(ISERROR(LARGE('All Player Data Store'!$Y$7:$Y$594,288)),"",(LARGE('All Player Data Store'!$Y$7:$Y$594,288)))))</f>
        <v/>
      </c>
      <c r="AD295" s="106">
        <f t="shared" si="16"/>
        <v>1</v>
      </c>
      <c r="AE295" s="107" t="str">
        <f t="array" ref="AE295">IF(ISNUMBER(AC295),INDEX('All Player Data Store'!$J$8:$J$594,SMALL(IF('All Player Data Store'!$Y$7:$Y$594=AC295,ROW('All Player Data Store'!$Y$7:$Y$594)-ROW('All Player Data Store'!$Y$7)+1),COUNTIF($AC$8:AC295,AC295))),"")</f>
        <v/>
      </c>
      <c r="AF295" s="108" t="str">
        <f t="shared" si="19"/>
        <v/>
      </c>
      <c r="AG295" s="108" t="str">
        <f t="array" ref="AG295">IF(ISNUMBER(AC295),INDEX('All Player Data Store'!$K$8:$K$594,SMALL(IF('All Player Data Store'!$Y$7:$Y$594=AC295,ROW('All Player Data Store'!$Y$7:$Y$594)-ROW('All Player Data Store'!$Y$7)+1),COUNTIF($AC$8:AC295,AC295))),"")</f>
        <v/>
      </c>
      <c r="AH295" s="108" t="str">
        <f t="shared" si="20"/>
        <v/>
      </c>
      <c r="AI295" s="108" t="str">
        <f t="array" ref="AI295">IF(ISNUMBER(AC295),INDEX('All Player Data Store'!$L$8:$L$594,SMALL(IF('All Player Data Store'!$Y$7:$Y$594=AC295,ROW('All Player Data Store'!$Y$7:$Y$594)-ROW('All Player Data Store'!$Y$7)+1),COUNTIF($AC$8:AC295,AC295))),"")</f>
        <v/>
      </c>
      <c r="AJ295" s="108" t="str">
        <f t="shared" si="21"/>
        <v/>
      </c>
      <c r="AK295" s="108" t="str">
        <f t="array" ref="AK295">IF(ISNUMBER(AC295),INDEX('All Player Data Store'!$M$8:$M$594,SMALL(IF('All Player Data Store'!$Y$7:$Y$594=AC295,ROW('All Player Data Store'!$Y$7:$Y$594)-ROW('All Player Data Store'!$Y$7)+1),COUNTIF($AC$8:AC295,AC295))),"")</f>
        <v/>
      </c>
      <c r="AL295" s="108" t="str">
        <f t="shared" si="22"/>
        <v/>
      </c>
      <c r="AM295" s="108" t="str">
        <f t="array" ref="AM295">IF(ISNUMBER(AC295),INDEX('All Player Data Store'!$N$8:$N$594,SMALL(IF('All Player Data Store'!$Y$7:$Y$594=AC295,ROW('All Player Data Store'!$Y$7:$Y$594)-ROW('All Player Data Store'!$Y$7)+1),COUNTIF($AC$8:AC295,AC295))),"")</f>
        <v/>
      </c>
      <c r="AN295" s="108" t="str">
        <f t="shared" si="23"/>
        <v/>
      </c>
      <c r="AO295" s="108" t="str">
        <f t="array" ref="AO295">IF(ISNUMBER(AC295),INDEX('All Player Data Store'!$O$8:$O$594,SMALL(IF('All Player Data Store'!$Y$7:$Y$594=AC295,ROW('All Player Data Store'!$Y$7:$Y$594)-ROW('All Player Data Store'!$Y$7)+1),COUNTIF($AC$8:AC295,AC295))),"")</f>
        <v/>
      </c>
      <c r="AP295" s="108" t="str">
        <f t="shared" si="24"/>
        <v/>
      </c>
      <c r="AQ295" s="108" t="str">
        <f t="array" ref="AQ295">IF(ISNUMBER(AC295),INDEX('All Player Data Store'!$P$8:$P$594,SMALL(IF('All Player Data Store'!$Y$7:$Y$594=AC295,ROW('All Player Data Store'!$Y$7:$Y$594)-ROW('All Player Data Store'!$Y$7)+1),COUNTIF($AC$8:AC295,AC295))),"")</f>
        <v/>
      </c>
      <c r="AR295" s="108" t="str">
        <f t="shared" si="25"/>
        <v/>
      </c>
      <c r="AS295" s="108" t="str">
        <f t="array" ref="AS295">IF(ISNUMBER(AC295),INDEX('All Player Data Store'!$Q$8:$Q$594,SMALL(IF('All Player Data Store'!$Y$7:$Y$594=AC295,ROW('All Player Data Store'!$Y$7:$Y$594)-ROW('All Player Data Store'!$Y$7)+1),COUNTIF($AC$8:AC295,AC295))),"")</f>
        <v/>
      </c>
      <c r="AT295" s="108" t="str">
        <f t="shared" si="26"/>
        <v/>
      </c>
      <c r="AU295" s="108" t="str">
        <f t="array" ref="AU295">IF(ISNUMBER(AC295),INDEX('All Player Data Store'!$R$8:$R$594,SMALL(IF('All Player Data Store'!$Y$7:$Y$594=AC295,ROW('All Player Data Store'!$Y$7:$Y$594)-ROW('All Player Data Store'!$Y$7)+1),COUNTIF($AC$8:AC295,AC295))),"")</f>
        <v/>
      </c>
      <c r="AV295" s="108" t="str">
        <f t="shared" si="27"/>
        <v/>
      </c>
      <c r="AW295" s="108" t="str">
        <f t="array" ref="AW295">IF(ISNUMBER(AC295),INDEX('All Player Data Store'!$S$8:$S$594,SMALL(IF('All Player Data Store'!$Y$7:$Y$594=AC295,ROW('All Player Data Store'!$Y$7:$Y$594)-ROW('All Player Data Store'!$Y$7)+1),COUNTIF($AC$8:AC295,AC295))),"")</f>
        <v/>
      </c>
      <c r="AX295" s="108" t="str">
        <f t="shared" si="28"/>
        <v/>
      </c>
      <c r="AY295" s="108" t="str">
        <f t="array" ref="AY295">IF(ISNUMBER(AC295),INDEX('All Player Data Store'!$T$8:$T$594,SMALL(IF('All Player Data Store'!$Y$7:$Y$594=AC295,ROW('All Player Data Store'!$Y$7:$Y$594)-ROW('All Player Data Store'!$Y$7)+1),COUNTIF($AC$8:AC295,AC295))),"")</f>
        <v/>
      </c>
      <c r="AZ295" s="108" t="str">
        <f t="shared" si="29"/>
        <v/>
      </c>
      <c r="BA295" s="108" t="str">
        <f t="array" ref="BA295">IF(ISNUMBER(AC295),INDEX('All Player Data Store'!$U$8:$U$594,SMALL(IF('All Player Data Store'!$Y$7:$Y$594=AC295,ROW('All Player Data Store'!$Y$7:$Y$594)-ROW('All Player Data Store'!$Y$7)+1),COUNTIF($AC$8:AC295,AC295))),"")</f>
        <v/>
      </c>
      <c r="BB295" s="108" t="str">
        <f t="shared" si="30"/>
        <v/>
      </c>
      <c r="BC295" s="108" t="str">
        <f t="array" ref="BC295">IF(ISNUMBER(AC295),INDEX('All Player Data Store'!$V$8:$V$594,SMALL(IF('All Player Data Store'!$Y$7:$Y$594=AC295,ROW('All Player Data Store'!$Y$7:$Y$594)-ROW('All Player Data Store'!$Y$7)+1),COUNTIF($AC$8:AC295,AC295))),"")</f>
        <v/>
      </c>
      <c r="BD295" s="108" t="str">
        <f t="shared" si="31"/>
        <v/>
      </c>
      <c r="BE295" s="1"/>
    </row>
    <row r="296" spans="2:57" ht="12" customHeight="1" x14ac:dyDescent="0.2">
      <c r="B296" s="118" t="str">
        <f t="shared" si="17"/>
        <v/>
      </c>
      <c r="C296" s="1"/>
      <c r="D296" s="68" t="str">
        <f t="shared" si="18"/>
        <v/>
      </c>
      <c r="E296" s="2"/>
      <c r="F296" s="78">
        <v>289</v>
      </c>
      <c r="G296" s="110" t="str">
        <f t="array" ref="G296">IF(ISNUMBER(AC296),INDEX('All Player Data Store'!$C$7:$C$594,SMALL(IF('All Player Data Store'!$Y$7:$Y$594=AC296,ROW('All Player Data Store'!$Y$7:$Y$594)-ROW('All Player Data Store'!$Y$7)+1),COUNTIF($AC$8:AC296,AC296))),"")</f>
        <v/>
      </c>
      <c r="H296" s="68" t="str">
        <f t="array" ref="H296">IF(ISNUMBER(AC296),INDEX('All Player Data Store'!$D$7:$D$594,SMALL(IF('All Player Data Store'!$Y$7:$Y$594=AC296,ROW('All Player Data Store'!$Y$7:$Y$594)-ROW('All Player Data Store'!$Y$7)+1),COUNTIF($AC$8:AC296,AC296))),"")</f>
        <v/>
      </c>
      <c r="I296" s="69" t="str">
        <f t="array" ref="I296">IF(ISNUMBER(AC296),INDEX('All Player Data Store'!$E$7:$E$594,SMALL(IF('All Player Data Store'!$Y$7:$Y$594=AC296,ROW('All Player Data Store'!$Y$7:$Y$594)-ROW('All Player Data Store'!$Y$7)+1),COUNTIF($AC$8:AC296,AC296))),"")</f>
        <v/>
      </c>
      <c r="J296" s="70" t="str">
        <f t="array" ref="J296">IF(ISNUMBER(AC296),INDEX('All Player Data Store'!$F$7:$F$594,SMALL(IF('All Player Data Store'!$Y$7:$Y$594=AC296,ROW('All Player Data Store'!$Y$7:$Y$594)-ROW('All Player Data Store'!$Y$7)+1),COUNTIF($AC$8:AC296,AC296))),"")</f>
        <v/>
      </c>
      <c r="K296" s="70" t="str">
        <f t="array" ref="K296">IF(ISNUMBER(AC296),INDEX('All Player Data Store'!$G$7:$G$594,SMALL(IF('All Player Data Store'!$Y$7:$Y$594=AC296,ROW('All Player Data Store'!$Y$7:$Y$594)-ROW('All Player Data Store'!$Y$7)+1),COUNTIF($AC$8:AC296,AC296))),"")</f>
        <v/>
      </c>
      <c r="L296" s="70" t="str">
        <f t="array" ref="L296">IF(ISNUMBER(AC296),INDEX('All Player Data Store'!$H$7:$H$594,SMALL(IF('All Player Data Store'!$Y$7:$Y$594=AC296,ROW('All Player Data Store'!$Y$7:$Y$594)-ROW('All Player Data Store'!$Y$7)+1),COUNTIF($AC$8:AC296,AC296))),"")</f>
        <v/>
      </c>
      <c r="M296" s="72" t="str">
        <f t="array" ref="M296">IF(ISNUMBER(AC296),INDEX('All Player Data Store'!$I$7:$I$594,SMALL(IF('All Player Data Store'!$Y$7:$Y$594=AC296,ROW('All Player Data Store'!$Y$7:$Y$594)-ROW('All Player Data Store'!$Y$7)+1),COUNTIF($AC$8:AC296,AC296))),"")</f>
        <v/>
      </c>
      <c r="N296" s="114" t="str">
        <f t="array" ref="N296">IF(ISNUMBER(AC296),INDEX('All Player Data Store'!$J$7:$J$594,SMALL(IF('All Player Data Store'!$Y$7:$Y$594=AC296,ROW('All Player Data Store'!$Y$7:$Y$594)-ROW('All Player Data Store'!$Y$7)+1),COUNTIF($AC$8:AC296,AC296))),"")</f>
        <v/>
      </c>
      <c r="O296" s="108" t="str">
        <f t="array" ref="O296">IF(ISNUMBER(AC296),INDEX('All Player Data Store'!$K$7:$K$594,SMALL(IF('All Player Data Store'!$Y$7:$Y$594=AC296,ROW('All Player Data Store'!$Y$7:$Y$594)-ROW('All Player Data Store'!$Y$7)+1),COUNTIF($AC$8:AC296,AC296))),"")</f>
        <v/>
      </c>
      <c r="P296" s="108" t="str">
        <f t="array" ref="P296">IF(ISNUMBER(AC296),INDEX('All Player Data Store'!$L$7:$L$594,SMALL(IF('All Player Data Store'!$Y$7:$Y$594=AC296,ROW('All Player Data Store'!$Y$7:$Y$594)-ROW('All Player Data Store'!$Y$7)+1),COUNTIF($AC$8:AC296,AC296))),"")</f>
        <v/>
      </c>
      <c r="Q296" s="108" t="str">
        <f t="array" ref="Q296">IF(ISNUMBER(AC296),INDEX('All Player Data Store'!$M$7:$M$594,SMALL(IF('All Player Data Store'!$Y$7:$Y$594=AC296,ROW('All Player Data Store'!$Y$7:$Y$594)-ROW('All Player Data Store'!$Y$7)+1),COUNTIF($AC$8:AC296,AC296))),"")</f>
        <v/>
      </c>
      <c r="R296" s="108" t="str">
        <f t="array" ref="R296">IF(ISNUMBER(AC296),INDEX('All Player Data Store'!$N$7:$N$594,SMALL(IF('All Player Data Store'!$Y$7:$Y$594=AC296,ROW('All Player Data Store'!$Y$7:$Y$594)-ROW('All Player Data Store'!$Y$7)+1),COUNTIF($AC$8:AC296,AC296))),"")</f>
        <v/>
      </c>
      <c r="S296" s="108" t="str">
        <f t="array" ref="S296">IF(ISNUMBER(AC296),INDEX('All Player Data Store'!$O$7:$O$594,SMALL(IF('All Player Data Store'!$Y$7:$Y$594=AC296,ROW('All Player Data Store'!$Y$7:$Y$594)-ROW('All Player Data Store'!$Y$7)+1),COUNTIF($AC$8:AC296,AC296))),"")</f>
        <v/>
      </c>
      <c r="T296" s="108" t="str">
        <f t="array" ref="T296">IF(ISNUMBER(AC296),INDEX('All Player Data Store'!$P$7:$P$594,SMALL(IF('All Player Data Store'!$Y$7:$Y$594=AC296,ROW('All Player Data Store'!$Y$7:$Y$594)-ROW('All Player Data Store'!$Y$7)+1),COUNTIF($AC$8:AC296,AC296))),"")</f>
        <v/>
      </c>
      <c r="U296" s="108" t="str">
        <f t="array" ref="U296">IF(ISNUMBER(AC296),INDEX('All Player Data Store'!$Q$7:$Q$594,SMALL(IF('All Player Data Store'!$Y$7:$Y$594=AC296,ROW('All Player Data Store'!$Y$7:$Y$594)-ROW('All Player Data Store'!$Y$7)+1),COUNTIF($AC$8:AC296,AC296))),"")</f>
        <v/>
      </c>
      <c r="V296" s="108" t="str">
        <f t="array" ref="V296">IF(ISNUMBER(AC296),INDEX('All Player Data Store'!$R$7:$R$594,SMALL(IF('All Player Data Store'!$Y$7:$Y$594=AC296,ROW('All Player Data Store'!$Y$7:$Y$594)-ROW('All Player Data Store'!$Y$7)+1),COUNTIF($AC$8:AC296,AC296))),"")</f>
        <v/>
      </c>
      <c r="W296" s="108" t="str">
        <f t="array" ref="W296">IF(ISNUMBER(AC296),INDEX('All Player Data Store'!$S$7:$S$594,SMALL(IF('All Player Data Store'!$Y$7:$Y$594=AC296,ROW('All Player Data Store'!$Y$7:$Y$594)-ROW('All Player Data Store'!$Y$7)+1),COUNTIF($AC$8:AC296,AC296))),"")</f>
        <v/>
      </c>
      <c r="X296" s="108" t="str">
        <f t="array" ref="X296">IF(ISNUMBER(AC296),INDEX('All Player Data Store'!$T$7:$T$594,SMALL(IF('All Player Data Store'!$Y$7:$Y$594=AC296,ROW('All Player Data Store'!$Y$7:$Y$594)-ROW('All Player Data Store'!$Y$7)+1),COUNTIF($AC$8:AC296,AC296))),"")</f>
        <v/>
      </c>
      <c r="Y296" s="108" t="str">
        <f t="array" ref="Y296">IF(ISNUMBER(AC296),INDEX('All Player Data Store'!$U$7:$U$594,SMALL(IF('All Player Data Store'!$Y$7:$Y$594=AC296,ROW('All Player Data Store'!$Y$7:$Y$594)-ROW('All Player Data Store'!$Y$7)+1),COUNTIF($AC$8:AC296,AC296))),"")</f>
        <v/>
      </c>
      <c r="Z296" s="108" t="str">
        <f t="array" ref="Z296">IF(ISNUMBER(AC296),INDEX('All Player Data Store'!$V$7:$V$594,SMALL(IF('All Player Data Store'!$Y$7:$Y$594=AC296,ROW('All Player Data Store'!$Y$7:$Y$594)-ROW('All Player Data Store'!$Y$7)+1),COUNTIF($AC$8:AC296,AC296))),"")</f>
        <v/>
      </c>
      <c r="AA296" s="112" t="str">
        <f t="array" ref="AA296">IF(ISNUMBER(AC296),INDEX('All Player Data Store'!$W$7:$W$594,SMALL(IF('All Player Data Store'!$Y$7:$Y$594=AC296,ROW('All Player Data Store'!$Y$7:$Y$594)-ROW('All Player Data Store'!$Y$7)+1),COUNTIF($AC$8:AC296,AC296))),"")</f>
        <v/>
      </c>
      <c r="AB296" s="108" t="str">
        <f t="array" ref="AB296">IF(ISNUMBER(AC296),INDEX('All Player Data Store'!$X$7:$X$594,SMALL(IF('All Player Data Store'!$Y$7:$Y$594=AC296,ROW('All Player Data Store'!$Y$7:$Y$594)-ROW('All Player Data Store'!$Y$7)+1),COUNTIF($AC$8:AC296,AC296))),"")</f>
        <v/>
      </c>
      <c r="AC296" s="115" t="str">
        <f>IF(ISERROR(IF(ISERROR(LARGE('All Player Data Store'!$Y$7:$Y$594,289)),"",(LARGE('All Player Data Store'!$Y$7:$Y$594,289)))),"",(IF(ISERROR(LARGE('All Player Data Store'!$Y$7:$Y$594,289)),"",(LARGE('All Player Data Store'!$Y$7:$Y$594,289)))))</f>
        <v/>
      </c>
      <c r="AD296" s="106">
        <f t="shared" si="16"/>
        <v>1</v>
      </c>
      <c r="AE296" s="107" t="str">
        <f t="array" ref="AE296">IF(ISNUMBER(AC296),INDEX('All Player Data Store'!$J$8:$J$594,SMALL(IF('All Player Data Store'!$Y$7:$Y$594=AC296,ROW('All Player Data Store'!$Y$7:$Y$594)-ROW('All Player Data Store'!$Y$7)+1),COUNTIF($AC$8:AC296,AC296))),"")</f>
        <v/>
      </c>
      <c r="AF296" s="108" t="str">
        <f t="shared" si="19"/>
        <v/>
      </c>
      <c r="AG296" s="108" t="str">
        <f t="array" ref="AG296">IF(ISNUMBER(AC296),INDEX('All Player Data Store'!$K$8:$K$594,SMALL(IF('All Player Data Store'!$Y$7:$Y$594=AC296,ROW('All Player Data Store'!$Y$7:$Y$594)-ROW('All Player Data Store'!$Y$7)+1),COUNTIF($AC$8:AC296,AC296))),"")</f>
        <v/>
      </c>
      <c r="AH296" s="108" t="str">
        <f t="shared" si="20"/>
        <v/>
      </c>
      <c r="AI296" s="108" t="str">
        <f t="array" ref="AI296">IF(ISNUMBER(AC296),INDEX('All Player Data Store'!$L$8:$L$594,SMALL(IF('All Player Data Store'!$Y$7:$Y$594=AC296,ROW('All Player Data Store'!$Y$7:$Y$594)-ROW('All Player Data Store'!$Y$7)+1),COUNTIF($AC$8:AC296,AC296))),"")</f>
        <v/>
      </c>
      <c r="AJ296" s="108" t="str">
        <f t="shared" si="21"/>
        <v/>
      </c>
      <c r="AK296" s="108" t="str">
        <f t="array" ref="AK296">IF(ISNUMBER(AC296),INDEX('All Player Data Store'!$M$8:$M$594,SMALL(IF('All Player Data Store'!$Y$7:$Y$594=AC296,ROW('All Player Data Store'!$Y$7:$Y$594)-ROW('All Player Data Store'!$Y$7)+1),COUNTIF($AC$8:AC296,AC296))),"")</f>
        <v/>
      </c>
      <c r="AL296" s="108" t="str">
        <f t="shared" si="22"/>
        <v/>
      </c>
      <c r="AM296" s="108" t="str">
        <f t="array" ref="AM296">IF(ISNUMBER(AC296),INDEX('All Player Data Store'!$N$8:$N$594,SMALL(IF('All Player Data Store'!$Y$7:$Y$594=AC296,ROW('All Player Data Store'!$Y$7:$Y$594)-ROW('All Player Data Store'!$Y$7)+1),COUNTIF($AC$8:AC296,AC296))),"")</f>
        <v/>
      </c>
      <c r="AN296" s="108" t="str">
        <f t="shared" si="23"/>
        <v/>
      </c>
      <c r="AO296" s="108" t="str">
        <f t="array" ref="AO296">IF(ISNUMBER(AC296),INDEX('All Player Data Store'!$O$8:$O$594,SMALL(IF('All Player Data Store'!$Y$7:$Y$594=AC296,ROW('All Player Data Store'!$Y$7:$Y$594)-ROW('All Player Data Store'!$Y$7)+1),COUNTIF($AC$8:AC296,AC296))),"")</f>
        <v/>
      </c>
      <c r="AP296" s="108" t="str">
        <f t="shared" si="24"/>
        <v/>
      </c>
      <c r="AQ296" s="108" t="str">
        <f t="array" ref="AQ296">IF(ISNUMBER(AC296),INDEX('All Player Data Store'!$P$8:$P$594,SMALL(IF('All Player Data Store'!$Y$7:$Y$594=AC296,ROW('All Player Data Store'!$Y$7:$Y$594)-ROW('All Player Data Store'!$Y$7)+1),COUNTIF($AC$8:AC296,AC296))),"")</f>
        <v/>
      </c>
      <c r="AR296" s="108" t="str">
        <f t="shared" si="25"/>
        <v/>
      </c>
      <c r="AS296" s="108" t="str">
        <f t="array" ref="AS296">IF(ISNUMBER(AC296),INDEX('All Player Data Store'!$Q$8:$Q$594,SMALL(IF('All Player Data Store'!$Y$7:$Y$594=AC296,ROW('All Player Data Store'!$Y$7:$Y$594)-ROW('All Player Data Store'!$Y$7)+1),COUNTIF($AC$8:AC296,AC296))),"")</f>
        <v/>
      </c>
      <c r="AT296" s="108" t="str">
        <f t="shared" si="26"/>
        <v/>
      </c>
      <c r="AU296" s="108" t="str">
        <f t="array" ref="AU296">IF(ISNUMBER(AC296),INDEX('All Player Data Store'!$R$8:$R$594,SMALL(IF('All Player Data Store'!$Y$7:$Y$594=AC296,ROW('All Player Data Store'!$Y$7:$Y$594)-ROW('All Player Data Store'!$Y$7)+1),COUNTIF($AC$8:AC296,AC296))),"")</f>
        <v/>
      </c>
      <c r="AV296" s="108" t="str">
        <f t="shared" si="27"/>
        <v/>
      </c>
      <c r="AW296" s="108" t="str">
        <f t="array" ref="AW296">IF(ISNUMBER(AC296),INDEX('All Player Data Store'!$S$8:$S$594,SMALL(IF('All Player Data Store'!$Y$7:$Y$594=AC296,ROW('All Player Data Store'!$Y$7:$Y$594)-ROW('All Player Data Store'!$Y$7)+1),COUNTIF($AC$8:AC296,AC296))),"")</f>
        <v/>
      </c>
      <c r="AX296" s="108" t="str">
        <f t="shared" si="28"/>
        <v/>
      </c>
      <c r="AY296" s="108" t="str">
        <f t="array" ref="AY296">IF(ISNUMBER(AC296),INDEX('All Player Data Store'!$T$8:$T$594,SMALL(IF('All Player Data Store'!$Y$7:$Y$594=AC296,ROW('All Player Data Store'!$Y$7:$Y$594)-ROW('All Player Data Store'!$Y$7)+1),COUNTIF($AC$8:AC296,AC296))),"")</f>
        <v/>
      </c>
      <c r="AZ296" s="108" t="str">
        <f t="shared" si="29"/>
        <v/>
      </c>
      <c r="BA296" s="108" t="str">
        <f t="array" ref="BA296">IF(ISNUMBER(AC296),INDEX('All Player Data Store'!$U$8:$U$594,SMALL(IF('All Player Data Store'!$Y$7:$Y$594=AC296,ROW('All Player Data Store'!$Y$7:$Y$594)-ROW('All Player Data Store'!$Y$7)+1),COUNTIF($AC$8:AC296,AC296))),"")</f>
        <v/>
      </c>
      <c r="BB296" s="108" t="str">
        <f t="shared" si="30"/>
        <v/>
      </c>
      <c r="BC296" s="108" t="str">
        <f t="array" ref="BC296">IF(ISNUMBER(AC296),INDEX('All Player Data Store'!$V$8:$V$594,SMALL(IF('All Player Data Store'!$Y$7:$Y$594=AC296,ROW('All Player Data Store'!$Y$7:$Y$594)-ROW('All Player Data Store'!$Y$7)+1),COUNTIF($AC$8:AC296,AC296))),"")</f>
        <v/>
      </c>
      <c r="BD296" s="108" t="str">
        <f t="shared" si="31"/>
        <v/>
      </c>
      <c r="BE296" s="1"/>
    </row>
    <row r="297" spans="2:57" ht="12" customHeight="1" x14ac:dyDescent="0.2">
      <c r="B297" s="118" t="str">
        <f t="shared" si="17"/>
        <v/>
      </c>
      <c r="C297" s="1"/>
      <c r="D297" s="68" t="str">
        <f t="shared" si="18"/>
        <v/>
      </c>
      <c r="E297" s="2"/>
      <c r="F297" s="78">
        <v>290</v>
      </c>
      <c r="G297" s="110" t="str">
        <f t="array" ref="G297">IF(ISNUMBER(AC297),INDEX('All Player Data Store'!$C$7:$C$594,SMALL(IF('All Player Data Store'!$Y$7:$Y$594=AC297,ROW('All Player Data Store'!$Y$7:$Y$594)-ROW('All Player Data Store'!$Y$7)+1),COUNTIF($AC$8:AC297,AC297))),"")</f>
        <v/>
      </c>
      <c r="H297" s="68" t="str">
        <f t="array" ref="H297">IF(ISNUMBER(AC297),INDEX('All Player Data Store'!$D$7:$D$594,SMALL(IF('All Player Data Store'!$Y$7:$Y$594=AC297,ROW('All Player Data Store'!$Y$7:$Y$594)-ROW('All Player Data Store'!$Y$7)+1),COUNTIF($AC$8:AC297,AC297))),"")</f>
        <v/>
      </c>
      <c r="I297" s="69" t="str">
        <f t="array" ref="I297">IF(ISNUMBER(AC297),INDEX('All Player Data Store'!$E$7:$E$594,SMALL(IF('All Player Data Store'!$Y$7:$Y$594=AC297,ROW('All Player Data Store'!$Y$7:$Y$594)-ROW('All Player Data Store'!$Y$7)+1),COUNTIF($AC$8:AC297,AC297))),"")</f>
        <v/>
      </c>
      <c r="J297" s="70" t="str">
        <f t="array" ref="J297">IF(ISNUMBER(AC297),INDEX('All Player Data Store'!$F$7:$F$594,SMALL(IF('All Player Data Store'!$Y$7:$Y$594=AC297,ROW('All Player Data Store'!$Y$7:$Y$594)-ROW('All Player Data Store'!$Y$7)+1),COUNTIF($AC$8:AC297,AC297))),"")</f>
        <v/>
      </c>
      <c r="K297" s="70" t="str">
        <f t="array" ref="K297">IF(ISNUMBER(AC297),INDEX('All Player Data Store'!$G$7:$G$594,SMALL(IF('All Player Data Store'!$Y$7:$Y$594=AC297,ROW('All Player Data Store'!$Y$7:$Y$594)-ROW('All Player Data Store'!$Y$7)+1),COUNTIF($AC$8:AC297,AC297))),"")</f>
        <v/>
      </c>
      <c r="L297" s="70" t="str">
        <f t="array" ref="L297">IF(ISNUMBER(AC297),INDEX('All Player Data Store'!$H$7:$H$594,SMALL(IF('All Player Data Store'!$Y$7:$Y$594=AC297,ROW('All Player Data Store'!$Y$7:$Y$594)-ROW('All Player Data Store'!$Y$7)+1),COUNTIF($AC$8:AC297,AC297))),"")</f>
        <v/>
      </c>
      <c r="M297" s="72" t="str">
        <f t="array" ref="M297">IF(ISNUMBER(AC297),INDEX('All Player Data Store'!$I$7:$I$594,SMALL(IF('All Player Data Store'!$Y$7:$Y$594=AC297,ROW('All Player Data Store'!$Y$7:$Y$594)-ROW('All Player Data Store'!$Y$7)+1),COUNTIF($AC$8:AC297,AC297))),"")</f>
        <v/>
      </c>
      <c r="N297" s="114" t="str">
        <f t="array" ref="N297">IF(ISNUMBER(AC297),INDEX('All Player Data Store'!$J$7:$J$594,SMALL(IF('All Player Data Store'!$Y$7:$Y$594=AC297,ROW('All Player Data Store'!$Y$7:$Y$594)-ROW('All Player Data Store'!$Y$7)+1),COUNTIF($AC$8:AC297,AC297))),"")</f>
        <v/>
      </c>
      <c r="O297" s="108" t="str">
        <f t="array" ref="O297">IF(ISNUMBER(AC297),INDEX('All Player Data Store'!$K$7:$K$594,SMALL(IF('All Player Data Store'!$Y$7:$Y$594=AC297,ROW('All Player Data Store'!$Y$7:$Y$594)-ROW('All Player Data Store'!$Y$7)+1),COUNTIF($AC$8:AC297,AC297))),"")</f>
        <v/>
      </c>
      <c r="P297" s="108" t="str">
        <f t="array" ref="P297">IF(ISNUMBER(AC297),INDEX('All Player Data Store'!$L$7:$L$594,SMALL(IF('All Player Data Store'!$Y$7:$Y$594=AC297,ROW('All Player Data Store'!$Y$7:$Y$594)-ROW('All Player Data Store'!$Y$7)+1),COUNTIF($AC$8:AC297,AC297))),"")</f>
        <v/>
      </c>
      <c r="Q297" s="108" t="str">
        <f t="array" ref="Q297">IF(ISNUMBER(AC297),INDEX('All Player Data Store'!$M$7:$M$594,SMALL(IF('All Player Data Store'!$Y$7:$Y$594=AC297,ROW('All Player Data Store'!$Y$7:$Y$594)-ROW('All Player Data Store'!$Y$7)+1),COUNTIF($AC$8:AC297,AC297))),"")</f>
        <v/>
      </c>
      <c r="R297" s="108" t="str">
        <f t="array" ref="R297">IF(ISNUMBER(AC297),INDEX('All Player Data Store'!$N$7:$N$594,SMALL(IF('All Player Data Store'!$Y$7:$Y$594=AC297,ROW('All Player Data Store'!$Y$7:$Y$594)-ROW('All Player Data Store'!$Y$7)+1),COUNTIF($AC$8:AC297,AC297))),"")</f>
        <v/>
      </c>
      <c r="S297" s="108" t="str">
        <f t="array" ref="S297">IF(ISNUMBER(AC297),INDEX('All Player Data Store'!$O$7:$O$594,SMALL(IF('All Player Data Store'!$Y$7:$Y$594=AC297,ROW('All Player Data Store'!$Y$7:$Y$594)-ROW('All Player Data Store'!$Y$7)+1),COUNTIF($AC$8:AC297,AC297))),"")</f>
        <v/>
      </c>
      <c r="T297" s="108" t="str">
        <f t="array" ref="T297">IF(ISNUMBER(AC297),INDEX('All Player Data Store'!$P$7:$P$594,SMALL(IF('All Player Data Store'!$Y$7:$Y$594=AC297,ROW('All Player Data Store'!$Y$7:$Y$594)-ROW('All Player Data Store'!$Y$7)+1),COUNTIF($AC$8:AC297,AC297))),"")</f>
        <v/>
      </c>
      <c r="U297" s="108" t="str">
        <f t="array" ref="U297">IF(ISNUMBER(AC297),INDEX('All Player Data Store'!$Q$7:$Q$594,SMALL(IF('All Player Data Store'!$Y$7:$Y$594=AC297,ROW('All Player Data Store'!$Y$7:$Y$594)-ROW('All Player Data Store'!$Y$7)+1),COUNTIF($AC$8:AC297,AC297))),"")</f>
        <v/>
      </c>
      <c r="V297" s="108" t="str">
        <f t="array" ref="V297">IF(ISNUMBER(AC297),INDEX('All Player Data Store'!$R$7:$R$594,SMALL(IF('All Player Data Store'!$Y$7:$Y$594=AC297,ROW('All Player Data Store'!$Y$7:$Y$594)-ROW('All Player Data Store'!$Y$7)+1),COUNTIF($AC$8:AC297,AC297))),"")</f>
        <v/>
      </c>
      <c r="W297" s="108" t="str">
        <f t="array" ref="W297">IF(ISNUMBER(AC297),INDEX('All Player Data Store'!$S$7:$S$594,SMALL(IF('All Player Data Store'!$Y$7:$Y$594=AC297,ROW('All Player Data Store'!$Y$7:$Y$594)-ROW('All Player Data Store'!$Y$7)+1),COUNTIF($AC$8:AC297,AC297))),"")</f>
        <v/>
      </c>
      <c r="X297" s="108" t="str">
        <f t="array" ref="X297">IF(ISNUMBER(AC297),INDEX('All Player Data Store'!$T$7:$T$594,SMALL(IF('All Player Data Store'!$Y$7:$Y$594=AC297,ROW('All Player Data Store'!$Y$7:$Y$594)-ROW('All Player Data Store'!$Y$7)+1),COUNTIF($AC$8:AC297,AC297))),"")</f>
        <v/>
      </c>
      <c r="Y297" s="108" t="str">
        <f t="array" ref="Y297">IF(ISNUMBER(AC297),INDEX('All Player Data Store'!$U$7:$U$594,SMALL(IF('All Player Data Store'!$Y$7:$Y$594=AC297,ROW('All Player Data Store'!$Y$7:$Y$594)-ROW('All Player Data Store'!$Y$7)+1),COUNTIF($AC$8:AC297,AC297))),"")</f>
        <v/>
      </c>
      <c r="Z297" s="108" t="str">
        <f t="array" ref="Z297">IF(ISNUMBER(AC297),INDEX('All Player Data Store'!$V$7:$V$594,SMALL(IF('All Player Data Store'!$Y$7:$Y$594=AC297,ROW('All Player Data Store'!$Y$7:$Y$594)-ROW('All Player Data Store'!$Y$7)+1),COUNTIF($AC$8:AC297,AC297))),"")</f>
        <v/>
      </c>
      <c r="AA297" s="112" t="str">
        <f t="array" ref="AA297">IF(ISNUMBER(AC297),INDEX('All Player Data Store'!$W$7:$W$594,SMALL(IF('All Player Data Store'!$Y$7:$Y$594=AC297,ROW('All Player Data Store'!$Y$7:$Y$594)-ROW('All Player Data Store'!$Y$7)+1),COUNTIF($AC$8:AC297,AC297))),"")</f>
        <v/>
      </c>
      <c r="AB297" s="108" t="str">
        <f t="array" ref="AB297">IF(ISNUMBER(AC297),INDEX('All Player Data Store'!$X$7:$X$594,SMALL(IF('All Player Data Store'!$Y$7:$Y$594=AC297,ROW('All Player Data Store'!$Y$7:$Y$594)-ROW('All Player Data Store'!$Y$7)+1),COUNTIF($AC$8:AC297,AC297))),"")</f>
        <v/>
      </c>
      <c r="AC297" s="115" t="str">
        <f>IF(ISERROR(IF(ISERROR(LARGE('All Player Data Store'!$Y$7:$Y$594,290)),"",(LARGE('All Player Data Store'!$Y$7:$Y$594,290)))),"",(IF(ISERROR(LARGE('All Player Data Store'!$Y$7:$Y$594,290)),"",(LARGE('All Player Data Store'!$Y$7:$Y$594,290)))))</f>
        <v/>
      </c>
      <c r="AD297" s="106">
        <f t="shared" si="16"/>
        <v>1</v>
      </c>
      <c r="AE297" s="107" t="str">
        <f t="array" ref="AE297">IF(ISNUMBER(AC297),INDEX('All Player Data Store'!$J$8:$J$594,SMALL(IF('All Player Data Store'!$Y$7:$Y$594=AC297,ROW('All Player Data Store'!$Y$7:$Y$594)-ROW('All Player Data Store'!$Y$7)+1),COUNTIF($AC$8:AC297,AC297))),"")</f>
        <v/>
      </c>
      <c r="AF297" s="108" t="str">
        <f t="shared" si="19"/>
        <v/>
      </c>
      <c r="AG297" s="108" t="str">
        <f t="array" ref="AG297">IF(ISNUMBER(AC297),INDEX('All Player Data Store'!$K$8:$K$594,SMALL(IF('All Player Data Store'!$Y$7:$Y$594=AC297,ROW('All Player Data Store'!$Y$7:$Y$594)-ROW('All Player Data Store'!$Y$7)+1),COUNTIF($AC$8:AC297,AC297))),"")</f>
        <v/>
      </c>
      <c r="AH297" s="108" t="str">
        <f t="shared" si="20"/>
        <v/>
      </c>
      <c r="AI297" s="108" t="str">
        <f t="array" ref="AI297">IF(ISNUMBER(AC297),INDEX('All Player Data Store'!$L$8:$L$594,SMALL(IF('All Player Data Store'!$Y$7:$Y$594=AC297,ROW('All Player Data Store'!$Y$7:$Y$594)-ROW('All Player Data Store'!$Y$7)+1),COUNTIF($AC$8:AC297,AC297))),"")</f>
        <v/>
      </c>
      <c r="AJ297" s="108" t="str">
        <f t="shared" si="21"/>
        <v/>
      </c>
      <c r="AK297" s="108" t="str">
        <f t="array" ref="AK297">IF(ISNUMBER(AC297),INDEX('All Player Data Store'!$M$8:$M$594,SMALL(IF('All Player Data Store'!$Y$7:$Y$594=AC297,ROW('All Player Data Store'!$Y$7:$Y$594)-ROW('All Player Data Store'!$Y$7)+1),COUNTIF($AC$8:AC297,AC297))),"")</f>
        <v/>
      </c>
      <c r="AL297" s="108" t="str">
        <f t="shared" si="22"/>
        <v/>
      </c>
      <c r="AM297" s="108" t="str">
        <f t="array" ref="AM297">IF(ISNUMBER(AC297),INDEX('All Player Data Store'!$N$8:$N$594,SMALL(IF('All Player Data Store'!$Y$7:$Y$594=AC297,ROW('All Player Data Store'!$Y$7:$Y$594)-ROW('All Player Data Store'!$Y$7)+1),COUNTIF($AC$8:AC297,AC297))),"")</f>
        <v/>
      </c>
      <c r="AN297" s="108" t="str">
        <f t="shared" si="23"/>
        <v/>
      </c>
      <c r="AO297" s="108" t="str">
        <f t="array" ref="AO297">IF(ISNUMBER(AC297),INDEX('All Player Data Store'!$O$8:$O$594,SMALL(IF('All Player Data Store'!$Y$7:$Y$594=AC297,ROW('All Player Data Store'!$Y$7:$Y$594)-ROW('All Player Data Store'!$Y$7)+1),COUNTIF($AC$8:AC297,AC297))),"")</f>
        <v/>
      </c>
      <c r="AP297" s="108" t="str">
        <f t="shared" si="24"/>
        <v/>
      </c>
      <c r="AQ297" s="108" t="str">
        <f t="array" ref="AQ297">IF(ISNUMBER(AC297),INDEX('All Player Data Store'!$P$8:$P$594,SMALL(IF('All Player Data Store'!$Y$7:$Y$594=AC297,ROW('All Player Data Store'!$Y$7:$Y$594)-ROW('All Player Data Store'!$Y$7)+1),COUNTIF($AC$8:AC297,AC297))),"")</f>
        <v/>
      </c>
      <c r="AR297" s="108" t="str">
        <f t="shared" si="25"/>
        <v/>
      </c>
      <c r="AS297" s="108" t="str">
        <f t="array" ref="AS297">IF(ISNUMBER(AC297),INDEX('All Player Data Store'!$Q$8:$Q$594,SMALL(IF('All Player Data Store'!$Y$7:$Y$594=AC297,ROW('All Player Data Store'!$Y$7:$Y$594)-ROW('All Player Data Store'!$Y$7)+1),COUNTIF($AC$8:AC297,AC297))),"")</f>
        <v/>
      </c>
      <c r="AT297" s="108" t="str">
        <f t="shared" si="26"/>
        <v/>
      </c>
      <c r="AU297" s="108" t="str">
        <f t="array" ref="AU297">IF(ISNUMBER(AC297),INDEX('All Player Data Store'!$R$8:$R$594,SMALL(IF('All Player Data Store'!$Y$7:$Y$594=AC297,ROW('All Player Data Store'!$Y$7:$Y$594)-ROW('All Player Data Store'!$Y$7)+1),COUNTIF($AC$8:AC297,AC297))),"")</f>
        <v/>
      </c>
      <c r="AV297" s="108" t="str">
        <f t="shared" si="27"/>
        <v/>
      </c>
      <c r="AW297" s="108" t="str">
        <f t="array" ref="AW297">IF(ISNUMBER(AC297),INDEX('All Player Data Store'!$S$8:$S$594,SMALL(IF('All Player Data Store'!$Y$7:$Y$594=AC297,ROW('All Player Data Store'!$Y$7:$Y$594)-ROW('All Player Data Store'!$Y$7)+1),COUNTIF($AC$8:AC297,AC297))),"")</f>
        <v/>
      </c>
      <c r="AX297" s="108" t="str">
        <f t="shared" si="28"/>
        <v/>
      </c>
      <c r="AY297" s="108" t="str">
        <f t="array" ref="AY297">IF(ISNUMBER(AC297),INDEX('All Player Data Store'!$T$8:$T$594,SMALL(IF('All Player Data Store'!$Y$7:$Y$594=AC297,ROW('All Player Data Store'!$Y$7:$Y$594)-ROW('All Player Data Store'!$Y$7)+1),COUNTIF($AC$8:AC297,AC297))),"")</f>
        <v/>
      </c>
      <c r="AZ297" s="108" t="str">
        <f t="shared" si="29"/>
        <v/>
      </c>
      <c r="BA297" s="108" t="str">
        <f t="array" ref="BA297">IF(ISNUMBER(AC297),INDEX('All Player Data Store'!$U$8:$U$594,SMALL(IF('All Player Data Store'!$Y$7:$Y$594=AC297,ROW('All Player Data Store'!$Y$7:$Y$594)-ROW('All Player Data Store'!$Y$7)+1),COUNTIF($AC$8:AC297,AC297))),"")</f>
        <v/>
      </c>
      <c r="BB297" s="108" t="str">
        <f t="shared" si="30"/>
        <v/>
      </c>
      <c r="BC297" s="108" t="str">
        <f t="array" ref="BC297">IF(ISNUMBER(AC297),INDEX('All Player Data Store'!$V$8:$V$594,SMALL(IF('All Player Data Store'!$Y$7:$Y$594=AC297,ROW('All Player Data Store'!$Y$7:$Y$594)-ROW('All Player Data Store'!$Y$7)+1),COUNTIF($AC$8:AC297,AC297))),"")</f>
        <v/>
      </c>
      <c r="BD297" s="108" t="str">
        <f t="shared" si="31"/>
        <v/>
      </c>
      <c r="BE297" s="1"/>
    </row>
    <row r="298" spans="2:57" ht="12" customHeight="1" x14ac:dyDescent="0.2">
      <c r="B298" s="118" t="str">
        <f t="shared" si="17"/>
        <v/>
      </c>
      <c r="C298" s="1"/>
      <c r="D298" s="68" t="str">
        <f t="shared" si="18"/>
        <v/>
      </c>
      <c r="E298" s="2"/>
      <c r="F298" s="78">
        <v>291</v>
      </c>
      <c r="G298" s="110" t="str">
        <f t="array" ref="G298">IF(ISNUMBER(AC298),INDEX('All Player Data Store'!$C$7:$C$594,SMALL(IF('All Player Data Store'!$Y$7:$Y$594=AC298,ROW('All Player Data Store'!$Y$7:$Y$594)-ROW('All Player Data Store'!$Y$7)+1),COUNTIF($AC$8:AC298,AC298))),"")</f>
        <v/>
      </c>
      <c r="H298" s="68" t="str">
        <f t="array" ref="H298">IF(ISNUMBER(AC298),INDEX('All Player Data Store'!$D$7:$D$594,SMALL(IF('All Player Data Store'!$Y$7:$Y$594=AC298,ROW('All Player Data Store'!$Y$7:$Y$594)-ROW('All Player Data Store'!$Y$7)+1),COUNTIF($AC$8:AC298,AC298))),"")</f>
        <v/>
      </c>
      <c r="I298" s="69" t="str">
        <f t="array" ref="I298">IF(ISNUMBER(AC298),INDEX('All Player Data Store'!$E$7:$E$594,SMALL(IF('All Player Data Store'!$Y$7:$Y$594=AC298,ROW('All Player Data Store'!$Y$7:$Y$594)-ROW('All Player Data Store'!$Y$7)+1),COUNTIF($AC$8:AC298,AC298))),"")</f>
        <v/>
      </c>
      <c r="J298" s="70" t="str">
        <f t="array" ref="J298">IF(ISNUMBER(AC298),INDEX('All Player Data Store'!$F$7:$F$594,SMALL(IF('All Player Data Store'!$Y$7:$Y$594=AC298,ROW('All Player Data Store'!$Y$7:$Y$594)-ROW('All Player Data Store'!$Y$7)+1),COUNTIF($AC$8:AC298,AC298))),"")</f>
        <v/>
      </c>
      <c r="K298" s="70" t="str">
        <f t="array" ref="K298">IF(ISNUMBER(AC298),INDEX('All Player Data Store'!$G$7:$G$594,SMALL(IF('All Player Data Store'!$Y$7:$Y$594=AC298,ROW('All Player Data Store'!$Y$7:$Y$594)-ROW('All Player Data Store'!$Y$7)+1),COUNTIF($AC$8:AC298,AC298))),"")</f>
        <v/>
      </c>
      <c r="L298" s="70" t="str">
        <f t="array" ref="L298">IF(ISNUMBER(AC298),INDEX('All Player Data Store'!$H$7:$H$594,SMALL(IF('All Player Data Store'!$Y$7:$Y$594=AC298,ROW('All Player Data Store'!$Y$7:$Y$594)-ROW('All Player Data Store'!$Y$7)+1),COUNTIF($AC$8:AC298,AC298))),"")</f>
        <v/>
      </c>
      <c r="M298" s="72" t="str">
        <f t="array" ref="M298">IF(ISNUMBER(AC298),INDEX('All Player Data Store'!$I$7:$I$594,SMALL(IF('All Player Data Store'!$Y$7:$Y$594=AC298,ROW('All Player Data Store'!$Y$7:$Y$594)-ROW('All Player Data Store'!$Y$7)+1),COUNTIF($AC$8:AC298,AC298))),"")</f>
        <v/>
      </c>
      <c r="N298" s="114" t="str">
        <f t="array" ref="N298">IF(ISNUMBER(AC298),INDEX('All Player Data Store'!$J$7:$J$594,SMALL(IF('All Player Data Store'!$Y$7:$Y$594=AC298,ROW('All Player Data Store'!$Y$7:$Y$594)-ROW('All Player Data Store'!$Y$7)+1),COUNTIF($AC$8:AC298,AC298))),"")</f>
        <v/>
      </c>
      <c r="O298" s="108" t="str">
        <f t="array" ref="O298">IF(ISNUMBER(AC298),INDEX('All Player Data Store'!$K$7:$K$594,SMALL(IF('All Player Data Store'!$Y$7:$Y$594=AC298,ROW('All Player Data Store'!$Y$7:$Y$594)-ROW('All Player Data Store'!$Y$7)+1),COUNTIF($AC$8:AC298,AC298))),"")</f>
        <v/>
      </c>
      <c r="P298" s="108" t="str">
        <f t="array" ref="P298">IF(ISNUMBER(AC298),INDEX('All Player Data Store'!$L$7:$L$594,SMALL(IF('All Player Data Store'!$Y$7:$Y$594=AC298,ROW('All Player Data Store'!$Y$7:$Y$594)-ROW('All Player Data Store'!$Y$7)+1),COUNTIF($AC$8:AC298,AC298))),"")</f>
        <v/>
      </c>
      <c r="Q298" s="108" t="str">
        <f t="array" ref="Q298">IF(ISNUMBER(AC298),INDEX('All Player Data Store'!$M$7:$M$594,SMALL(IF('All Player Data Store'!$Y$7:$Y$594=AC298,ROW('All Player Data Store'!$Y$7:$Y$594)-ROW('All Player Data Store'!$Y$7)+1),COUNTIF($AC$8:AC298,AC298))),"")</f>
        <v/>
      </c>
      <c r="R298" s="108" t="str">
        <f t="array" ref="R298">IF(ISNUMBER(AC298),INDEX('All Player Data Store'!$N$7:$N$594,SMALL(IF('All Player Data Store'!$Y$7:$Y$594=AC298,ROW('All Player Data Store'!$Y$7:$Y$594)-ROW('All Player Data Store'!$Y$7)+1),COUNTIF($AC$8:AC298,AC298))),"")</f>
        <v/>
      </c>
      <c r="S298" s="108" t="str">
        <f t="array" ref="S298">IF(ISNUMBER(AC298),INDEX('All Player Data Store'!$O$7:$O$594,SMALL(IF('All Player Data Store'!$Y$7:$Y$594=AC298,ROW('All Player Data Store'!$Y$7:$Y$594)-ROW('All Player Data Store'!$Y$7)+1),COUNTIF($AC$8:AC298,AC298))),"")</f>
        <v/>
      </c>
      <c r="T298" s="108" t="str">
        <f t="array" ref="T298">IF(ISNUMBER(AC298),INDEX('All Player Data Store'!$P$7:$P$594,SMALL(IF('All Player Data Store'!$Y$7:$Y$594=AC298,ROW('All Player Data Store'!$Y$7:$Y$594)-ROW('All Player Data Store'!$Y$7)+1),COUNTIF($AC$8:AC298,AC298))),"")</f>
        <v/>
      </c>
      <c r="U298" s="108" t="str">
        <f t="array" ref="U298">IF(ISNUMBER(AC298),INDEX('All Player Data Store'!$Q$7:$Q$594,SMALL(IF('All Player Data Store'!$Y$7:$Y$594=AC298,ROW('All Player Data Store'!$Y$7:$Y$594)-ROW('All Player Data Store'!$Y$7)+1),COUNTIF($AC$8:AC298,AC298))),"")</f>
        <v/>
      </c>
      <c r="V298" s="108" t="str">
        <f t="array" ref="V298">IF(ISNUMBER(AC298),INDEX('All Player Data Store'!$R$7:$R$594,SMALL(IF('All Player Data Store'!$Y$7:$Y$594=AC298,ROW('All Player Data Store'!$Y$7:$Y$594)-ROW('All Player Data Store'!$Y$7)+1),COUNTIF($AC$8:AC298,AC298))),"")</f>
        <v/>
      </c>
      <c r="W298" s="108" t="str">
        <f t="array" ref="W298">IF(ISNUMBER(AC298),INDEX('All Player Data Store'!$S$7:$S$594,SMALL(IF('All Player Data Store'!$Y$7:$Y$594=AC298,ROW('All Player Data Store'!$Y$7:$Y$594)-ROW('All Player Data Store'!$Y$7)+1),COUNTIF($AC$8:AC298,AC298))),"")</f>
        <v/>
      </c>
      <c r="X298" s="108" t="str">
        <f t="array" ref="X298">IF(ISNUMBER(AC298),INDEX('All Player Data Store'!$T$7:$T$594,SMALL(IF('All Player Data Store'!$Y$7:$Y$594=AC298,ROW('All Player Data Store'!$Y$7:$Y$594)-ROW('All Player Data Store'!$Y$7)+1),COUNTIF($AC$8:AC298,AC298))),"")</f>
        <v/>
      </c>
      <c r="Y298" s="108" t="str">
        <f t="array" ref="Y298">IF(ISNUMBER(AC298),INDEX('All Player Data Store'!$U$7:$U$594,SMALL(IF('All Player Data Store'!$Y$7:$Y$594=AC298,ROW('All Player Data Store'!$Y$7:$Y$594)-ROW('All Player Data Store'!$Y$7)+1),COUNTIF($AC$8:AC298,AC298))),"")</f>
        <v/>
      </c>
      <c r="Z298" s="108" t="str">
        <f t="array" ref="Z298">IF(ISNUMBER(AC298),INDEX('All Player Data Store'!$V$7:$V$594,SMALL(IF('All Player Data Store'!$Y$7:$Y$594=AC298,ROW('All Player Data Store'!$Y$7:$Y$594)-ROW('All Player Data Store'!$Y$7)+1),COUNTIF($AC$8:AC298,AC298))),"")</f>
        <v/>
      </c>
      <c r="AA298" s="112" t="str">
        <f t="array" ref="AA298">IF(ISNUMBER(AC298),INDEX('All Player Data Store'!$W$7:$W$594,SMALL(IF('All Player Data Store'!$Y$7:$Y$594=AC298,ROW('All Player Data Store'!$Y$7:$Y$594)-ROW('All Player Data Store'!$Y$7)+1),COUNTIF($AC$8:AC298,AC298))),"")</f>
        <v/>
      </c>
      <c r="AB298" s="108" t="str">
        <f t="array" ref="AB298">IF(ISNUMBER(AC298),INDEX('All Player Data Store'!$X$7:$X$594,SMALL(IF('All Player Data Store'!$Y$7:$Y$594=AC298,ROW('All Player Data Store'!$Y$7:$Y$594)-ROW('All Player Data Store'!$Y$7)+1),COUNTIF($AC$8:AC298,AC298))),"")</f>
        <v/>
      </c>
      <c r="AC298" s="115" t="str">
        <f>IF(ISERROR(IF(ISERROR(LARGE('All Player Data Store'!$Y$7:$Y$594,291)),"",(LARGE('All Player Data Store'!$Y$7:$Y$594,291)))),"",(IF(ISERROR(LARGE('All Player Data Store'!$Y$7:$Y$594,291)),"",(LARGE('All Player Data Store'!$Y$7:$Y$594,291)))))</f>
        <v/>
      </c>
      <c r="AD298" s="106">
        <f t="shared" si="16"/>
        <v>1</v>
      </c>
      <c r="AE298" s="107" t="str">
        <f t="array" ref="AE298">IF(ISNUMBER(AC298),INDEX('All Player Data Store'!$J$8:$J$594,SMALL(IF('All Player Data Store'!$Y$7:$Y$594=AC298,ROW('All Player Data Store'!$Y$7:$Y$594)-ROW('All Player Data Store'!$Y$7)+1),COUNTIF($AC$8:AC298,AC298))),"")</f>
        <v/>
      </c>
      <c r="AF298" s="108" t="str">
        <f t="shared" si="19"/>
        <v/>
      </c>
      <c r="AG298" s="108" t="str">
        <f t="array" ref="AG298">IF(ISNUMBER(AC298),INDEX('All Player Data Store'!$K$8:$K$594,SMALL(IF('All Player Data Store'!$Y$7:$Y$594=AC298,ROW('All Player Data Store'!$Y$7:$Y$594)-ROW('All Player Data Store'!$Y$7)+1),COUNTIF($AC$8:AC298,AC298))),"")</f>
        <v/>
      </c>
      <c r="AH298" s="108" t="str">
        <f t="shared" si="20"/>
        <v/>
      </c>
      <c r="AI298" s="108" t="str">
        <f t="array" ref="AI298">IF(ISNUMBER(AC298),INDEX('All Player Data Store'!$L$8:$L$594,SMALL(IF('All Player Data Store'!$Y$7:$Y$594=AC298,ROW('All Player Data Store'!$Y$7:$Y$594)-ROW('All Player Data Store'!$Y$7)+1),COUNTIF($AC$8:AC298,AC298))),"")</f>
        <v/>
      </c>
      <c r="AJ298" s="108" t="str">
        <f t="shared" si="21"/>
        <v/>
      </c>
      <c r="AK298" s="108" t="str">
        <f t="array" ref="AK298">IF(ISNUMBER(AC298),INDEX('All Player Data Store'!$M$8:$M$594,SMALL(IF('All Player Data Store'!$Y$7:$Y$594=AC298,ROW('All Player Data Store'!$Y$7:$Y$594)-ROW('All Player Data Store'!$Y$7)+1),COUNTIF($AC$8:AC298,AC298))),"")</f>
        <v/>
      </c>
      <c r="AL298" s="108" t="str">
        <f t="shared" si="22"/>
        <v/>
      </c>
      <c r="AM298" s="108" t="str">
        <f t="array" ref="AM298">IF(ISNUMBER(AC298),INDEX('All Player Data Store'!$N$8:$N$594,SMALL(IF('All Player Data Store'!$Y$7:$Y$594=AC298,ROW('All Player Data Store'!$Y$7:$Y$594)-ROW('All Player Data Store'!$Y$7)+1),COUNTIF($AC$8:AC298,AC298))),"")</f>
        <v/>
      </c>
      <c r="AN298" s="108" t="str">
        <f t="shared" si="23"/>
        <v/>
      </c>
      <c r="AO298" s="108" t="str">
        <f t="array" ref="AO298">IF(ISNUMBER(AC298),INDEX('All Player Data Store'!$O$8:$O$594,SMALL(IF('All Player Data Store'!$Y$7:$Y$594=AC298,ROW('All Player Data Store'!$Y$7:$Y$594)-ROW('All Player Data Store'!$Y$7)+1),COUNTIF($AC$8:AC298,AC298))),"")</f>
        <v/>
      </c>
      <c r="AP298" s="108" t="str">
        <f t="shared" si="24"/>
        <v/>
      </c>
      <c r="AQ298" s="108" t="str">
        <f t="array" ref="AQ298">IF(ISNUMBER(AC298),INDEX('All Player Data Store'!$P$8:$P$594,SMALL(IF('All Player Data Store'!$Y$7:$Y$594=AC298,ROW('All Player Data Store'!$Y$7:$Y$594)-ROW('All Player Data Store'!$Y$7)+1),COUNTIF($AC$8:AC298,AC298))),"")</f>
        <v/>
      </c>
      <c r="AR298" s="108" t="str">
        <f t="shared" si="25"/>
        <v/>
      </c>
      <c r="AS298" s="108" t="str">
        <f t="array" ref="AS298">IF(ISNUMBER(AC298),INDEX('All Player Data Store'!$Q$8:$Q$594,SMALL(IF('All Player Data Store'!$Y$7:$Y$594=AC298,ROW('All Player Data Store'!$Y$7:$Y$594)-ROW('All Player Data Store'!$Y$7)+1),COUNTIF($AC$8:AC298,AC298))),"")</f>
        <v/>
      </c>
      <c r="AT298" s="108" t="str">
        <f t="shared" si="26"/>
        <v/>
      </c>
      <c r="AU298" s="108" t="str">
        <f t="array" ref="AU298">IF(ISNUMBER(AC298),INDEX('All Player Data Store'!$R$8:$R$594,SMALL(IF('All Player Data Store'!$Y$7:$Y$594=AC298,ROW('All Player Data Store'!$Y$7:$Y$594)-ROW('All Player Data Store'!$Y$7)+1),COUNTIF($AC$8:AC298,AC298))),"")</f>
        <v/>
      </c>
      <c r="AV298" s="108" t="str">
        <f t="shared" si="27"/>
        <v/>
      </c>
      <c r="AW298" s="108" t="str">
        <f t="array" ref="AW298">IF(ISNUMBER(AC298),INDEX('All Player Data Store'!$S$8:$S$594,SMALL(IF('All Player Data Store'!$Y$7:$Y$594=AC298,ROW('All Player Data Store'!$Y$7:$Y$594)-ROW('All Player Data Store'!$Y$7)+1),COUNTIF($AC$8:AC298,AC298))),"")</f>
        <v/>
      </c>
      <c r="AX298" s="108" t="str">
        <f t="shared" si="28"/>
        <v/>
      </c>
      <c r="AY298" s="108" t="str">
        <f t="array" ref="AY298">IF(ISNUMBER(AC298),INDEX('All Player Data Store'!$T$8:$T$594,SMALL(IF('All Player Data Store'!$Y$7:$Y$594=AC298,ROW('All Player Data Store'!$Y$7:$Y$594)-ROW('All Player Data Store'!$Y$7)+1),COUNTIF($AC$8:AC298,AC298))),"")</f>
        <v/>
      </c>
      <c r="AZ298" s="108" t="str">
        <f t="shared" si="29"/>
        <v/>
      </c>
      <c r="BA298" s="108" t="str">
        <f t="array" ref="BA298">IF(ISNUMBER(AC298),INDEX('All Player Data Store'!$U$8:$U$594,SMALL(IF('All Player Data Store'!$Y$7:$Y$594=AC298,ROW('All Player Data Store'!$Y$7:$Y$594)-ROW('All Player Data Store'!$Y$7)+1),COUNTIF($AC$8:AC298,AC298))),"")</f>
        <v/>
      </c>
      <c r="BB298" s="108" t="str">
        <f t="shared" si="30"/>
        <v/>
      </c>
      <c r="BC298" s="108" t="str">
        <f t="array" ref="BC298">IF(ISNUMBER(AC298),INDEX('All Player Data Store'!$V$8:$V$594,SMALL(IF('All Player Data Store'!$Y$7:$Y$594=AC298,ROW('All Player Data Store'!$Y$7:$Y$594)-ROW('All Player Data Store'!$Y$7)+1),COUNTIF($AC$8:AC298,AC298))),"")</f>
        <v/>
      </c>
      <c r="BD298" s="108" t="str">
        <f t="shared" si="31"/>
        <v/>
      </c>
      <c r="BE298" s="1"/>
    </row>
    <row r="299" spans="2:57" ht="12" customHeight="1" x14ac:dyDescent="0.2">
      <c r="B299" s="118" t="str">
        <f t="shared" si="17"/>
        <v/>
      </c>
      <c r="C299" s="1"/>
      <c r="D299" s="68" t="str">
        <f t="shared" si="18"/>
        <v/>
      </c>
      <c r="E299" s="2"/>
      <c r="F299" s="78">
        <v>292</v>
      </c>
      <c r="G299" s="110" t="str">
        <f t="array" ref="G299">IF(ISNUMBER(AC299),INDEX('All Player Data Store'!$C$7:$C$594,SMALL(IF('All Player Data Store'!$Y$7:$Y$594=AC299,ROW('All Player Data Store'!$Y$7:$Y$594)-ROW('All Player Data Store'!$Y$7)+1),COUNTIF($AC$8:AC299,AC299))),"")</f>
        <v/>
      </c>
      <c r="H299" s="68" t="str">
        <f t="array" ref="H299">IF(ISNUMBER(AC299),INDEX('All Player Data Store'!$D$7:$D$594,SMALL(IF('All Player Data Store'!$Y$7:$Y$594=AC299,ROW('All Player Data Store'!$Y$7:$Y$594)-ROW('All Player Data Store'!$Y$7)+1),COUNTIF($AC$8:AC299,AC299))),"")</f>
        <v/>
      </c>
      <c r="I299" s="69" t="str">
        <f t="array" ref="I299">IF(ISNUMBER(AC299),INDEX('All Player Data Store'!$E$7:$E$594,SMALL(IF('All Player Data Store'!$Y$7:$Y$594=AC299,ROW('All Player Data Store'!$Y$7:$Y$594)-ROW('All Player Data Store'!$Y$7)+1),COUNTIF($AC$8:AC299,AC299))),"")</f>
        <v/>
      </c>
      <c r="J299" s="70" t="str">
        <f t="array" ref="J299">IF(ISNUMBER(AC299),INDEX('All Player Data Store'!$F$7:$F$594,SMALL(IF('All Player Data Store'!$Y$7:$Y$594=AC299,ROW('All Player Data Store'!$Y$7:$Y$594)-ROW('All Player Data Store'!$Y$7)+1),COUNTIF($AC$8:AC299,AC299))),"")</f>
        <v/>
      </c>
      <c r="K299" s="70" t="str">
        <f t="array" ref="K299">IF(ISNUMBER(AC299),INDEX('All Player Data Store'!$G$7:$G$594,SMALL(IF('All Player Data Store'!$Y$7:$Y$594=AC299,ROW('All Player Data Store'!$Y$7:$Y$594)-ROW('All Player Data Store'!$Y$7)+1),COUNTIF($AC$8:AC299,AC299))),"")</f>
        <v/>
      </c>
      <c r="L299" s="70" t="str">
        <f t="array" ref="L299">IF(ISNUMBER(AC299),INDEX('All Player Data Store'!$H$7:$H$594,SMALL(IF('All Player Data Store'!$Y$7:$Y$594=AC299,ROW('All Player Data Store'!$Y$7:$Y$594)-ROW('All Player Data Store'!$Y$7)+1),COUNTIF($AC$8:AC299,AC299))),"")</f>
        <v/>
      </c>
      <c r="M299" s="72" t="str">
        <f t="array" ref="M299">IF(ISNUMBER(AC299),INDEX('All Player Data Store'!$I$7:$I$594,SMALL(IF('All Player Data Store'!$Y$7:$Y$594=AC299,ROW('All Player Data Store'!$Y$7:$Y$594)-ROW('All Player Data Store'!$Y$7)+1),COUNTIF($AC$8:AC299,AC299))),"")</f>
        <v/>
      </c>
      <c r="N299" s="114" t="str">
        <f t="array" ref="N299">IF(ISNUMBER(AC299),INDEX('All Player Data Store'!$J$7:$J$594,SMALL(IF('All Player Data Store'!$Y$7:$Y$594=AC299,ROW('All Player Data Store'!$Y$7:$Y$594)-ROW('All Player Data Store'!$Y$7)+1),COUNTIF($AC$8:AC299,AC299))),"")</f>
        <v/>
      </c>
      <c r="O299" s="108" t="str">
        <f t="array" ref="O299">IF(ISNUMBER(AC299),INDEX('All Player Data Store'!$K$7:$K$594,SMALL(IF('All Player Data Store'!$Y$7:$Y$594=AC299,ROW('All Player Data Store'!$Y$7:$Y$594)-ROW('All Player Data Store'!$Y$7)+1),COUNTIF($AC$8:AC299,AC299))),"")</f>
        <v/>
      </c>
      <c r="P299" s="108" t="str">
        <f t="array" ref="P299">IF(ISNUMBER(AC299),INDEX('All Player Data Store'!$L$7:$L$594,SMALL(IF('All Player Data Store'!$Y$7:$Y$594=AC299,ROW('All Player Data Store'!$Y$7:$Y$594)-ROW('All Player Data Store'!$Y$7)+1),COUNTIF($AC$8:AC299,AC299))),"")</f>
        <v/>
      </c>
      <c r="Q299" s="108" t="str">
        <f t="array" ref="Q299">IF(ISNUMBER(AC299),INDEX('All Player Data Store'!$M$7:$M$594,SMALL(IF('All Player Data Store'!$Y$7:$Y$594=AC299,ROW('All Player Data Store'!$Y$7:$Y$594)-ROW('All Player Data Store'!$Y$7)+1),COUNTIF($AC$8:AC299,AC299))),"")</f>
        <v/>
      </c>
      <c r="R299" s="108" t="str">
        <f t="array" ref="R299">IF(ISNUMBER(AC299),INDEX('All Player Data Store'!$N$7:$N$594,SMALL(IF('All Player Data Store'!$Y$7:$Y$594=AC299,ROW('All Player Data Store'!$Y$7:$Y$594)-ROW('All Player Data Store'!$Y$7)+1),COUNTIF($AC$8:AC299,AC299))),"")</f>
        <v/>
      </c>
      <c r="S299" s="108" t="str">
        <f t="array" ref="S299">IF(ISNUMBER(AC299),INDEX('All Player Data Store'!$O$7:$O$594,SMALL(IF('All Player Data Store'!$Y$7:$Y$594=AC299,ROW('All Player Data Store'!$Y$7:$Y$594)-ROW('All Player Data Store'!$Y$7)+1),COUNTIF($AC$8:AC299,AC299))),"")</f>
        <v/>
      </c>
      <c r="T299" s="108" t="str">
        <f t="array" ref="T299">IF(ISNUMBER(AC299),INDEX('All Player Data Store'!$P$7:$P$594,SMALL(IF('All Player Data Store'!$Y$7:$Y$594=AC299,ROW('All Player Data Store'!$Y$7:$Y$594)-ROW('All Player Data Store'!$Y$7)+1),COUNTIF($AC$8:AC299,AC299))),"")</f>
        <v/>
      </c>
      <c r="U299" s="108" t="str">
        <f t="array" ref="U299">IF(ISNUMBER(AC299),INDEX('All Player Data Store'!$Q$7:$Q$594,SMALL(IF('All Player Data Store'!$Y$7:$Y$594=AC299,ROW('All Player Data Store'!$Y$7:$Y$594)-ROW('All Player Data Store'!$Y$7)+1),COUNTIF($AC$8:AC299,AC299))),"")</f>
        <v/>
      </c>
      <c r="V299" s="108" t="str">
        <f t="array" ref="V299">IF(ISNUMBER(AC299),INDEX('All Player Data Store'!$R$7:$R$594,SMALL(IF('All Player Data Store'!$Y$7:$Y$594=AC299,ROW('All Player Data Store'!$Y$7:$Y$594)-ROW('All Player Data Store'!$Y$7)+1),COUNTIF($AC$8:AC299,AC299))),"")</f>
        <v/>
      </c>
      <c r="W299" s="108" t="str">
        <f t="array" ref="W299">IF(ISNUMBER(AC299),INDEX('All Player Data Store'!$S$7:$S$594,SMALL(IF('All Player Data Store'!$Y$7:$Y$594=AC299,ROW('All Player Data Store'!$Y$7:$Y$594)-ROW('All Player Data Store'!$Y$7)+1),COUNTIF($AC$8:AC299,AC299))),"")</f>
        <v/>
      </c>
      <c r="X299" s="108" t="str">
        <f t="array" ref="X299">IF(ISNUMBER(AC299),INDEX('All Player Data Store'!$T$7:$T$594,SMALL(IF('All Player Data Store'!$Y$7:$Y$594=AC299,ROW('All Player Data Store'!$Y$7:$Y$594)-ROW('All Player Data Store'!$Y$7)+1),COUNTIF($AC$8:AC299,AC299))),"")</f>
        <v/>
      </c>
      <c r="Y299" s="108" t="str">
        <f t="array" ref="Y299">IF(ISNUMBER(AC299),INDEX('All Player Data Store'!$U$7:$U$594,SMALL(IF('All Player Data Store'!$Y$7:$Y$594=AC299,ROW('All Player Data Store'!$Y$7:$Y$594)-ROW('All Player Data Store'!$Y$7)+1),COUNTIF($AC$8:AC299,AC299))),"")</f>
        <v/>
      </c>
      <c r="Z299" s="108" t="str">
        <f t="array" ref="Z299">IF(ISNUMBER(AC299),INDEX('All Player Data Store'!$V$7:$V$594,SMALL(IF('All Player Data Store'!$Y$7:$Y$594=AC299,ROW('All Player Data Store'!$Y$7:$Y$594)-ROW('All Player Data Store'!$Y$7)+1),COUNTIF($AC$8:AC299,AC299))),"")</f>
        <v/>
      </c>
      <c r="AA299" s="112" t="str">
        <f t="array" ref="AA299">IF(ISNUMBER(AC299),INDEX('All Player Data Store'!$W$7:$W$594,SMALL(IF('All Player Data Store'!$Y$7:$Y$594=AC299,ROW('All Player Data Store'!$Y$7:$Y$594)-ROW('All Player Data Store'!$Y$7)+1),COUNTIF($AC$8:AC299,AC299))),"")</f>
        <v/>
      </c>
      <c r="AB299" s="108" t="str">
        <f t="array" ref="AB299">IF(ISNUMBER(AC299),INDEX('All Player Data Store'!$X$7:$X$594,SMALL(IF('All Player Data Store'!$Y$7:$Y$594=AC299,ROW('All Player Data Store'!$Y$7:$Y$594)-ROW('All Player Data Store'!$Y$7)+1),COUNTIF($AC$8:AC299,AC299))),"")</f>
        <v/>
      </c>
      <c r="AC299" s="115" t="str">
        <f>IF(ISERROR(IF(ISERROR(LARGE('All Player Data Store'!$Y$7:$Y$594,292)),"",(LARGE('All Player Data Store'!$Y$7:$Y$594,292)))),"",(IF(ISERROR(LARGE('All Player Data Store'!$Y$7:$Y$594,292)),"",(LARGE('All Player Data Store'!$Y$7:$Y$594,292)))))</f>
        <v/>
      </c>
      <c r="AD299" s="106">
        <f t="shared" si="16"/>
        <v>1</v>
      </c>
      <c r="AE299" s="107" t="str">
        <f t="array" ref="AE299">IF(ISNUMBER(AC299),INDEX('All Player Data Store'!$J$8:$J$594,SMALL(IF('All Player Data Store'!$Y$7:$Y$594=AC299,ROW('All Player Data Store'!$Y$7:$Y$594)-ROW('All Player Data Store'!$Y$7)+1),COUNTIF($AC$8:AC299,AC299))),"")</f>
        <v/>
      </c>
      <c r="AF299" s="108" t="str">
        <f t="shared" si="19"/>
        <v/>
      </c>
      <c r="AG299" s="108" t="str">
        <f t="array" ref="AG299">IF(ISNUMBER(AC299),INDEX('All Player Data Store'!$K$8:$K$594,SMALL(IF('All Player Data Store'!$Y$7:$Y$594=AC299,ROW('All Player Data Store'!$Y$7:$Y$594)-ROW('All Player Data Store'!$Y$7)+1),COUNTIF($AC$8:AC299,AC299))),"")</f>
        <v/>
      </c>
      <c r="AH299" s="108" t="str">
        <f t="shared" si="20"/>
        <v/>
      </c>
      <c r="AI299" s="108" t="str">
        <f t="array" ref="AI299">IF(ISNUMBER(AC299),INDEX('All Player Data Store'!$L$8:$L$594,SMALL(IF('All Player Data Store'!$Y$7:$Y$594=AC299,ROW('All Player Data Store'!$Y$7:$Y$594)-ROW('All Player Data Store'!$Y$7)+1),COUNTIF($AC$8:AC299,AC299))),"")</f>
        <v/>
      </c>
      <c r="AJ299" s="108" t="str">
        <f t="shared" si="21"/>
        <v/>
      </c>
      <c r="AK299" s="108" t="str">
        <f t="array" ref="AK299">IF(ISNUMBER(AC299),INDEX('All Player Data Store'!$M$8:$M$594,SMALL(IF('All Player Data Store'!$Y$7:$Y$594=AC299,ROW('All Player Data Store'!$Y$7:$Y$594)-ROW('All Player Data Store'!$Y$7)+1),COUNTIF($AC$8:AC299,AC299))),"")</f>
        <v/>
      </c>
      <c r="AL299" s="108" t="str">
        <f t="shared" si="22"/>
        <v/>
      </c>
      <c r="AM299" s="108" t="str">
        <f t="array" ref="AM299">IF(ISNUMBER(AC299),INDEX('All Player Data Store'!$N$8:$N$594,SMALL(IF('All Player Data Store'!$Y$7:$Y$594=AC299,ROW('All Player Data Store'!$Y$7:$Y$594)-ROW('All Player Data Store'!$Y$7)+1),COUNTIF($AC$8:AC299,AC299))),"")</f>
        <v/>
      </c>
      <c r="AN299" s="108" t="str">
        <f t="shared" si="23"/>
        <v/>
      </c>
      <c r="AO299" s="108" t="str">
        <f t="array" ref="AO299">IF(ISNUMBER(AC299),INDEX('All Player Data Store'!$O$8:$O$594,SMALL(IF('All Player Data Store'!$Y$7:$Y$594=AC299,ROW('All Player Data Store'!$Y$7:$Y$594)-ROW('All Player Data Store'!$Y$7)+1),COUNTIF($AC$8:AC299,AC299))),"")</f>
        <v/>
      </c>
      <c r="AP299" s="108" t="str">
        <f t="shared" si="24"/>
        <v/>
      </c>
      <c r="AQ299" s="108" t="str">
        <f t="array" ref="AQ299">IF(ISNUMBER(AC299),INDEX('All Player Data Store'!$P$8:$P$594,SMALL(IF('All Player Data Store'!$Y$7:$Y$594=AC299,ROW('All Player Data Store'!$Y$7:$Y$594)-ROW('All Player Data Store'!$Y$7)+1),COUNTIF($AC$8:AC299,AC299))),"")</f>
        <v/>
      </c>
      <c r="AR299" s="108" t="str">
        <f t="shared" si="25"/>
        <v/>
      </c>
      <c r="AS299" s="108" t="str">
        <f t="array" ref="AS299">IF(ISNUMBER(AC299),INDEX('All Player Data Store'!$Q$8:$Q$594,SMALL(IF('All Player Data Store'!$Y$7:$Y$594=AC299,ROW('All Player Data Store'!$Y$7:$Y$594)-ROW('All Player Data Store'!$Y$7)+1),COUNTIF($AC$8:AC299,AC299))),"")</f>
        <v/>
      </c>
      <c r="AT299" s="108" t="str">
        <f t="shared" si="26"/>
        <v/>
      </c>
      <c r="AU299" s="108" t="str">
        <f t="array" ref="AU299">IF(ISNUMBER(AC299),INDEX('All Player Data Store'!$R$8:$R$594,SMALL(IF('All Player Data Store'!$Y$7:$Y$594=AC299,ROW('All Player Data Store'!$Y$7:$Y$594)-ROW('All Player Data Store'!$Y$7)+1),COUNTIF($AC$8:AC299,AC299))),"")</f>
        <v/>
      </c>
      <c r="AV299" s="108" t="str">
        <f t="shared" si="27"/>
        <v/>
      </c>
      <c r="AW299" s="108" t="str">
        <f t="array" ref="AW299">IF(ISNUMBER(AC299),INDEX('All Player Data Store'!$S$8:$S$594,SMALL(IF('All Player Data Store'!$Y$7:$Y$594=AC299,ROW('All Player Data Store'!$Y$7:$Y$594)-ROW('All Player Data Store'!$Y$7)+1),COUNTIF($AC$8:AC299,AC299))),"")</f>
        <v/>
      </c>
      <c r="AX299" s="108" t="str">
        <f t="shared" si="28"/>
        <v/>
      </c>
      <c r="AY299" s="108" t="str">
        <f t="array" ref="AY299">IF(ISNUMBER(AC299),INDEX('All Player Data Store'!$T$8:$T$594,SMALL(IF('All Player Data Store'!$Y$7:$Y$594=AC299,ROW('All Player Data Store'!$Y$7:$Y$594)-ROW('All Player Data Store'!$Y$7)+1),COUNTIF($AC$8:AC299,AC299))),"")</f>
        <v/>
      </c>
      <c r="AZ299" s="108" t="str">
        <f t="shared" si="29"/>
        <v/>
      </c>
      <c r="BA299" s="108" t="str">
        <f t="array" ref="BA299">IF(ISNUMBER(AC299),INDEX('All Player Data Store'!$U$8:$U$594,SMALL(IF('All Player Data Store'!$Y$7:$Y$594=AC299,ROW('All Player Data Store'!$Y$7:$Y$594)-ROW('All Player Data Store'!$Y$7)+1),COUNTIF($AC$8:AC299,AC299))),"")</f>
        <v/>
      </c>
      <c r="BB299" s="108" t="str">
        <f t="shared" si="30"/>
        <v/>
      </c>
      <c r="BC299" s="108" t="str">
        <f t="array" ref="BC299">IF(ISNUMBER(AC299),INDEX('All Player Data Store'!$V$8:$V$594,SMALL(IF('All Player Data Store'!$Y$7:$Y$594=AC299,ROW('All Player Data Store'!$Y$7:$Y$594)-ROW('All Player Data Store'!$Y$7)+1),COUNTIF($AC$8:AC299,AC299))),"")</f>
        <v/>
      </c>
      <c r="BD299" s="108" t="str">
        <f t="shared" si="31"/>
        <v/>
      </c>
      <c r="BE299" s="1"/>
    </row>
    <row r="300" spans="2:57" ht="12" customHeight="1" x14ac:dyDescent="0.2">
      <c r="B300" s="118" t="str">
        <f t="shared" si="17"/>
        <v/>
      </c>
      <c r="C300" s="1"/>
      <c r="D300" s="68" t="str">
        <f t="shared" si="18"/>
        <v/>
      </c>
      <c r="E300" s="2"/>
      <c r="F300" s="78">
        <v>293</v>
      </c>
      <c r="G300" s="110" t="str">
        <f t="array" ref="G300">IF(ISNUMBER(AC300),INDEX('All Player Data Store'!$C$7:$C$594,SMALL(IF('All Player Data Store'!$Y$7:$Y$594=AC300,ROW('All Player Data Store'!$Y$7:$Y$594)-ROW('All Player Data Store'!$Y$7)+1),COUNTIF($AC$8:AC300,AC300))),"")</f>
        <v/>
      </c>
      <c r="H300" s="68" t="str">
        <f t="array" ref="H300">IF(ISNUMBER(AC300),INDEX('All Player Data Store'!$D$7:$D$594,SMALL(IF('All Player Data Store'!$Y$7:$Y$594=AC300,ROW('All Player Data Store'!$Y$7:$Y$594)-ROW('All Player Data Store'!$Y$7)+1),COUNTIF($AC$8:AC300,AC300))),"")</f>
        <v/>
      </c>
      <c r="I300" s="69" t="str">
        <f t="array" ref="I300">IF(ISNUMBER(AC300),INDEX('All Player Data Store'!$E$7:$E$594,SMALL(IF('All Player Data Store'!$Y$7:$Y$594=AC300,ROW('All Player Data Store'!$Y$7:$Y$594)-ROW('All Player Data Store'!$Y$7)+1),COUNTIF($AC$8:AC300,AC300))),"")</f>
        <v/>
      </c>
      <c r="J300" s="70" t="str">
        <f t="array" ref="J300">IF(ISNUMBER(AC300),INDEX('All Player Data Store'!$F$7:$F$594,SMALL(IF('All Player Data Store'!$Y$7:$Y$594=AC300,ROW('All Player Data Store'!$Y$7:$Y$594)-ROW('All Player Data Store'!$Y$7)+1),COUNTIF($AC$8:AC300,AC300))),"")</f>
        <v/>
      </c>
      <c r="K300" s="70" t="str">
        <f t="array" ref="K300">IF(ISNUMBER(AC300),INDEX('All Player Data Store'!$G$7:$G$594,SMALL(IF('All Player Data Store'!$Y$7:$Y$594=AC300,ROW('All Player Data Store'!$Y$7:$Y$594)-ROW('All Player Data Store'!$Y$7)+1),COUNTIF($AC$8:AC300,AC300))),"")</f>
        <v/>
      </c>
      <c r="L300" s="70" t="str">
        <f t="array" ref="L300">IF(ISNUMBER(AC300),INDEX('All Player Data Store'!$H$7:$H$594,SMALL(IF('All Player Data Store'!$Y$7:$Y$594=AC300,ROW('All Player Data Store'!$Y$7:$Y$594)-ROW('All Player Data Store'!$Y$7)+1),COUNTIF($AC$8:AC300,AC300))),"")</f>
        <v/>
      </c>
      <c r="M300" s="72" t="str">
        <f t="array" ref="M300">IF(ISNUMBER(AC300),INDEX('All Player Data Store'!$I$7:$I$594,SMALL(IF('All Player Data Store'!$Y$7:$Y$594=AC300,ROW('All Player Data Store'!$Y$7:$Y$594)-ROW('All Player Data Store'!$Y$7)+1),COUNTIF($AC$8:AC300,AC300))),"")</f>
        <v/>
      </c>
      <c r="N300" s="114" t="str">
        <f t="array" ref="N300">IF(ISNUMBER(AC300),INDEX('All Player Data Store'!$J$7:$J$594,SMALL(IF('All Player Data Store'!$Y$7:$Y$594=AC300,ROW('All Player Data Store'!$Y$7:$Y$594)-ROW('All Player Data Store'!$Y$7)+1),COUNTIF($AC$8:AC300,AC300))),"")</f>
        <v/>
      </c>
      <c r="O300" s="108" t="str">
        <f t="array" ref="O300">IF(ISNUMBER(AC300),INDEX('All Player Data Store'!$K$7:$K$594,SMALL(IF('All Player Data Store'!$Y$7:$Y$594=AC300,ROW('All Player Data Store'!$Y$7:$Y$594)-ROW('All Player Data Store'!$Y$7)+1),COUNTIF($AC$8:AC300,AC300))),"")</f>
        <v/>
      </c>
      <c r="P300" s="108" t="str">
        <f t="array" ref="P300">IF(ISNUMBER(AC300),INDEX('All Player Data Store'!$L$7:$L$594,SMALL(IF('All Player Data Store'!$Y$7:$Y$594=AC300,ROW('All Player Data Store'!$Y$7:$Y$594)-ROW('All Player Data Store'!$Y$7)+1),COUNTIF($AC$8:AC300,AC300))),"")</f>
        <v/>
      </c>
      <c r="Q300" s="108" t="str">
        <f t="array" ref="Q300">IF(ISNUMBER(AC300),INDEX('All Player Data Store'!$M$7:$M$594,SMALL(IF('All Player Data Store'!$Y$7:$Y$594=AC300,ROW('All Player Data Store'!$Y$7:$Y$594)-ROW('All Player Data Store'!$Y$7)+1),COUNTIF($AC$8:AC300,AC300))),"")</f>
        <v/>
      </c>
      <c r="R300" s="108" t="str">
        <f t="array" ref="R300">IF(ISNUMBER(AC300),INDEX('All Player Data Store'!$N$7:$N$594,SMALL(IF('All Player Data Store'!$Y$7:$Y$594=AC300,ROW('All Player Data Store'!$Y$7:$Y$594)-ROW('All Player Data Store'!$Y$7)+1),COUNTIF($AC$8:AC300,AC300))),"")</f>
        <v/>
      </c>
      <c r="S300" s="108" t="str">
        <f t="array" ref="S300">IF(ISNUMBER(AC300),INDEX('All Player Data Store'!$O$7:$O$594,SMALL(IF('All Player Data Store'!$Y$7:$Y$594=AC300,ROW('All Player Data Store'!$Y$7:$Y$594)-ROW('All Player Data Store'!$Y$7)+1),COUNTIF($AC$8:AC300,AC300))),"")</f>
        <v/>
      </c>
      <c r="T300" s="108" t="str">
        <f t="array" ref="T300">IF(ISNUMBER(AC300),INDEX('All Player Data Store'!$P$7:$P$594,SMALL(IF('All Player Data Store'!$Y$7:$Y$594=AC300,ROW('All Player Data Store'!$Y$7:$Y$594)-ROW('All Player Data Store'!$Y$7)+1),COUNTIF($AC$8:AC300,AC300))),"")</f>
        <v/>
      </c>
      <c r="U300" s="108" t="str">
        <f t="array" ref="U300">IF(ISNUMBER(AC300),INDEX('All Player Data Store'!$Q$7:$Q$594,SMALL(IF('All Player Data Store'!$Y$7:$Y$594=AC300,ROW('All Player Data Store'!$Y$7:$Y$594)-ROW('All Player Data Store'!$Y$7)+1),COUNTIF($AC$8:AC300,AC300))),"")</f>
        <v/>
      </c>
      <c r="V300" s="108" t="str">
        <f t="array" ref="V300">IF(ISNUMBER(AC300),INDEX('All Player Data Store'!$R$7:$R$594,SMALL(IF('All Player Data Store'!$Y$7:$Y$594=AC300,ROW('All Player Data Store'!$Y$7:$Y$594)-ROW('All Player Data Store'!$Y$7)+1),COUNTIF($AC$8:AC300,AC300))),"")</f>
        <v/>
      </c>
      <c r="W300" s="108" t="str">
        <f t="array" ref="W300">IF(ISNUMBER(AC300),INDEX('All Player Data Store'!$S$7:$S$594,SMALL(IF('All Player Data Store'!$Y$7:$Y$594=AC300,ROW('All Player Data Store'!$Y$7:$Y$594)-ROW('All Player Data Store'!$Y$7)+1),COUNTIF($AC$8:AC300,AC300))),"")</f>
        <v/>
      </c>
      <c r="X300" s="108" t="str">
        <f t="array" ref="X300">IF(ISNUMBER(AC300),INDEX('All Player Data Store'!$T$7:$T$594,SMALL(IF('All Player Data Store'!$Y$7:$Y$594=AC300,ROW('All Player Data Store'!$Y$7:$Y$594)-ROW('All Player Data Store'!$Y$7)+1),COUNTIF($AC$8:AC300,AC300))),"")</f>
        <v/>
      </c>
      <c r="Y300" s="108" t="str">
        <f t="array" ref="Y300">IF(ISNUMBER(AC300),INDEX('All Player Data Store'!$U$7:$U$594,SMALL(IF('All Player Data Store'!$Y$7:$Y$594=AC300,ROW('All Player Data Store'!$Y$7:$Y$594)-ROW('All Player Data Store'!$Y$7)+1),COUNTIF($AC$8:AC300,AC300))),"")</f>
        <v/>
      </c>
      <c r="Z300" s="108" t="str">
        <f t="array" ref="Z300">IF(ISNUMBER(AC300),INDEX('All Player Data Store'!$V$7:$V$594,SMALL(IF('All Player Data Store'!$Y$7:$Y$594=AC300,ROW('All Player Data Store'!$Y$7:$Y$594)-ROW('All Player Data Store'!$Y$7)+1),COUNTIF($AC$8:AC300,AC300))),"")</f>
        <v/>
      </c>
      <c r="AA300" s="112" t="str">
        <f t="array" ref="AA300">IF(ISNUMBER(AC300),INDEX('All Player Data Store'!$W$7:$W$594,SMALL(IF('All Player Data Store'!$Y$7:$Y$594=AC300,ROW('All Player Data Store'!$Y$7:$Y$594)-ROW('All Player Data Store'!$Y$7)+1),COUNTIF($AC$8:AC300,AC300))),"")</f>
        <v/>
      </c>
      <c r="AB300" s="108" t="str">
        <f t="array" ref="AB300">IF(ISNUMBER(AC300),INDEX('All Player Data Store'!$X$7:$X$594,SMALL(IF('All Player Data Store'!$Y$7:$Y$594=AC300,ROW('All Player Data Store'!$Y$7:$Y$594)-ROW('All Player Data Store'!$Y$7)+1),COUNTIF($AC$8:AC300,AC300))),"")</f>
        <v/>
      </c>
      <c r="AC300" s="115" t="str">
        <f>IF(ISERROR(IF(ISERROR(LARGE('All Player Data Store'!$Y$7:$Y$594,293)),"",(LARGE('All Player Data Store'!$Y$7:$Y$594,293)))),"",(IF(ISERROR(LARGE('All Player Data Store'!$Y$7:$Y$594,293)),"",(LARGE('All Player Data Store'!$Y$7:$Y$594,293)))))</f>
        <v/>
      </c>
      <c r="AD300" s="106">
        <f t="shared" si="16"/>
        <v>1</v>
      </c>
      <c r="AE300" s="107" t="str">
        <f t="array" ref="AE300">IF(ISNUMBER(AC300),INDEX('All Player Data Store'!$J$8:$J$594,SMALL(IF('All Player Data Store'!$Y$7:$Y$594=AC300,ROW('All Player Data Store'!$Y$7:$Y$594)-ROW('All Player Data Store'!$Y$7)+1),COUNTIF($AC$8:AC300,AC300))),"")</f>
        <v/>
      </c>
      <c r="AF300" s="108" t="str">
        <f t="shared" si="19"/>
        <v/>
      </c>
      <c r="AG300" s="108" t="str">
        <f t="array" ref="AG300">IF(ISNUMBER(AC300),INDEX('All Player Data Store'!$K$8:$K$594,SMALL(IF('All Player Data Store'!$Y$7:$Y$594=AC300,ROW('All Player Data Store'!$Y$7:$Y$594)-ROW('All Player Data Store'!$Y$7)+1),COUNTIF($AC$8:AC300,AC300))),"")</f>
        <v/>
      </c>
      <c r="AH300" s="108" t="str">
        <f t="shared" si="20"/>
        <v/>
      </c>
      <c r="AI300" s="108" t="str">
        <f t="array" ref="AI300">IF(ISNUMBER(AC300),INDEX('All Player Data Store'!$L$8:$L$594,SMALL(IF('All Player Data Store'!$Y$7:$Y$594=AC300,ROW('All Player Data Store'!$Y$7:$Y$594)-ROW('All Player Data Store'!$Y$7)+1),COUNTIF($AC$8:AC300,AC300))),"")</f>
        <v/>
      </c>
      <c r="AJ300" s="108" t="str">
        <f t="shared" si="21"/>
        <v/>
      </c>
      <c r="AK300" s="108" t="str">
        <f t="array" ref="AK300">IF(ISNUMBER(AC300),INDEX('All Player Data Store'!$M$8:$M$594,SMALL(IF('All Player Data Store'!$Y$7:$Y$594=AC300,ROW('All Player Data Store'!$Y$7:$Y$594)-ROW('All Player Data Store'!$Y$7)+1),COUNTIF($AC$8:AC300,AC300))),"")</f>
        <v/>
      </c>
      <c r="AL300" s="108" t="str">
        <f t="shared" si="22"/>
        <v/>
      </c>
      <c r="AM300" s="108" t="str">
        <f t="array" ref="AM300">IF(ISNUMBER(AC300),INDEX('All Player Data Store'!$N$8:$N$594,SMALL(IF('All Player Data Store'!$Y$7:$Y$594=AC300,ROW('All Player Data Store'!$Y$7:$Y$594)-ROW('All Player Data Store'!$Y$7)+1),COUNTIF($AC$8:AC300,AC300))),"")</f>
        <v/>
      </c>
      <c r="AN300" s="108" t="str">
        <f t="shared" si="23"/>
        <v/>
      </c>
      <c r="AO300" s="108" t="str">
        <f t="array" ref="AO300">IF(ISNUMBER(AC300),INDEX('All Player Data Store'!$O$8:$O$594,SMALL(IF('All Player Data Store'!$Y$7:$Y$594=AC300,ROW('All Player Data Store'!$Y$7:$Y$594)-ROW('All Player Data Store'!$Y$7)+1),COUNTIF($AC$8:AC300,AC300))),"")</f>
        <v/>
      </c>
      <c r="AP300" s="108" t="str">
        <f t="shared" si="24"/>
        <v/>
      </c>
      <c r="AQ300" s="108" t="str">
        <f t="array" ref="AQ300">IF(ISNUMBER(AC300),INDEX('All Player Data Store'!$P$8:$P$594,SMALL(IF('All Player Data Store'!$Y$7:$Y$594=AC300,ROW('All Player Data Store'!$Y$7:$Y$594)-ROW('All Player Data Store'!$Y$7)+1),COUNTIF($AC$8:AC300,AC300))),"")</f>
        <v/>
      </c>
      <c r="AR300" s="108" t="str">
        <f t="shared" si="25"/>
        <v/>
      </c>
      <c r="AS300" s="108" t="str">
        <f t="array" ref="AS300">IF(ISNUMBER(AC300),INDEX('All Player Data Store'!$Q$8:$Q$594,SMALL(IF('All Player Data Store'!$Y$7:$Y$594=AC300,ROW('All Player Data Store'!$Y$7:$Y$594)-ROW('All Player Data Store'!$Y$7)+1),COUNTIF($AC$8:AC300,AC300))),"")</f>
        <v/>
      </c>
      <c r="AT300" s="108" t="str">
        <f t="shared" si="26"/>
        <v/>
      </c>
      <c r="AU300" s="108" t="str">
        <f t="array" ref="AU300">IF(ISNUMBER(AC300),INDEX('All Player Data Store'!$R$8:$R$594,SMALL(IF('All Player Data Store'!$Y$7:$Y$594=AC300,ROW('All Player Data Store'!$Y$7:$Y$594)-ROW('All Player Data Store'!$Y$7)+1),COUNTIF($AC$8:AC300,AC300))),"")</f>
        <v/>
      </c>
      <c r="AV300" s="108" t="str">
        <f t="shared" si="27"/>
        <v/>
      </c>
      <c r="AW300" s="108" t="str">
        <f t="array" ref="AW300">IF(ISNUMBER(AC300),INDEX('All Player Data Store'!$S$8:$S$594,SMALL(IF('All Player Data Store'!$Y$7:$Y$594=AC300,ROW('All Player Data Store'!$Y$7:$Y$594)-ROW('All Player Data Store'!$Y$7)+1),COUNTIF($AC$8:AC300,AC300))),"")</f>
        <v/>
      </c>
      <c r="AX300" s="108" t="str">
        <f t="shared" si="28"/>
        <v/>
      </c>
      <c r="AY300" s="108" t="str">
        <f t="array" ref="AY300">IF(ISNUMBER(AC300),INDEX('All Player Data Store'!$T$8:$T$594,SMALL(IF('All Player Data Store'!$Y$7:$Y$594=AC300,ROW('All Player Data Store'!$Y$7:$Y$594)-ROW('All Player Data Store'!$Y$7)+1),COUNTIF($AC$8:AC300,AC300))),"")</f>
        <v/>
      </c>
      <c r="AZ300" s="108" t="str">
        <f t="shared" si="29"/>
        <v/>
      </c>
      <c r="BA300" s="108" t="str">
        <f t="array" ref="BA300">IF(ISNUMBER(AC300),INDEX('All Player Data Store'!$U$8:$U$594,SMALL(IF('All Player Data Store'!$Y$7:$Y$594=AC300,ROW('All Player Data Store'!$Y$7:$Y$594)-ROW('All Player Data Store'!$Y$7)+1),COUNTIF($AC$8:AC300,AC300))),"")</f>
        <v/>
      </c>
      <c r="BB300" s="108" t="str">
        <f t="shared" si="30"/>
        <v/>
      </c>
      <c r="BC300" s="108" t="str">
        <f t="array" ref="BC300">IF(ISNUMBER(AC300),INDEX('All Player Data Store'!$V$8:$V$594,SMALL(IF('All Player Data Store'!$Y$7:$Y$594=AC300,ROW('All Player Data Store'!$Y$7:$Y$594)-ROW('All Player Data Store'!$Y$7)+1),COUNTIF($AC$8:AC300,AC300))),"")</f>
        <v/>
      </c>
      <c r="BD300" s="108" t="str">
        <f t="shared" si="31"/>
        <v/>
      </c>
      <c r="BE300" s="1"/>
    </row>
    <row r="301" spans="2:57" ht="12" customHeight="1" x14ac:dyDescent="0.2">
      <c r="B301" s="118" t="str">
        <f t="shared" si="17"/>
        <v/>
      </c>
      <c r="C301" s="1"/>
      <c r="D301" s="68" t="str">
        <f t="shared" si="18"/>
        <v/>
      </c>
      <c r="E301" s="2"/>
      <c r="F301" s="78">
        <v>294</v>
      </c>
      <c r="G301" s="110" t="str">
        <f t="array" ref="G301">IF(ISNUMBER(AC301),INDEX('All Player Data Store'!$C$7:$C$594,SMALL(IF('All Player Data Store'!$Y$7:$Y$594=AC301,ROW('All Player Data Store'!$Y$7:$Y$594)-ROW('All Player Data Store'!$Y$7)+1),COUNTIF($AC$8:AC301,AC301))),"")</f>
        <v/>
      </c>
      <c r="H301" s="68" t="str">
        <f t="array" ref="H301">IF(ISNUMBER(AC301),INDEX('All Player Data Store'!$D$7:$D$594,SMALL(IF('All Player Data Store'!$Y$7:$Y$594=AC301,ROW('All Player Data Store'!$Y$7:$Y$594)-ROW('All Player Data Store'!$Y$7)+1),COUNTIF($AC$8:AC301,AC301))),"")</f>
        <v/>
      </c>
      <c r="I301" s="69" t="str">
        <f t="array" ref="I301">IF(ISNUMBER(AC301),INDEX('All Player Data Store'!$E$7:$E$594,SMALL(IF('All Player Data Store'!$Y$7:$Y$594=AC301,ROW('All Player Data Store'!$Y$7:$Y$594)-ROW('All Player Data Store'!$Y$7)+1),COUNTIF($AC$8:AC301,AC301))),"")</f>
        <v/>
      </c>
      <c r="J301" s="70" t="str">
        <f t="array" ref="J301">IF(ISNUMBER(AC301),INDEX('All Player Data Store'!$F$7:$F$594,SMALL(IF('All Player Data Store'!$Y$7:$Y$594=AC301,ROW('All Player Data Store'!$Y$7:$Y$594)-ROW('All Player Data Store'!$Y$7)+1),COUNTIF($AC$8:AC301,AC301))),"")</f>
        <v/>
      </c>
      <c r="K301" s="70" t="str">
        <f t="array" ref="K301">IF(ISNUMBER(AC301),INDEX('All Player Data Store'!$G$7:$G$594,SMALL(IF('All Player Data Store'!$Y$7:$Y$594=AC301,ROW('All Player Data Store'!$Y$7:$Y$594)-ROW('All Player Data Store'!$Y$7)+1),COUNTIF($AC$8:AC301,AC301))),"")</f>
        <v/>
      </c>
      <c r="L301" s="70" t="str">
        <f t="array" ref="L301">IF(ISNUMBER(AC301),INDEX('All Player Data Store'!$H$7:$H$594,SMALL(IF('All Player Data Store'!$Y$7:$Y$594=AC301,ROW('All Player Data Store'!$Y$7:$Y$594)-ROW('All Player Data Store'!$Y$7)+1),COUNTIF($AC$8:AC301,AC301))),"")</f>
        <v/>
      </c>
      <c r="M301" s="72" t="str">
        <f t="array" ref="M301">IF(ISNUMBER(AC301),INDEX('All Player Data Store'!$I$7:$I$594,SMALL(IF('All Player Data Store'!$Y$7:$Y$594=AC301,ROW('All Player Data Store'!$Y$7:$Y$594)-ROW('All Player Data Store'!$Y$7)+1),COUNTIF($AC$8:AC301,AC301))),"")</f>
        <v/>
      </c>
      <c r="N301" s="114" t="str">
        <f t="array" ref="N301">IF(ISNUMBER(AC301),INDEX('All Player Data Store'!$J$7:$J$594,SMALL(IF('All Player Data Store'!$Y$7:$Y$594=AC301,ROW('All Player Data Store'!$Y$7:$Y$594)-ROW('All Player Data Store'!$Y$7)+1),COUNTIF($AC$8:AC301,AC301))),"")</f>
        <v/>
      </c>
      <c r="O301" s="108" t="str">
        <f t="array" ref="O301">IF(ISNUMBER(AC301),INDEX('All Player Data Store'!$K$7:$K$594,SMALL(IF('All Player Data Store'!$Y$7:$Y$594=AC301,ROW('All Player Data Store'!$Y$7:$Y$594)-ROW('All Player Data Store'!$Y$7)+1),COUNTIF($AC$8:AC301,AC301))),"")</f>
        <v/>
      </c>
      <c r="P301" s="108" t="str">
        <f t="array" ref="P301">IF(ISNUMBER(AC301),INDEX('All Player Data Store'!$L$7:$L$594,SMALL(IF('All Player Data Store'!$Y$7:$Y$594=AC301,ROW('All Player Data Store'!$Y$7:$Y$594)-ROW('All Player Data Store'!$Y$7)+1),COUNTIF($AC$8:AC301,AC301))),"")</f>
        <v/>
      </c>
      <c r="Q301" s="108" t="str">
        <f t="array" ref="Q301">IF(ISNUMBER(AC301),INDEX('All Player Data Store'!$M$7:$M$594,SMALL(IF('All Player Data Store'!$Y$7:$Y$594=AC301,ROW('All Player Data Store'!$Y$7:$Y$594)-ROW('All Player Data Store'!$Y$7)+1),COUNTIF($AC$8:AC301,AC301))),"")</f>
        <v/>
      </c>
      <c r="R301" s="108" t="str">
        <f t="array" ref="R301">IF(ISNUMBER(AC301),INDEX('All Player Data Store'!$N$7:$N$594,SMALL(IF('All Player Data Store'!$Y$7:$Y$594=AC301,ROW('All Player Data Store'!$Y$7:$Y$594)-ROW('All Player Data Store'!$Y$7)+1),COUNTIF($AC$8:AC301,AC301))),"")</f>
        <v/>
      </c>
      <c r="S301" s="108" t="str">
        <f t="array" ref="S301">IF(ISNUMBER(AC301),INDEX('All Player Data Store'!$O$7:$O$594,SMALL(IF('All Player Data Store'!$Y$7:$Y$594=AC301,ROW('All Player Data Store'!$Y$7:$Y$594)-ROW('All Player Data Store'!$Y$7)+1),COUNTIF($AC$8:AC301,AC301))),"")</f>
        <v/>
      </c>
      <c r="T301" s="108" t="str">
        <f t="array" ref="T301">IF(ISNUMBER(AC301),INDEX('All Player Data Store'!$P$7:$P$594,SMALL(IF('All Player Data Store'!$Y$7:$Y$594=AC301,ROW('All Player Data Store'!$Y$7:$Y$594)-ROW('All Player Data Store'!$Y$7)+1),COUNTIF($AC$8:AC301,AC301))),"")</f>
        <v/>
      </c>
      <c r="U301" s="108" t="str">
        <f t="array" ref="U301">IF(ISNUMBER(AC301),INDEX('All Player Data Store'!$Q$7:$Q$594,SMALL(IF('All Player Data Store'!$Y$7:$Y$594=AC301,ROW('All Player Data Store'!$Y$7:$Y$594)-ROW('All Player Data Store'!$Y$7)+1),COUNTIF($AC$8:AC301,AC301))),"")</f>
        <v/>
      </c>
      <c r="V301" s="108" t="str">
        <f t="array" ref="V301">IF(ISNUMBER(AC301),INDEX('All Player Data Store'!$R$7:$R$594,SMALL(IF('All Player Data Store'!$Y$7:$Y$594=AC301,ROW('All Player Data Store'!$Y$7:$Y$594)-ROW('All Player Data Store'!$Y$7)+1),COUNTIF($AC$8:AC301,AC301))),"")</f>
        <v/>
      </c>
      <c r="W301" s="108" t="str">
        <f t="array" ref="W301">IF(ISNUMBER(AC301),INDEX('All Player Data Store'!$S$7:$S$594,SMALL(IF('All Player Data Store'!$Y$7:$Y$594=AC301,ROW('All Player Data Store'!$Y$7:$Y$594)-ROW('All Player Data Store'!$Y$7)+1),COUNTIF($AC$8:AC301,AC301))),"")</f>
        <v/>
      </c>
      <c r="X301" s="108" t="str">
        <f t="array" ref="X301">IF(ISNUMBER(AC301),INDEX('All Player Data Store'!$T$7:$T$594,SMALL(IF('All Player Data Store'!$Y$7:$Y$594=AC301,ROW('All Player Data Store'!$Y$7:$Y$594)-ROW('All Player Data Store'!$Y$7)+1),COUNTIF($AC$8:AC301,AC301))),"")</f>
        <v/>
      </c>
      <c r="Y301" s="108" t="str">
        <f t="array" ref="Y301">IF(ISNUMBER(AC301),INDEX('All Player Data Store'!$U$7:$U$594,SMALL(IF('All Player Data Store'!$Y$7:$Y$594=AC301,ROW('All Player Data Store'!$Y$7:$Y$594)-ROW('All Player Data Store'!$Y$7)+1),COUNTIF($AC$8:AC301,AC301))),"")</f>
        <v/>
      </c>
      <c r="Z301" s="108" t="str">
        <f t="array" ref="Z301">IF(ISNUMBER(AC301),INDEX('All Player Data Store'!$V$7:$V$594,SMALL(IF('All Player Data Store'!$Y$7:$Y$594=AC301,ROW('All Player Data Store'!$Y$7:$Y$594)-ROW('All Player Data Store'!$Y$7)+1),COUNTIF($AC$8:AC301,AC301))),"")</f>
        <v/>
      </c>
      <c r="AA301" s="112" t="str">
        <f t="array" ref="AA301">IF(ISNUMBER(AC301),INDEX('All Player Data Store'!$W$7:$W$594,SMALL(IF('All Player Data Store'!$Y$7:$Y$594=AC301,ROW('All Player Data Store'!$Y$7:$Y$594)-ROW('All Player Data Store'!$Y$7)+1),COUNTIF($AC$8:AC301,AC301))),"")</f>
        <v/>
      </c>
      <c r="AB301" s="108" t="str">
        <f t="array" ref="AB301">IF(ISNUMBER(AC301),INDEX('All Player Data Store'!$X$7:$X$594,SMALL(IF('All Player Data Store'!$Y$7:$Y$594=AC301,ROW('All Player Data Store'!$Y$7:$Y$594)-ROW('All Player Data Store'!$Y$7)+1),COUNTIF($AC$8:AC301,AC301))),"")</f>
        <v/>
      </c>
      <c r="AC301" s="115" t="str">
        <f>IF(ISERROR(IF(ISERROR(LARGE('All Player Data Store'!$Y$7:$Y$594,294)),"",(LARGE('All Player Data Store'!$Y$7:$Y$594,294)))),"",(IF(ISERROR(LARGE('All Player Data Store'!$Y$7:$Y$594,294)),"",(LARGE('All Player Data Store'!$Y$7:$Y$594,294)))))</f>
        <v/>
      </c>
      <c r="AD301" s="106">
        <f t="shared" si="16"/>
        <v>1</v>
      </c>
      <c r="AE301" s="107" t="str">
        <f t="array" ref="AE301">IF(ISNUMBER(AC301),INDEX('All Player Data Store'!$J$8:$J$594,SMALL(IF('All Player Data Store'!$Y$7:$Y$594=AC301,ROW('All Player Data Store'!$Y$7:$Y$594)-ROW('All Player Data Store'!$Y$7)+1),COUNTIF($AC$8:AC301,AC301))),"")</f>
        <v/>
      </c>
      <c r="AF301" s="108" t="str">
        <f t="shared" si="19"/>
        <v/>
      </c>
      <c r="AG301" s="108" t="str">
        <f t="array" ref="AG301">IF(ISNUMBER(AC301),INDEX('All Player Data Store'!$K$8:$K$594,SMALL(IF('All Player Data Store'!$Y$7:$Y$594=AC301,ROW('All Player Data Store'!$Y$7:$Y$594)-ROW('All Player Data Store'!$Y$7)+1),COUNTIF($AC$8:AC301,AC301))),"")</f>
        <v/>
      </c>
      <c r="AH301" s="108" t="str">
        <f t="shared" si="20"/>
        <v/>
      </c>
      <c r="AI301" s="108" t="str">
        <f t="array" ref="AI301">IF(ISNUMBER(AC301),INDEX('All Player Data Store'!$L$8:$L$594,SMALL(IF('All Player Data Store'!$Y$7:$Y$594=AC301,ROW('All Player Data Store'!$Y$7:$Y$594)-ROW('All Player Data Store'!$Y$7)+1),COUNTIF($AC$8:AC301,AC301))),"")</f>
        <v/>
      </c>
      <c r="AJ301" s="108" t="str">
        <f t="shared" si="21"/>
        <v/>
      </c>
      <c r="AK301" s="108" t="str">
        <f t="array" ref="AK301">IF(ISNUMBER(AC301),INDEX('All Player Data Store'!$M$8:$M$594,SMALL(IF('All Player Data Store'!$Y$7:$Y$594=AC301,ROW('All Player Data Store'!$Y$7:$Y$594)-ROW('All Player Data Store'!$Y$7)+1),COUNTIF($AC$8:AC301,AC301))),"")</f>
        <v/>
      </c>
      <c r="AL301" s="108" t="str">
        <f t="shared" si="22"/>
        <v/>
      </c>
      <c r="AM301" s="108" t="str">
        <f t="array" ref="AM301">IF(ISNUMBER(AC301),INDEX('All Player Data Store'!$N$8:$N$594,SMALL(IF('All Player Data Store'!$Y$7:$Y$594=AC301,ROW('All Player Data Store'!$Y$7:$Y$594)-ROW('All Player Data Store'!$Y$7)+1),COUNTIF($AC$8:AC301,AC301))),"")</f>
        <v/>
      </c>
      <c r="AN301" s="108" t="str">
        <f t="shared" si="23"/>
        <v/>
      </c>
      <c r="AO301" s="108" t="str">
        <f t="array" ref="AO301">IF(ISNUMBER(AC301),INDEX('All Player Data Store'!$O$8:$O$594,SMALL(IF('All Player Data Store'!$Y$7:$Y$594=AC301,ROW('All Player Data Store'!$Y$7:$Y$594)-ROW('All Player Data Store'!$Y$7)+1),COUNTIF($AC$8:AC301,AC301))),"")</f>
        <v/>
      </c>
      <c r="AP301" s="108" t="str">
        <f t="shared" si="24"/>
        <v/>
      </c>
      <c r="AQ301" s="108" t="str">
        <f t="array" ref="AQ301">IF(ISNUMBER(AC301),INDEX('All Player Data Store'!$P$8:$P$594,SMALL(IF('All Player Data Store'!$Y$7:$Y$594=AC301,ROW('All Player Data Store'!$Y$7:$Y$594)-ROW('All Player Data Store'!$Y$7)+1),COUNTIF($AC$8:AC301,AC301))),"")</f>
        <v/>
      </c>
      <c r="AR301" s="108" t="str">
        <f t="shared" si="25"/>
        <v/>
      </c>
      <c r="AS301" s="108" t="str">
        <f t="array" ref="AS301">IF(ISNUMBER(AC301),INDEX('All Player Data Store'!$Q$8:$Q$594,SMALL(IF('All Player Data Store'!$Y$7:$Y$594=AC301,ROW('All Player Data Store'!$Y$7:$Y$594)-ROW('All Player Data Store'!$Y$7)+1),COUNTIF($AC$8:AC301,AC301))),"")</f>
        <v/>
      </c>
      <c r="AT301" s="108" t="str">
        <f t="shared" si="26"/>
        <v/>
      </c>
      <c r="AU301" s="108" t="str">
        <f t="array" ref="AU301">IF(ISNUMBER(AC301),INDEX('All Player Data Store'!$R$8:$R$594,SMALL(IF('All Player Data Store'!$Y$7:$Y$594=AC301,ROW('All Player Data Store'!$Y$7:$Y$594)-ROW('All Player Data Store'!$Y$7)+1),COUNTIF($AC$8:AC301,AC301))),"")</f>
        <v/>
      </c>
      <c r="AV301" s="108" t="str">
        <f t="shared" si="27"/>
        <v/>
      </c>
      <c r="AW301" s="108" t="str">
        <f t="array" ref="AW301">IF(ISNUMBER(AC301),INDEX('All Player Data Store'!$S$8:$S$594,SMALL(IF('All Player Data Store'!$Y$7:$Y$594=AC301,ROW('All Player Data Store'!$Y$7:$Y$594)-ROW('All Player Data Store'!$Y$7)+1),COUNTIF($AC$8:AC301,AC301))),"")</f>
        <v/>
      </c>
      <c r="AX301" s="108" t="str">
        <f t="shared" si="28"/>
        <v/>
      </c>
      <c r="AY301" s="108" t="str">
        <f t="array" ref="AY301">IF(ISNUMBER(AC301),INDEX('All Player Data Store'!$T$8:$T$594,SMALL(IF('All Player Data Store'!$Y$7:$Y$594=AC301,ROW('All Player Data Store'!$Y$7:$Y$594)-ROW('All Player Data Store'!$Y$7)+1),COUNTIF($AC$8:AC301,AC301))),"")</f>
        <v/>
      </c>
      <c r="AZ301" s="108" t="str">
        <f t="shared" si="29"/>
        <v/>
      </c>
      <c r="BA301" s="108" t="str">
        <f t="array" ref="BA301">IF(ISNUMBER(AC301),INDEX('All Player Data Store'!$U$8:$U$594,SMALL(IF('All Player Data Store'!$Y$7:$Y$594=AC301,ROW('All Player Data Store'!$Y$7:$Y$594)-ROW('All Player Data Store'!$Y$7)+1),COUNTIF($AC$8:AC301,AC301))),"")</f>
        <v/>
      </c>
      <c r="BB301" s="108" t="str">
        <f t="shared" si="30"/>
        <v/>
      </c>
      <c r="BC301" s="108" t="str">
        <f t="array" ref="BC301">IF(ISNUMBER(AC301),INDEX('All Player Data Store'!$V$8:$V$594,SMALL(IF('All Player Data Store'!$Y$7:$Y$594=AC301,ROW('All Player Data Store'!$Y$7:$Y$594)-ROW('All Player Data Store'!$Y$7)+1),COUNTIF($AC$8:AC301,AC301))),"")</f>
        <v/>
      </c>
      <c r="BD301" s="108" t="str">
        <f t="shared" si="31"/>
        <v/>
      </c>
      <c r="BE301" s="1"/>
    </row>
    <row r="302" spans="2:57" ht="12" customHeight="1" x14ac:dyDescent="0.2">
      <c r="B302" s="118" t="str">
        <f t="shared" si="17"/>
        <v/>
      </c>
      <c r="C302" s="1"/>
      <c r="D302" s="68" t="str">
        <f t="shared" si="18"/>
        <v/>
      </c>
      <c r="E302" s="2"/>
      <c r="F302" s="78">
        <v>295</v>
      </c>
      <c r="G302" s="110" t="str">
        <f t="array" ref="G302">IF(ISNUMBER(AC302),INDEX('All Player Data Store'!$C$7:$C$594,SMALL(IF('All Player Data Store'!$Y$7:$Y$594=AC302,ROW('All Player Data Store'!$Y$7:$Y$594)-ROW('All Player Data Store'!$Y$7)+1),COUNTIF($AC$8:AC302,AC302))),"")</f>
        <v/>
      </c>
      <c r="H302" s="68" t="str">
        <f t="array" ref="H302">IF(ISNUMBER(AC302),INDEX('All Player Data Store'!$D$7:$D$594,SMALL(IF('All Player Data Store'!$Y$7:$Y$594=AC302,ROW('All Player Data Store'!$Y$7:$Y$594)-ROW('All Player Data Store'!$Y$7)+1),COUNTIF($AC$8:AC302,AC302))),"")</f>
        <v/>
      </c>
      <c r="I302" s="69" t="str">
        <f t="array" ref="I302">IF(ISNUMBER(AC302),INDEX('All Player Data Store'!$E$7:$E$594,SMALL(IF('All Player Data Store'!$Y$7:$Y$594=AC302,ROW('All Player Data Store'!$Y$7:$Y$594)-ROW('All Player Data Store'!$Y$7)+1),COUNTIF($AC$8:AC302,AC302))),"")</f>
        <v/>
      </c>
      <c r="J302" s="70" t="str">
        <f t="array" ref="J302">IF(ISNUMBER(AC302),INDEX('All Player Data Store'!$F$7:$F$594,SMALL(IF('All Player Data Store'!$Y$7:$Y$594=AC302,ROW('All Player Data Store'!$Y$7:$Y$594)-ROW('All Player Data Store'!$Y$7)+1),COUNTIF($AC$8:AC302,AC302))),"")</f>
        <v/>
      </c>
      <c r="K302" s="70" t="str">
        <f t="array" ref="K302">IF(ISNUMBER(AC302),INDEX('All Player Data Store'!$G$7:$G$594,SMALL(IF('All Player Data Store'!$Y$7:$Y$594=AC302,ROW('All Player Data Store'!$Y$7:$Y$594)-ROW('All Player Data Store'!$Y$7)+1),COUNTIF($AC$8:AC302,AC302))),"")</f>
        <v/>
      </c>
      <c r="L302" s="70" t="str">
        <f t="array" ref="L302">IF(ISNUMBER(AC302),INDEX('All Player Data Store'!$H$7:$H$594,SMALL(IF('All Player Data Store'!$Y$7:$Y$594=AC302,ROW('All Player Data Store'!$Y$7:$Y$594)-ROW('All Player Data Store'!$Y$7)+1),COUNTIF($AC$8:AC302,AC302))),"")</f>
        <v/>
      </c>
      <c r="M302" s="72" t="str">
        <f t="array" ref="M302">IF(ISNUMBER(AC302),INDEX('All Player Data Store'!$I$7:$I$594,SMALL(IF('All Player Data Store'!$Y$7:$Y$594=AC302,ROW('All Player Data Store'!$Y$7:$Y$594)-ROW('All Player Data Store'!$Y$7)+1),COUNTIF($AC$8:AC302,AC302))),"")</f>
        <v/>
      </c>
      <c r="N302" s="114" t="str">
        <f t="array" ref="N302">IF(ISNUMBER(AC302),INDEX('All Player Data Store'!$J$7:$J$594,SMALL(IF('All Player Data Store'!$Y$7:$Y$594=AC302,ROW('All Player Data Store'!$Y$7:$Y$594)-ROW('All Player Data Store'!$Y$7)+1),COUNTIF($AC$8:AC302,AC302))),"")</f>
        <v/>
      </c>
      <c r="O302" s="108" t="str">
        <f t="array" ref="O302">IF(ISNUMBER(AC302),INDEX('All Player Data Store'!$K$7:$K$594,SMALL(IF('All Player Data Store'!$Y$7:$Y$594=AC302,ROW('All Player Data Store'!$Y$7:$Y$594)-ROW('All Player Data Store'!$Y$7)+1),COUNTIF($AC$8:AC302,AC302))),"")</f>
        <v/>
      </c>
      <c r="P302" s="108" t="str">
        <f t="array" ref="P302">IF(ISNUMBER(AC302),INDEX('All Player Data Store'!$L$7:$L$594,SMALL(IF('All Player Data Store'!$Y$7:$Y$594=AC302,ROW('All Player Data Store'!$Y$7:$Y$594)-ROW('All Player Data Store'!$Y$7)+1),COUNTIF($AC$8:AC302,AC302))),"")</f>
        <v/>
      </c>
      <c r="Q302" s="108" t="str">
        <f t="array" ref="Q302">IF(ISNUMBER(AC302),INDEX('All Player Data Store'!$M$7:$M$594,SMALL(IF('All Player Data Store'!$Y$7:$Y$594=AC302,ROW('All Player Data Store'!$Y$7:$Y$594)-ROW('All Player Data Store'!$Y$7)+1),COUNTIF($AC$8:AC302,AC302))),"")</f>
        <v/>
      </c>
      <c r="R302" s="108" t="str">
        <f t="array" ref="R302">IF(ISNUMBER(AC302),INDEX('All Player Data Store'!$N$7:$N$594,SMALL(IF('All Player Data Store'!$Y$7:$Y$594=AC302,ROW('All Player Data Store'!$Y$7:$Y$594)-ROW('All Player Data Store'!$Y$7)+1),COUNTIF($AC$8:AC302,AC302))),"")</f>
        <v/>
      </c>
      <c r="S302" s="108" t="str">
        <f t="array" ref="S302">IF(ISNUMBER(AC302),INDEX('All Player Data Store'!$O$7:$O$594,SMALL(IF('All Player Data Store'!$Y$7:$Y$594=AC302,ROW('All Player Data Store'!$Y$7:$Y$594)-ROW('All Player Data Store'!$Y$7)+1),COUNTIF($AC$8:AC302,AC302))),"")</f>
        <v/>
      </c>
      <c r="T302" s="108" t="str">
        <f t="array" ref="T302">IF(ISNUMBER(AC302),INDEX('All Player Data Store'!$P$7:$P$594,SMALL(IF('All Player Data Store'!$Y$7:$Y$594=AC302,ROW('All Player Data Store'!$Y$7:$Y$594)-ROW('All Player Data Store'!$Y$7)+1),COUNTIF($AC$8:AC302,AC302))),"")</f>
        <v/>
      </c>
      <c r="U302" s="108" t="str">
        <f t="array" ref="U302">IF(ISNUMBER(AC302),INDEX('All Player Data Store'!$Q$7:$Q$594,SMALL(IF('All Player Data Store'!$Y$7:$Y$594=AC302,ROW('All Player Data Store'!$Y$7:$Y$594)-ROW('All Player Data Store'!$Y$7)+1),COUNTIF($AC$8:AC302,AC302))),"")</f>
        <v/>
      </c>
      <c r="V302" s="108" t="str">
        <f t="array" ref="V302">IF(ISNUMBER(AC302),INDEX('All Player Data Store'!$R$7:$R$594,SMALL(IF('All Player Data Store'!$Y$7:$Y$594=AC302,ROW('All Player Data Store'!$Y$7:$Y$594)-ROW('All Player Data Store'!$Y$7)+1),COUNTIF($AC$8:AC302,AC302))),"")</f>
        <v/>
      </c>
      <c r="W302" s="108" t="str">
        <f t="array" ref="W302">IF(ISNUMBER(AC302),INDEX('All Player Data Store'!$S$7:$S$594,SMALL(IF('All Player Data Store'!$Y$7:$Y$594=AC302,ROW('All Player Data Store'!$Y$7:$Y$594)-ROW('All Player Data Store'!$Y$7)+1),COUNTIF($AC$8:AC302,AC302))),"")</f>
        <v/>
      </c>
      <c r="X302" s="108" t="str">
        <f t="array" ref="X302">IF(ISNUMBER(AC302),INDEX('All Player Data Store'!$T$7:$T$594,SMALL(IF('All Player Data Store'!$Y$7:$Y$594=AC302,ROW('All Player Data Store'!$Y$7:$Y$594)-ROW('All Player Data Store'!$Y$7)+1),COUNTIF($AC$8:AC302,AC302))),"")</f>
        <v/>
      </c>
      <c r="Y302" s="108" t="str">
        <f t="array" ref="Y302">IF(ISNUMBER(AC302),INDEX('All Player Data Store'!$U$7:$U$594,SMALL(IF('All Player Data Store'!$Y$7:$Y$594=AC302,ROW('All Player Data Store'!$Y$7:$Y$594)-ROW('All Player Data Store'!$Y$7)+1),COUNTIF($AC$8:AC302,AC302))),"")</f>
        <v/>
      </c>
      <c r="Z302" s="108" t="str">
        <f t="array" ref="Z302">IF(ISNUMBER(AC302),INDEX('All Player Data Store'!$V$7:$V$594,SMALL(IF('All Player Data Store'!$Y$7:$Y$594=AC302,ROW('All Player Data Store'!$Y$7:$Y$594)-ROW('All Player Data Store'!$Y$7)+1),COUNTIF($AC$8:AC302,AC302))),"")</f>
        <v/>
      </c>
      <c r="AA302" s="112" t="str">
        <f t="array" ref="AA302">IF(ISNUMBER(AC302),INDEX('All Player Data Store'!$W$7:$W$594,SMALL(IF('All Player Data Store'!$Y$7:$Y$594=AC302,ROW('All Player Data Store'!$Y$7:$Y$594)-ROW('All Player Data Store'!$Y$7)+1),COUNTIF($AC$8:AC302,AC302))),"")</f>
        <v/>
      </c>
      <c r="AB302" s="108" t="str">
        <f t="array" ref="AB302">IF(ISNUMBER(AC302),INDEX('All Player Data Store'!$X$7:$X$594,SMALL(IF('All Player Data Store'!$Y$7:$Y$594=AC302,ROW('All Player Data Store'!$Y$7:$Y$594)-ROW('All Player Data Store'!$Y$7)+1),COUNTIF($AC$8:AC302,AC302))),"")</f>
        <v/>
      </c>
      <c r="AC302" s="115" t="str">
        <f>IF(ISERROR(IF(ISERROR(LARGE('All Player Data Store'!$Y$7:$Y$594,295)),"",(LARGE('All Player Data Store'!$Y$7:$Y$594,295)))),"",(IF(ISERROR(LARGE('All Player Data Store'!$Y$7:$Y$594,295)),"",(LARGE('All Player Data Store'!$Y$7:$Y$594,295)))))</f>
        <v/>
      </c>
      <c r="AD302" s="106">
        <f t="shared" si="16"/>
        <v>1</v>
      </c>
      <c r="AE302" s="107" t="str">
        <f t="array" ref="AE302">IF(ISNUMBER(AC302),INDEX('All Player Data Store'!$J$8:$J$594,SMALL(IF('All Player Data Store'!$Y$7:$Y$594=AC302,ROW('All Player Data Store'!$Y$7:$Y$594)-ROW('All Player Data Store'!$Y$7)+1),COUNTIF($AC$8:AC302,AC302))),"")</f>
        <v/>
      </c>
      <c r="AF302" s="108" t="str">
        <f t="shared" si="19"/>
        <v/>
      </c>
      <c r="AG302" s="108" t="str">
        <f t="array" ref="AG302">IF(ISNUMBER(AC302),INDEX('All Player Data Store'!$K$8:$K$594,SMALL(IF('All Player Data Store'!$Y$7:$Y$594=AC302,ROW('All Player Data Store'!$Y$7:$Y$594)-ROW('All Player Data Store'!$Y$7)+1),COUNTIF($AC$8:AC302,AC302))),"")</f>
        <v/>
      </c>
      <c r="AH302" s="108" t="str">
        <f t="shared" si="20"/>
        <v/>
      </c>
      <c r="AI302" s="108" t="str">
        <f t="array" ref="AI302">IF(ISNUMBER(AC302),INDEX('All Player Data Store'!$L$8:$L$594,SMALL(IF('All Player Data Store'!$Y$7:$Y$594=AC302,ROW('All Player Data Store'!$Y$7:$Y$594)-ROW('All Player Data Store'!$Y$7)+1),COUNTIF($AC$8:AC302,AC302))),"")</f>
        <v/>
      </c>
      <c r="AJ302" s="108" t="str">
        <f t="shared" si="21"/>
        <v/>
      </c>
      <c r="AK302" s="108" t="str">
        <f t="array" ref="AK302">IF(ISNUMBER(AC302),INDEX('All Player Data Store'!$M$8:$M$594,SMALL(IF('All Player Data Store'!$Y$7:$Y$594=AC302,ROW('All Player Data Store'!$Y$7:$Y$594)-ROW('All Player Data Store'!$Y$7)+1),COUNTIF($AC$8:AC302,AC302))),"")</f>
        <v/>
      </c>
      <c r="AL302" s="108" t="str">
        <f t="shared" si="22"/>
        <v/>
      </c>
      <c r="AM302" s="108" t="str">
        <f t="array" ref="AM302">IF(ISNUMBER(AC302),INDEX('All Player Data Store'!$N$8:$N$594,SMALL(IF('All Player Data Store'!$Y$7:$Y$594=AC302,ROW('All Player Data Store'!$Y$7:$Y$594)-ROW('All Player Data Store'!$Y$7)+1),COUNTIF($AC$8:AC302,AC302))),"")</f>
        <v/>
      </c>
      <c r="AN302" s="108" t="str">
        <f t="shared" si="23"/>
        <v/>
      </c>
      <c r="AO302" s="108" t="str">
        <f t="array" ref="AO302">IF(ISNUMBER(AC302),INDEX('All Player Data Store'!$O$8:$O$594,SMALL(IF('All Player Data Store'!$Y$7:$Y$594=AC302,ROW('All Player Data Store'!$Y$7:$Y$594)-ROW('All Player Data Store'!$Y$7)+1),COUNTIF($AC$8:AC302,AC302))),"")</f>
        <v/>
      </c>
      <c r="AP302" s="108" t="str">
        <f t="shared" si="24"/>
        <v/>
      </c>
      <c r="AQ302" s="108" t="str">
        <f t="array" ref="AQ302">IF(ISNUMBER(AC302),INDEX('All Player Data Store'!$P$8:$P$594,SMALL(IF('All Player Data Store'!$Y$7:$Y$594=AC302,ROW('All Player Data Store'!$Y$7:$Y$594)-ROW('All Player Data Store'!$Y$7)+1),COUNTIF($AC$8:AC302,AC302))),"")</f>
        <v/>
      </c>
      <c r="AR302" s="108" t="str">
        <f t="shared" si="25"/>
        <v/>
      </c>
      <c r="AS302" s="108" t="str">
        <f t="array" ref="AS302">IF(ISNUMBER(AC302),INDEX('All Player Data Store'!$Q$8:$Q$594,SMALL(IF('All Player Data Store'!$Y$7:$Y$594=AC302,ROW('All Player Data Store'!$Y$7:$Y$594)-ROW('All Player Data Store'!$Y$7)+1),COUNTIF($AC$8:AC302,AC302))),"")</f>
        <v/>
      </c>
      <c r="AT302" s="108" t="str">
        <f t="shared" si="26"/>
        <v/>
      </c>
      <c r="AU302" s="108" t="str">
        <f t="array" ref="AU302">IF(ISNUMBER(AC302),INDEX('All Player Data Store'!$R$8:$R$594,SMALL(IF('All Player Data Store'!$Y$7:$Y$594=AC302,ROW('All Player Data Store'!$Y$7:$Y$594)-ROW('All Player Data Store'!$Y$7)+1),COUNTIF($AC$8:AC302,AC302))),"")</f>
        <v/>
      </c>
      <c r="AV302" s="108" t="str">
        <f t="shared" si="27"/>
        <v/>
      </c>
      <c r="AW302" s="108" t="str">
        <f t="array" ref="AW302">IF(ISNUMBER(AC302),INDEX('All Player Data Store'!$S$8:$S$594,SMALL(IF('All Player Data Store'!$Y$7:$Y$594=AC302,ROW('All Player Data Store'!$Y$7:$Y$594)-ROW('All Player Data Store'!$Y$7)+1),COUNTIF($AC$8:AC302,AC302))),"")</f>
        <v/>
      </c>
      <c r="AX302" s="108" t="str">
        <f t="shared" si="28"/>
        <v/>
      </c>
      <c r="AY302" s="108" t="str">
        <f t="array" ref="AY302">IF(ISNUMBER(AC302),INDEX('All Player Data Store'!$T$8:$T$594,SMALL(IF('All Player Data Store'!$Y$7:$Y$594=AC302,ROW('All Player Data Store'!$Y$7:$Y$594)-ROW('All Player Data Store'!$Y$7)+1),COUNTIF($AC$8:AC302,AC302))),"")</f>
        <v/>
      </c>
      <c r="AZ302" s="108" t="str">
        <f t="shared" si="29"/>
        <v/>
      </c>
      <c r="BA302" s="108" t="str">
        <f t="array" ref="BA302">IF(ISNUMBER(AC302),INDEX('All Player Data Store'!$U$8:$U$594,SMALL(IF('All Player Data Store'!$Y$7:$Y$594=AC302,ROW('All Player Data Store'!$Y$7:$Y$594)-ROW('All Player Data Store'!$Y$7)+1),COUNTIF($AC$8:AC302,AC302))),"")</f>
        <v/>
      </c>
      <c r="BB302" s="108" t="str">
        <f t="shared" si="30"/>
        <v/>
      </c>
      <c r="BC302" s="108" t="str">
        <f t="array" ref="BC302">IF(ISNUMBER(AC302),INDEX('All Player Data Store'!$V$8:$V$594,SMALL(IF('All Player Data Store'!$Y$7:$Y$594=AC302,ROW('All Player Data Store'!$Y$7:$Y$594)-ROW('All Player Data Store'!$Y$7)+1),COUNTIF($AC$8:AC302,AC302))),"")</f>
        <v/>
      </c>
      <c r="BD302" s="108" t="str">
        <f t="shared" si="31"/>
        <v/>
      </c>
      <c r="BE302" s="1"/>
    </row>
    <row r="303" spans="2:57" ht="12" customHeight="1" x14ac:dyDescent="0.2">
      <c r="B303" s="118" t="str">
        <f t="shared" si="17"/>
        <v/>
      </c>
      <c r="C303" s="1"/>
      <c r="D303" s="68" t="str">
        <f t="shared" si="18"/>
        <v/>
      </c>
      <c r="E303" s="2"/>
      <c r="F303" s="78">
        <v>296</v>
      </c>
      <c r="G303" s="110" t="str">
        <f t="array" ref="G303">IF(ISNUMBER(AC303),INDEX('All Player Data Store'!$C$7:$C$594,SMALL(IF('All Player Data Store'!$Y$7:$Y$594=AC303,ROW('All Player Data Store'!$Y$7:$Y$594)-ROW('All Player Data Store'!$Y$7)+1),COUNTIF($AC$8:AC303,AC303))),"")</f>
        <v/>
      </c>
      <c r="H303" s="68" t="str">
        <f t="array" ref="H303">IF(ISNUMBER(AC303),INDEX('All Player Data Store'!$D$7:$D$594,SMALL(IF('All Player Data Store'!$Y$7:$Y$594=AC303,ROW('All Player Data Store'!$Y$7:$Y$594)-ROW('All Player Data Store'!$Y$7)+1),COUNTIF($AC$8:AC303,AC303))),"")</f>
        <v/>
      </c>
      <c r="I303" s="69" t="str">
        <f t="array" ref="I303">IF(ISNUMBER(AC303),INDEX('All Player Data Store'!$E$7:$E$594,SMALL(IF('All Player Data Store'!$Y$7:$Y$594=AC303,ROW('All Player Data Store'!$Y$7:$Y$594)-ROW('All Player Data Store'!$Y$7)+1),COUNTIF($AC$8:AC303,AC303))),"")</f>
        <v/>
      </c>
      <c r="J303" s="70" t="str">
        <f t="array" ref="J303">IF(ISNUMBER(AC303),INDEX('All Player Data Store'!$F$7:$F$594,SMALL(IF('All Player Data Store'!$Y$7:$Y$594=AC303,ROW('All Player Data Store'!$Y$7:$Y$594)-ROW('All Player Data Store'!$Y$7)+1),COUNTIF($AC$8:AC303,AC303))),"")</f>
        <v/>
      </c>
      <c r="K303" s="70" t="str">
        <f t="array" ref="K303">IF(ISNUMBER(AC303),INDEX('All Player Data Store'!$G$7:$G$594,SMALL(IF('All Player Data Store'!$Y$7:$Y$594=AC303,ROW('All Player Data Store'!$Y$7:$Y$594)-ROW('All Player Data Store'!$Y$7)+1),COUNTIF($AC$8:AC303,AC303))),"")</f>
        <v/>
      </c>
      <c r="L303" s="70" t="str">
        <f t="array" ref="L303">IF(ISNUMBER(AC303),INDEX('All Player Data Store'!$H$7:$H$594,SMALL(IF('All Player Data Store'!$Y$7:$Y$594=AC303,ROW('All Player Data Store'!$Y$7:$Y$594)-ROW('All Player Data Store'!$Y$7)+1),COUNTIF($AC$8:AC303,AC303))),"")</f>
        <v/>
      </c>
      <c r="M303" s="72" t="str">
        <f t="array" ref="M303">IF(ISNUMBER(AC303),INDEX('All Player Data Store'!$I$7:$I$594,SMALL(IF('All Player Data Store'!$Y$7:$Y$594=AC303,ROW('All Player Data Store'!$Y$7:$Y$594)-ROW('All Player Data Store'!$Y$7)+1),COUNTIF($AC$8:AC303,AC303))),"")</f>
        <v/>
      </c>
      <c r="N303" s="114" t="str">
        <f t="array" ref="N303">IF(ISNUMBER(AC303),INDEX('All Player Data Store'!$J$7:$J$594,SMALL(IF('All Player Data Store'!$Y$7:$Y$594=AC303,ROW('All Player Data Store'!$Y$7:$Y$594)-ROW('All Player Data Store'!$Y$7)+1),COUNTIF($AC$8:AC303,AC303))),"")</f>
        <v/>
      </c>
      <c r="O303" s="108" t="str">
        <f t="array" ref="O303">IF(ISNUMBER(AC303),INDEX('All Player Data Store'!$K$7:$K$594,SMALL(IF('All Player Data Store'!$Y$7:$Y$594=AC303,ROW('All Player Data Store'!$Y$7:$Y$594)-ROW('All Player Data Store'!$Y$7)+1),COUNTIF($AC$8:AC303,AC303))),"")</f>
        <v/>
      </c>
      <c r="P303" s="108" t="str">
        <f t="array" ref="P303">IF(ISNUMBER(AC303),INDEX('All Player Data Store'!$L$7:$L$594,SMALL(IF('All Player Data Store'!$Y$7:$Y$594=AC303,ROW('All Player Data Store'!$Y$7:$Y$594)-ROW('All Player Data Store'!$Y$7)+1),COUNTIF($AC$8:AC303,AC303))),"")</f>
        <v/>
      </c>
      <c r="Q303" s="108" t="str">
        <f t="array" ref="Q303">IF(ISNUMBER(AC303),INDEX('All Player Data Store'!$M$7:$M$594,SMALL(IF('All Player Data Store'!$Y$7:$Y$594=AC303,ROW('All Player Data Store'!$Y$7:$Y$594)-ROW('All Player Data Store'!$Y$7)+1),COUNTIF($AC$8:AC303,AC303))),"")</f>
        <v/>
      </c>
      <c r="R303" s="108" t="str">
        <f t="array" ref="R303">IF(ISNUMBER(AC303),INDEX('All Player Data Store'!$N$7:$N$594,SMALL(IF('All Player Data Store'!$Y$7:$Y$594=AC303,ROW('All Player Data Store'!$Y$7:$Y$594)-ROW('All Player Data Store'!$Y$7)+1),COUNTIF($AC$8:AC303,AC303))),"")</f>
        <v/>
      </c>
      <c r="S303" s="108" t="str">
        <f t="array" ref="S303">IF(ISNUMBER(AC303),INDEX('All Player Data Store'!$O$7:$O$594,SMALL(IF('All Player Data Store'!$Y$7:$Y$594=AC303,ROW('All Player Data Store'!$Y$7:$Y$594)-ROW('All Player Data Store'!$Y$7)+1),COUNTIF($AC$8:AC303,AC303))),"")</f>
        <v/>
      </c>
      <c r="T303" s="108" t="str">
        <f t="array" ref="T303">IF(ISNUMBER(AC303),INDEX('All Player Data Store'!$P$7:$P$594,SMALL(IF('All Player Data Store'!$Y$7:$Y$594=AC303,ROW('All Player Data Store'!$Y$7:$Y$594)-ROW('All Player Data Store'!$Y$7)+1),COUNTIF($AC$8:AC303,AC303))),"")</f>
        <v/>
      </c>
      <c r="U303" s="108" t="str">
        <f t="array" ref="U303">IF(ISNUMBER(AC303),INDEX('All Player Data Store'!$Q$7:$Q$594,SMALL(IF('All Player Data Store'!$Y$7:$Y$594=AC303,ROW('All Player Data Store'!$Y$7:$Y$594)-ROW('All Player Data Store'!$Y$7)+1),COUNTIF($AC$8:AC303,AC303))),"")</f>
        <v/>
      </c>
      <c r="V303" s="108" t="str">
        <f t="array" ref="V303">IF(ISNUMBER(AC303),INDEX('All Player Data Store'!$R$7:$R$594,SMALL(IF('All Player Data Store'!$Y$7:$Y$594=AC303,ROW('All Player Data Store'!$Y$7:$Y$594)-ROW('All Player Data Store'!$Y$7)+1),COUNTIF($AC$8:AC303,AC303))),"")</f>
        <v/>
      </c>
      <c r="W303" s="108" t="str">
        <f t="array" ref="W303">IF(ISNUMBER(AC303),INDEX('All Player Data Store'!$S$7:$S$594,SMALL(IF('All Player Data Store'!$Y$7:$Y$594=AC303,ROW('All Player Data Store'!$Y$7:$Y$594)-ROW('All Player Data Store'!$Y$7)+1),COUNTIF($AC$8:AC303,AC303))),"")</f>
        <v/>
      </c>
      <c r="X303" s="108" t="str">
        <f t="array" ref="X303">IF(ISNUMBER(AC303),INDEX('All Player Data Store'!$T$7:$T$594,SMALL(IF('All Player Data Store'!$Y$7:$Y$594=AC303,ROW('All Player Data Store'!$Y$7:$Y$594)-ROW('All Player Data Store'!$Y$7)+1),COUNTIF($AC$8:AC303,AC303))),"")</f>
        <v/>
      </c>
      <c r="Y303" s="108" t="str">
        <f t="array" ref="Y303">IF(ISNUMBER(AC303),INDEX('All Player Data Store'!$U$7:$U$594,SMALL(IF('All Player Data Store'!$Y$7:$Y$594=AC303,ROW('All Player Data Store'!$Y$7:$Y$594)-ROW('All Player Data Store'!$Y$7)+1),COUNTIF($AC$8:AC303,AC303))),"")</f>
        <v/>
      </c>
      <c r="Z303" s="108" t="str">
        <f t="array" ref="Z303">IF(ISNUMBER(AC303),INDEX('All Player Data Store'!$V$7:$V$594,SMALL(IF('All Player Data Store'!$Y$7:$Y$594=AC303,ROW('All Player Data Store'!$Y$7:$Y$594)-ROW('All Player Data Store'!$Y$7)+1),COUNTIF($AC$8:AC303,AC303))),"")</f>
        <v/>
      </c>
      <c r="AA303" s="112" t="str">
        <f t="array" ref="AA303">IF(ISNUMBER(AC303),INDEX('All Player Data Store'!$W$7:$W$594,SMALL(IF('All Player Data Store'!$Y$7:$Y$594=AC303,ROW('All Player Data Store'!$Y$7:$Y$594)-ROW('All Player Data Store'!$Y$7)+1),COUNTIF($AC$8:AC303,AC303))),"")</f>
        <v/>
      </c>
      <c r="AB303" s="108" t="str">
        <f t="array" ref="AB303">IF(ISNUMBER(AC303),INDEX('All Player Data Store'!$X$7:$X$594,SMALL(IF('All Player Data Store'!$Y$7:$Y$594=AC303,ROW('All Player Data Store'!$Y$7:$Y$594)-ROW('All Player Data Store'!$Y$7)+1),COUNTIF($AC$8:AC303,AC303))),"")</f>
        <v/>
      </c>
      <c r="AC303" s="115" t="str">
        <f>IF(ISERROR(IF(ISERROR(LARGE('All Player Data Store'!$Y$7:$Y$594,296)),"",(LARGE('All Player Data Store'!$Y$7:$Y$594,296)))),"",(IF(ISERROR(LARGE('All Player Data Store'!$Y$7:$Y$594,296)),"",(LARGE('All Player Data Store'!$Y$7:$Y$594,296)))))</f>
        <v/>
      </c>
      <c r="AD303" s="106">
        <f t="shared" si="16"/>
        <v>1</v>
      </c>
      <c r="AE303" s="107" t="str">
        <f t="array" ref="AE303">IF(ISNUMBER(AC303),INDEX('All Player Data Store'!$J$8:$J$594,SMALL(IF('All Player Data Store'!$Y$7:$Y$594=AC303,ROW('All Player Data Store'!$Y$7:$Y$594)-ROW('All Player Data Store'!$Y$7)+1),COUNTIF($AC$8:AC303,AC303))),"")</f>
        <v/>
      </c>
      <c r="AF303" s="108" t="str">
        <f t="shared" si="19"/>
        <v/>
      </c>
      <c r="AG303" s="108" t="str">
        <f t="array" ref="AG303">IF(ISNUMBER(AC303),INDEX('All Player Data Store'!$K$8:$K$594,SMALL(IF('All Player Data Store'!$Y$7:$Y$594=AC303,ROW('All Player Data Store'!$Y$7:$Y$594)-ROW('All Player Data Store'!$Y$7)+1),COUNTIF($AC$8:AC303,AC303))),"")</f>
        <v/>
      </c>
      <c r="AH303" s="108" t="str">
        <f t="shared" si="20"/>
        <v/>
      </c>
      <c r="AI303" s="108" t="str">
        <f t="array" ref="AI303">IF(ISNUMBER(AC303),INDEX('All Player Data Store'!$L$8:$L$594,SMALL(IF('All Player Data Store'!$Y$7:$Y$594=AC303,ROW('All Player Data Store'!$Y$7:$Y$594)-ROW('All Player Data Store'!$Y$7)+1),COUNTIF($AC$8:AC303,AC303))),"")</f>
        <v/>
      </c>
      <c r="AJ303" s="108" t="str">
        <f t="shared" si="21"/>
        <v/>
      </c>
      <c r="AK303" s="108" t="str">
        <f t="array" ref="AK303">IF(ISNUMBER(AC303),INDEX('All Player Data Store'!$M$8:$M$594,SMALL(IF('All Player Data Store'!$Y$7:$Y$594=AC303,ROW('All Player Data Store'!$Y$7:$Y$594)-ROW('All Player Data Store'!$Y$7)+1),COUNTIF($AC$8:AC303,AC303))),"")</f>
        <v/>
      </c>
      <c r="AL303" s="108" t="str">
        <f t="shared" si="22"/>
        <v/>
      </c>
      <c r="AM303" s="108" t="str">
        <f t="array" ref="AM303">IF(ISNUMBER(AC303),INDEX('All Player Data Store'!$N$8:$N$594,SMALL(IF('All Player Data Store'!$Y$7:$Y$594=AC303,ROW('All Player Data Store'!$Y$7:$Y$594)-ROW('All Player Data Store'!$Y$7)+1),COUNTIF($AC$8:AC303,AC303))),"")</f>
        <v/>
      </c>
      <c r="AN303" s="108" t="str">
        <f t="shared" si="23"/>
        <v/>
      </c>
      <c r="AO303" s="108" t="str">
        <f t="array" ref="AO303">IF(ISNUMBER(AC303),INDEX('All Player Data Store'!$O$8:$O$594,SMALL(IF('All Player Data Store'!$Y$7:$Y$594=AC303,ROW('All Player Data Store'!$Y$7:$Y$594)-ROW('All Player Data Store'!$Y$7)+1),COUNTIF($AC$8:AC303,AC303))),"")</f>
        <v/>
      </c>
      <c r="AP303" s="108" t="str">
        <f t="shared" si="24"/>
        <v/>
      </c>
      <c r="AQ303" s="108" t="str">
        <f t="array" ref="AQ303">IF(ISNUMBER(AC303),INDEX('All Player Data Store'!$P$8:$P$594,SMALL(IF('All Player Data Store'!$Y$7:$Y$594=AC303,ROW('All Player Data Store'!$Y$7:$Y$594)-ROW('All Player Data Store'!$Y$7)+1),COUNTIF($AC$8:AC303,AC303))),"")</f>
        <v/>
      </c>
      <c r="AR303" s="108" t="str">
        <f t="shared" si="25"/>
        <v/>
      </c>
      <c r="AS303" s="108" t="str">
        <f t="array" ref="AS303">IF(ISNUMBER(AC303),INDEX('All Player Data Store'!$Q$8:$Q$594,SMALL(IF('All Player Data Store'!$Y$7:$Y$594=AC303,ROW('All Player Data Store'!$Y$7:$Y$594)-ROW('All Player Data Store'!$Y$7)+1),COUNTIF($AC$8:AC303,AC303))),"")</f>
        <v/>
      </c>
      <c r="AT303" s="108" t="str">
        <f t="shared" si="26"/>
        <v/>
      </c>
      <c r="AU303" s="108" t="str">
        <f t="array" ref="AU303">IF(ISNUMBER(AC303),INDEX('All Player Data Store'!$R$8:$R$594,SMALL(IF('All Player Data Store'!$Y$7:$Y$594=AC303,ROW('All Player Data Store'!$Y$7:$Y$594)-ROW('All Player Data Store'!$Y$7)+1),COUNTIF($AC$8:AC303,AC303))),"")</f>
        <v/>
      </c>
      <c r="AV303" s="108" t="str">
        <f t="shared" si="27"/>
        <v/>
      </c>
      <c r="AW303" s="108" t="str">
        <f t="array" ref="AW303">IF(ISNUMBER(AC303),INDEX('All Player Data Store'!$S$8:$S$594,SMALL(IF('All Player Data Store'!$Y$7:$Y$594=AC303,ROW('All Player Data Store'!$Y$7:$Y$594)-ROW('All Player Data Store'!$Y$7)+1),COUNTIF($AC$8:AC303,AC303))),"")</f>
        <v/>
      </c>
      <c r="AX303" s="108" t="str">
        <f t="shared" si="28"/>
        <v/>
      </c>
      <c r="AY303" s="108" t="str">
        <f t="array" ref="AY303">IF(ISNUMBER(AC303),INDEX('All Player Data Store'!$T$8:$T$594,SMALL(IF('All Player Data Store'!$Y$7:$Y$594=AC303,ROW('All Player Data Store'!$Y$7:$Y$594)-ROW('All Player Data Store'!$Y$7)+1),COUNTIF($AC$8:AC303,AC303))),"")</f>
        <v/>
      </c>
      <c r="AZ303" s="108" t="str">
        <f t="shared" si="29"/>
        <v/>
      </c>
      <c r="BA303" s="108" t="str">
        <f t="array" ref="BA303">IF(ISNUMBER(AC303),INDEX('All Player Data Store'!$U$8:$U$594,SMALL(IF('All Player Data Store'!$Y$7:$Y$594=AC303,ROW('All Player Data Store'!$Y$7:$Y$594)-ROW('All Player Data Store'!$Y$7)+1),COUNTIF($AC$8:AC303,AC303))),"")</f>
        <v/>
      </c>
      <c r="BB303" s="108" t="str">
        <f t="shared" si="30"/>
        <v/>
      </c>
      <c r="BC303" s="108" t="str">
        <f t="array" ref="BC303">IF(ISNUMBER(AC303),INDEX('All Player Data Store'!$V$8:$V$594,SMALL(IF('All Player Data Store'!$Y$7:$Y$594=AC303,ROW('All Player Data Store'!$Y$7:$Y$594)-ROW('All Player Data Store'!$Y$7)+1),COUNTIF($AC$8:AC303,AC303))),"")</f>
        <v/>
      </c>
      <c r="BD303" s="108" t="str">
        <f t="shared" si="31"/>
        <v/>
      </c>
      <c r="BE303" s="1"/>
    </row>
    <row r="304" spans="2:57" ht="12" customHeight="1" x14ac:dyDescent="0.2">
      <c r="B304" s="118" t="str">
        <f t="shared" si="17"/>
        <v/>
      </c>
      <c r="C304" s="1"/>
      <c r="D304" s="68" t="str">
        <f t="shared" si="18"/>
        <v/>
      </c>
      <c r="E304" s="2"/>
      <c r="F304" s="78">
        <v>297</v>
      </c>
      <c r="G304" s="110" t="str">
        <f t="array" ref="G304">IF(ISNUMBER(AC304),INDEX('All Player Data Store'!$C$7:$C$594,SMALL(IF('All Player Data Store'!$Y$7:$Y$594=AC304,ROW('All Player Data Store'!$Y$7:$Y$594)-ROW('All Player Data Store'!$Y$7)+1),COUNTIF($AC$8:AC304,AC304))),"")</f>
        <v/>
      </c>
      <c r="H304" s="68" t="str">
        <f t="array" ref="H304">IF(ISNUMBER(AC304),INDEX('All Player Data Store'!$D$7:$D$594,SMALL(IF('All Player Data Store'!$Y$7:$Y$594=AC304,ROW('All Player Data Store'!$Y$7:$Y$594)-ROW('All Player Data Store'!$Y$7)+1),COUNTIF($AC$8:AC304,AC304))),"")</f>
        <v/>
      </c>
      <c r="I304" s="69" t="str">
        <f t="array" ref="I304">IF(ISNUMBER(AC304),INDEX('All Player Data Store'!$E$7:$E$594,SMALL(IF('All Player Data Store'!$Y$7:$Y$594=AC304,ROW('All Player Data Store'!$Y$7:$Y$594)-ROW('All Player Data Store'!$Y$7)+1),COUNTIF($AC$8:AC304,AC304))),"")</f>
        <v/>
      </c>
      <c r="J304" s="70" t="str">
        <f t="array" ref="J304">IF(ISNUMBER(AC304),INDEX('All Player Data Store'!$F$7:$F$594,SMALL(IF('All Player Data Store'!$Y$7:$Y$594=AC304,ROW('All Player Data Store'!$Y$7:$Y$594)-ROW('All Player Data Store'!$Y$7)+1),COUNTIF($AC$8:AC304,AC304))),"")</f>
        <v/>
      </c>
      <c r="K304" s="70" t="str">
        <f t="array" ref="K304">IF(ISNUMBER(AC304),INDEX('All Player Data Store'!$G$7:$G$594,SMALL(IF('All Player Data Store'!$Y$7:$Y$594=AC304,ROW('All Player Data Store'!$Y$7:$Y$594)-ROW('All Player Data Store'!$Y$7)+1),COUNTIF($AC$8:AC304,AC304))),"")</f>
        <v/>
      </c>
      <c r="L304" s="70" t="str">
        <f t="array" ref="L304">IF(ISNUMBER(AC304),INDEX('All Player Data Store'!$H$7:$H$594,SMALL(IF('All Player Data Store'!$Y$7:$Y$594=AC304,ROW('All Player Data Store'!$Y$7:$Y$594)-ROW('All Player Data Store'!$Y$7)+1),COUNTIF($AC$8:AC304,AC304))),"")</f>
        <v/>
      </c>
      <c r="M304" s="72" t="str">
        <f t="array" ref="M304">IF(ISNUMBER(AC304),INDEX('All Player Data Store'!$I$7:$I$594,SMALL(IF('All Player Data Store'!$Y$7:$Y$594=AC304,ROW('All Player Data Store'!$Y$7:$Y$594)-ROW('All Player Data Store'!$Y$7)+1),COUNTIF($AC$8:AC304,AC304))),"")</f>
        <v/>
      </c>
      <c r="N304" s="114" t="str">
        <f t="array" ref="N304">IF(ISNUMBER(AC304),INDEX('All Player Data Store'!$J$7:$J$594,SMALL(IF('All Player Data Store'!$Y$7:$Y$594=AC304,ROW('All Player Data Store'!$Y$7:$Y$594)-ROW('All Player Data Store'!$Y$7)+1),COUNTIF($AC$8:AC304,AC304))),"")</f>
        <v/>
      </c>
      <c r="O304" s="108" t="str">
        <f t="array" ref="O304">IF(ISNUMBER(AC304),INDEX('All Player Data Store'!$K$7:$K$594,SMALL(IF('All Player Data Store'!$Y$7:$Y$594=AC304,ROW('All Player Data Store'!$Y$7:$Y$594)-ROW('All Player Data Store'!$Y$7)+1),COUNTIF($AC$8:AC304,AC304))),"")</f>
        <v/>
      </c>
      <c r="P304" s="108" t="str">
        <f t="array" ref="P304">IF(ISNUMBER(AC304),INDEX('All Player Data Store'!$L$7:$L$594,SMALL(IF('All Player Data Store'!$Y$7:$Y$594=AC304,ROW('All Player Data Store'!$Y$7:$Y$594)-ROW('All Player Data Store'!$Y$7)+1),COUNTIF($AC$8:AC304,AC304))),"")</f>
        <v/>
      </c>
      <c r="Q304" s="108" t="str">
        <f t="array" ref="Q304">IF(ISNUMBER(AC304),INDEX('All Player Data Store'!$M$7:$M$594,SMALL(IF('All Player Data Store'!$Y$7:$Y$594=AC304,ROW('All Player Data Store'!$Y$7:$Y$594)-ROW('All Player Data Store'!$Y$7)+1),COUNTIF($AC$8:AC304,AC304))),"")</f>
        <v/>
      </c>
      <c r="R304" s="108" t="str">
        <f t="array" ref="R304">IF(ISNUMBER(AC304),INDEX('All Player Data Store'!$N$7:$N$594,SMALL(IF('All Player Data Store'!$Y$7:$Y$594=AC304,ROW('All Player Data Store'!$Y$7:$Y$594)-ROW('All Player Data Store'!$Y$7)+1),COUNTIF($AC$8:AC304,AC304))),"")</f>
        <v/>
      </c>
      <c r="S304" s="108" t="str">
        <f t="array" ref="S304">IF(ISNUMBER(AC304),INDEX('All Player Data Store'!$O$7:$O$594,SMALL(IF('All Player Data Store'!$Y$7:$Y$594=AC304,ROW('All Player Data Store'!$Y$7:$Y$594)-ROW('All Player Data Store'!$Y$7)+1),COUNTIF($AC$8:AC304,AC304))),"")</f>
        <v/>
      </c>
      <c r="T304" s="108" t="str">
        <f t="array" ref="T304">IF(ISNUMBER(AC304),INDEX('All Player Data Store'!$P$7:$P$594,SMALL(IF('All Player Data Store'!$Y$7:$Y$594=AC304,ROW('All Player Data Store'!$Y$7:$Y$594)-ROW('All Player Data Store'!$Y$7)+1),COUNTIF($AC$8:AC304,AC304))),"")</f>
        <v/>
      </c>
      <c r="U304" s="108" t="str">
        <f t="array" ref="U304">IF(ISNUMBER(AC304),INDEX('All Player Data Store'!$Q$7:$Q$594,SMALL(IF('All Player Data Store'!$Y$7:$Y$594=AC304,ROW('All Player Data Store'!$Y$7:$Y$594)-ROW('All Player Data Store'!$Y$7)+1),COUNTIF($AC$8:AC304,AC304))),"")</f>
        <v/>
      </c>
      <c r="V304" s="108" t="str">
        <f t="array" ref="V304">IF(ISNUMBER(AC304),INDEX('All Player Data Store'!$R$7:$R$594,SMALL(IF('All Player Data Store'!$Y$7:$Y$594=AC304,ROW('All Player Data Store'!$Y$7:$Y$594)-ROW('All Player Data Store'!$Y$7)+1),COUNTIF($AC$8:AC304,AC304))),"")</f>
        <v/>
      </c>
      <c r="W304" s="108" t="str">
        <f t="array" ref="W304">IF(ISNUMBER(AC304),INDEX('All Player Data Store'!$S$7:$S$594,SMALL(IF('All Player Data Store'!$Y$7:$Y$594=AC304,ROW('All Player Data Store'!$Y$7:$Y$594)-ROW('All Player Data Store'!$Y$7)+1),COUNTIF($AC$8:AC304,AC304))),"")</f>
        <v/>
      </c>
      <c r="X304" s="108" t="str">
        <f t="array" ref="X304">IF(ISNUMBER(AC304),INDEX('All Player Data Store'!$T$7:$T$594,SMALL(IF('All Player Data Store'!$Y$7:$Y$594=AC304,ROW('All Player Data Store'!$Y$7:$Y$594)-ROW('All Player Data Store'!$Y$7)+1),COUNTIF($AC$8:AC304,AC304))),"")</f>
        <v/>
      </c>
      <c r="Y304" s="108" t="str">
        <f t="array" ref="Y304">IF(ISNUMBER(AC304),INDEX('All Player Data Store'!$U$7:$U$594,SMALL(IF('All Player Data Store'!$Y$7:$Y$594=AC304,ROW('All Player Data Store'!$Y$7:$Y$594)-ROW('All Player Data Store'!$Y$7)+1),COUNTIF($AC$8:AC304,AC304))),"")</f>
        <v/>
      </c>
      <c r="Z304" s="108" t="str">
        <f t="array" ref="Z304">IF(ISNUMBER(AC304),INDEX('All Player Data Store'!$V$7:$V$594,SMALL(IF('All Player Data Store'!$Y$7:$Y$594=AC304,ROW('All Player Data Store'!$Y$7:$Y$594)-ROW('All Player Data Store'!$Y$7)+1),COUNTIF($AC$8:AC304,AC304))),"")</f>
        <v/>
      </c>
      <c r="AA304" s="112" t="str">
        <f t="array" ref="AA304">IF(ISNUMBER(AC304),INDEX('All Player Data Store'!$W$7:$W$594,SMALL(IF('All Player Data Store'!$Y$7:$Y$594=AC304,ROW('All Player Data Store'!$Y$7:$Y$594)-ROW('All Player Data Store'!$Y$7)+1),COUNTIF($AC$8:AC304,AC304))),"")</f>
        <v/>
      </c>
      <c r="AB304" s="108" t="str">
        <f t="array" ref="AB304">IF(ISNUMBER(AC304),INDEX('All Player Data Store'!$X$7:$X$594,SMALL(IF('All Player Data Store'!$Y$7:$Y$594=AC304,ROW('All Player Data Store'!$Y$7:$Y$594)-ROW('All Player Data Store'!$Y$7)+1),COUNTIF($AC$8:AC304,AC304))),"")</f>
        <v/>
      </c>
      <c r="AC304" s="115" t="str">
        <f>IF(ISERROR(IF(ISERROR(LARGE('All Player Data Store'!$Y$7:$Y$594,297)),"",(LARGE('All Player Data Store'!$Y$7:$Y$594,297)))),"",(IF(ISERROR(LARGE('All Player Data Store'!$Y$7:$Y$594,297)),"",(LARGE('All Player Data Store'!$Y$7:$Y$594,297)))))</f>
        <v/>
      </c>
      <c r="AD304" s="106">
        <f t="shared" si="16"/>
        <v>1</v>
      </c>
      <c r="AE304" s="107" t="str">
        <f t="array" ref="AE304">IF(ISNUMBER(AC304),INDEX('All Player Data Store'!$J$8:$J$594,SMALL(IF('All Player Data Store'!$Y$7:$Y$594=AC304,ROW('All Player Data Store'!$Y$7:$Y$594)-ROW('All Player Data Store'!$Y$7)+1),COUNTIF($AC$8:AC304,AC304))),"")</f>
        <v/>
      </c>
      <c r="AF304" s="108" t="str">
        <f t="shared" si="19"/>
        <v/>
      </c>
      <c r="AG304" s="108" t="str">
        <f t="array" ref="AG304">IF(ISNUMBER(AC304),INDEX('All Player Data Store'!$K$8:$K$594,SMALL(IF('All Player Data Store'!$Y$7:$Y$594=AC304,ROW('All Player Data Store'!$Y$7:$Y$594)-ROW('All Player Data Store'!$Y$7)+1),COUNTIF($AC$8:AC304,AC304))),"")</f>
        <v/>
      </c>
      <c r="AH304" s="108" t="str">
        <f t="shared" si="20"/>
        <v/>
      </c>
      <c r="AI304" s="108" t="str">
        <f t="array" ref="AI304">IF(ISNUMBER(AC304),INDEX('All Player Data Store'!$L$8:$L$594,SMALL(IF('All Player Data Store'!$Y$7:$Y$594=AC304,ROW('All Player Data Store'!$Y$7:$Y$594)-ROW('All Player Data Store'!$Y$7)+1),COUNTIF($AC$8:AC304,AC304))),"")</f>
        <v/>
      </c>
      <c r="AJ304" s="108" t="str">
        <f t="shared" si="21"/>
        <v/>
      </c>
      <c r="AK304" s="108" t="str">
        <f t="array" ref="AK304">IF(ISNUMBER(AC304),INDEX('All Player Data Store'!$M$8:$M$594,SMALL(IF('All Player Data Store'!$Y$7:$Y$594=AC304,ROW('All Player Data Store'!$Y$7:$Y$594)-ROW('All Player Data Store'!$Y$7)+1),COUNTIF($AC$8:AC304,AC304))),"")</f>
        <v/>
      </c>
      <c r="AL304" s="108" t="str">
        <f t="shared" si="22"/>
        <v/>
      </c>
      <c r="AM304" s="108" t="str">
        <f t="array" ref="AM304">IF(ISNUMBER(AC304),INDEX('All Player Data Store'!$N$8:$N$594,SMALL(IF('All Player Data Store'!$Y$7:$Y$594=AC304,ROW('All Player Data Store'!$Y$7:$Y$594)-ROW('All Player Data Store'!$Y$7)+1),COUNTIF($AC$8:AC304,AC304))),"")</f>
        <v/>
      </c>
      <c r="AN304" s="108" t="str">
        <f t="shared" si="23"/>
        <v/>
      </c>
      <c r="AO304" s="108" t="str">
        <f t="array" ref="AO304">IF(ISNUMBER(AC304),INDEX('All Player Data Store'!$O$8:$O$594,SMALL(IF('All Player Data Store'!$Y$7:$Y$594=AC304,ROW('All Player Data Store'!$Y$7:$Y$594)-ROW('All Player Data Store'!$Y$7)+1),COUNTIF($AC$8:AC304,AC304))),"")</f>
        <v/>
      </c>
      <c r="AP304" s="108" t="str">
        <f t="shared" si="24"/>
        <v/>
      </c>
      <c r="AQ304" s="108" t="str">
        <f t="array" ref="AQ304">IF(ISNUMBER(AC304),INDEX('All Player Data Store'!$P$8:$P$594,SMALL(IF('All Player Data Store'!$Y$7:$Y$594=AC304,ROW('All Player Data Store'!$Y$7:$Y$594)-ROW('All Player Data Store'!$Y$7)+1),COUNTIF($AC$8:AC304,AC304))),"")</f>
        <v/>
      </c>
      <c r="AR304" s="108" t="str">
        <f t="shared" si="25"/>
        <v/>
      </c>
      <c r="AS304" s="108" t="str">
        <f t="array" ref="AS304">IF(ISNUMBER(AC304),INDEX('All Player Data Store'!$Q$8:$Q$594,SMALL(IF('All Player Data Store'!$Y$7:$Y$594=AC304,ROW('All Player Data Store'!$Y$7:$Y$594)-ROW('All Player Data Store'!$Y$7)+1),COUNTIF($AC$8:AC304,AC304))),"")</f>
        <v/>
      </c>
      <c r="AT304" s="108" t="str">
        <f t="shared" si="26"/>
        <v/>
      </c>
      <c r="AU304" s="108" t="str">
        <f t="array" ref="AU304">IF(ISNUMBER(AC304),INDEX('All Player Data Store'!$R$8:$R$594,SMALL(IF('All Player Data Store'!$Y$7:$Y$594=AC304,ROW('All Player Data Store'!$Y$7:$Y$594)-ROW('All Player Data Store'!$Y$7)+1),COUNTIF($AC$8:AC304,AC304))),"")</f>
        <v/>
      </c>
      <c r="AV304" s="108" t="str">
        <f t="shared" si="27"/>
        <v/>
      </c>
      <c r="AW304" s="108" t="str">
        <f t="array" ref="AW304">IF(ISNUMBER(AC304),INDEX('All Player Data Store'!$S$8:$S$594,SMALL(IF('All Player Data Store'!$Y$7:$Y$594=AC304,ROW('All Player Data Store'!$Y$7:$Y$594)-ROW('All Player Data Store'!$Y$7)+1),COUNTIF($AC$8:AC304,AC304))),"")</f>
        <v/>
      </c>
      <c r="AX304" s="108" t="str">
        <f t="shared" si="28"/>
        <v/>
      </c>
      <c r="AY304" s="108" t="str">
        <f t="array" ref="AY304">IF(ISNUMBER(AC304),INDEX('All Player Data Store'!$T$8:$T$594,SMALL(IF('All Player Data Store'!$Y$7:$Y$594=AC304,ROW('All Player Data Store'!$Y$7:$Y$594)-ROW('All Player Data Store'!$Y$7)+1),COUNTIF($AC$8:AC304,AC304))),"")</f>
        <v/>
      </c>
      <c r="AZ304" s="108" t="str">
        <f t="shared" si="29"/>
        <v/>
      </c>
      <c r="BA304" s="108" t="str">
        <f t="array" ref="BA304">IF(ISNUMBER(AC304),INDEX('All Player Data Store'!$U$8:$U$594,SMALL(IF('All Player Data Store'!$Y$7:$Y$594=AC304,ROW('All Player Data Store'!$Y$7:$Y$594)-ROW('All Player Data Store'!$Y$7)+1),COUNTIF($AC$8:AC304,AC304))),"")</f>
        <v/>
      </c>
      <c r="BB304" s="108" t="str">
        <f t="shared" si="30"/>
        <v/>
      </c>
      <c r="BC304" s="108" t="str">
        <f t="array" ref="BC304">IF(ISNUMBER(AC304),INDEX('All Player Data Store'!$V$8:$V$594,SMALL(IF('All Player Data Store'!$Y$7:$Y$594=AC304,ROW('All Player Data Store'!$Y$7:$Y$594)-ROW('All Player Data Store'!$Y$7)+1),COUNTIF($AC$8:AC304,AC304))),"")</f>
        <v/>
      </c>
      <c r="BD304" s="108" t="str">
        <f t="shared" si="31"/>
        <v/>
      </c>
      <c r="BE304" s="1"/>
    </row>
    <row r="305" spans="2:57" ht="12" customHeight="1" x14ac:dyDescent="0.2">
      <c r="B305" s="118" t="str">
        <f t="shared" si="17"/>
        <v/>
      </c>
      <c r="C305" s="1"/>
      <c r="D305" s="68" t="str">
        <f t="shared" si="18"/>
        <v/>
      </c>
      <c r="E305" s="2"/>
      <c r="F305" s="78">
        <v>298</v>
      </c>
      <c r="G305" s="110" t="str">
        <f t="array" ref="G305">IF(ISNUMBER(AC305),INDEX('All Player Data Store'!$C$7:$C$594,SMALL(IF('All Player Data Store'!$Y$7:$Y$594=AC305,ROW('All Player Data Store'!$Y$7:$Y$594)-ROW('All Player Data Store'!$Y$7)+1),COUNTIF($AC$8:AC305,AC305))),"")</f>
        <v/>
      </c>
      <c r="H305" s="68" t="str">
        <f t="array" ref="H305">IF(ISNUMBER(AC305),INDEX('All Player Data Store'!$D$7:$D$594,SMALL(IF('All Player Data Store'!$Y$7:$Y$594=AC305,ROW('All Player Data Store'!$Y$7:$Y$594)-ROW('All Player Data Store'!$Y$7)+1),COUNTIF($AC$8:AC305,AC305))),"")</f>
        <v/>
      </c>
      <c r="I305" s="69" t="str">
        <f t="array" ref="I305">IF(ISNUMBER(AC305),INDEX('All Player Data Store'!$E$7:$E$594,SMALL(IF('All Player Data Store'!$Y$7:$Y$594=AC305,ROW('All Player Data Store'!$Y$7:$Y$594)-ROW('All Player Data Store'!$Y$7)+1),COUNTIF($AC$8:AC305,AC305))),"")</f>
        <v/>
      </c>
      <c r="J305" s="70" t="str">
        <f t="array" ref="J305">IF(ISNUMBER(AC305),INDEX('All Player Data Store'!$F$7:$F$594,SMALL(IF('All Player Data Store'!$Y$7:$Y$594=AC305,ROW('All Player Data Store'!$Y$7:$Y$594)-ROW('All Player Data Store'!$Y$7)+1),COUNTIF($AC$8:AC305,AC305))),"")</f>
        <v/>
      </c>
      <c r="K305" s="70" t="str">
        <f t="array" ref="K305">IF(ISNUMBER(AC305),INDEX('All Player Data Store'!$G$7:$G$594,SMALL(IF('All Player Data Store'!$Y$7:$Y$594=AC305,ROW('All Player Data Store'!$Y$7:$Y$594)-ROW('All Player Data Store'!$Y$7)+1),COUNTIF($AC$8:AC305,AC305))),"")</f>
        <v/>
      </c>
      <c r="L305" s="70" t="str">
        <f t="array" ref="L305">IF(ISNUMBER(AC305),INDEX('All Player Data Store'!$H$7:$H$594,SMALL(IF('All Player Data Store'!$Y$7:$Y$594=AC305,ROW('All Player Data Store'!$Y$7:$Y$594)-ROW('All Player Data Store'!$Y$7)+1),COUNTIF($AC$8:AC305,AC305))),"")</f>
        <v/>
      </c>
      <c r="M305" s="72" t="str">
        <f t="array" ref="M305">IF(ISNUMBER(AC305),INDEX('All Player Data Store'!$I$7:$I$594,SMALL(IF('All Player Data Store'!$Y$7:$Y$594=AC305,ROW('All Player Data Store'!$Y$7:$Y$594)-ROW('All Player Data Store'!$Y$7)+1),COUNTIF($AC$8:AC305,AC305))),"")</f>
        <v/>
      </c>
      <c r="N305" s="114" t="str">
        <f t="array" ref="N305">IF(ISNUMBER(AC305),INDEX('All Player Data Store'!$J$7:$J$594,SMALL(IF('All Player Data Store'!$Y$7:$Y$594=AC305,ROW('All Player Data Store'!$Y$7:$Y$594)-ROW('All Player Data Store'!$Y$7)+1),COUNTIF($AC$8:AC305,AC305))),"")</f>
        <v/>
      </c>
      <c r="O305" s="108" t="str">
        <f t="array" ref="O305">IF(ISNUMBER(AC305),INDEX('All Player Data Store'!$K$7:$K$594,SMALL(IF('All Player Data Store'!$Y$7:$Y$594=AC305,ROW('All Player Data Store'!$Y$7:$Y$594)-ROW('All Player Data Store'!$Y$7)+1),COUNTIF($AC$8:AC305,AC305))),"")</f>
        <v/>
      </c>
      <c r="P305" s="108" t="str">
        <f t="array" ref="P305">IF(ISNUMBER(AC305),INDEX('All Player Data Store'!$L$7:$L$594,SMALL(IF('All Player Data Store'!$Y$7:$Y$594=AC305,ROW('All Player Data Store'!$Y$7:$Y$594)-ROW('All Player Data Store'!$Y$7)+1),COUNTIF($AC$8:AC305,AC305))),"")</f>
        <v/>
      </c>
      <c r="Q305" s="108" t="str">
        <f t="array" ref="Q305">IF(ISNUMBER(AC305),INDEX('All Player Data Store'!$M$7:$M$594,SMALL(IF('All Player Data Store'!$Y$7:$Y$594=AC305,ROW('All Player Data Store'!$Y$7:$Y$594)-ROW('All Player Data Store'!$Y$7)+1),COUNTIF($AC$8:AC305,AC305))),"")</f>
        <v/>
      </c>
      <c r="R305" s="108" t="str">
        <f t="array" ref="R305">IF(ISNUMBER(AC305),INDEX('All Player Data Store'!$N$7:$N$594,SMALL(IF('All Player Data Store'!$Y$7:$Y$594=AC305,ROW('All Player Data Store'!$Y$7:$Y$594)-ROW('All Player Data Store'!$Y$7)+1),COUNTIF($AC$8:AC305,AC305))),"")</f>
        <v/>
      </c>
      <c r="S305" s="108" t="str">
        <f t="array" ref="S305">IF(ISNUMBER(AC305),INDEX('All Player Data Store'!$O$7:$O$594,SMALL(IF('All Player Data Store'!$Y$7:$Y$594=AC305,ROW('All Player Data Store'!$Y$7:$Y$594)-ROW('All Player Data Store'!$Y$7)+1),COUNTIF($AC$8:AC305,AC305))),"")</f>
        <v/>
      </c>
      <c r="T305" s="108" t="str">
        <f t="array" ref="T305">IF(ISNUMBER(AC305),INDEX('All Player Data Store'!$P$7:$P$594,SMALL(IF('All Player Data Store'!$Y$7:$Y$594=AC305,ROW('All Player Data Store'!$Y$7:$Y$594)-ROW('All Player Data Store'!$Y$7)+1),COUNTIF($AC$8:AC305,AC305))),"")</f>
        <v/>
      </c>
      <c r="U305" s="108" t="str">
        <f t="array" ref="U305">IF(ISNUMBER(AC305),INDEX('All Player Data Store'!$Q$7:$Q$594,SMALL(IF('All Player Data Store'!$Y$7:$Y$594=AC305,ROW('All Player Data Store'!$Y$7:$Y$594)-ROW('All Player Data Store'!$Y$7)+1),COUNTIF($AC$8:AC305,AC305))),"")</f>
        <v/>
      </c>
      <c r="V305" s="108" t="str">
        <f t="array" ref="V305">IF(ISNUMBER(AC305),INDEX('All Player Data Store'!$R$7:$R$594,SMALL(IF('All Player Data Store'!$Y$7:$Y$594=AC305,ROW('All Player Data Store'!$Y$7:$Y$594)-ROW('All Player Data Store'!$Y$7)+1),COUNTIF($AC$8:AC305,AC305))),"")</f>
        <v/>
      </c>
      <c r="W305" s="108" t="str">
        <f t="array" ref="W305">IF(ISNUMBER(AC305),INDEX('All Player Data Store'!$S$7:$S$594,SMALL(IF('All Player Data Store'!$Y$7:$Y$594=AC305,ROW('All Player Data Store'!$Y$7:$Y$594)-ROW('All Player Data Store'!$Y$7)+1),COUNTIF($AC$8:AC305,AC305))),"")</f>
        <v/>
      </c>
      <c r="X305" s="108" t="str">
        <f t="array" ref="X305">IF(ISNUMBER(AC305),INDEX('All Player Data Store'!$T$7:$T$594,SMALL(IF('All Player Data Store'!$Y$7:$Y$594=AC305,ROW('All Player Data Store'!$Y$7:$Y$594)-ROW('All Player Data Store'!$Y$7)+1),COUNTIF($AC$8:AC305,AC305))),"")</f>
        <v/>
      </c>
      <c r="Y305" s="108" t="str">
        <f t="array" ref="Y305">IF(ISNUMBER(AC305),INDEX('All Player Data Store'!$U$7:$U$594,SMALL(IF('All Player Data Store'!$Y$7:$Y$594=AC305,ROW('All Player Data Store'!$Y$7:$Y$594)-ROW('All Player Data Store'!$Y$7)+1),COUNTIF($AC$8:AC305,AC305))),"")</f>
        <v/>
      </c>
      <c r="Z305" s="108" t="str">
        <f t="array" ref="Z305">IF(ISNUMBER(AC305),INDEX('All Player Data Store'!$V$7:$V$594,SMALL(IF('All Player Data Store'!$Y$7:$Y$594=AC305,ROW('All Player Data Store'!$Y$7:$Y$594)-ROW('All Player Data Store'!$Y$7)+1),COUNTIF($AC$8:AC305,AC305))),"")</f>
        <v/>
      </c>
      <c r="AA305" s="112" t="str">
        <f t="array" ref="AA305">IF(ISNUMBER(AC305),INDEX('All Player Data Store'!$W$7:$W$594,SMALL(IF('All Player Data Store'!$Y$7:$Y$594=AC305,ROW('All Player Data Store'!$Y$7:$Y$594)-ROW('All Player Data Store'!$Y$7)+1),COUNTIF($AC$8:AC305,AC305))),"")</f>
        <v/>
      </c>
      <c r="AB305" s="108" t="str">
        <f t="array" ref="AB305">IF(ISNUMBER(AC305),INDEX('All Player Data Store'!$X$7:$X$594,SMALL(IF('All Player Data Store'!$Y$7:$Y$594=AC305,ROW('All Player Data Store'!$Y$7:$Y$594)-ROW('All Player Data Store'!$Y$7)+1),COUNTIF($AC$8:AC305,AC305))),"")</f>
        <v/>
      </c>
      <c r="AC305" s="115" t="str">
        <f>IF(ISERROR(IF(ISERROR(LARGE('All Player Data Store'!$Y$7:$Y$594,298)),"",(LARGE('All Player Data Store'!$Y$7:$Y$594,298)))),"",(IF(ISERROR(LARGE('All Player Data Store'!$Y$7:$Y$594,298)),"",(LARGE('All Player Data Store'!$Y$7:$Y$594,298)))))</f>
        <v/>
      </c>
      <c r="AD305" s="106">
        <f t="shared" si="16"/>
        <v>1</v>
      </c>
      <c r="AE305" s="107" t="str">
        <f t="array" ref="AE305">IF(ISNUMBER(AC305),INDEX('All Player Data Store'!$J$8:$J$594,SMALL(IF('All Player Data Store'!$Y$7:$Y$594=AC305,ROW('All Player Data Store'!$Y$7:$Y$594)-ROW('All Player Data Store'!$Y$7)+1),COUNTIF($AC$8:AC305,AC305))),"")</f>
        <v/>
      </c>
      <c r="AF305" s="108" t="str">
        <f t="shared" si="19"/>
        <v/>
      </c>
      <c r="AG305" s="108" t="str">
        <f t="array" ref="AG305">IF(ISNUMBER(AC305),INDEX('All Player Data Store'!$K$8:$K$594,SMALL(IF('All Player Data Store'!$Y$7:$Y$594=AC305,ROW('All Player Data Store'!$Y$7:$Y$594)-ROW('All Player Data Store'!$Y$7)+1),COUNTIF($AC$8:AC305,AC305))),"")</f>
        <v/>
      </c>
      <c r="AH305" s="108" t="str">
        <f t="shared" si="20"/>
        <v/>
      </c>
      <c r="AI305" s="108" t="str">
        <f t="array" ref="AI305">IF(ISNUMBER(AC305),INDEX('All Player Data Store'!$L$8:$L$594,SMALL(IF('All Player Data Store'!$Y$7:$Y$594=AC305,ROW('All Player Data Store'!$Y$7:$Y$594)-ROW('All Player Data Store'!$Y$7)+1),COUNTIF($AC$8:AC305,AC305))),"")</f>
        <v/>
      </c>
      <c r="AJ305" s="108" t="str">
        <f t="shared" si="21"/>
        <v/>
      </c>
      <c r="AK305" s="108" t="str">
        <f t="array" ref="AK305">IF(ISNUMBER(AC305),INDEX('All Player Data Store'!$M$8:$M$594,SMALL(IF('All Player Data Store'!$Y$7:$Y$594=AC305,ROW('All Player Data Store'!$Y$7:$Y$594)-ROW('All Player Data Store'!$Y$7)+1),COUNTIF($AC$8:AC305,AC305))),"")</f>
        <v/>
      </c>
      <c r="AL305" s="108" t="str">
        <f t="shared" si="22"/>
        <v/>
      </c>
      <c r="AM305" s="108" t="str">
        <f t="array" ref="AM305">IF(ISNUMBER(AC305),INDEX('All Player Data Store'!$N$8:$N$594,SMALL(IF('All Player Data Store'!$Y$7:$Y$594=AC305,ROW('All Player Data Store'!$Y$7:$Y$594)-ROW('All Player Data Store'!$Y$7)+1),COUNTIF($AC$8:AC305,AC305))),"")</f>
        <v/>
      </c>
      <c r="AN305" s="108" t="str">
        <f t="shared" si="23"/>
        <v/>
      </c>
      <c r="AO305" s="108" t="str">
        <f t="array" ref="AO305">IF(ISNUMBER(AC305),INDEX('All Player Data Store'!$O$8:$O$594,SMALL(IF('All Player Data Store'!$Y$7:$Y$594=AC305,ROW('All Player Data Store'!$Y$7:$Y$594)-ROW('All Player Data Store'!$Y$7)+1),COUNTIF($AC$8:AC305,AC305))),"")</f>
        <v/>
      </c>
      <c r="AP305" s="108" t="str">
        <f t="shared" si="24"/>
        <v/>
      </c>
      <c r="AQ305" s="108" t="str">
        <f t="array" ref="AQ305">IF(ISNUMBER(AC305),INDEX('All Player Data Store'!$P$8:$P$594,SMALL(IF('All Player Data Store'!$Y$7:$Y$594=AC305,ROW('All Player Data Store'!$Y$7:$Y$594)-ROW('All Player Data Store'!$Y$7)+1),COUNTIF($AC$8:AC305,AC305))),"")</f>
        <v/>
      </c>
      <c r="AR305" s="108" t="str">
        <f t="shared" si="25"/>
        <v/>
      </c>
      <c r="AS305" s="108" t="str">
        <f t="array" ref="AS305">IF(ISNUMBER(AC305),INDEX('All Player Data Store'!$Q$8:$Q$594,SMALL(IF('All Player Data Store'!$Y$7:$Y$594=AC305,ROW('All Player Data Store'!$Y$7:$Y$594)-ROW('All Player Data Store'!$Y$7)+1),COUNTIF($AC$8:AC305,AC305))),"")</f>
        <v/>
      </c>
      <c r="AT305" s="108" t="str">
        <f t="shared" si="26"/>
        <v/>
      </c>
      <c r="AU305" s="108" t="str">
        <f t="array" ref="AU305">IF(ISNUMBER(AC305),INDEX('All Player Data Store'!$R$8:$R$594,SMALL(IF('All Player Data Store'!$Y$7:$Y$594=AC305,ROW('All Player Data Store'!$Y$7:$Y$594)-ROW('All Player Data Store'!$Y$7)+1),COUNTIF($AC$8:AC305,AC305))),"")</f>
        <v/>
      </c>
      <c r="AV305" s="108" t="str">
        <f t="shared" si="27"/>
        <v/>
      </c>
      <c r="AW305" s="108" t="str">
        <f t="array" ref="AW305">IF(ISNUMBER(AC305),INDEX('All Player Data Store'!$S$8:$S$594,SMALL(IF('All Player Data Store'!$Y$7:$Y$594=AC305,ROW('All Player Data Store'!$Y$7:$Y$594)-ROW('All Player Data Store'!$Y$7)+1),COUNTIF($AC$8:AC305,AC305))),"")</f>
        <v/>
      </c>
      <c r="AX305" s="108" t="str">
        <f t="shared" si="28"/>
        <v/>
      </c>
      <c r="AY305" s="108" t="str">
        <f t="array" ref="AY305">IF(ISNUMBER(AC305),INDEX('All Player Data Store'!$T$8:$T$594,SMALL(IF('All Player Data Store'!$Y$7:$Y$594=AC305,ROW('All Player Data Store'!$Y$7:$Y$594)-ROW('All Player Data Store'!$Y$7)+1),COUNTIF($AC$8:AC305,AC305))),"")</f>
        <v/>
      </c>
      <c r="AZ305" s="108" t="str">
        <f t="shared" si="29"/>
        <v/>
      </c>
      <c r="BA305" s="108" t="str">
        <f t="array" ref="BA305">IF(ISNUMBER(AC305),INDEX('All Player Data Store'!$U$8:$U$594,SMALL(IF('All Player Data Store'!$Y$7:$Y$594=AC305,ROW('All Player Data Store'!$Y$7:$Y$594)-ROW('All Player Data Store'!$Y$7)+1),COUNTIF($AC$8:AC305,AC305))),"")</f>
        <v/>
      </c>
      <c r="BB305" s="108" t="str">
        <f t="shared" si="30"/>
        <v/>
      </c>
      <c r="BC305" s="108" t="str">
        <f t="array" ref="BC305">IF(ISNUMBER(AC305),INDEX('All Player Data Store'!$V$8:$V$594,SMALL(IF('All Player Data Store'!$Y$7:$Y$594=AC305,ROW('All Player Data Store'!$Y$7:$Y$594)-ROW('All Player Data Store'!$Y$7)+1),COUNTIF($AC$8:AC305,AC305))),"")</f>
        <v/>
      </c>
      <c r="BD305" s="108" t="str">
        <f t="shared" si="31"/>
        <v/>
      </c>
      <c r="BE305" s="1"/>
    </row>
    <row r="306" spans="2:57" ht="12" customHeight="1" x14ac:dyDescent="0.2">
      <c r="B306" s="118" t="str">
        <f t="shared" si="17"/>
        <v/>
      </c>
      <c r="C306" s="1"/>
      <c r="D306" s="68" t="str">
        <f t="shared" si="18"/>
        <v/>
      </c>
      <c r="E306" s="2"/>
      <c r="F306" s="78">
        <v>299</v>
      </c>
      <c r="G306" s="110" t="str">
        <f t="array" ref="G306">IF(ISNUMBER(AC306),INDEX('All Player Data Store'!$C$7:$C$594,SMALL(IF('All Player Data Store'!$Y$7:$Y$594=AC306,ROW('All Player Data Store'!$Y$7:$Y$594)-ROW('All Player Data Store'!$Y$7)+1),COUNTIF($AC$8:AC306,AC306))),"")</f>
        <v/>
      </c>
      <c r="H306" s="68" t="str">
        <f t="array" ref="H306">IF(ISNUMBER(AC306),INDEX('All Player Data Store'!$D$7:$D$594,SMALL(IF('All Player Data Store'!$Y$7:$Y$594=AC306,ROW('All Player Data Store'!$Y$7:$Y$594)-ROW('All Player Data Store'!$Y$7)+1),COUNTIF($AC$8:AC306,AC306))),"")</f>
        <v/>
      </c>
      <c r="I306" s="69" t="str">
        <f t="array" ref="I306">IF(ISNUMBER(AC306),INDEX('All Player Data Store'!$E$7:$E$594,SMALL(IF('All Player Data Store'!$Y$7:$Y$594=AC306,ROW('All Player Data Store'!$Y$7:$Y$594)-ROW('All Player Data Store'!$Y$7)+1),COUNTIF($AC$8:AC306,AC306))),"")</f>
        <v/>
      </c>
      <c r="J306" s="70" t="str">
        <f t="array" ref="J306">IF(ISNUMBER(AC306),INDEX('All Player Data Store'!$F$7:$F$594,SMALL(IF('All Player Data Store'!$Y$7:$Y$594=AC306,ROW('All Player Data Store'!$Y$7:$Y$594)-ROW('All Player Data Store'!$Y$7)+1),COUNTIF($AC$8:AC306,AC306))),"")</f>
        <v/>
      </c>
      <c r="K306" s="70" t="str">
        <f t="array" ref="K306">IF(ISNUMBER(AC306),INDEX('All Player Data Store'!$G$7:$G$594,SMALL(IF('All Player Data Store'!$Y$7:$Y$594=AC306,ROW('All Player Data Store'!$Y$7:$Y$594)-ROW('All Player Data Store'!$Y$7)+1),COUNTIF($AC$8:AC306,AC306))),"")</f>
        <v/>
      </c>
      <c r="L306" s="70" t="str">
        <f t="array" ref="L306">IF(ISNUMBER(AC306),INDEX('All Player Data Store'!$H$7:$H$594,SMALL(IF('All Player Data Store'!$Y$7:$Y$594=AC306,ROW('All Player Data Store'!$Y$7:$Y$594)-ROW('All Player Data Store'!$Y$7)+1),COUNTIF($AC$8:AC306,AC306))),"")</f>
        <v/>
      </c>
      <c r="M306" s="72" t="str">
        <f t="array" ref="M306">IF(ISNUMBER(AC306),INDEX('All Player Data Store'!$I$7:$I$594,SMALL(IF('All Player Data Store'!$Y$7:$Y$594=AC306,ROW('All Player Data Store'!$Y$7:$Y$594)-ROW('All Player Data Store'!$Y$7)+1),COUNTIF($AC$8:AC306,AC306))),"")</f>
        <v/>
      </c>
      <c r="N306" s="114" t="str">
        <f t="array" ref="N306">IF(ISNUMBER(AC306),INDEX('All Player Data Store'!$J$7:$J$594,SMALL(IF('All Player Data Store'!$Y$7:$Y$594=AC306,ROW('All Player Data Store'!$Y$7:$Y$594)-ROW('All Player Data Store'!$Y$7)+1),COUNTIF($AC$8:AC306,AC306))),"")</f>
        <v/>
      </c>
      <c r="O306" s="108" t="str">
        <f t="array" ref="O306">IF(ISNUMBER(AC306),INDEX('All Player Data Store'!$K$7:$K$594,SMALL(IF('All Player Data Store'!$Y$7:$Y$594=AC306,ROW('All Player Data Store'!$Y$7:$Y$594)-ROW('All Player Data Store'!$Y$7)+1),COUNTIF($AC$8:AC306,AC306))),"")</f>
        <v/>
      </c>
      <c r="P306" s="108" t="str">
        <f t="array" ref="P306">IF(ISNUMBER(AC306),INDEX('All Player Data Store'!$L$7:$L$594,SMALL(IF('All Player Data Store'!$Y$7:$Y$594=AC306,ROW('All Player Data Store'!$Y$7:$Y$594)-ROW('All Player Data Store'!$Y$7)+1),COUNTIF($AC$8:AC306,AC306))),"")</f>
        <v/>
      </c>
      <c r="Q306" s="108" t="str">
        <f t="array" ref="Q306">IF(ISNUMBER(AC306),INDEX('All Player Data Store'!$M$7:$M$594,SMALL(IF('All Player Data Store'!$Y$7:$Y$594=AC306,ROW('All Player Data Store'!$Y$7:$Y$594)-ROW('All Player Data Store'!$Y$7)+1),COUNTIF($AC$8:AC306,AC306))),"")</f>
        <v/>
      </c>
      <c r="R306" s="108" t="str">
        <f t="array" ref="R306">IF(ISNUMBER(AC306),INDEX('All Player Data Store'!$N$7:$N$594,SMALL(IF('All Player Data Store'!$Y$7:$Y$594=AC306,ROW('All Player Data Store'!$Y$7:$Y$594)-ROW('All Player Data Store'!$Y$7)+1),COUNTIF($AC$8:AC306,AC306))),"")</f>
        <v/>
      </c>
      <c r="S306" s="108" t="str">
        <f t="array" ref="S306">IF(ISNUMBER(AC306),INDEX('All Player Data Store'!$O$7:$O$594,SMALL(IF('All Player Data Store'!$Y$7:$Y$594=AC306,ROW('All Player Data Store'!$Y$7:$Y$594)-ROW('All Player Data Store'!$Y$7)+1),COUNTIF($AC$8:AC306,AC306))),"")</f>
        <v/>
      </c>
      <c r="T306" s="108" t="str">
        <f t="array" ref="T306">IF(ISNUMBER(AC306),INDEX('All Player Data Store'!$P$7:$P$594,SMALL(IF('All Player Data Store'!$Y$7:$Y$594=AC306,ROW('All Player Data Store'!$Y$7:$Y$594)-ROW('All Player Data Store'!$Y$7)+1),COUNTIF($AC$8:AC306,AC306))),"")</f>
        <v/>
      </c>
      <c r="U306" s="108" t="str">
        <f t="array" ref="U306">IF(ISNUMBER(AC306),INDEX('All Player Data Store'!$Q$7:$Q$594,SMALL(IF('All Player Data Store'!$Y$7:$Y$594=AC306,ROW('All Player Data Store'!$Y$7:$Y$594)-ROW('All Player Data Store'!$Y$7)+1),COUNTIF($AC$8:AC306,AC306))),"")</f>
        <v/>
      </c>
      <c r="V306" s="108" t="str">
        <f t="array" ref="V306">IF(ISNUMBER(AC306),INDEX('All Player Data Store'!$R$7:$R$594,SMALL(IF('All Player Data Store'!$Y$7:$Y$594=AC306,ROW('All Player Data Store'!$Y$7:$Y$594)-ROW('All Player Data Store'!$Y$7)+1),COUNTIF($AC$8:AC306,AC306))),"")</f>
        <v/>
      </c>
      <c r="W306" s="108" t="str">
        <f t="array" ref="W306">IF(ISNUMBER(AC306),INDEX('All Player Data Store'!$S$7:$S$594,SMALL(IF('All Player Data Store'!$Y$7:$Y$594=AC306,ROW('All Player Data Store'!$Y$7:$Y$594)-ROW('All Player Data Store'!$Y$7)+1),COUNTIF($AC$8:AC306,AC306))),"")</f>
        <v/>
      </c>
      <c r="X306" s="108" t="str">
        <f t="array" ref="X306">IF(ISNUMBER(AC306),INDEX('All Player Data Store'!$T$7:$T$594,SMALL(IF('All Player Data Store'!$Y$7:$Y$594=AC306,ROW('All Player Data Store'!$Y$7:$Y$594)-ROW('All Player Data Store'!$Y$7)+1),COUNTIF($AC$8:AC306,AC306))),"")</f>
        <v/>
      </c>
      <c r="Y306" s="108" t="str">
        <f t="array" ref="Y306">IF(ISNUMBER(AC306),INDEX('All Player Data Store'!$U$7:$U$594,SMALL(IF('All Player Data Store'!$Y$7:$Y$594=AC306,ROW('All Player Data Store'!$Y$7:$Y$594)-ROW('All Player Data Store'!$Y$7)+1),COUNTIF($AC$8:AC306,AC306))),"")</f>
        <v/>
      </c>
      <c r="Z306" s="108" t="str">
        <f t="array" ref="Z306">IF(ISNUMBER(AC306),INDEX('All Player Data Store'!$V$7:$V$594,SMALL(IF('All Player Data Store'!$Y$7:$Y$594=AC306,ROW('All Player Data Store'!$Y$7:$Y$594)-ROW('All Player Data Store'!$Y$7)+1),COUNTIF($AC$8:AC306,AC306))),"")</f>
        <v/>
      </c>
      <c r="AA306" s="112" t="str">
        <f t="array" ref="AA306">IF(ISNUMBER(AC306),INDEX('All Player Data Store'!$W$7:$W$594,SMALL(IF('All Player Data Store'!$Y$7:$Y$594=AC306,ROW('All Player Data Store'!$Y$7:$Y$594)-ROW('All Player Data Store'!$Y$7)+1),COUNTIF($AC$8:AC306,AC306))),"")</f>
        <v/>
      </c>
      <c r="AB306" s="108" t="str">
        <f t="array" ref="AB306">IF(ISNUMBER(AC306),INDEX('All Player Data Store'!$X$7:$X$594,SMALL(IF('All Player Data Store'!$Y$7:$Y$594=AC306,ROW('All Player Data Store'!$Y$7:$Y$594)-ROW('All Player Data Store'!$Y$7)+1),COUNTIF($AC$8:AC306,AC306))),"")</f>
        <v/>
      </c>
      <c r="AC306" s="115" t="str">
        <f>IF(ISERROR(IF(ISERROR(LARGE('All Player Data Store'!$Y$7:$Y$594,299)),"",(LARGE('All Player Data Store'!$Y$7:$Y$594,299)))),"",(IF(ISERROR(LARGE('All Player Data Store'!$Y$7:$Y$594,299)),"",(LARGE('All Player Data Store'!$Y$7:$Y$594,299)))))</f>
        <v/>
      </c>
      <c r="AD306" s="106">
        <f t="shared" si="16"/>
        <v>1</v>
      </c>
      <c r="AE306" s="107" t="str">
        <f t="array" ref="AE306">IF(ISNUMBER(AC306),INDEX('All Player Data Store'!$J$8:$J$594,SMALL(IF('All Player Data Store'!$Y$7:$Y$594=AC306,ROW('All Player Data Store'!$Y$7:$Y$594)-ROW('All Player Data Store'!$Y$7)+1),COUNTIF($AC$8:AC306,AC306))),"")</f>
        <v/>
      </c>
      <c r="AF306" s="108" t="str">
        <f t="shared" si="19"/>
        <v/>
      </c>
      <c r="AG306" s="108" t="str">
        <f t="array" ref="AG306">IF(ISNUMBER(AC306),INDEX('All Player Data Store'!$K$8:$K$594,SMALL(IF('All Player Data Store'!$Y$7:$Y$594=AC306,ROW('All Player Data Store'!$Y$7:$Y$594)-ROW('All Player Data Store'!$Y$7)+1),COUNTIF($AC$8:AC306,AC306))),"")</f>
        <v/>
      </c>
      <c r="AH306" s="108" t="str">
        <f t="shared" si="20"/>
        <v/>
      </c>
      <c r="AI306" s="108" t="str">
        <f t="array" ref="AI306">IF(ISNUMBER(AC306),INDEX('All Player Data Store'!$L$8:$L$594,SMALL(IF('All Player Data Store'!$Y$7:$Y$594=AC306,ROW('All Player Data Store'!$Y$7:$Y$594)-ROW('All Player Data Store'!$Y$7)+1),COUNTIF($AC$8:AC306,AC306))),"")</f>
        <v/>
      </c>
      <c r="AJ306" s="108" t="str">
        <f t="shared" si="21"/>
        <v/>
      </c>
      <c r="AK306" s="108" t="str">
        <f t="array" ref="AK306">IF(ISNUMBER(AC306),INDEX('All Player Data Store'!$M$8:$M$594,SMALL(IF('All Player Data Store'!$Y$7:$Y$594=AC306,ROW('All Player Data Store'!$Y$7:$Y$594)-ROW('All Player Data Store'!$Y$7)+1),COUNTIF($AC$8:AC306,AC306))),"")</f>
        <v/>
      </c>
      <c r="AL306" s="108" t="str">
        <f t="shared" si="22"/>
        <v/>
      </c>
      <c r="AM306" s="108" t="str">
        <f t="array" ref="AM306">IF(ISNUMBER(AC306),INDEX('All Player Data Store'!$N$8:$N$594,SMALL(IF('All Player Data Store'!$Y$7:$Y$594=AC306,ROW('All Player Data Store'!$Y$7:$Y$594)-ROW('All Player Data Store'!$Y$7)+1),COUNTIF($AC$8:AC306,AC306))),"")</f>
        <v/>
      </c>
      <c r="AN306" s="108" t="str">
        <f t="shared" si="23"/>
        <v/>
      </c>
      <c r="AO306" s="108" t="str">
        <f t="array" ref="AO306">IF(ISNUMBER(AC306),INDEX('All Player Data Store'!$O$8:$O$594,SMALL(IF('All Player Data Store'!$Y$7:$Y$594=AC306,ROW('All Player Data Store'!$Y$7:$Y$594)-ROW('All Player Data Store'!$Y$7)+1),COUNTIF($AC$8:AC306,AC306))),"")</f>
        <v/>
      </c>
      <c r="AP306" s="108" t="str">
        <f t="shared" si="24"/>
        <v/>
      </c>
      <c r="AQ306" s="108" t="str">
        <f t="array" ref="AQ306">IF(ISNUMBER(AC306),INDEX('All Player Data Store'!$P$8:$P$594,SMALL(IF('All Player Data Store'!$Y$7:$Y$594=AC306,ROW('All Player Data Store'!$Y$7:$Y$594)-ROW('All Player Data Store'!$Y$7)+1),COUNTIF($AC$8:AC306,AC306))),"")</f>
        <v/>
      </c>
      <c r="AR306" s="108" t="str">
        <f t="shared" si="25"/>
        <v/>
      </c>
      <c r="AS306" s="108" t="str">
        <f t="array" ref="AS306">IF(ISNUMBER(AC306),INDEX('All Player Data Store'!$Q$8:$Q$594,SMALL(IF('All Player Data Store'!$Y$7:$Y$594=AC306,ROW('All Player Data Store'!$Y$7:$Y$594)-ROW('All Player Data Store'!$Y$7)+1),COUNTIF($AC$8:AC306,AC306))),"")</f>
        <v/>
      </c>
      <c r="AT306" s="108" t="str">
        <f t="shared" si="26"/>
        <v/>
      </c>
      <c r="AU306" s="108" t="str">
        <f t="array" ref="AU306">IF(ISNUMBER(AC306),INDEX('All Player Data Store'!$R$8:$R$594,SMALL(IF('All Player Data Store'!$Y$7:$Y$594=AC306,ROW('All Player Data Store'!$Y$7:$Y$594)-ROW('All Player Data Store'!$Y$7)+1),COUNTIF($AC$8:AC306,AC306))),"")</f>
        <v/>
      </c>
      <c r="AV306" s="108" t="str">
        <f t="shared" si="27"/>
        <v/>
      </c>
      <c r="AW306" s="108" t="str">
        <f t="array" ref="AW306">IF(ISNUMBER(AC306),INDEX('All Player Data Store'!$S$8:$S$594,SMALL(IF('All Player Data Store'!$Y$7:$Y$594=AC306,ROW('All Player Data Store'!$Y$7:$Y$594)-ROW('All Player Data Store'!$Y$7)+1),COUNTIF($AC$8:AC306,AC306))),"")</f>
        <v/>
      </c>
      <c r="AX306" s="108" t="str">
        <f t="shared" si="28"/>
        <v/>
      </c>
      <c r="AY306" s="108" t="str">
        <f t="array" ref="AY306">IF(ISNUMBER(AC306),INDEX('All Player Data Store'!$T$8:$T$594,SMALL(IF('All Player Data Store'!$Y$7:$Y$594=AC306,ROW('All Player Data Store'!$Y$7:$Y$594)-ROW('All Player Data Store'!$Y$7)+1),COUNTIF($AC$8:AC306,AC306))),"")</f>
        <v/>
      </c>
      <c r="AZ306" s="108" t="str">
        <f t="shared" si="29"/>
        <v/>
      </c>
      <c r="BA306" s="108" t="str">
        <f t="array" ref="BA306">IF(ISNUMBER(AC306),INDEX('All Player Data Store'!$U$8:$U$594,SMALL(IF('All Player Data Store'!$Y$7:$Y$594=AC306,ROW('All Player Data Store'!$Y$7:$Y$594)-ROW('All Player Data Store'!$Y$7)+1),COUNTIF($AC$8:AC306,AC306))),"")</f>
        <v/>
      </c>
      <c r="BB306" s="108" t="str">
        <f t="shared" si="30"/>
        <v/>
      </c>
      <c r="BC306" s="108" t="str">
        <f t="array" ref="BC306">IF(ISNUMBER(AC306),INDEX('All Player Data Store'!$V$8:$V$594,SMALL(IF('All Player Data Store'!$Y$7:$Y$594=AC306,ROW('All Player Data Store'!$Y$7:$Y$594)-ROW('All Player Data Store'!$Y$7)+1),COUNTIF($AC$8:AC306,AC306))),"")</f>
        <v/>
      </c>
      <c r="BD306" s="108" t="str">
        <f t="shared" si="31"/>
        <v/>
      </c>
      <c r="BE306" s="1"/>
    </row>
    <row r="307" spans="2:57" ht="12" customHeight="1" x14ac:dyDescent="0.2">
      <c r="B307" s="118" t="str">
        <f t="shared" si="17"/>
        <v/>
      </c>
      <c r="C307" s="1"/>
      <c r="D307" s="68" t="str">
        <f t="shared" si="18"/>
        <v/>
      </c>
      <c r="E307" s="2"/>
      <c r="F307" s="78">
        <v>300</v>
      </c>
      <c r="G307" s="110" t="str">
        <f t="array" ref="G307">IF(ISNUMBER(AC307),INDEX('All Player Data Store'!$C$7:$C$594,SMALL(IF('All Player Data Store'!$Y$7:$Y$594=AC307,ROW('All Player Data Store'!$Y$7:$Y$594)-ROW('All Player Data Store'!$Y$7)+1),COUNTIF($AC$8:AC307,AC307))),"")</f>
        <v/>
      </c>
      <c r="H307" s="68" t="str">
        <f t="array" ref="H307">IF(ISNUMBER(AC307),INDEX('All Player Data Store'!$D$7:$D$594,SMALL(IF('All Player Data Store'!$Y$7:$Y$594=AC307,ROW('All Player Data Store'!$Y$7:$Y$594)-ROW('All Player Data Store'!$Y$7)+1),COUNTIF($AC$8:AC307,AC307))),"")</f>
        <v/>
      </c>
      <c r="I307" s="69" t="str">
        <f t="array" ref="I307">IF(ISNUMBER(AC307),INDEX('All Player Data Store'!$E$7:$E$594,SMALL(IF('All Player Data Store'!$Y$7:$Y$594=AC307,ROW('All Player Data Store'!$Y$7:$Y$594)-ROW('All Player Data Store'!$Y$7)+1),COUNTIF($AC$8:AC307,AC307))),"")</f>
        <v/>
      </c>
      <c r="J307" s="70" t="str">
        <f t="array" ref="J307">IF(ISNUMBER(AC307),INDEX('All Player Data Store'!$F$7:$F$594,SMALL(IF('All Player Data Store'!$Y$7:$Y$594=AC307,ROW('All Player Data Store'!$Y$7:$Y$594)-ROW('All Player Data Store'!$Y$7)+1),COUNTIF($AC$8:AC307,AC307))),"")</f>
        <v/>
      </c>
      <c r="K307" s="70" t="str">
        <f t="array" ref="K307">IF(ISNUMBER(AC307),INDEX('All Player Data Store'!$G$7:$G$594,SMALL(IF('All Player Data Store'!$Y$7:$Y$594=AC307,ROW('All Player Data Store'!$Y$7:$Y$594)-ROW('All Player Data Store'!$Y$7)+1),COUNTIF($AC$8:AC307,AC307))),"")</f>
        <v/>
      </c>
      <c r="L307" s="70" t="str">
        <f t="array" ref="L307">IF(ISNUMBER(AC307),INDEX('All Player Data Store'!$H$7:$H$594,SMALL(IF('All Player Data Store'!$Y$7:$Y$594=AC307,ROW('All Player Data Store'!$Y$7:$Y$594)-ROW('All Player Data Store'!$Y$7)+1),COUNTIF($AC$8:AC307,AC307))),"")</f>
        <v/>
      </c>
      <c r="M307" s="72" t="str">
        <f t="array" ref="M307">IF(ISNUMBER(AC307),INDEX('All Player Data Store'!$I$7:$I$594,SMALL(IF('All Player Data Store'!$Y$7:$Y$594=AC307,ROW('All Player Data Store'!$Y$7:$Y$594)-ROW('All Player Data Store'!$Y$7)+1),COUNTIF($AC$8:AC307,AC307))),"")</f>
        <v/>
      </c>
      <c r="N307" s="114" t="str">
        <f t="array" ref="N307">IF(ISNUMBER(AC307),INDEX('All Player Data Store'!$J$7:$J$594,SMALL(IF('All Player Data Store'!$Y$7:$Y$594=AC307,ROW('All Player Data Store'!$Y$7:$Y$594)-ROW('All Player Data Store'!$Y$7)+1),COUNTIF($AC$8:AC307,AC307))),"")</f>
        <v/>
      </c>
      <c r="O307" s="108" t="str">
        <f t="array" ref="O307">IF(ISNUMBER(AC307),INDEX('All Player Data Store'!$K$7:$K$594,SMALL(IF('All Player Data Store'!$Y$7:$Y$594=AC307,ROW('All Player Data Store'!$Y$7:$Y$594)-ROW('All Player Data Store'!$Y$7)+1),COUNTIF($AC$8:AC307,AC307))),"")</f>
        <v/>
      </c>
      <c r="P307" s="108" t="str">
        <f t="array" ref="P307">IF(ISNUMBER(AC307),INDEX('All Player Data Store'!$L$7:$L$594,SMALL(IF('All Player Data Store'!$Y$7:$Y$594=AC307,ROW('All Player Data Store'!$Y$7:$Y$594)-ROW('All Player Data Store'!$Y$7)+1),COUNTIF($AC$8:AC307,AC307))),"")</f>
        <v/>
      </c>
      <c r="Q307" s="108" t="str">
        <f t="array" ref="Q307">IF(ISNUMBER(AC307),INDEX('All Player Data Store'!$M$7:$M$594,SMALL(IF('All Player Data Store'!$Y$7:$Y$594=AC307,ROW('All Player Data Store'!$Y$7:$Y$594)-ROW('All Player Data Store'!$Y$7)+1),COUNTIF($AC$8:AC307,AC307))),"")</f>
        <v/>
      </c>
      <c r="R307" s="108" t="str">
        <f t="array" ref="R307">IF(ISNUMBER(AC307),INDEX('All Player Data Store'!$N$7:$N$594,SMALL(IF('All Player Data Store'!$Y$7:$Y$594=AC307,ROW('All Player Data Store'!$Y$7:$Y$594)-ROW('All Player Data Store'!$Y$7)+1),COUNTIF($AC$8:AC307,AC307))),"")</f>
        <v/>
      </c>
      <c r="S307" s="108" t="str">
        <f t="array" ref="S307">IF(ISNUMBER(AC307),INDEX('All Player Data Store'!$O$7:$O$594,SMALL(IF('All Player Data Store'!$Y$7:$Y$594=AC307,ROW('All Player Data Store'!$Y$7:$Y$594)-ROW('All Player Data Store'!$Y$7)+1),COUNTIF($AC$8:AC307,AC307))),"")</f>
        <v/>
      </c>
      <c r="T307" s="108" t="str">
        <f t="array" ref="T307">IF(ISNUMBER(AC307),INDEX('All Player Data Store'!$P$7:$P$594,SMALL(IF('All Player Data Store'!$Y$7:$Y$594=AC307,ROW('All Player Data Store'!$Y$7:$Y$594)-ROW('All Player Data Store'!$Y$7)+1),COUNTIF($AC$8:AC307,AC307))),"")</f>
        <v/>
      </c>
      <c r="U307" s="108" t="str">
        <f t="array" ref="U307">IF(ISNUMBER(AC307),INDEX('All Player Data Store'!$Q$7:$Q$594,SMALL(IF('All Player Data Store'!$Y$7:$Y$594=AC307,ROW('All Player Data Store'!$Y$7:$Y$594)-ROW('All Player Data Store'!$Y$7)+1),COUNTIF($AC$8:AC307,AC307))),"")</f>
        <v/>
      </c>
      <c r="V307" s="108" t="str">
        <f t="array" ref="V307">IF(ISNUMBER(AC307),INDEX('All Player Data Store'!$R$7:$R$594,SMALL(IF('All Player Data Store'!$Y$7:$Y$594=AC307,ROW('All Player Data Store'!$Y$7:$Y$594)-ROW('All Player Data Store'!$Y$7)+1),COUNTIF($AC$8:AC307,AC307))),"")</f>
        <v/>
      </c>
      <c r="W307" s="108" t="str">
        <f t="array" ref="W307">IF(ISNUMBER(AC307),INDEX('All Player Data Store'!$S$7:$S$594,SMALL(IF('All Player Data Store'!$Y$7:$Y$594=AC307,ROW('All Player Data Store'!$Y$7:$Y$594)-ROW('All Player Data Store'!$Y$7)+1),COUNTIF($AC$8:AC307,AC307))),"")</f>
        <v/>
      </c>
      <c r="X307" s="108" t="str">
        <f t="array" ref="X307">IF(ISNUMBER(AC307),INDEX('All Player Data Store'!$T$7:$T$594,SMALL(IF('All Player Data Store'!$Y$7:$Y$594=AC307,ROW('All Player Data Store'!$Y$7:$Y$594)-ROW('All Player Data Store'!$Y$7)+1),COUNTIF($AC$8:AC307,AC307))),"")</f>
        <v/>
      </c>
      <c r="Y307" s="108" t="str">
        <f t="array" ref="Y307">IF(ISNUMBER(AC307),INDEX('All Player Data Store'!$U$7:$U$594,SMALL(IF('All Player Data Store'!$Y$7:$Y$594=AC307,ROW('All Player Data Store'!$Y$7:$Y$594)-ROW('All Player Data Store'!$Y$7)+1),COUNTIF($AC$8:AC307,AC307))),"")</f>
        <v/>
      </c>
      <c r="Z307" s="108" t="str">
        <f t="array" ref="Z307">IF(ISNUMBER(AC307),INDEX('All Player Data Store'!$V$7:$V$594,SMALL(IF('All Player Data Store'!$Y$7:$Y$594=AC307,ROW('All Player Data Store'!$Y$7:$Y$594)-ROW('All Player Data Store'!$Y$7)+1),COUNTIF($AC$8:AC307,AC307))),"")</f>
        <v/>
      </c>
      <c r="AA307" s="112" t="str">
        <f t="array" ref="AA307">IF(ISNUMBER(AC307),INDEX('All Player Data Store'!$W$7:$W$594,SMALL(IF('All Player Data Store'!$Y$7:$Y$594=AC307,ROW('All Player Data Store'!$Y$7:$Y$594)-ROW('All Player Data Store'!$Y$7)+1),COUNTIF($AC$8:AC307,AC307))),"")</f>
        <v/>
      </c>
      <c r="AB307" s="108" t="str">
        <f t="array" ref="AB307">IF(ISNUMBER(AC307),INDEX('All Player Data Store'!$X$7:$X$594,SMALL(IF('All Player Data Store'!$Y$7:$Y$594=AC307,ROW('All Player Data Store'!$Y$7:$Y$594)-ROW('All Player Data Store'!$Y$7)+1),COUNTIF($AC$8:AC307,AC307))),"")</f>
        <v/>
      </c>
      <c r="AC307" s="115" t="str">
        <f>IF(ISERROR(IF(ISERROR(LARGE('All Player Data Store'!$Y$7:$Y$594,300)),"",(LARGE('All Player Data Store'!$Y$7:$Y$594,300)))),"",(IF(ISERROR(LARGE('All Player Data Store'!$Y$7:$Y$594,300)),"",(LARGE('All Player Data Store'!$Y$7:$Y$594,300)))))</f>
        <v/>
      </c>
      <c r="AD307" s="106">
        <f t="shared" si="16"/>
        <v>1</v>
      </c>
      <c r="AE307" s="107" t="str">
        <f t="array" ref="AE307">IF(ISNUMBER(AC307),INDEX('All Player Data Store'!$J$8:$J$594,SMALL(IF('All Player Data Store'!$Y$7:$Y$594=AC307,ROW('All Player Data Store'!$Y$7:$Y$594)-ROW('All Player Data Store'!$Y$7)+1),COUNTIF($AC$8:AC307,AC307))),"")</f>
        <v/>
      </c>
      <c r="AF307" s="108" t="str">
        <f t="shared" si="19"/>
        <v/>
      </c>
      <c r="AG307" s="108" t="str">
        <f t="array" ref="AG307">IF(ISNUMBER(AC307),INDEX('All Player Data Store'!$K$8:$K$594,SMALL(IF('All Player Data Store'!$Y$7:$Y$594=AC307,ROW('All Player Data Store'!$Y$7:$Y$594)-ROW('All Player Data Store'!$Y$7)+1),COUNTIF($AC$8:AC307,AC307))),"")</f>
        <v/>
      </c>
      <c r="AH307" s="108" t="str">
        <f t="shared" si="20"/>
        <v/>
      </c>
      <c r="AI307" s="108" t="str">
        <f t="array" ref="AI307">IF(ISNUMBER(AC307),INDEX('All Player Data Store'!$L$8:$L$594,SMALL(IF('All Player Data Store'!$Y$7:$Y$594=AC307,ROW('All Player Data Store'!$Y$7:$Y$594)-ROW('All Player Data Store'!$Y$7)+1),COUNTIF($AC$8:AC307,AC307))),"")</f>
        <v/>
      </c>
      <c r="AJ307" s="108" t="str">
        <f t="shared" si="21"/>
        <v/>
      </c>
      <c r="AK307" s="108" t="str">
        <f t="array" ref="AK307">IF(ISNUMBER(AC307),INDEX('All Player Data Store'!$M$8:$M$594,SMALL(IF('All Player Data Store'!$Y$7:$Y$594=AC307,ROW('All Player Data Store'!$Y$7:$Y$594)-ROW('All Player Data Store'!$Y$7)+1),COUNTIF($AC$8:AC307,AC307))),"")</f>
        <v/>
      </c>
      <c r="AL307" s="108" t="str">
        <f t="shared" si="22"/>
        <v/>
      </c>
      <c r="AM307" s="108" t="str">
        <f t="array" ref="AM307">IF(ISNUMBER(AC307),INDEX('All Player Data Store'!$N$8:$N$594,SMALL(IF('All Player Data Store'!$Y$7:$Y$594=AC307,ROW('All Player Data Store'!$Y$7:$Y$594)-ROW('All Player Data Store'!$Y$7)+1),COUNTIF($AC$8:AC307,AC307))),"")</f>
        <v/>
      </c>
      <c r="AN307" s="108" t="str">
        <f t="shared" si="23"/>
        <v/>
      </c>
      <c r="AO307" s="108" t="str">
        <f t="array" ref="AO307">IF(ISNUMBER(AC307),INDEX('All Player Data Store'!$O$8:$O$594,SMALL(IF('All Player Data Store'!$Y$7:$Y$594=AC307,ROW('All Player Data Store'!$Y$7:$Y$594)-ROW('All Player Data Store'!$Y$7)+1),COUNTIF($AC$8:AC307,AC307))),"")</f>
        <v/>
      </c>
      <c r="AP307" s="108" t="str">
        <f t="shared" si="24"/>
        <v/>
      </c>
      <c r="AQ307" s="108" t="str">
        <f t="array" ref="AQ307">IF(ISNUMBER(AC307),INDEX('All Player Data Store'!$P$8:$P$594,SMALL(IF('All Player Data Store'!$Y$7:$Y$594=AC307,ROW('All Player Data Store'!$Y$7:$Y$594)-ROW('All Player Data Store'!$Y$7)+1),COUNTIF($AC$8:AC307,AC307))),"")</f>
        <v/>
      </c>
      <c r="AR307" s="108" t="str">
        <f t="shared" si="25"/>
        <v/>
      </c>
      <c r="AS307" s="108" t="str">
        <f t="array" ref="AS307">IF(ISNUMBER(AC307),INDEX('All Player Data Store'!$Q$8:$Q$594,SMALL(IF('All Player Data Store'!$Y$7:$Y$594=AC307,ROW('All Player Data Store'!$Y$7:$Y$594)-ROW('All Player Data Store'!$Y$7)+1),COUNTIF($AC$8:AC307,AC307))),"")</f>
        <v/>
      </c>
      <c r="AT307" s="108" t="str">
        <f t="shared" si="26"/>
        <v/>
      </c>
      <c r="AU307" s="108" t="str">
        <f t="array" ref="AU307">IF(ISNUMBER(AC307),INDEX('All Player Data Store'!$R$8:$R$594,SMALL(IF('All Player Data Store'!$Y$7:$Y$594=AC307,ROW('All Player Data Store'!$Y$7:$Y$594)-ROW('All Player Data Store'!$Y$7)+1),COUNTIF($AC$8:AC307,AC307))),"")</f>
        <v/>
      </c>
      <c r="AV307" s="108" t="str">
        <f t="shared" si="27"/>
        <v/>
      </c>
      <c r="AW307" s="108" t="str">
        <f t="array" ref="AW307">IF(ISNUMBER(AC307),INDEX('All Player Data Store'!$S$8:$S$594,SMALL(IF('All Player Data Store'!$Y$7:$Y$594=AC307,ROW('All Player Data Store'!$Y$7:$Y$594)-ROW('All Player Data Store'!$Y$7)+1),COUNTIF($AC$8:AC307,AC307))),"")</f>
        <v/>
      </c>
      <c r="AX307" s="108" t="str">
        <f t="shared" si="28"/>
        <v/>
      </c>
      <c r="AY307" s="108" t="str">
        <f t="array" ref="AY307">IF(ISNUMBER(AC307),INDEX('All Player Data Store'!$T$8:$T$594,SMALL(IF('All Player Data Store'!$Y$7:$Y$594=AC307,ROW('All Player Data Store'!$Y$7:$Y$594)-ROW('All Player Data Store'!$Y$7)+1),COUNTIF($AC$8:AC307,AC307))),"")</f>
        <v/>
      </c>
      <c r="AZ307" s="108" t="str">
        <f t="shared" si="29"/>
        <v/>
      </c>
      <c r="BA307" s="108" t="str">
        <f t="array" ref="BA307">IF(ISNUMBER(AC307),INDEX('All Player Data Store'!$U$8:$U$594,SMALL(IF('All Player Data Store'!$Y$7:$Y$594=AC307,ROW('All Player Data Store'!$Y$7:$Y$594)-ROW('All Player Data Store'!$Y$7)+1),COUNTIF($AC$8:AC307,AC307))),"")</f>
        <v/>
      </c>
      <c r="BB307" s="108" t="str">
        <f t="shared" si="30"/>
        <v/>
      </c>
      <c r="BC307" s="108" t="str">
        <f t="array" ref="BC307">IF(ISNUMBER(AC307),INDEX('All Player Data Store'!$V$8:$V$594,SMALL(IF('All Player Data Store'!$Y$7:$Y$594=AC307,ROW('All Player Data Store'!$Y$7:$Y$594)-ROW('All Player Data Store'!$Y$7)+1),COUNTIF($AC$8:AC307,AC307))),"")</f>
        <v/>
      </c>
      <c r="BD307" s="108" t="str">
        <f t="shared" si="31"/>
        <v/>
      </c>
      <c r="BE307" s="1"/>
    </row>
    <row r="308" spans="2:57" ht="12" customHeight="1" x14ac:dyDescent="0.2">
      <c r="B308" s="118" t="str">
        <f t="shared" si="17"/>
        <v/>
      </c>
      <c r="C308" s="1"/>
      <c r="D308" s="68" t="str">
        <f t="shared" si="18"/>
        <v/>
      </c>
      <c r="E308" s="2"/>
      <c r="F308" s="78">
        <v>301</v>
      </c>
      <c r="G308" s="110" t="str">
        <f t="array" ref="G308">IF(ISNUMBER(AC308),INDEX('All Player Data Store'!$C$7:$C$594,SMALL(IF('All Player Data Store'!$Y$7:$Y$594=AC308,ROW('All Player Data Store'!$Y$7:$Y$594)-ROW('All Player Data Store'!$Y$7)+1),COUNTIF($AC$8:AC308,AC308))),"")</f>
        <v/>
      </c>
      <c r="H308" s="68" t="str">
        <f t="array" ref="H308">IF(ISNUMBER(AC308),INDEX('All Player Data Store'!$D$7:$D$594,SMALL(IF('All Player Data Store'!$Y$7:$Y$594=AC308,ROW('All Player Data Store'!$Y$7:$Y$594)-ROW('All Player Data Store'!$Y$7)+1),COUNTIF($AC$8:AC308,AC308))),"")</f>
        <v/>
      </c>
      <c r="I308" s="69" t="str">
        <f t="array" ref="I308">IF(ISNUMBER(AC308),INDEX('All Player Data Store'!$E$7:$E$594,SMALL(IF('All Player Data Store'!$Y$7:$Y$594=AC308,ROW('All Player Data Store'!$Y$7:$Y$594)-ROW('All Player Data Store'!$Y$7)+1),COUNTIF($AC$8:AC308,AC308))),"")</f>
        <v/>
      </c>
      <c r="J308" s="70" t="str">
        <f t="array" ref="J308">IF(ISNUMBER(AC308),INDEX('All Player Data Store'!$F$7:$F$594,SMALL(IF('All Player Data Store'!$Y$7:$Y$594=AC308,ROW('All Player Data Store'!$Y$7:$Y$594)-ROW('All Player Data Store'!$Y$7)+1),COUNTIF($AC$8:AC308,AC308))),"")</f>
        <v/>
      </c>
      <c r="K308" s="70" t="str">
        <f t="array" ref="K308">IF(ISNUMBER(AC308),INDEX('All Player Data Store'!$G$7:$G$594,SMALL(IF('All Player Data Store'!$Y$7:$Y$594=AC308,ROW('All Player Data Store'!$Y$7:$Y$594)-ROW('All Player Data Store'!$Y$7)+1),COUNTIF($AC$8:AC308,AC308))),"")</f>
        <v/>
      </c>
      <c r="L308" s="70" t="str">
        <f t="array" ref="L308">IF(ISNUMBER(AC308),INDEX('All Player Data Store'!$H$7:$H$594,SMALL(IF('All Player Data Store'!$Y$7:$Y$594=AC308,ROW('All Player Data Store'!$Y$7:$Y$594)-ROW('All Player Data Store'!$Y$7)+1),COUNTIF($AC$8:AC308,AC308))),"")</f>
        <v/>
      </c>
      <c r="M308" s="72" t="str">
        <f t="array" ref="M308">IF(ISNUMBER(AC308),INDEX('All Player Data Store'!$I$7:$I$594,SMALL(IF('All Player Data Store'!$Y$7:$Y$594=AC308,ROW('All Player Data Store'!$Y$7:$Y$594)-ROW('All Player Data Store'!$Y$7)+1),COUNTIF($AC$8:AC308,AC308))),"")</f>
        <v/>
      </c>
      <c r="N308" s="114" t="str">
        <f t="array" ref="N308">IF(ISNUMBER(AC308),INDEX('All Player Data Store'!$J$7:$J$594,SMALL(IF('All Player Data Store'!$Y$7:$Y$594=AC308,ROW('All Player Data Store'!$Y$7:$Y$594)-ROW('All Player Data Store'!$Y$7)+1),COUNTIF($AC$8:AC308,AC308))),"")</f>
        <v/>
      </c>
      <c r="O308" s="108" t="str">
        <f t="array" ref="O308">IF(ISNUMBER(AC308),INDEX('All Player Data Store'!$K$7:$K$594,SMALL(IF('All Player Data Store'!$Y$7:$Y$594=AC308,ROW('All Player Data Store'!$Y$7:$Y$594)-ROW('All Player Data Store'!$Y$7)+1),COUNTIF($AC$8:AC308,AC308))),"")</f>
        <v/>
      </c>
      <c r="P308" s="108" t="str">
        <f t="array" ref="P308">IF(ISNUMBER(AC308),INDEX('All Player Data Store'!$L$7:$L$594,SMALL(IF('All Player Data Store'!$Y$7:$Y$594=AC308,ROW('All Player Data Store'!$Y$7:$Y$594)-ROW('All Player Data Store'!$Y$7)+1),COUNTIF($AC$8:AC308,AC308))),"")</f>
        <v/>
      </c>
      <c r="Q308" s="108" t="str">
        <f t="array" ref="Q308">IF(ISNUMBER(AC308),INDEX('All Player Data Store'!$M$7:$M$594,SMALL(IF('All Player Data Store'!$Y$7:$Y$594=AC308,ROW('All Player Data Store'!$Y$7:$Y$594)-ROW('All Player Data Store'!$Y$7)+1),COUNTIF($AC$8:AC308,AC308))),"")</f>
        <v/>
      </c>
      <c r="R308" s="108" t="str">
        <f t="array" ref="R308">IF(ISNUMBER(AC308),INDEX('All Player Data Store'!$N$7:$N$594,SMALL(IF('All Player Data Store'!$Y$7:$Y$594=AC308,ROW('All Player Data Store'!$Y$7:$Y$594)-ROW('All Player Data Store'!$Y$7)+1),COUNTIF($AC$8:AC308,AC308))),"")</f>
        <v/>
      </c>
      <c r="S308" s="108" t="str">
        <f t="array" ref="S308">IF(ISNUMBER(AC308),INDEX('All Player Data Store'!$O$7:$O$594,SMALL(IF('All Player Data Store'!$Y$7:$Y$594=AC308,ROW('All Player Data Store'!$Y$7:$Y$594)-ROW('All Player Data Store'!$Y$7)+1),COUNTIF($AC$8:AC308,AC308))),"")</f>
        <v/>
      </c>
      <c r="T308" s="108" t="str">
        <f t="array" ref="T308">IF(ISNUMBER(AC308),INDEX('All Player Data Store'!$P$7:$P$594,SMALL(IF('All Player Data Store'!$Y$7:$Y$594=AC308,ROW('All Player Data Store'!$Y$7:$Y$594)-ROW('All Player Data Store'!$Y$7)+1),COUNTIF($AC$8:AC308,AC308))),"")</f>
        <v/>
      </c>
      <c r="U308" s="108" t="str">
        <f t="array" ref="U308">IF(ISNUMBER(AC308),INDEX('All Player Data Store'!$Q$7:$Q$594,SMALL(IF('All Player Data Store'!$Y$7:$Y$594=AC308,ROW('All Player Data Store'!$Y$7:$Y$594)-ROW('All Player Data Store'!$Y$7)+1),COUNTIF($AC$8:AC308,AC308))),"")</f>
        <v/>
      </c>
      <c r="V308" s="108" t="str">
        <f t="array" ref="V308">IF(ISNUMBER(AC308),INDEX('All Player Data Store'!$R$7:$R$594,SMALL(IF('All Player Data Store'!$Y$7:$Y$594=AC308,ROW('All Player Data Store'!$Y$7:$Y$594)-ROW('All Player Data Store'!$Y$7)+1),COUNTIF($AC$8:AC308,AC308))),"")</f>
        <v/>
      </c>
      <c r="W308" s="108" t="str">
        <f t="array" ref="W308">IF(ISNUMBER(AC308),INDEX('All Player Data Store'!$S$7:$S$594,SMALL(IF('All Player Data Store'!$Y$7:$Y$594=AC308,ROW('All Player Data Store'!$Y$7:$Y$594)-ROW('All Player Data Store'!$Y$7)+1),COUNTIF($AC$8:AC308,AC308))),"")</f>
        <v/>
      </c>
      <c r="X308" s="108" t="str">
        <f t="array" ref="X308">IF(ISNUMBER(AC308),INDEX('All Player Data Store'!$T$7:$T$594,SMALL(IF('All Player Data Store'!$Y$7:$Y$594=AC308,ROW('All Player Data Store'!$Y$7:$Y$594)-ROW('All Player Data Store'!$Y$7)+1),COUNTIF($AC$8:AC308,AC308))),"")</f>
        <v/>
      </c>
      <c r="Y308" s="108" t="str">
        <f t="array" ref="Y308">IF(ISNUMBER(AC308),INDEX('All Player Data Store'!$U$7:$U$594,SMALL(IF('All Player Data Store'!$Y$7:$Y$594=AC308,ROW('All Player Data Store'!$Y$7:$Y$594)-ROW('All Player Data Store'!$Y$7)+1),COUNTIF($AC$8:AC308,AC308))),"")</f>
        <v/>
      </c>
      <c r="Z308" s="108" t="str">
        <f t="array" ref="Z308">IF(ISNUMBER(AC308),INDEX('All Player Data Store'!$V$7:$V$594,SMALL(IF('All Player Data Store'!$Y$7:$Y$594=AC308,ROW('All Player Data Store'!$Y$7:$Y$594)-ROW('All Player Data Store'!$Y$7)+1),COUNTIF($AC$8:AC308,AC308))),"")</f>
        <v/>
      </c>
      <c r="AA308" s="112" t="str">
        <f t="array" ref="AA308">IF(ISNUMBER(AC308),INDEX('All Player Data Store'!$W$7:$W$594,SMALL(IF('All Player Data Store'!$Y$7:$Y$594=AC308,ROW('All Player Data Store'!$Y$7:$Y$594)-ROW('All Player Data Store'!$Y$7)+1),COUNTIF($AC$8:AC308,AC308))),"")</f>
        <v/>
      </c>
      <c r="AB308" s="108" t="str">
        <f t="array" ref="AB308">IF(ISNUMBER(AC308),INDEX('All Player Data Store'!$X$7:$X$594,SMALL(IF('All Player Data Store'!$Y$7:$Y$594=AC308,ROW('All Player Data Store'!$Y$7:$Y$594)-ROW('All Player Data Store'!$Y$7)+1),COUNTIF($AC$8:AC308,AC308))),"")</f>
        <v/>
      </c>
      <c r="AC308" s="115" t="str">
        <f>IF(ISERROR(IF(ISERROR(LARGE('All Player Data Store'!$Y$7:$Y$594,301)),"",(LARGE('All Player Data Store'!$Y$7:$Y$594,301)))),"",(IF(ISERROR(LARGE('All Player Data Store'!$Y$7:$Y$594,301)),"",(LARGE('All Player Data Store'!$Y$7:$Y$594,301)))))</f>
        <v/>
      </c>
      <c r="AD308" s="106">
        <f t="shared" si="16"/>
        <v>1</v>
      </c>
      <c r="AE308" s="107" t="str">
        <f t="array" ref="AE308">IF(ISNUMBER(AC308),INDEX('All Player Data Store'!$J$8:$J$594,SMALL(IF('All Player Data Store'!$Y$7:$Y$594=AC308,ROW('All Player Data Store'!$Y$7:$Y$594)-ROW('All Player Data Store'!$Y$7)+1),COUNTIF($AC$8:AC308,AC308))),"")</f>
        <v/>
      </c>
      <c r="AF308" s="108" t="str">
        <f t="shared" si="19"/>
        <v/>
      </c>
      <c r="AG308" s="108" t="str">
        <f t="array" ref="AG308">IF(ISNUMBER(AC308),INDEX('All Player Data Store'!$K$8:$K$594,SMALL(IF('All Player Data Store'!$Y$7:$Y$594=AC308,ROW('All Player Data Store'!$Y$7:$Y$594)-ROW('All Player Data Store'!$Y$7)+1),COUNTIF($AC$8:AC308,AC308))),"")</f>
        <v/>
      </c>
      <c r="AH308" s="108" t="str">
        <f t="shared" si="20"/>
        <v/>
      </c>
      <c r="AI308" s="108" t="str">
        <f t="array" ref="AI308">IF(ISNUMBER(AC308),INDEX('All Player Data Store'!$L$8:$L$594,SMALL(IF('All Player Data Store'!$Y$7:$Y$594=AC308,ROW('All Player Data Store'!$Y$7:$Y$594)-ROW('All Player Data Store'!$Y$7)+1),COUNTIF($AC$8:AC308,AC308))),"")</f>
        <v/>
      </c>
      <c r="AJ308" s="108" t="str">
        <f t="shared" si="21"/>
        <v/>
      </c>
      <c r="AK308" s="108" t="str">
        <f t="array" ref="AK308">IF(ISNUMBER(AC308),INDEX('All Player Data Store'!$M$8:$M$594,SMALL(IF('All Player Data Store'!$Y$7:$Y$594=AC308,ROW('All Player Data Store'!$Y$7:$Y$594)-ROW('All Player Data Store'!$Y$7)+1),COUNTIF($AC$8:AC308,AC308))),"")</f>
        <v/>
      </c>
      <c r="AL308" s="108" t="str">
        <f t="shared" si="22"/>
        <v/>
      </c>
      <c r="AM308" s="108" t="str">
        <f t="array" ref="AM308">IF(ISNUMBER(AC308),INDEX('All Player Data Store'!$N$8:$N$594,SMALL(IF('All Player Data Store'!$Y$7:$Y$594=AC308,ROW('All Player Data Store'!$Y$7:$Y$594)-ROW('All Player Data Store'!$Y$7)+1),COUNTIF($AC$8:AC308,AC308))),"")</f>
        <v/>
      </c>
      <c r="AN308" s="108" t="str">
        <f t="shared" si="23"/>
        <v/>
      </c>
      <c r="AO308" s="108" t="str">
        <f t="array" ref="AO308">IF(ISNUMBER(AC308),INDEX('All Player Data Store'!$O$8:$O$594,SMALL(IF('All Player Data Store'!$Y$7:$Y$594=AC308,ROW('All Player Data Store'!$Y$7:$Y$594)-ROW('All Player Data Store'!$Y$7)+1),COUNTIF($AC$8:AC308,AC308))),"")</f>
        <v/>
      </c>
      <c r="AP308" s="108" t="str">
        <f t="shared" si="24"/>
        <v/>
      </c>
      <c r="AQ308" s="108" t="str">
        <f t="array" ref="AQ308">IF(ISNUMBER(AC308),INDEX('All Player Data Store'!$P$8:$P$594,SMALL(IF('All Player Data Store'!$Y$7:$Y$594=AC308,ROW('All Player Data Store'!$Y$7:$Y$594)-ROW('All Player Data Store'!$Y$7)+1),COUNTIF($AC$8:AC308,AC308))),"")</f>
        <v/>
      </c>
      <c r="AR308" s="108" t="str">
        <f t="shared" si="25"/>
        <v/>
      </c>
      <c r="AS308" s="108" t="str">
        <f t="array" ref="AS308">IF(ISNUMBER(AC308),INDEX('All Player Data Store'!$Q$8:$Q$594,SMALL(IF('All Player Data Store'!$Y$7:$Y$594=AC308,ROW('All Player Data Store'!$Y$7:$Y$594)-ROW('All Player Data Store'!$Y$7)+1),COUNTIF($AC$8:AC308,AC308))),"")</f>
        <v/>
      </c>
      <c r="AT308" s="108" t="str">
        <f t="shared" si="26"/>
        <v/>
      </c>
      <c r="AU308" s="108" t="str">
        <f t="array" ref="AU308">IF(ISNUMBER(AC308),INDEX('All Player Data Store'!$R$8:$R$594,SMALL(IF('All Player Data Store'!$Y$7:$Y$594=AC308,ROW('All Player Data Store'!$Y$7:$Y$594)-ROW('All Player Data Store'!$Y$7)+1),COUNTIF($AC$8:AC308,AC308))),"")</f>
        <v/>
      </c>
      <c r="AV308" s="108" t="str">
        <f t="shared" si="27"/>
        <v/>
      </c>
      <c r="AW308" s="108" t="str">
        <f t="array" ref="AW308">IF(ISNUMBER(AC308),INDEX('All Player Data Store'!$S$8:$S$594,SMALL(IF('All Player Data Store'!$Y$7:$Y$594=AC308,ROW('All Player Data Store'!$Y$7:$Y$594)-ROW('All Player Data Store'!$Y$7)+1),COUNTIF($AC$8:AC308,AC308))),"")</f>
        <v/>
      </c>
      <c r="AX308" s="108" t="str">
        <f t="shared" si="28"/>
        <v/>
      </c>
      <c r="AY308" s="108" t="str">
        <f t="array" ref="AY308">IF(ISNUMBER(AC308),INDEX('All Player Data Store'!$T$8:$T$594,SMALL(IF('All Player Data Store'!$Y$7:$Y$594=AC308,ROW('All Player Data Store'!$Y$7:$Y$594)-ROW('All Player Data Store'!$Y$7)+1),COUNTIF($AC$8:AC308,AC308))),"")</f>
        <v/>
      </c>
      <c r="AZ308" s="108" t="str">
        <f t="shared" si="29"/>
        <v/>
      </c>
      <c r="BA308" s="108" t="str">
        <f t="array" ref="BA308">IF(ISNUMBER(AC308),INDEX('All Player Data Store'!$U$8:$U$594,SMALL(IF('All Player Data Store'!$Y$7:$Y$594=AC308,ROW('All Player Data Store'!$Y$7:$Y$594)-ROW('All Player Data Store'!$Y$7)+1),COUNTIF($AC$8:AC308,AC308))),"")</f>
        <v/>
      </c>
      <c r="BB308" s="108" t="str">
        <f t="shared" si="30"/>
        <v/>
      </c>
      <c r="BC308" s="108" t="str">
        <f t="array" ref="BC308">IF(ISNUMBER(AC308),INDEX('All Player Data Store'!$V$8:$V$594,SMALL(IF('All Player Data Store'!$Y$7:$Y$594=AC308,ROW('All Player Data Store'!$Y$7:$Y$594)-ROW('All Player Data Store'!$Y$7)+1),COUNTIF($AC$8:AC308,AC308))),"")</f>
        <v/>
      </c>
      <c r="BD308" s="108" t="str">
        <f t="shared" si="31"/>
        <v/>
      </c>
      <c r="BE308" s="1"/>
    </row>
    <row r="309" spans="2:57" ht="12" customHeight="1" x14ac:dyDescent="0.2">
      <c r="B309" s="118" t="str">
        <f t="shared" si="17"/>
        <v/>
      </c>
      <c r="C309" s="1"/>
      <c r="D309" s="68" t="str">
        <f t="shared" si="18"/>
        <v/>
      </c>
      <c r="E309" s="2"/>
      <c r="F309" s="78">
        <v>302</v>
      </c>
      <c r="G309" s="110" t="str">
        <f t="array" ref="G309">IF(ISNUMBER(AC309),INDEX('All Player Data Store'!$C$7:$C$594,SMALL(IF('All Player Data Store'!$Y$7:$Y$594=AC309,ROW('All Player Data Store'!$Y$7:$Y$594)-ROW('All Player Data Store'!$Y$7)+1),COUNTIF($AC$8:AC309,AC309))),"")</f>
        <v/>
      </c>
      <c r="H309" s="68" t="str">
        <f t="array" ref="H309">IF(ISNUMBER(AC309),INDEX('All Player Data Store'!$D$7:$D$594,SMALL(IF('All Player Data Store'!$Y$7:$Y$594=AC309,ROW('All Player Data Store'!$Y$7:$Y$594)-ROW('All Player Data Store'!$Y$7)+1),COUNTIF($AC$8:AC309,AC309))),"")</f>
        <v/>
      </c>
      <c r="I309" s="69" t="str">
        <f t="array" ref="I309">IF(ISNUMBER(AC309),INDEX('All Player Data Store'!$E$7:$E$594,SMALL(IF('All Player Data Store'!$Y$7:$Y$594=AC309,ROW('All Player Data Store'!$Y$7:$Y$594)-ROW('All Player Data Store'!$Y$7)+1),COUNTIF($AC$8:AC309,AC309))),"")</f>
        <v/>
      </c>
      <c r="J309" s="70" t="str">
        <f t="array" ref="J309">IF(ISNUMBER(AC309),INDEX('All Player Data Store'!$F$7:$F$594,SMALL(IF('All Player Data Store'!$Y$7:$Y$594=AC309,ROW('All Player Data Store'!$Y$7:$Y$594)-ROW('All Player Data Store'!$Y$7)+1),COUNTIF($AC$8:AC309,AC309))),"")</f>
        <v/>
      </c>
      <c r="K309" s="70" t="str">
        <f t="array" ref="K309">IF(ISNUMBER(AC309),INDEX('All Player Data Store'!$G$7:$G$594,SMALL(IF('All Player Data Store'!$Y$7:$Y$594=AC309,ROW('All Player Data Store'!$Y$7:$Y$594)-ROW('All Player Data Store'!$Y$7)+1),COUNTIF($AC$8:AC309,AC309))),"")</f>
        <v/>
      </c>
      <c r="L309" s="70" t="str">
        <f t="array" ref="L309">IF(ISNUMBER(AC309),INDEX('All Player Data Store'!$H$7:$H$594,SMALL(IF('All Player Data Store'!$Y$7:$Y$594=AC309,ROW('All Player Data Store'!$Y$7:$Y$594)-ROW('All Player Data Store'!$Y$7)+1),COUNTIF($AC$8:AC309,AC309))),"")</f>
        <v/>
      </c>
      <c r="M309" s="72" t="str">
        <f t="array" ref="M309">IF(ISNUMBER(AC309),INDEX('All Player Data Store'!$I$7:$I$594,SMALL(IF('All Player Data Store'!$Y$7:$Y$594=AC309,ROW('All Player Data Store'!$Y$7:$Y$594)-ROW('All Player Data Store'!$Y$7)+1),COUNTIF($AC$8:AC309,AC309))),"")</f>
        <v/>
      </c>
      <c r="N309" s="114" t="str">
        <f t="array" ref="N309">IF(ISNUMBER(AC309),INDEX('All Player Data Store'!$J$7:$J$594,SMALL(IF('All Player Data Store'!$Y$7:$Y$594=AC309,ROW('All Player Data Store'!$Y$7:$Y$594)-ROW('All Player Data Store'!$Y$7)+1),COUNTIF($AC$8:AC309,AC309))),"")</f>
        <v/>
      </c>
      <c r="O309" s="108" t="str">
        <f t="array" ref="O309">IF(ISNUMBER(AC309),INDEX('All Player Data Store'!$K$7:$K$594,SMALL(IF('All Player Data Store'!$Y$7:$Y$594=AC309,ROW('All Player Data Store'!$Y$7:$Y$594)-ROW('All Player Data Store'!$Y$7)+1),COUNTIF($AC$8:AC309,AC309))),"")</f>
        <v/>
      </c>
      <c r="P309" s="108" t="str">
        <f t="array" ref="P309">IF(ISNUMBER(AC309),INDEX('All Player Data Store'!$L$7:$L$594,SMALL(IF('All Player Data Store'!$Y$7:$Y$594=AC309,ROW('All Player Data Store'!$Y$7:$Y$594)-ROW('All Player Data Store'!$Y$7)+1),COUNTIF($AC$8:AC309,AC309))),"")</f>
        <v/>
      </c>
      <c r="Q309" s="108" t="str">
        <f t="array" ref="Q309">IF(ISNUMBER(AC309),INDEX('All Player Data Store'!$M$7:$M$594,SMALL(IF('All Player Data Store'!$Y$7:$Y$594=AC309,ROW('All Player Data Store'!$Y$7:$Y$594)-ROW('All Player Data Store'!$Y$7)+1),COUNTIF($AC$8:AC309,AC309))),"")</f>
        <v/>
      </c>
      <c r="R309" s="108" t="str">
        <f t="array" ref="R309">IF(ISNUMBER(AC309),INDEX('All Player Data Store'!$N$7:$N$594,SMALL(IF('All Player Data Store'!$Y$7:$Y$594=AC309,ROW('All Player Data Store'!$Y$7:$Y$594)-ROW('All Player Data Store'!$Y$7)+1),COUNTIF($AC$8:AC309,AC309))),"")</f>
        <v/>
      </c>
      <c r="S309" s="108" t="str">
        <f t="array" ref="S309">IF(ISNUMBER(AC309),INDEX('All Player Data Store'!$O$7:$O$594,SMALL(IF('All Player Data Store'!$Y$7:$Y$594=AC309,ROW('All Player Data Store'!$Y$7:$Y$594)-ROW('All Player Data Store'!$Y$7)+1),COUNTIF($AC$8:AC309,AC309))),"")</f>
        <v/>
      </c>
      <c r="T309" s="108" t="str">
        <f t="array" ref="T309">IF(ISNUMBER(AC309),INDEX('All Player Data Store'!$P$7:$P$594,SMALL(IF('All Player Data Store'!$Y$7:$Y$594=AC309,ROW('All Player Data Store'!$Y$7:$Y$594)-ROW('All Player Data Store'!$Y$7)+1),COUNTIF($AC$8:AC309,AC309))),"")</f>
        <v/>
      </c>
      <c r="U309" s="108" t="str">
        <f t="array" ref="U309">IF(ISNUMBER(AC309),INDEX('All Player Data Store'!$Q$7:$Q$594,SMALL(IF('All Player Data Store'!$Y$7:$Y$594=AC309,ROW('All Player Data Store'!$Y$7:$Y$594)-ROW('All Player Data Store'!$Y$7)+1),COUNTIF($AC$8:AC309,AC309))),"")</f>
        <v/>
      </c>
      <c r="V309" s="108" t="str">
        <f t="array" ref="V309">IF(ISNUMBER(AC309),INDEX('All Player Data Store'!$R$7:$R$594,SMALL(IF('All Player Data Store'!$Y$7:$Y$594=AC309,ROW('All Player Data Store'!$Y$7:$Y$594)-ROW('All Player Data Store'!$Y$7)+1),COUNTIF($AC$8:AC309,AC309))),"")</f>
        <v/>
      </c>
      <c r="W309" s="108" t="str">
        <f t="array" ref="W309">IF(ISNUMBER(AC309),INDEX('All Player Data Store'!$S$7:$S$594,SMALL(IF('All Player Data Store'!$Y$7:$Y$594=AC309,ROW('All Player Data Store'!$Y$7:$Y$594)-ROW('All Player Data Store'!$Y$7)+1),COUNTIF($AC$8:AC309,AC309))),"")</f>
        <v/>
      </c>
      <c r="X309" s="108" t="str">
        <f t="array" ref="X309">IF(ISNUMBER(AC309),INDEX('All Player Data Store'!$T$7:$T$594,SMALL(IF('All Player Data Store'!$Y$7:$Y$594=AC309,ROW('All Player Data Store'!$Y$7:$Y$594)-ROW('All Player Data Store'!$Y$7)+1),COUNTIF($AC$8:AC309,AC309))),"")</f>
        <v/>
      </c>
      <c r="Y309" s="108" t="str">
        <f t="array" ref="Y309">IF(ISNUMBER(AC309),INDEX('All Player Data Store'!$U$7:$U$594,SMALL(IF('All Player Data Store'!$Y$7:$Y$594=AC309,ROW('All Player Data Store'!$Y$7:$Y$594)-ROW('All Player Data Store'!$Y$7)+1),COUNTIF($AC$8:AC309,AC309))),"")</f>
        <v/>
      </c>
      <c r="Z309" s="108" t="str">
        <f t="array" ref="Z309">IF(ISNUMBER(AC309),INDEX('All Player Data Store'!$V$7:$V$594,SMALL(IF('All Player Data Store'!$Y$7:$Y$594=AC309,ROW('All Player Data Store'!$Y$7:$Y$594)-ROW('All Player Data Store'!$Y$7)+1),COUNTIF($AC$8:AC309,AC309))),"")</f>
        <v/>
      </c>
      <c r="AA309" s="112" t="str">
        <f t="array" ref="AA309">IF(ISNUMBER(AC309),INDEX('All Player Data Store'!$W$7:$W$594,SMALL(IF('All Player Data Store'!$Y$7:$Y$594=AC309,ROW('All Player Data Store'!$Y$7:$Y$594)-ROW('All Player Data Store'!$Y$7)+1),COUNTIF($AC$8:AC309,AC309))),"")</f>
        <v/>
      </c>
      <c r="AB309" s="108" t="str">
        <f t="array" ref="AB309">IF(ISNUMBER(AC309),INDEX('All Player Data Store'!$X$7:$X$594,SMALL(IF('All Player Data Store'!$Y$7:$Y$594=AC309,ROW('All Player Data Store'!$Y$7:$Y$594)-ROW('All Player Data Store'!$Y$7)+1),COUNTIF($AC$8:AC309,AC309))),"")</f>
        <v/>
      </c>
      <c r="AC309" s="115" t="str">
        <f>IF(ISERROR(IF(ISERROR(LARGE('All Player Data Store'!$Y$7:$Y$594,302)),"",(LARGE('All Player Data Store'!$Y$7:$Y$594,302)))),"",(IF(ISERROR(LARGE('All Player Data Store'!$Y$7:$Y$594,302)),"",(LARGE('All Player Data Store'!$Y$7:$Y$594,302)))))</f>
        <v/>
      </c>
      <c r="AD309" s="106">
        <f t="shared" si="16"/>
        <v>1</v>
      </c>
      <c r="AE309" s="107" t="str">
        <f t="array" ref="AE309">IF(ISNUMBER(AC309),INDEX('All Player Data Store'!$J$8:$J$594,SMALL(IF('All Player Data Store'!$Y$7:$Y$594=AC309,ROW('All Player Data Store'!$Y$7:$Y$594)-ROW('All Player Data Store'!$Y$7)+1),COUNTIF($AC$8:AC309,AC309))),"")</f>
        <v/>
      </c>
      <c r="AF309" s="108" t="str">
        <f t="shared" si="19"/>
        <v/>
      </c>
      <c r="AG309" s="108" t="str">
        <f t="array" ref="AG309">IF(ISNUMBER(AC309),INDEX('All Player Data Store'!$K$8:$K$594,SMALL(IF('All Player Data Store'!$Y$7:$Y$594=AC309,ROW('All Player Data Store'!$Y$7:$Y$594)-ROW('All Player Data Store'!$Y$7)+1),COUNTIF($AC$8:AC309,AC309))),"")</f>
        <v/>
      </c>
      <c r="AH309" s="108" t="str">
        <f t="shared" si="20"/>
        <v/>
      </c>
      <c r="AI309" s="108" t="str">
        <f t="array" ref="AI309">IF(ISNUMBER(AC309),INDEX('All Player Data Store'!$L$8:$L$594,SMALL(IF('All Player Data Store'!$Y$7:$Y$594=AC309,ROW('All Player Data Store'!$Y$7:$Y$594)-ROW('All Player Data Store'!$Y$7)+1),COUNTIF($AC$8:AC309,AC309))),"")</f>
        <v/>
      </c>
      <c r="AJ309" s="108" t="str">
        <f t="shared" si="21"/>
        <v/>
      </c>
      <c r="AK309" s="108" t="str">
        <f t="array" ref="AK309">IF(ISNUMBER(AC309),INDEX('All Player Data Store'!$M$8:$M$594,SMALL(IF('All Player Data Store'!$Y$7:$Y$594=AC309,ROW('All Player Data Store'!$Y$7:$Y$594)-ROW('All Player Data Store'!$Y$7)+1),COUNTIF($AC$8:AC309,AC309))),"")</f>
        <v/>
      </c>
      <c r="AL309" s="108" t="str">
        <f t="shared" si="22"/>
        <v/>
      </c>
      <c r="AM309" s="108" t="str">
        <f t="array" ref="AM309">IF(ISNUMBER(AC309),INDEX('All Player Data Store'!$N$8:$N$594,SMALL(IF('All Player Data Store'!$Y$7:$Y$594=AC309,ROW('All Player Data Store'!$Y$7:$Y$594)-ROW('All Player Data Store'!$Y$7)+1),COUNTIF($AC$8:AC309,AC309))),"")</f>
        <v/>
      </c>
      <c r="AN309" s="108" t="str">
        <f t="shared" si="23"/>
        <v/>
      </c>
      <c r="AO309" s="108" t="str">
        <f t="array" ref="AO309">IF(ISNUMBER(AC309),INDEX('All Player Data Store'!$O$8:$O$594,SMALL(IF('All Player Data Store'!$Y$7:$Y$594=AC309,ROW('All Player Data Store'!$Y$7:$Y$594)-ROW('All Player Data Store'!$Y$7)+1),COUNTIF($AC$8:AC309,AC309))),"")</f>
        <v/>
      </c>
      <c r="AP309" s="108" t="str">
        <f t="shared" si="24"/>
        <v/>
      </c>
      <c r="AQ309" s="108" t="str">
        <f t="array" ref="AQ309">IF(ISNUMBER(AC309),INDEX('All Player Data Store'!$P$8:$P$594,SMALL(IF('All Player Data Store'!$Y$7:$Y$594=AC309,ROW('All Player Data Store'!$Y$7:$Y$594)-ROW('All Player Data Store'!$Y$7)+1),COUNTIF($AC$8:AC309,AC309))),"")</f>
        <v/>
      </c>
      <c r="AR309" s="108" t="str">
        <f t="shared" si="25"/>
        <v/>
      </c>
      <c r="AS309" s="108" t="str">
        <f t="array" ref="AS309">IF(ISNUMBER(AC309),INDEX('All Player Data Store'!$Q$8:$Q$594,SMALL(IF('All Player Data Store'!$Y$7:$Y$594=AC309,ROW('All Player Data Store'!$Y$7:$Y$594)-ROW('All Player Data Store'!$Y$7)+1),COUNTIF($AC$8:AC309,AC309))),"")</f>
        <v/>
      </c>
      <c r="AT309" s="108" t="str">
        <f t="shared" si="26"/>
        <v/>
      </c>
      <c r="AU309" s="108" t="str">
        <f t="array" ref="AU309">IF(ISNUMBER(AC309),INDEX('All Player Data Store'!$R$8:$R$594,SMALL(IF('All Player Data Store'!$Y$7:$Y$594=AC309,ROW('All Player Data Store'!$Y$7:$Y$594)-ROW('All Player Data Store'!$Y$7)+1),COUNTIF($AC$8:AC309,AC309))),"")</f>
        <v/>
      </c>
      <c r="AV309" s="108" t="str">
        <f t="shared" si="27"/>
        <v/>
      </c>
      <c r="AW309" s="108" t="str">
        <f t="array" ref="AW309">IF(ISNUMBER(AC309),INDEX('All Player Data Store'!$S$8:$S$594,SMALL(IF('All Player Data Store'!$Y$7:$Y$594=AC309,ROW('All Player Data Store'!$Y$7:$Y$594)-ROW('All Player Data Store'!$Y$7)+1),COUNTIF($AC$8:AC309,AC309))),"")</f>
        <v/>
      </c>
      <c r="AX309" s="108" t="str">
        <f t="shared" si="28"/>
        <v/>
      </c>
      <c r="AY309" s="108" t="str">
        <f t="array" ref="AY309">IF(ISNUMBER(AC309),INDEX('All Player Data Store'!$T$8:$T$594,SMALL(IF('All Player Data Store'!$Y$7:$Y$594=AC309,ROW('All Player Data Store'!$Y$7:$Y$594)-ROW('All Player Data Store'!$Y$7)+1),COUNTIF($AC$8:AC309,AC309))),"")</f>
        <v/>
      </c>
      <c r="AZ309" s="108" t="str">
        <f t="shared" si="29"/>
        <v/>
      </c>
      <c r="BA309" s="108" t="str">
        <f t="array" ref="BA309">IF(ISNUMBER(AC309),INDEX('All Player Data Store'!$U$8:$U$594,SMALL(IF('All Player Data Store'!$Y$7:$Y$594=AC309,ROW('All Player Data Store'!$Y$7:$Y$594)-ROW('All Player Data Store'!$Y$7)+1),COUNTIF($AC$8:AC309,AC309))),"")</f>
        <v/>
      </c>
      <c r="BB309" s="108" t="str">
        <f t="shared" si="30"/>
        <v/>
      </c>
      <c r="BC309" s="108" t="str">
        <f t="array" ref="BC309">IF(ISNUMBER(AC309),INDEX('All Player Data Store'!$V$8:$V$594,SMALL(IF('All Player Data Store'!$Y$7:$Y$594=AC309,ROW('All Player Data Store'!$Y$7:$Y$594)-ROW('All Player Data Store'!$Y$7)+1),COUNTIF($AC$8:AC309,AC309))),"")</f>
        <v/>
      </c>
      <c r="BD309" s="108" t="str">
        <f t="shared" si="31"/>
        <v/>
      </c>
      <c r="BE309" s="1"/>
    </row>
    <row r="310" spans="2:57" ht="12" customHeight="1" x14ac:dyDescent="0.2">
      <c r="B310" s="118" t="str">
        <f t="shared" si="17"/>
        <v/>
      </c>
      <c r="C310" s="1"/>
      <c r="D310" s="68" t="str">
        <f t="shared" si="18"/>
        <v/>
      </c>
      <c r="E310" s="2"/>
      <c r="F310" s="78">
        <v>303</v>
      </c>
      <c r="G310" s="110" t="str">
        <f t="array" ref="G310">IF(ISNUMBER(AC310),INDEX('All Player Data Store'!$C$7:$C$594,SMALL(IF('All Player Data Store'!$Y$7:$Y$594=AC310,ROW('All Player Data Store'!$Y$7:$Y$594)-ROW('All Player Data Store'!$Y$7)+1),COUNTIF($AC$8:AC310,AC310))),"")</f>
        <v/>
      </c>
      <c r="H310" s="68" t="str">
        <f t="array" ref="H310">IF(ISNUMBER(AC310),INDEX('All Player Data Store'!$D$7:$D$594,SMALL(IF('All Player Data Store'!$Y$7:$Y$594=AC310,ROW('All Player Data Store'!$Y$7:$Y$594)-ROW('All Player Data Store'!$Y$7)+1),COUNTIF($AC$8:AC310,AC310))),"")</f>
        <v/>
      </c>
      <c r="I310" s="69" t="str">
        <f t="array" ref="I310">IF(ISNUMBER(AC310),INDEX('All Player Data Store'!$E$7:$E$594,SMALL(IF('All Player Data Store'!$Y$7:$Y$594=AC310,ROW('All Player Data Store'!$Y$7:$Y$594)-ROW('All Player Data Store'!$Y$7)+1),COUNTIF($AC$8:AC310,AC310))),"")</f>
        <v/>
      </c>
      <c r="J310" s="70" t="str">
        <f t="array" ref="J310">IF(ISNUMBER(AC310),INDEX('All Player Data Store'!$F$7:$F$594,SMALL(IF('All Player Data Store'!$Y$7:$Y$594=AC310,ROW('All Player Data Store'!$Y$7:$Y$594)-ROW('All Player Data Store'!$Y$7)+1),COUNTIF($AC$8:AC310,AC310))),"")</f>
        <v/>
      </c>
      <c r="K310" s="70" t="str">
        <f t="array" ref="K310">IF(ISNUMBER(AC310),INDEX('All Player Data Store'!$G$7:$G$594,SMALL(IF('All Player Data Store'!$Y$7:$Y$594=AC310,ROW('All Player Data Store'!$Y$7:$Y$594)-ROW('All Player Data Store'!$Y$7)+1),COUNTIF($AC$8:AC310,AC310))),"")</f>
        <v/>
      </c>
      <c r="L310" s="70" t="str">
        <f t="array" ref="L310">IF(ISNUMBER(AC310),INDEX('All Player Data Store'!$H$7:$H$594,SMALL(IF('All Player Data Store'!$Y$7:$Y$594=AC310,ROW('All Player Data Store'!$Y$7:$Y$594)-ROW('All Player Data Store'!$Y$7)+1),COUNTIF($AC$8:AC310,AC310))),"")</f>
        <v/>
      </c>
      <c r="M310" s="72" t="str">
        <f t="array" ref="M310">IF(ISNUMBER(AC310),INDEX('All Player Data Store'!$I$7:$I$594,SMALL(IF('All Player Data Store'!$Y$7:$Y$594=AC310,ROW('All Player Data Store'!$Y$7:$Y$594)-ROW('All Player Data Store'!$Y$7)+1),COUNTIF($AC$8:AC310,AC310))),"")</f>
        <v/>
      </c>
      <c r="N310" s="114" t="str">
        <f t="array" ref="N310">IF(ISNUMBER(AC310),INDEX('All Player Data Store'!$J$7:$J$594,SMALL(IF('All Player Data Store'!$Y$7:$Y$594=AC310,ROW('All Player Data Store'!$Y$7:$Y$594)-ROW('All Player Data Store'!$Y$7)+1),COUNTIF($AC$8:AC310,AC310))),"")</f>
        <v/>
      </c>
      <c r="O310" s="108" t="str">
        <f t="array" ref="O310">IF(ISNUMBER(AC310),INDEX('All Player Data Store'!$K$7:$K$594,SMALL(IF('All Player Data Store'!$Y$7:$Y$594=AC310,ROW('All Player Data Store'!$Y$7:$Y$594)-ROW('All Player Data Store'!$Y$7)+1),COUNTIF($AC$8:AC310,AC310))),"")</f>
        <v/>
      </c>
      <c r="P310" s="108" t="str">
        <f t="array" ref="P310">IF(ISNUMBER(AC310),INDEX('All Player Data Store'!$L$7:$L$594,SMALL(IF('All Player Data Store'!$Y$7:$Y$594=AC310,ROW('All Player Data Store'!$Y$7:$Y$594)-ROW('All Player Data Store'!$Y$7)+1),COUNTIF($AC$8:AC310,AC310))),"")</f>
        <v/>
      </c>
      <c r="Q310" s="108" t="str">
        <f t="array" ref="Q310">IF(ISNUMBER(AC310),INDEX('All Player Data Store'!$M$7:$M$594,SMALL(IF('All Player Data Store'!$Y$7:$Y$594=AC310,ROW('All Player Data Store'!$Y$7:$Y$594)-ROW('All Player Data Store'!$Y$7)+1),COUNTIF($AC$8:AC310,AC310))),"")</f>
        <v/>
      </c>
      <c r="R310" s="108" t="str">
        <f t="array" ref="R310">IF(ISNUMBER(AC310),INDEX('All Player Data Store'!$N$7:$N$594,SMALL(IF('All Player Data Store'!$Y$7:$Y$594=AC310,ROW('All Player Data Store'!$Y$7:$Y$594)-ROW('All Player Data Store'!$Y$7)+1),COUNTIF($AC$8:AC310,AC310))),"")</f>
        <v/>
      </c>
      <c r="S310" s="108" t="str">
        <f t="array" ref="S310">IF(ISNUMBER(AC310),INDEX('All Player Data Store'!$O$7:$O$594,SMALL(IF('All Player Data Store'!$Y$7:$Y$594=AC310,ROW('All Player Data Store'!$Y$7:$Y$594)-ROW('All Player Data Store'!$Y$7)+1),COUNTIF($AC$8:AC310,AC310))),"")</f>
        <v/>
      </c>
      <c r="T310" s="108" t="str">
        <f t="array" ref="T310">IF(ISNUMBER(AC310),INDEX('All Player Data Store'!$P$7:$P$594,SMALL(IF('All Player Data Store'!$Y$7:$Y$594=AC310,ROW('All Player Data Store'!$Y$7:$Y$594)-ROW('All Player Data Store'!$Y$7)+1),COUNTIF($AC$8:AC310,AC310))),"")</f>
        <v/>
      </c>
      <c r="U310" s="108" t="str">
        <f t="array" ref="U310">IF(ISNUMBER(AC310),INDEX('All Player Data Store'!$Q$7:$Q$594,SMALL(IF('All Player Data Store'!$Y$7:$Y$594=AC310,ROW('All Player Data Store'!$Y$7:$Y$594)-ROW('All Player Data Store'!$Y$7)+1),COUNTIF($AC$8:AC310,AC310))),"")</f>
        <v/>
      </c>
      <c r="V310" s="108" t="str">
        <f t="array" ref="V310">IF(ISNUMBER(AC310),INDEX('All Player Data Store'!$R$7:$R$594,SMALL(IF('All Player Data Store'!$Y$7:$Y$594=AC310,ROW('All Player Data Store'!$Y$7:$Y$594)-ROW('All Player Data Store'!$Y$7)+1),COUNTIF($AC$8:AC310,AC310))),"")</f>
        <v/>
      </c>
      <c r="W310" s="108" t="str">
        <f t="array" ref="W310">IF(ISNUMBER(AC310),INDEX('All Player Data Store'!$S$7:$S$594,SMALL(IF('All Player Data Store'!$Y$7:$Y$594=AC310,ROW('All Player Data Store'!$Y$7:$Y$594)-ROW('All Player Data Store'!$Y$7)+1),COUNTIF($AC$8:AC310,AC310))),"")</f>
        <v/>
      </c>
      <c r="X310" s="108" t="str">
        <f t="array" ref="X310">IF(ISNUMBER(AC310),INDEX('All Player Data Store'!$T$7:$T$594,SMALL(IF('All Player Data Store'!$Y$7:$Y$594=AC310,ROW('All Player Data Store'!$Y$7:$Y$594)-ROW('All Player Data Store'!$Y$7)+1),COUNTIF($AC$8:AC310,AC310))),"")</f>
        <v/>
      </c>
      <c r="Y310" s="108" t="str">
        <f t="array" ref="Y310">IF(ISNUMBER(AC310),INDEX('All Player Data Store'!$U$7:$U$594,SMALL(IF('All Player Data Store'!$Y$7:$Y$594=AC310,ROW('All Player Data Store'!$Y$7:$Y$594)-ROW('All Player Data Store'!$Y$7)+1),COUNTIF($AC$8:AC310,AC310))),"")</f>
        <v/>
      </c>
      <c r="Z310" s="108" t="str">
        <f t="array" ref="Z310">IF(ISNUMBER(AC310),INDEX('All Player Data Store'!$V$7:$V$594,SMALL(IF('All Player Data Store'!$Y$7:$Y$594=AC310,ROW('All Player Data Store'!$Y$7:$Y$594)-ROW('All Player Data Store'!$Y$7)+1),COUNTIF($AC$8:AC310,AC310))),"")</f>
        <v/>
      </c>
      <c r="AA310" s="112" t="str">
        <f t="array" ref="AA310">IF(ISNUMBER(AC310),INDEX('All Player Data Store'!$W$7:$W$594,SMALL(IF('All Player Data Store'!$Y$7:$Y$594=AC310,ROW('All Player Data Store'!$Y$7:$Y$594)-ROW('All Player Data Store'!$Y$7)+1),COUNTIF($AC$8:AC310,AC310))),"")</f>
        <v/>
      </c>
      <c r="AB310" s="108" t="str">
        <f t="array" ref="AB310">IF(ISNUMBER(AC310),INDEX('All Player Data Store'!$X$7:$X$594,SMALL(IF('All Player Data Store'!$Y$7:$Y$594=AC310,ROW('All Player Data Store'!$Y$7:$Y$594)-ROW('All Player Data Store'!$Y$7)+1),COUNTIF($AC$8:AC310,AC310))),"")</f>
        <v/>
      </c>
      <c r="AC310" s="115" t="str">
        <f>IF(ISERROR(IF(ISERROR(LARGE('All Player Data Store'!$Y$7:$Y$594,303)),"",(LARGE('All Player Data Store'!$Y$7:$Y$594,303)))),"",(IF(ISERROR(LARGE('All Player Data Store'!$Y$7:$Y$594,303)),"",(LARGE('All Player Data Store'!$Y$7:$Y$594,303)))))</f>
        <v/>
      </c>
      <c r="AD310" s="106">
        <f t="shared" si="16"/>
        <v>1</v>
      </c>
      <c r="AE310" s="107" t="str">
        <f t="array" ref="AE310">IF(ISNUMBER(AC310),INDEX('All Player Data Store'!$J$8:$J$594,SMALL(IF('All Player Data Store'!$Y$7:$Y$594=AC310,ROW('All Player Data Store'!$Y$7:$Y$594)-ROW('All Player Data Store'!$Y$7)+1),COUNTIF($AC$8:AC310,AC310))),"")</f>
        <v/>
      </c>
      <c r="AF310" s="108" t="str">
        <f t="shared" si="19"/>
        <v/>
      </c>
      <c r="AG310" s="108" t="str">
        <f t="array" ref="AG310">IF(ISNUMBER(AC310),INDEX('All Player Data Store'!$K$8:$K$594,SMALL(IF('All Player Data Store'!$Y$7:$Y$594=AC310,ROW('All Player Data Store'!$Y$7:$Y$594)-ROW('All Player Data Store'!$Y$7)+1),COUNTIF($AC$8:AC310,AC310))),"")</f>
        <v/>
      </c>
      <c r="AH310" s="108" t="str">
        <f t="shared" si="20"/>
        <v/>
      </c>
      <c r="AI310" s="108" t="str">
        <f t="array" ref="AI310">IF(ISNUMBER(AC310),INDEX('All Player Data Store'!$L$8:$L$594,SMALL(IF('All Player Data Store'!$Y$7:$Y$594=AC310,ROW('All Player Data Store'!$Y$7:$Y$594)-ROW('All Player Data Store'!$Y$7)+1),COUNTIF($AC$8:AC310,AC310))),"")</f>
        <v/>
      </c>
      <c r="AJ310" s="108" t="str">
        <f t="shared" si="21"/>
        <v/>
      </c>
      <c r="AK310" s="108" t="str">
        <f t="array" ref="AK310">IF(ISNUMBER(AC310),INDEX('All Player Data Store'!$M$8:$M$594,SMALL(IF('All Player Data Store'!$Y$7:$Y$594=AC310,ROW('All Player Data Store'!$Y$7:$Y$594)-ROW('All Player Data Store'!$Y$7)+1),COUNTIF($AC$8:AC310,AC310))),"")</f>
        <v/>
      </c>
      <c r="AL310" s="108" t="str">
        <f t="shared" si="22"/>
        <v/>
      </c>
      <c r="AM310" s="108" t="str">
        <f t="array" ref="AM310">IF(ISNUMBER(AC310),INDEX('All Player Data Store'!$N$8:$N$594,SMALL(IF('All Player Data Store'!$Y$7:$Y$594=AC310,ROW('All Player Data Store'!$Y$7:$Y$594)-ROW('All Player Data Store'!$Y$7)+1),COUNTIF($AC$8:AC310,AC310))),"")</f>
        <v/>
      </c>
      <c r="AN310" s="108" t="str">
        <f t="shared" si="23"/>
        <v/>
      </c>
      <c r="AO310" s="108" t="str">
        <f t="array" ref="AO310">IF(ISNUMBER(AC310),INDEX('All Player Data Store'!$O$8:$O$594,SMALL(IF('All Player Data Store'!$Y$7:$Y$594=AC310,ROW('All Player Data Store'!$Y$7:$Y$594)-ROW('All Player Data Store'!$Y$7)+1),COUNTIF($AC$8:AC310,AC310))),"")</f>
        <v/>
      </c>
      <c r="AP310" s="108" t="str">
        <f t="shared" si="24"/>
        <v/>
      </c>
      <c r="AQ310" s="108" t="str">
        <f t="array" ref="AQ310">IF(ISNUMBER(AC310),INDEX('All Player Data Store'!$P$8:$P$594,SMALL(IF('All Player Data Store'!$Y$7:$Y$594=AC310,ROW('All Player Data Store'!$Y$7:$Y$594)-ROW('All Player Data Store'!$Y$7)+1),COUNTIF($AC$8:AC310,AC310))),"")</f>
        <v/>
      </c>
      <c r="AR310" s="108" t="str">
        <f t="shared" si="25"/>
        <v/>
      </c>
      <c r="AS310" s="108" t="str">
        <f t="array" ref="AS310">IF(ISNUMBER(AC310),INDEX('All Player Data Store'!$Q$8:$Q$594,SMALL(IF('All Player Data Store'!$Y$7:$Y$594=AC310,ROW('All Player Data Store'!$Y$7:$Y$594)-ROW('All Player Data Store'!$Y$7)+1),COUNTIF($AC$8:AC310,AC310))),"")</f>
        <v/>
      </c>
      <c r="AT310" s="108" t="str">
        <f t="shared" si="26"/>
        <v/>
      </c>
      <c r="AU310" s="108" t="str">
        <f t="array" ref="AU310">IF(ISNUMBER(AC310),INDEX('All Player Data Store'!$R$8:$R$594,SMALL(IF('All Player Data Store'!$Y$7:$Y$594=AC310,ROW('All Player Data Store'!$Y$7:$Y$594)-ROW('All Player Data Store'!$Y$7)+1),COUNTIF($AC$8:AC310,AC310))),"")</f>
        <v/>
      </c>
      <c r="AV310" s="108" t="str">
        <f t="shared" si="27"/>
        <v/>
      </c>
      <c r="AW310" s="108" t="str">
        <f t="array" ref="AW310">IF(ISNUMBER(AC310),INDEX('All Player Data Store'!$S$8:$S$594,SMALL(IF('All Player Data Store'!$Y$7:$Y$594=AC310,ROW('All Player Data Store'!$Y$7:$Y$594)-ROW('All Player Data Store'!$Y$7)+1),COUNTIF($AC$8:AC310,AC310))),"")</f>
        <v/>
      </c>
      <c r="AX310" s="108" t="str">
        <f t="shared" si="28"/>
        <v/>
      </c>
      <c r="AY310" s="108" t="str">
        <f t="array" ref="AY310">IF(ISNUMBER(AC310),INDEX('All Player Data Store'!$T$8:$T$594,SMALL(IF('All Player Data Store'!$Y$7:$Y$594=AC310,ROW('All Player Data Store'!$Y$7:$Y$594)-ROW('All Player Data Store'!$Y$7)+1),COUNTIF($AC$8:AC310,AC310))),"")</f>
        <v/>
      </c>
      <c r="AZ310" s="108" t="str">
        <f t="shared" si="29"/>
        <v/>
      </c>
      <c r="BA310" s="108" t="str">
        <f t="array" ref="BA310">IF(ISNUMBER(AC310),INDEX('All Player Data Store'!$U$8:$U$594,SMALL(IF('All Player Data Store'!$Y$7:$Y$594=AC310,ROW('All Player Data Store'!$Y$7:$Y$594)-ROW('All Player Data Store'!$Y$7)+1),COUNTIF($AC$8:AC310,AC310))),"")</f>
        <v/>
      </c>
      <c r="BB310" s="108" t="str">
        <f t="shared" si="30"/>
        <v/>
      </c>
      <c r="BC310" s="108" t="str">
        <f t="array" ref="BC310">IF(ISNUMBER(AC310),INDEX('All Player Data Store'!$V$8:$V$594,SMALL(IF('All Player Data Store'!$Y$7:$Y$594=AC310,ROW('All Player Data Store'!$Y$7:$Y$594)-ROW('All Player Data Store'!$Y$7)+1),COUNTIF($AC$8:AC310,AC310))),"")</f>
        <v/>
      </c>
      <c r="BD310" s="108" t="str">
        <f t="shared" si="31"/>
        <v/>
      </c>
      <c r="BE310" s="1"/>
    </row>
    <row r="311" spans="2:57" ht="12" customHeight="1" x14ac:dyDescent="0.2">
      <c r="B311" s="118" t="str">
        <f t="shared" si="17"/>
        <v/>
      </c>
      <c r="C311" s="1"/>
      <c r="D311" s="68" t="str">
        <f t="shared" si="18"/>
        <v/>
      </c>
      <c r="E311" s="2"/>
      <c r="F311" s="78">
        <v>304</v>
      </c>
      <c r="G311" s="110" t="str">
        <f t="array" ref="G311">IF(ISNUMBER(AC311),INDEX('All Player Data Store'!$C$7:$C$594,SMALL(IF('All Player Data Store'!$Y$7:$Y$594=AC311,ROW('All Player Data Store'!$Y$7:$Y$594)-ROW('All Player Data Store'!$Y$7)+1),COUNTIF($AC$8:AC311,AC311))),"")</f>
        <v/>
      </c>
      <c r="H311" s="68" t="str">
        <f t="array" ref="H311">IF(ISNUMBER(AC311),INDEX('All Player Data Store'!$D$7:$D$594,SMALL(IF('All Player Data Store'!$Y$7:$Y$594=AC311,ROW('All Player Data Store'!$Y$7:$Y$594)-ROW('All Player Data Store'!$Y$7)+1),COUNTIF($AC$8:AC311,AC311))),"")</f>
        <v/>
      </c>
      <c r="I311" s="69" t="str">
        <f t="array" ref="I311">IF(ISNUMBER(AC311),INDEX('All Player Data Store'!$E$7:$E$594,SMALL(IF('All Player Data Store'!$Y$7:$Y$594=AC311,ROW('All Player Data Store'!$Y$7:$Y$594)-ROW('All Player Data Store'!$Y$7)+1),COUNTIF($AC$8:AC311,AC311))),"")</f>
        <v/>
      </c>
      <c r="J311" s="70" t="str">
        <f t="array" ref="J311">IF(ISNUMBER(AC311),INDEX('All Player Data Store'!$F$7:$F$594,SMALL(IF('All Player Data Store'!$Y$7:$Y$594=AC311,ROW('All Player Data Store'!$Y$7:$Y$594)-ROW('All Player Data Store'!$Y$7)+1),COUNTIF($AC$8:AC311,AC311))),"")</f>
        <v/>
      </c>
      <c r="K311" s="70" t="str">
        <f t="array" ref="K311">IF(ISNUMBER(AC311),INDEX('All Player Data Store'!$G$7:$G$594,SMALL(IF('All Player Data Store'!$Y$7:$Y$594=AC311,ROW('All Player Data Store'!$Y$7:$Y$594)-ROW('All Player Data Store'!$Y$7)+1),COUNTIF($AC$8:AC311,AC311))),"")</f>
        <v/>
      </c>
      <c r="L311" s="70" t="str">
        <f t="array" ref="L311">IF(ISNUMBER(AC311),INDEX('All Player Data Store'!$H$7:$H$594,SMALL(IF('All Player Data Store'!$Y$7:$Y$594=AC311,ROW('All Player Data Store'!$Y$7:$Y$594)-ROW('All Player Data Store'!$Y$7)+1),COUNTIF($AC$8:AC311,AC311))),"")</f>
        <v/>
      </c>
      <c r="M311" s="72" t="str">
        <f t="array" ref="M311">IF(ISNUMBER(AC311),INDEX('All Player Data Store'!$I$7:$I$594,SMALL(IF('All Player Data Store'!$Y$7:$Y$594=AC311,ROW('All Player Data Store'!$Y$7:$Y$594)-ROW('All Player Data Store'!$Y$7)+1),COUNTIF($AC$8:AC311,AC311))),"")</f>
        <v/>
      </c>
      <c r="N311" s="114" t="str">
        <f t="array" ref="N311">IF(ISNUMBER(AC311),INDEX('All Player Data Store'!$J$7:$J$594,SMALL(IF('All Player Data Store'!$Y$7:$Y$594=AC311,ROW('All Player Data Store'!$Y$7:$Y$594)-ROW('All Player Data Store'!$Y$7)+1),COUNTIF($AC$8:AC311,AC311))),"")</f>
        <v/>
      </c>
      <c r="O311" s="108" t="str">
        <f t="array" ref="O311">IF(ISNUMBER(AC311),INDEX('All Player Data Store'!$K$7:$K$594,SMALL(IF('All Player Data Store'!$Y$7:$Y$594=AC311,ROW('All Player Data Store'!$Y$7:$Y$594)-ROW('All Player Data Store'!$Y$7)+1),COUNTIF($AC$8:AC311,AC311))),"")</f>
        <v/>
      </c>
      <c r="P311" s="108" t="str">
        <f t="array" ref="P311">IF(ISNUMBER(AC311),INDEX('All Player Data Store'!$L$7:$L$594,SMALL(IF('All Player Data Store'!$Y$7:$Y$594=AC311,ROW('All Player Data Store'!$Y$7:$Y$594)-ROW('All Player Data Store'!$Y$7)+1),COUNTIF($AC$8:AC311,AC311))),"")</f>
        <v/>
      </c>
      <c r="Q311" s="108" t="str">
        <f t="array" ref="Q311">IF(ISNUMBER(AC311),INDEX('All Player Data Store'!$M$7:$M$594,SMALL(IF('All Player Data Store'!$Y$7:$Y$594=AC311,ROW('All Player Data Store'!$Y$7:$Y$594)-ROW('All Player Data Store'!$Y$7)+1),COUNTIF($AC$8:AC311,AC311))),"")</f>
        <v/>
      </c>
      <c r="R311" s="108" t="str">
        <f t="array" ref="R311">IF(ISNUMBER(AC311),INDEX('All Player Data Store'!$N$7:$N$594,SMALL(IF('All Player Data Store'!$Y$7:$Y$594=AC311,ROW('All Player Data Store'!$Y$7:$Y$594)-ROW('All Player Data Store'!$Y$7)+1),COUNTIF($AC$8:AC311,AC311))),"")</f>
        <v/>
      </c>
      <c r="S311" s="108" t="str">
        <f t="array" ref="S311">IF(ISNUMBER(AC311),INDEX('All Player Data Store'!$O$7:$O$594,SMALL(IF('All Player Data Store'!$Y$7:$Y$594=AC311,ROW('All Player Data Store'!$Y$7:$Y$594)-ROW('All Player Data Store'!$Y$7)+1),COUNTIF($AC$8:AC311,AC311))),"")</f>
        <v/>
      </c>
      <c r="T311" s="108" t="str">
        <f t="array" ref="T311">IF(ISNUMBER(AC311),INDEX('All Player Data Store'!$P$7:$P$594,SMALL(IF('All Player Data Store'!$Y$7:$Y$594=AC311,ROW('All Player Data Store'!$Y$7:$Y$594)-ROW('All Player Data Store'!$Y$7)+1),COUNTIF($AC$8:AC311,AC311))),"")</f>
        <v/>
      </c>
      <c r="U311" s="108" t="str">
        <f t="array" ref="U311">IF(ISNUMBER(AC311),INDEX('All Player Data Store'!$Q$7:$Q$594,SMALL(IF('All Player Data Store'!$Y$7:$Y$594=AC311,ROW('All Player Data Store'!$Y$7:$Y$594)-ROW('All Player Data Store'!$Y$7)+1),COUNTIF($AC$8:AC311,AC311))),"")</f>
        <v/>
      </c>
      <c r="V311" s="108" t="str">
        <f t="array" ref="V311">IF(ISNUMBER(AC311),INDEX('All Player Data Store'!$R$7:$R$594,SMALL(IF('All Player Data Store'!$Y$7:$Y$594=AC311,ROW('All Player Data Store'!$Y$7:$Y$594)-ROW('All Player Data Store'!$Y$7)+1),COUNTIF($AC$8:AC311,AC311))),"")</f>
        <v/>
      </c>
      <c r="W311" s="108" t="str">
        <f t="array" ref="W311">IF(ISNUMBER(AC311),INDEX('All Player Data Store'!$S$7:$S$594,SMALL(IF('All Player Data Store'!$Y$7:$Y$594=AC311,ROW('All Player Data Store'!$Y$7:$Y$594)-ROW('All Player Data Store'!$Y$7)+1),COUNTIF($AC$8:AC311,AC311))),"")</f>
        <v/>
      </c>
      <c r="X311" s="108" t="str">
        <f t="array" ref="X311">IF(ISNUMBER(AC311),INDEX('All Player Data Store'!$T$7:$T$594,SMALL(IF('All Player Data Store'!$Y$7:$Y$594=AC311,ROW('All Player Data Store'!$Y$7:$Y$594)-ROW('All Player Data Store'!$Y$7)+1),COUNTIF($AC$8:AC311,AC311))),"")</f>
        <v/>
      </c>
      <c r="Y311" s="108" t="str">
        <f t="array" ref="Y311">IF(ISNUMBER(AC311),INDEX('All Player Data Store'!$U$7:$U$594,SMALL(IF('All Player Data Store'!$Y$7:$Y$594=AC311,ROW('All Player Data Store'!$Y$7:$Y$594)-ROW('All Player Data Store'!$Y$7)+1),COUNTIF($AC$8:AC311,AC311))),"")</f>
        <v/>
      </c>
      <c r="Z311" s="108" t="str">
        <f t="array" ref="Z311">IF(ISNUMBER(AC311),INDEX('All Player Data Store'!$V$7:$V$594,SMALL(IF('All Player Data Store'!$Y$7:$Y$594=AC311,ROW('All Player Data Store'!$Y$7:$Y$594)-ROW('All Player Data Store'!$Y$7)+1),COUNTIF($AC$8:AC311,AC311))),"")</f>
        <v/>
      </c>
      <c r="AA311" s="112" t="str">
        <f t="array" ref="AA311">IF(ISNUMBER(AC311),INDEX('All Player Data Store'!$W$7:$W$594,SMALL(IF('All Player Data Store'!$Y$7:$Y$594=AC311,ROW('All Player Data Store'!$Y$7:$Y$594)-ROW('All Player Data Store'!$Y$7)+1),COUNTIF($AC$8:AC311,AC311))),"")</f>
        <v/>
      </c>
      <c r="AB311" s="108" t="str">
        <f t="array" ref="AB311">IF(ISNUMBER(AC311),INDEX('All Player Data Store'!$X$7:$X$594,SMALL(IF('All Player Data Store'!$Y$7:$Y$594=AC311,ROW('All Player Data Store'!$Y$7:$Y$594)-ROW('All Player Data Store'!$Y$7)+1),COUNTIF($AC$8:AC311,AC311))),"")</f>
        <v/>
      </c>
      <c r="AC311" s="115" t="str">
        <f>IF(ISERROR(IF(ISERROR(LARGE('All Player Data Store'!$Y$7:$Y$594,304)),"",(LARGE('All Player Data Store'!$Y$7:$Y$594,304)))),"",(IF(ISERROR(LARGE('All Player Data Store'!$Y$7:$Y$594,304)),"",(LARGE('All Player Data Store'!$Y$7:$Y$594,304)))))</f>
        <v/>
      </c>
      <c r="AD311" s="106">
        <f t="shared" si="16"/>
        <v>1</v>
      </c>
      <c r="AE311" s="107" t="str">
        <f t="array" ref="AE311">IF(ISNUMBER(AC311),INDEX('All Player Data Store'!$J$8:$J$594,SMALL(IF('All Player Data Store'!$Y$7:$Y$594=AC311,ROW('All Player Data Store'!$Y$7:$Y$594)-ROW('All Player Data Store'!$Y$7)+1),COUNTIF($AC$8:AC311,AC311))),"")</f>
        <v/>
      </c>
      <c r="AF311" s="108" t="str">
        <f t="shared" si="19"/>
        <v/>
      </c>
      <c r="AG311" s="108" t="str">
        <f t="array" ref="AG311">IF(ISNUMBER(AC311),INDEX('All Player Data Store'!$K$8:$K$594,SMALL(IF('All Player Data Store'!$Y$7:$Y$594=AC311,ROW('All Player Data Store'!$Y$7:$Y$594)-ROW('All Player Data Store'!$Y$7)+1),COUNTIF($AC$8:AC311,AC311))),"")</f>
        <v/>
      </c>
      <c r="AH311" s="108" t="str">
        <f t="shared" si="20"/>
        <v/>
      </c>
      <c r="AI311" s="108" t="str">
        <f t="array" ref="AI311">IF(ISNUMBER(AC311),INDEX('All Player Data Store'!$L$8:$L$594,SMALL(IF('All Player Data Store'!$Y$7:$Y$594=AC311,ROW('All Player Data Store'!$Y$7:$Y$594)-ROW('All Player Data Store'!$Y$7)+1),COUNTIF($AC$8:AC311,AC311))),"")</f>
        <v/>
      </c>
      <c r="AJ311" s="108" t="str">
        <f t="shared" si="21"/>
        <v/>
      </c>
      <c r="AK311" s="108" t="str">
        <f t="array" ref="AK311">IF(ISNUMBER(AC311),INDEX('All Player Data Store'!$M$8:$M$594,SMALL(IF('All Player Data Store'!$Y$7:$Y$594=AC311,ROW('All Player Data Store'!$Y$7:$Y$594)-ROW('All Player Data Store'!$Y$7)+1),COUNTIF($AC$8:AC311,AC311))),"")</f>
        <v/>
      </c>
      <c r="AL311" s="108" t="str">
        <f t="shared" si="22"/>
        <v/>
      </c>
      <c r="AM311" s="108" t="str">
        <f t="array" ref="AM311">IF(ISNUMBER(AC311),INDEX('All Player Data Store'!$N$8:$N$594,SMALL(IF('All Player Data Store'!$Y$7:$Y$594=AC311,ROW('All Player Data Store'!$Y$7:$Y$594)-ROW('All Player Data Store'!$Y$7)+1),COUNTIF($AC$8:AC311,AC311))),"")</f>
        <v/>
      </c>
      <c r="AN311" s="108" t="str">
        <f t="shared" si="23"/>
        <v/>
      </c>
      <c r="AO311" s="108" t="str">
        <f t="array" ref="AO311">IF(ISNUMBER(AC311),INDEX('All Player Data Store'!$O$8:$O$594,SMALL(IF('All Player Data Store'!$Y$7:$Y$594=AC311,ROW('All Player Data Store'!$Y$7:$Y$594)-ROW('All Player Data Store'!$Y$7)+1),COUNTIF($AC$8:AC311,AC311))),"")</f>
        <v/>
      </c>
      <c r="AP311" s="108" t="str">
        <f t="shared" si="24"/>
        <v/>
      </c>
      <c r="AQ311" s="108" t="str">
        <f t="array" ref="AQ311">IF(ISNUMBER(AC311),INDEX('All Player Data Store'!$P$8:$P$594,SMALL(IF('All Player Data Store'!$Y$7:$Y$594=AC311,ROW('All Player Data Store'!$Y$7:$Y$594)-ROW('All Player Data Store'!$Y$7)+1),COUNTIF($AC$8:AC311,AC311))),"")</f>
        <v/>
      </c>
      <c r="AR311" s="108" t="str">
        <f t="shared" si="25"/>
        <v/>
      </c>
      <c r="AS311" s="108" t="str">
        <f t="array" ref="AS311">IF(ISNUMBER(AC311),INDEX('All Player Data Store'!$Q$8:$Q$594,SMALL(IF('All Player Data Store'!$Y$7:$Y$594=AC311,ROW('All Player Data Store'!$Y$7:$Y$594)-ROW('All Player Data Store'!$Y$7)+1),COUNTIF($AC$8:AC311,AC311))),"")</f>
        <v/>
      </c>
      <c r="AT311" s="108" t="str">
        <f t="shared" si="26"/>
        <v/>
      </c>
      <c r="AU311" s="108" t="str">
        <f t="array" ref="AU311">IF(ISNUMBER(AC311),INDEX('All Player Data Store'!$R$8:$R$594,SMALL(IF('All Player Data Store'!$Y$7:$Y$594=AC311,ROW('All Player Data Store'!$Y$7:$Y$594)-ROW('All Player Data Store'!$Y$7)+1),COUNTIF($AC$8:AC311,AC311))),"")</f>
        <v/>
      </c>
      <c r="AV311" s="108" t="str">
        <f t="shared" si="27"/>
        <v/>
      </c>
      <c r="AW311" s="108" t="str">
        <f t="array" ref="AW311">IF(ISNUMBER(AC311),INDEX('All Player Data Store'!$S$8:$S$594,SMALL(IF('All Player Data Store'!$Y$7:$Y$594=AC311,ROW('All Player Data Store'!$Y$7:$Y$594)-ROW('All Player Data Store'!$Y$7)+1),COUNTIF($AC$8:AC311,AC311))),"")</f>
        <v/>
      </c>
      <c r="AX311" s="108" t="str">
        <f t="shared" si="28"/>
        <v/>
      </c>
      <c r="AY311" s="108" t="str">
        <f t="array" ref="AY311">IF(ISNUMBER(AC311),INDEX('All Player Data Store'!$T$8:$T$594,SMALL(IF('All Player Data Store'!$Y$7:$Y$594=AC311,ROW('All Player Data Store'!$Y$7:$Y$594)-ROW('All Player Data Store'!$Y$7)+1),COUNTIF($AC$8:AC311,AC311))),"")</f>
        <v/>
      </c>
      <c r="AZ311" s="108" t="str">
        <f t="shared" si="29"/>
        <v/>
      </c>
      <c r="BA311" s="108" t="str">
        <f t="array" ref="BA311">IF(ISNUMBER(AC311),INDEX('All Player Data Store'!$U$8:$U$594,SMALL(IF('All Player Data Store'!$Y$7:$Y$594=AC311,ROW('All Player Data Store'!$Y$7:$Y$594)-ROW('All Player Data Store'!$Y$7)+1),COUNTIF($AC$8:AC311,AC311))),"")</f>
        <v/>
      </c>
      <c r="BB311" s="108" t="str">
        <f t="shared" si="30"/>
        <v/>
      </c>
      <c r="BC311" s="108" t="str">
        <f t="array" ref="BC311">IF(ISNUMBER(AC311),INDEX('All Player Data Store'!$V$8:$V$594,SMALL(IF('All Player Data Store'!$Y$7:$Y$594=AC311,ROW('All Player Data Store'!$Y$7:$Y$594)-ROW('All Player Data Store'!$Y$7)+1),COUNTIF($AC$8:AC311,AC311))),"")</f>
        <v/>
      </c>
      <c r="BD311" s="108" t="str">
        <f t="shared" si="31"/>
        <v/>
      </c>
      <c r="BE311" s="1"/>
    </row>
    <row r="312" spans="2:57" ht="12" customHeight="1" x14ac:dyDescent="0.2">
      <c r="B312" s="118" t="str">
        <f t="shared" si="17"/>
        <v/>
      </c>
      <c r="C312" s="1"/>
      <c r="D312" s="68" t="str">
        <f t="shared" si="18"/>
        <v/>
      </c>
      <c r="E312" s="2"/>
      <c r="F312" s="78">
        <v>305</v>
      </c>
      <c r="G312" s="110" t="str">
        <f t="array" ref="G312">IF(ISNUMBER(AC312),INDEX('All Player Data Store'!$C$7:$C$594,SMALL(IF('All Player Data Store'!$Y$7:$Y$594=AC312,ROW('All Player Data Store'!$Y$7:$Y$594)-ROW('All Player Data Store'!$Y$7)+1),COUNTIF($AC$8:AC312,AC312))),"")</f>
        <v/>
      </c>
      <c r="H312" s="68" t="str">
        <f t="array" ref="H312">IF(ISNUMBER(AC312),INDEX('All Player Data Store'!$D$7:$D$594,SMALL(IF('All Player Data Store'!$Y$7:$Y$594=AC312,ROW('All Player Data Store'!$Y$7:$Y$594)-ROW('All Player Data Store'!$Y$7)+1),COUNTIF($AC$8:AC312,AC312))),"")</f>
        <v/>
      </c>
      <c r="I312" s="69" t="str">
        <f t="array" ref="I312">IF(ISNUMBER(AC312),INDEX('All Player Data Store'!$E$7:$E$594,SMALL(IF('All Player Data Store'!$Y$7:$Y$594=AC312,ROW('All Player Data Store'!$Y$7:$Y$594)-ROW('All Player Data Store'!$Y$7)+1),COUNTIF($AC$8:AC312,AC312))),"")</f>
        <v/>
      </c>
      <c r="J312" s="70" t="str">
        <f t="array" ref="J312">IF(ISNUMBER(AC312),INDEX('All Player Data Store'!$F$7:$F$594,SMALL(IF('All Player Data Store'!$Y$7:$Y$594=AC312,ROW('All Player Data Store'!$Y$7:$Y$594)-ROW('All Player Data Store'!$Y$7)+1),COUNTIF($AC$8:AC312,AC312))),"")</f>
        <v/>
      </c>
      <c r="K312" s="70" t="str">
        <f t="array" ref="K312">IF(ISNUMBER(AC312),INDEX('All Player Data Store'!$G$7:$G$594,SMALL(IF('All Player Data Store'!$Y$7:$Y$594=AC312,ROW('All Player Data Store'!$Y$7:$Y$594)-ROW('All Player Data Store'!$Y$7)+1),COUNTIF($AC$8:AC312,AC312))),"")</f>
        <v/>
      </c>
      <c r="L312" s="70" t="str">
        <f t="array" ref="L312">IF(ISNUMBER(AC312),INDEX('All Player Data Store'!$H$7:$H$594,SMALL(IF('All Player Data Store'!$Y$7:$Y$594=AC312,ROW('All Player Data Store'!$Y$7:$Y$594)-ROW('All Player Data Store'!$Y$7)+1),COUNTIF($AC$8:AC312,AC312))),"")</f>
        <v/>
      </c>
      <c r="M312" s="72" t="str">
        <f t="array" ref="M312">IF(ISNUMBER(AC312),INDEX('All Player Data Store'!$I$7:$I$594,SMALL(IF('All Player Data Store'!$Y$7:$Y$594=AC312,ROW('All Player Data Store'!$Y$7:$Y$594)-ROW('All Player Data Store'!$Y$7)+1),COUNTIF($AC$8:AC312,AC312))),"")</f>
        <v/>
      </c>
      <c r="N312" s="114" t="str">
        <f t="array" ref="N312">IF(ISNUMBER(AC312),INDEX('All Player Data Store'!$J$7:$J$594,SMALL(IF('All Player Data Store'!$Y$7:$Y$594=AC312,ROW('All Player Data Store'!$Y$7:$Y$594)-ROW('All Player Data Store'!$Y$7)+1),COUNTIF($AC$8:AC312,AC312))),"")</f>
        <v/>
      </c>
      <c r="O312" s="108" t="str">
        <f t="array" ref="O312">IF(ISNUMBER(AC312),INDEX('All Player Data Store'!$K$7:$K$594,SMALL(IF('All Player Data Store'!$Y$7:$Y$594=AC312,ROW('All Player Data Store'!$Y$7:$Y$594)-ROW('All Player Data Store'!$Y$7)+1),COUNTIF($AC$8:AC312,AC312))),"")</f>
        <v/>
      </c>
      <c r="P312" s="108" t="str">
        <f t="array" ref="P312">IF(ISNUMBER(AC312),INDEX('All Player Data Store'!$L$7:$L$594,SMALL(IF('All Player Data Store'!$Y$7:$Y$594=AC312,ROW('All Player Data Store'!$Y$7:$Y$594)-ROW('All Player Data Store'!$Y$7)+1),COUNTIF($AC$8:AC312,AC312))),"")</f>
        <v/>
      </c>
      <c r="Q312" s="108" t="str">
        <f t="array" ref="Q312">IF(ISNUMBER(AC312),INDEX('All Player Data Store'!$M$7:$M$594,SMALL(IF('All Player Data Store'!$Y$7:$Y$594=AC312,ROW('All Player Data Store'!$Y$7:$Y$594)-ROW('All Player Data Store'!$Y$7)+1),COUNTIF($AC$8:AC312,AC312))),"")</f>
        <v/>
      </c>
      <c r="R312" s="108" t="str">
        <f t="array" ref="R312">IF(ISNUMBER(AC312),INDEX('All Player Data Store'!$N$7:$N$594,SMALL(IF('All Player Data Store'!$Y$7:$Y$594=AC312,ROW('All Player Data Store'!$Y$7:$Y$594)-ROW('All Player Data Store'!$Y$7)+1),COUNTIF($AC$8:AC312,AC312))),"")</f>
        <v/>
      </c>
      <c r="S312" s="108" t="str">
        <f t="array" ref="S312">IF(ISNUMBER(AC312),INDEX('All Player Data Store'!$O$7:$O$594,SMALL(IF('All Player Data Store'!$Y$7:$Y$594=AC312,ROW('All Player Data Store'!$Y$7:$Y$594)-ROW('All Player Data Store'!$Y$7)+1),COUNTIF($AC$8:AC312,AC312))),"")</f>
        <v/>
      </c>
      <c r="T312" s="108" t="str">
        <f t="array" ref="T312">IF(ISNUMBER(AC312),INDEX('All Player Data Store'!$P$7:$P$594,SMALL(IF('All Player Data Store'!$Y$7:$Y$594=AC312,ROW('All Player Data Store'!$Y$7:$Y$594)-ROW('All Player Data Store'!$Y$7)+1),COUNTIF($AC$8:AC312,AC312))),"")</f>
        <v/>
      </c>
      <c r="U312" s="108" t="str">
        <f t="array" ref="U312">IF(ISNUMBER(AC312),INDEX('All Player Data Store'!$Q$7:$Q$594,SMALL(IF('All Player Data Store'!$Y$7:$Y$594=AC312,ROW('All Player Data Store'!$Y$7:$Y$594)-ROW('All Player Data Store'!$Y$7)+1),COUNTIF($AC$8:AC312,AC312))),"")</f>
        <v/>
      </c>
      <c r="V312" s="108" t="str">
        <f t="array" ref="V312">IF(ISNUMBER(AC312),INDEX('All Player Data Store'!$R$7:$R$594,SMALL(IF('All Player Data Store'!$Y$7:$Y$594=AC312,ROW('All Player Data Store'!$Y$7:$Y$594)-ROW('All Player Data Store'!$Y$7)+1),COUNTIF($AC$8:AC312,AC312))),"")</f>
        <v/>
      </c>
      <c r="W312" s="108" t="str">
        <f t="array" ref="W312">IF(ISNUMBER(AC312),INDEX('All Player Data Store'!$S$7:$S$594,SMALL(IF('All Player Data Store'!$Y$7:$Y$594=AC312,ROW('All Player Data Store'!$Y$7:$Y$594)-ROW('All Player Data Store'!$Y$7)+1),COUNTIF($AC$8:AC312,AC312))),"")</f>
        <v/>
      </c>
      <c r="X312" s="108" t="str">
        <f t="array" ref="X312">IF(ISNUMBER(AC312),INDEX('All Player Data Store'!$T$7:$T$594,SMALL(IF('All Player Data Store'!$Y$7:$Y$594=AC312,ROW('All Player Data Store'!$Y$7:$Y$594)-ROW('All Player Data Store'!$Y$7)+1),COUNTIF($AC$8:AC312,AC312))),"")</f>
        <v/>
      </c>
      <c r="Y312" s="108" t="str">
        <f t="array" ref="Y312">IF(ISNUMBER(AC312),INDEX('All Player Data Store'!$U$7:$U$594,SMALL(IF('All Player Data Store'!$Y$7:$Y$594=AC312,ROW('All Player Data Store'!$Y$7:$Y$594)-ROW('All Player Data Store'!$Y$7)+1),COUNTIF($AC$8:AC312,AC312))),"")</f>
        <v/>
      </c>
      <c r="Z312" s="108" t="str">
        <f t="array" ref="Z312">IF(ISNUMBER(AC312),INDEX('All Player Data Store'!$V$7:$V$594,SMALL(IF('All Player Data Store'!$Y$7:$Y$594=AC312,ROW('All Player Data Store'!$Y$7:$Y$594)-ROW('All Player Data Store'!$Y$7)+1),COUNTIF($AC$8:AC312,AC312))),"")</f>
        <v/>
      </c>
      <c r="AA312" s="112" t="str">
        <f t="array" ref="AA312">IF(ISNUMBER(AC312),INDEX('All Player Data Store'!$W$7:$W$594,SMALL(IF('All Player Data Store'!$Y$7:$Y$594=AC312,ROW('All Player Data Store'!$Y$7:$Y$594)-ROW('All Player Data Store'!$Y$7)+1),COUNTIF($AC$8:AC312,AC312))),"")</f>
        <v/>
      </c>
      <c r="AB312" s="108" t="str">
        <f t="array" ref="AB312">IF(ISNUMBER(AC312),INDEX('All Player Data Store'!$X$7:$X$594,SMALL(IF('All Player Data Store'!$Y$7:$Y$594=AC312,ROW('All Player Data Store'!$Y$7:$Y$594)-ROW('All Player Data Store'!$Y$7)+1),COUNTIF($AC$8:AC312,AC312))),"")</f>
        <v/>
      </c>
      <c r="AC312" s="115" t="str">
        <f>IF(ISERROR(IF(ISERROR(LARGE('All Player Data Store'!$Y$7:$Y$594,305)),"",(LARGE('All Player Data Store'!$Y$7:$Y$594,305)))),"",(IF(ISERROR(LARGE('All Player Data Store'!$Y$7:$Y$594,305)),"",(LARGE('All Player Data Store'!$Y$7:$Y$594,305)))))</f>
        <v/>
      </c>
      <c r="AD312" s="106">
        <f t="shared" si="16"/>
        <v>1</v>
      </c>
      <c r="AE312" s="107" t="str">
        <f t="array" ref="AE312">IF(ISNUMBER(AC312),INDEX('All Player Data Store'!$J$8:$J$594,SMALL(IF('All Player Data Store'!$Y$7:$Y$594=AC312,ROW('All Player Data Store'!$Y$7:$Y$594)-ROW('All Player Data Store'!$Y$7)+1),COUNTIF($AC$8:AC312,AC312))),"")</f>
        <v/>
      </c>
      <c r="AF312" s="108" t="str">
        <f t="shared" si="19"/>
        <v/>
      </c>
      <c r="AG312" s="108" t="str">
        <f t="array" ref="AG312">IF(ISNUMBER(AC312),INDEX('All Player Data Store'!$K$8:$K$594,SMALL(IF('All Player Data Store'!$Y$7:$Y$594=AC312,ROW('All Player Data Store'!$Y$7:$Y$594)-ROW('All Player Data Store'!$Y$7)+1),COUNTIF($AC$8:AC312,AC312))),"")</f>
        <v/>
      </c>
      <c r="AH312" s="108" t="str">
        <f t="shared" si="20"/>
        <v/>
      </c>
      <c r="AI312" s="108" t="str">
        <f t="array" ref="AI312">IF(ISNUMBER(AC312),INDEX('All Player Data Store'!$L$8:$L$594,SMALL(IF('All Player Data Store'!$Y$7:$Y$594=AC312,ROW('All Player Data Store'!$Y$7:$Y$594)-ROW('All Player Data Store'!$Y$7)+1),COUNTIF($AC$8:AC312,AC312))),"")</f>
        <v/>
      </c>
      <c r="AJ312" s="108" t="str">
        <f t="shared" si="21"/>
        <v/>
      </c>
      <c r="AK312" s="108" t="str">
        <f t="array" ref="AK312">IF(ISNUMBER(AC312),INDEX('All Player Data Store'!$M$8:$M$594,SMALL(IF('All Player Data Store'!$Y$7:$Y$594=AC312,ROW('All Player Data Store'!$Y$7:$Y$594)-ROW('All Player Data Store'!$Y$7)+1),COUNTIF($AC$8:AC312,AC312))),"")</f>
        <v/>
      </c>
      <c r="AL312" s="108" t="str">
        <f t="shared" si="22"/>
        <v/>
      </c>
      <c r="AM312" s="108" t="str">
        <f t="array" ref="AM312">IF(ISNUMBER(AC312),INDEX('All Player Data Store'!$N$8:$N$594,SMALL(IF('All Player Data Store'!$Y$7:$Y$594=AC312,ROW('All Player Data Store'!$Y$7:$Y$594)-ROW('All Player Data Store'!$Y$7)+1),COUNTIF($AC$8:AC312,AC312))),"")</f>
        <v/>
      </c>
      <c r="AN312" s="108" t="str">
        <f t="shared" si="23"/>
        <v/>
      </c>
      <c r="AO312" s="108" t="str">
        <f t="array" ref="AO312">IF(ISNUMBER(AC312),INDEX('All Player Data Store'!$O$8:$O$594,SMALL(IF('All Player Data Store'!$Y$7:$Y$594=AC312,ROW('All Player Data Store'!$Y$7:$Y$594)-ROW('All Player Data Store'!$Y$7)+1),COUNTIF($AC$8:AC312,AC312))),"")</f>
        <v/>
      </c>
      <c r="AP312" s="108" t="str">
        <f t="shared" si="24"/>
        <v/>
      </c>
      <c r="AQ312" s="108" t="str">
        <f t="array" ref="AQ312">IF(ISNUMBER(AC312),INDEX('All Player Data Store'!$P$8:$P$594,SMALL(IF('All Player Data Store'!$Y$7:$Y$594=AC312,ROW('All Player Data Store'!$Y$7:$Y$594)-ROW('All Player Data Store'!$Y$7)+1),COUNTIF($AC$8:AC312,AC312))),"")</f>
        <v/>
      </c>
      <c r="AR312" s="108" t="str">
        <f t="shared" si="25"/>
        <v/>
      </c>
      <c r="AS312" s="108" t="str">
        <f t="array" ref="AS312">IF(ISNUMBER(AC312),INDEX('All Player Data Store'!$Q$8:$Q$594,SMALL(IF('All Player Data Store'!$Y$7:$Y$594=AC312,ROW('All Player Data Store'!$Y$7:$Y$594)-ROW('All Player Data Store'!$Y$7)+1),COUNTIF($AC$8:AC312,AC312))),"")</f>
        <v/>
      </c>
      <c r="AT312" s="108" t="str">
        <f t="shared" si="26"/>
        <v/>
      </c>
      <c r="AU312" s="108" t="str">
        <f t="array" ref="AU312">IF(ISNUMBER(AC312),INDEX('All Player Data Store'!$R$8:$R$594,SMALL(IF('All Player Data Store'!$Y$7:$Y$594=AC312,ROW('All Player Data Store'!$Y$7:$Y$594)-ROW('All Player Data Store'!$Y$7)+1),COUNTIF($AC$8:AC312,AC312))),"")</f>
        <v/>
      </c>
      <c r="AV312" s="108" t="str">
        <f t="shared" si="27"/>
        <v/>
      </c>
      <c r="AW312" s="108" t="str">
        <f t="array" ref="AW312">IF(ISNUMBER(AC312),INDEX('All Player Data Store'!$S$8:$S$594,SMALL(IF('All Player Data Store'!$Y$7:$Y$594=AC312,ROW('All Player Data Store'!$Y$7:$Y$594)-ROW('All Player Data Store'!$Y$7)+1),COUNTIF($AC$8:AC312,AC312))),"")</f>
        <v/>
      </c>
      <c r="AX312" s="108" t="str">
        <f t="shared" si="28"/>
        <v/>
      </c>
      <c r="AY312" s="108" t="str">
        <f t="array" ref="AY312">IF(ISNUMBER(AC312),INDEX('All Player Data Store'!$T$8:$T$594,SMALL(IF('All Player Data Store'!$Y$7:$Y$594=AC312,ROW('All Player Data Store'!$Y$7:$Y$594)-ROW('All Player Data Store'!$Y$7)+1),COUNTIF($AC$8:AC312,AC312))),"")</f>
        <v/>
      </c>
      <c r="AZ312" s="108" t="str">
        <f t="shared" si="29"/>
        <v/>
      </c>
      <c r="BA312" s="108" t="str">
        <f t="array" ref="BA312">IF(ISNUMBER(AC312),INDEX('All Player Data Store'!$U$8:$U$594,SMALL(IF('All Player Data Store'!$Y$7:$Y$594=AC312,ROW('All Player Data Store'!$Y$7:$Y$594)-ROW('All Player Data Store'!$Y$7)+1),COUNTIF($AC$8:AC312,AC312))),"")</f>
        <v/>
      </c>
      <c r="BB312" s="108" t="str">
        <f t="shared" si="30"/>
        <v/>
      </c>
      <c r="BC312" s="108" t="str">
        <f t="array" ref="BC312">IF(ISNUMBER(AC312),INDEX('All Player Data Store'!$V$8:$V$594,SMALL(IF('All Player Data Store'!$Y$7:$Y$594=AC312,ROW('All Player Data Store'!$Y$7:$Y$594)-ROW('All Player Data Store'!$Y$7)+1),COUNTIF($AC$8:AC312,AC312))),"")</f>
        <v/>
      </c>
      <c r="BD312" s="108" t="str">
        <f t="shared" si="31"/>
        <v/>
      </c>
      <c r="BE312" s="1"/>
    </row>
    <row r="313" spans="2:57" ht="12" customHeight="1" x14ac:dyDescent="0.2">
      <c r="B313" s="118" t="str">
        <f t="shared" si="17"/>
        <v/>
      </c>
      <c r="C313" s="1"/>
      <c r="D313" s="68" t="str">
        <f t="shared" si="18"/>
        <v/>
      </c>
      <c r="E313" s="2"/>
      <c r="F313" s="78">
        <v>306</v>
      </c>
      <c r="G313" s="110" t="str">
        <f t="array" ref="G313">IF(ISNUMBER(AC313),INDEX('All Player Data Store'!$C$7:$C$594,SMALL(IF('All Player Data Store'!$Y$7:$Y$594=AC313,ROW('All Player Data Store'!$Y$7:$Y$594)-ROW('All Player Data Store'!$Y$7)+1),COUNTIF($AC$8:AC313,AC313))),"")</f>
        <v/>
      </c>
      <c r="H313" s="68" t="str">
        <f t="array" ref="H313">IF(ISNUMBER(AC313),INDEX('All Player Data Store'!$D$7:$D$594,SMALL(IF('All Player Data Store'!$Y$7:$Y$594=AC313,ROW('All Player Data Store'!$Y$7:$Y$594)-ROW('All Player Data Store'!$Y$7)+1),COUNTIF($AC$8:AC313,AC313))),"")</f>
        <v/>
      </c>
      <c r="I313" s="69" t="str">
        <f t="array" ref="I313">IF(ISNUMBER(AC313),INDEX('All Player Data Store'!$E$7:$E$594,SMALL(IF('All Player Data Store'!$Y$7:$Y$594=AC313,ROW('All Player Data Store'!$Y$7:$Y$594)-ROW('All Player Data Store'!$Y$7)+1),COUNTIF($AC$8:AC313,AC313))),"")</f>
        <v/>
      </c>
      <c r="J313" s="70" t="str">
        <f t="array" ref="J313">IF(ISNUMBER(AC313),INDEX('All Player Data Store'!$F$7:$F$594,SMALL(IF('All Player Data Store'!$Y$7:$Y$594=AC313,ROW('All Player Data Store'!$Y$7:$Y$594)-ROW('All Player Data Store'!$Y$7)+1),COUNTIF($AC$8:AC313,AC313))),"")</f>
        <v/>
      </c>
      <c r="K313" s="70" t="str">
        <f t="array" ref="K313">IF(ISNUMBER(AC313),INDEX('All Player Data Store'!$G$7:$G$594,SMALL(IF('All Player Data Store'!$Y$7:$Y$594=AC313,ROW('All Player Data Store'!$Y$7:$Y$594)-ROW('All Player Data Store'!$Y$7)+1),COUNTIF($AC$8:AC313,AC313))),"")</f>
        <v/>
      </c>
      <c r="L313" s="70" t="str">
        <f t="array" ref="L313">IF(ISNUMBER(AC313),INDEX('All Player Data Store'!$H$7:$H$594,SMALL(IF('All Player Data Store'!$Y$7:$Y$594=AC313,ROW('All Player Data Store'!$Y$7:$Y$594)-ROW('All Player Data Store'!$Y$7)+1),COUNTIF($AC$8:AC313,AC313))),"")</f>
        <v/>
      </c>
      <c r="M313" s="72" t="str">
        <f t="array" ref="M313">IF(ISNUMBER(AC313),INDEX('All Player Data Store'!$I$7:$I$594,SMALL(IF('All Player Data Store'!$Y$7:$Y$594=AC313,ROW('All Player Data Store'!$Y$7:$Y$594)-ROW('All Player Data Store'!$Y$7)+1),COUNTIF($AC$8:AC313,AC313))),"")</f>
        <v/>
      </c>
      <c r="N313" s="114" t="str">
        <f t="array" ref="N313">IF(ISNUMBER(AC313),INDEX('All Player Data Store'!$J$7:$J$594,SMALL(IF('All Player Data Store'!$Y$7:$Y$594=AC313,ROW('All Player Data Store'!$Y$7:$Y$594)-ROW('All Player Data Store'!$Y$7)+1),COUNTIF($AC$8:AC313,AC313))),"")</f>
        <v/>
      </c>
      <c r="O313" s="108" t="str">
        <f t="array" ref="O313">IF(ISNUMBER(AC313),INDEX('All Player Data Store'!$K$7:$K$594,SMALL(IF('All Player Data Store'!$Y$7:$Y$594=AC313,ROW('All Player Data Store'!$Y$7:$Y$594)-ROW('All Player Data Store'!$Y$7)+1),COUNTIF($AC$8:AC313,AC313))),"")</f>
        <v/>
      </c>
      <c r="P313" s="108" t="str">
        <f t="array" ref="P313">IF(ISNUMBER(AC313),INDEX('All Player Data Store'!$L$7:$L$594,SMALL(IF('All Player Data Store'!$Y$7:$Y$594=AC313,ROW('All Player Data Store'!$Y$7:$Y$594)-ROW('All Player Data Store'!$Y$7)+1),COUNTIF($AC$8:AC313,AC313))),"")</f>
        <v/>
      </c>
      <c r="Q313" s="108" t="str">
        <f t="array" ref="Q313">IF(ISNUMBER(AC313),INDEX('All Player Data Store'!$M$7:$M$594,SMALL(IF('All Player Data Store'!$Y$7:$Y$594=AC313,ROW('All Player Data Store'!$Y$7:$Y$594)-ROW('All Player Data Store'!$Y$7)+1),COUNTIF($AC$8:AC313,AC313))),"")</f>
        <v/>
      </c>
      <c r="R313" s="108" t="str">
        <f t="array" ref="R313">IF(ISNUMBER(AC313),INDEX('All Player Data Store'!$N$7:$N$594,SMALL(IF('All Player Data Store'!$Y$7:$Y$594=AC313,ROW('All Player Data Store'!$Y$7:$Y$594)-ROW('All Player Data Store'!$Y$7)+1),COUNTIF($AC$8:AC313,AC313))),"")</f>
        <v/>
      </c>
      <c r="S313" s="108" t="str">
        <f t="array" ref="S313">IF(ISNUMBER(AC313),INDEX('All Player Data Store'!$O$7:$O$594,SMALL(IF('All Player Data Store'!$Y$7:$Y$594=AC313,ROW('All Player Data Store'!$Y$7:$Y$594)-ROW('All Player Data Store'!$Y$7)+1),COUNTIF($AC$8:AC313,AC313))),"")</f>
        <v/>
      </c>
      <c r="T313" s="108" t="str">
        <f t="array" ref="T313">IF(ISNUMBER(AC313),INDEX('All Player Data Store'!$P$7:$P$594,SMALL(IF('All Player Data Store'!$Y$7:$Y$594=AC313,ROW('All Player Data Store'!$Y$7:$Y$594)-ROW('All Player Data Store'!$Y$7)+1),COUNTIF($AC$8:AC313,AC313))),"")</f>
        <v/>
      </c>
      <c r="U313" s="108" t="str">
        <f t="array" ref="U313">IF(ISNUMBER(AC313),INDEX('All Player Data Store'!$Q$7:$Q$594,SMALL(IF('All Player Data Store'!$Y$7:$Y$594=AC313,ROW('All Player Data Store'!$Y$7:$Y$594)-ROW('All Player Data Store'!$Y$7)+1),COUNTIF($AC$8:AC313,AC313))),"")</f>
        <v/>
      </c>
      <c r="V313" s="108" t="str">
        <f t="array" ref="V313">IF(ISNUMBER(AC313),INDEX('All Player Data Store'!$R$7:$R$594,SMALL(IF('All Player Data Store'!$Y$7:$Y$594=AC313,ROW('All Player Data Store'!$Y$7:$Y$594)-ROW('All Player Data Store'!$Y$7)+1),COUNTIF($AC$8:AC313,AC313))),"")</f>
        <v/>
      </c>
      <c r="W313" s="108" t="str">
        <f t="array" ref="W313">IF(ISNUMBER(AC313),INDEX('All Player Data Store'!$S$7:$S$594,SMALL(IF('All Player Data Store'!$Y$7:$Y$594=AC313,ROW('All Player Data Store'!$Y$7:$Y$594)-ROW('All Player Data Store'!$Y$7)+1),COUNTIF($AC$8:AC313,AC313))),"")</f>
        <v/>
      </c>
      <c r="X313" s="108" t="str">
        <f t="array" ref="X313">IF(ISNUMBER(AC313),INDEX('All Player Data Store'!$T$7:$T$594,SMALL(IF('All Player Data Store'!$Y$7:$Y$594=AC313,ROW('All Player Data Store'!$Y$7:$Y$594)-ROW('All Player Data Store'!$Y$7)+1),COUNTIF($AC$8:AC313,AC313))),"")</f>
        <v/>
      </c>
      <c r="Y313" s="108" t="str">
        <f t="array" ref="Y313">IF(ISNUMBER(AC313),INDEX('All Player Data Store'!$U$7:$U$594,SMALL(IF('All Player Data Store'!$Y$7:$Y$594=AC313,ROW('All Player Data Store'!$Y$7:$Y$594)-ROW('All Player Data Store'!$Y$7)+1),COUNTIF($AC$8:AC313,AC313))),"")</f>
        <v/>
      </c>
      <c r="Z313" s="108" t="str">
        <f t="array" ref="Z313">IF(ISNUMBER(AC313),INDEX('All Player Data Store'!$V$7:$V$594,SMALL(IF('All Player Data Store'!$Y$7:$Y$594=AC313,ROW('All Player Data Store'!$Y$7:$Y$594)-ROW('All Player Data Store'!$Y$7)+1),COUNTIF($AC$8:AC313,AC313))),"")</f>
        <v/>
      </c>
      <c r="AA313" s="112" t="str">
        <f t="array" ref="AA313">IF(ISNUMBER(AC313),INDEX('All Player Data Store'!$W$7:$W$594,SMALL(IF('All Player Data Store'!$Y$7:$Y$594=AC313,ROW('All Player Data Store'!$Y$7:$Y$594)-ROW('All Player Data Store'!$Y$7)+1),COUNTIF($AC$8:AC313,AC313))),"")</f>
        <v/>
      </c>
      <c r="AB313" s="108" t="str">
        <f t="array" ref="AB313">IF(ISNUMBER(AC313),INDEX('All Player Data Store'!$X$7:$X$594,SMALL(IF('All Player Data Store'!$Y$7:$Y$594=AC313,ROW('All Player Data Store'!$Y$7:$Y$594)-ROW('All Player Data Store'!$Y$7)+1),COUNTIF($AC$8:AC313,AC313))),"")</f>
        <v/>
      </c>
      <c r="AC313" s="115" t="str">
        <f>IF(ISERROR(IF(ISERROR(LARGE('All Player Data Store'!$Y$7:$Y$594,306)),"",(LARGE('All Player Data Store'!$Y$7:$Y$594,306)))),"",(IF(ISERROR(LARGE('All Player Data Store'!$Y$7:$Y$594,306)),"",(LARGE('All Player Data Store'!$Y$7:$Y$594,306)))))</f>
        <v/>
      </c>
      <c r="AD313" s="106">
        <f t="shared" si="16"/>
        <v>1</v>
      </c>
      <c r="AE313" s="107" t="str">
        <f t="array" ref="AE313">IF(ISNUMBER(AC313),INDEX('All Player Data Store'!$J$8:$J$594,SMALL(IF('All Player Data Store'!$Y$7:$Y$594=AC313,ROW('All Player Data Store'!$Y$7:$Y$594)-ROW('All Player Data Store'!$Y$7)+1),COUNTIF($AC$8:AC313,AC313))),"")</f>
        <v/>
      </c>
      <c r="AF313" s="108" t="str">
        <f t="shared" si="19"/>
        <v/>
      </c>
      <c r="AG313" s="108" t="str">
        <f t="array" ref="AG313">IF(ISNUMBER(AC313),INDEX('All Player Data Store'!$K$8:$K$594,SMALL(IF('All Player Data Store'!$Y$7:$Y$594=AC313,ROW('All Player Data Store'!$Y$7:$Y$594)-ROW('All Player Data Store'!$Y$7)+1),COUNTIF($AC$8:AC313,AC313))),"")</f>
        <v/>
      </c>
      <c r="AH313" s="108" t="str">
        <f t="shared" si="20"/>
        <v/>
      </c>
      <c r="AI313" s="108" t="str">
        <f t="array" ref="AI313">IF(ISNUMBER(AC313),INDEX('All Player Data Store'!$L$8:$L$594,SMALL(IF('All Player Data Store'!$Y$7:$Y$594=AC313,ROW('All Player Data Store'!$Y$7:$Y$594)-ROW('All Player Data Store'!$Y$7)+1),COUNTIF($AC$8:AC313,AC313))),"")</f>
        <v/>
      </c>
      <c r="AJ313" s="108" t="str">
        <f t="shared" si="21"/>
        <v/>
      </c>
      <c r="AK313" s="108" t="str">
        <f t="array" ref="AK313">IF(ISNUMBER(AC313),INDEX('All Player Data Store'!$M$8:$M$594,SMALL(IF('All Player Data Store'!$Y$7:$Y$594=AC313,ROW('All Player Data Store'!$Y$7:$Y$594)-ROW('All Player Data Store'!$Y$7)+1),COUNTIF($AC$8:AC313,AC313))),"")</f>
        <v/>
      </c>
      <c r="AL313" s="108" t="str">
        <f t="shared" si="22"/>
        <v/>
      </c>
      <c r="AM313" s="108" t="str">
        <f t="array" ref="AM313">IF(ISNUMBER(AC313),INDEX('All Player Data Store'!$N$8:$N$594,SMALL(IF('All Player Data Store'!$Y$7:$Y$594=AC313,ROW('All Player Data Store'!$Y$7:$Y$594)-ROW('All Player Data Store'!$Y$7)+1),COUNTIF($AC$8:AC313,AC313))),"")</f>
        <v/>
      </c>
      <c r="AN313" s="108" t="str">
        <f t="shared" si="23"/>
        <v/>
      </c>
      <c r="AO313" s="108" t="str">
        <f t="array" ref="AO313">IF(ISNUMBER(AC313),INDEX('All Player Data Store'!$O$8:$O$594,SMALL(IF('All Player Data Store'!$Y$7:$Y$594=AC313,ROW('All Player Data Store'!$Y$7:$Y$594)-ROW('All Player Data Store'!$Y$7)+1),COUNTIF($AC$8:AC313,AC313))),"")</f>
        <v/>
      </c>
      <c r="AP313" s="108" t="str">
        <f t="shared" si="24"/>
        <v/>
      </c>
      <c r="AQ313" s="108" t="str">
        <f t="array" ref="AQ313">IF(ISNUMBER(AC313),INDEX('All Player Data Store'!$P$8:$P$594,SMALL(IF('All Player Data Store'!$Y$7:$Y$594=AC313,ROW('All Player Data Store'!$Y$7:$Y$594)-ROW('All Player Data Store'!$Y$7)+1),COUNTIF($AC$8:AC313,AC313))),"")</f>
        <v/>
      </c>
      <c r="AR313" s="108" t="str">
        <f t="shared" si="25"/>
        <v/>
      </c>
      <c r="AS313" s="108" t="str">
        <f t="array" ref="AS313">IF(ISNUMBER(AC313),INDEX('All Player Data Store'!$Q$8:$Q$594,SMALL(IF('All Player Data Store'!$Y$7:$Y$594=AC313,ROW('All Player Data Store'!$Y$7:$Y$594)-ROW('All Player Data Store'!$Y$7)+1),COUNTIF($AC$8:AC313,AC313))),"")</f>
        <v/>
      </c>
      <c r="AT313" s="108" t="str">
        <f t="shared" si="26"/>
        <v/>
      </c>
      <c r="AU313" s="108" t="str">
        <f t="array" ref="AU313">IF(ISNUMBER(AC313),INDEX('All Player Data Store'!$R$8:$R$594,SMALL(IF('All Player Data Store'!$Y$7:$Y$594=AC313,ROW('All Player Data Store'!$Y$7:$Y$594)-ROW('All Player Data Store'!$Y$7)+1),COUNTIF($AC$8:AC313,AC313))),"")</f>
        <v/>
      </c>
      <c r="AV313" s="108" t="str">
        <f t="shared" si="27"/>
        <v/>
      </c>
      <c r="AW313" s="108" t="str">
        <f t="array" ref="AW313">IF(ISNUMBER(AC313),INDEX('All Player Data Store'!$S$8:$S$594,SMALL(IF('All Player Data Store'!$Y$7:$Y$594=AC313,ROW('All Player Data Store'!$Y$7:$Y$594)-ROW('All Player Data Store'!$Y$7)+1),COUNTIF($AC$8:AC313,AC313))),"")</f>
        <v/>
      </c>
      <c r="AX313" s="108" t="str">
        <f t="shared" si="28"/>
        <v/>
      </c>
      <c r="AY313" s="108" t="str">
        <f t="array" ref="AY313">IF(ISNUMBER(AC313),INDEX('All Player Data Store'!$T$8:$T$594,SMALL(IF('All Player Data Store'!$Y$7:$Y$594=AC313,ROW('All Player Data Store'!$Y$7:$Y$594)-ROW('All Player Data Store'!$Y$7)+1),COUNTIF($AC$8:AC313,AC313))),"")</f>
        <v/>
      </c>
      <c r="AZ313" s="108" t="str">
        <f t="shared" si="29"/>
        <v/>
      </c>
      <c r="BA313" s="108" t="str">
        <f t="array" ref="BA313">IF(ISNUMBER(AC313),INDEX('All Player Data Store'!$U$8:$U$594,SMALL(IF('All Player Data Store'!$Y$7:$Y$594=AC313,ROW('All Player Data Store'!$Y$7:$Y$594)-ROW('All Player Data Store'!$Y$7)+1),COUNTIF($AC$8:AC313,AC313))),"")</f>
        <v/>
      </c>
      <c r="BB313" s="108" t="str">
        <f t="shared" si="30"/>
        <v/>
      </c>
      <c r="BC313" s="108" t="str">
        <f t="array" ref="BC313">IF(ISNUMBER(AC313),INDEX('All Player Data Store'!$V$8:$V$594,SMALL(IF('All Player Data Store'!$Y$7:$Y$594=AC313,ROW('All Player Data Store'!$Y$7:$Y$594)-ROW('All Player Data Store'!$Y$7)+1),COUNTIF($AC$8:AC313,AC313))),"")</f>
        <v/>
      </c>
      <c r="BD313" s="108" t="str">
        <f t="shared" si="31"/>
        <v/>
      </c>
      <c r="BE313" s="1"/>
    </row>
    <row r="314" spans="2:57" ht="12" customHeight="1" x14ac:dyDescent="0.2">
      <c r="B314" s="118" t="str">
        <f t="shared" si="17"/>
        <v/>
      </c>
      <c r="C314" s="1"/>
      <c r="D314" s="68" t="str">
        <f t="shared" si="18"/>
        <v/>
      </c>
      <c r="E314" s="2"/>
      <c r="F314" s="78">
        <v>307</v>
      </c>
      <c r="G314" s="110" t="str">
        <f t="array" ref="G314">IF(ISNUMBER(AC314),INDEX('All Player Data Store'!$C$7:$C$594,SMALL(IF('All Player Data Store'!$Y$7:$Y$594=AC314,ROW('All Player Data Store'!$Y$7:$Y$594)-ROW('All Player Data Store'!$Y$7)+1),COUNTIF($AC$8:AC314,AC314))),"")</f>
        <v/>
      </c>
      <c r="H314" s="68" t="str">
        <f t="array" ref="H314">IF(ISNUMBER(AC314),INDEX('All Player Data Store'!$D$7:$D$594,SMALL(IF('All Player Data Store'!$Y$7:$Y$594=AC314,ROW('All Player Data Store'!$Y$7:$Y$594)-ROW('All Player Data Store'!$Y$7)+1),COUNTIF($AC$8:AC314,AC314))),"")</f>
        <v/>
      </c>
      <c r="I314" s="69" t="str">
        <f t="array" ref="I314">IF(ISNUMBER(AC314),INDEX('All Player Data Store'!$E$7:$E$594,SMALL(IF('All Player Data Store'!$Y$7:$Y$594=AC314,ROW('All Player Data Store'!$Y$7:$Y$594)-ROW('All Player Data Store'!$Y$7)+1),COUNTIF($AC$8:AC314,AC314))),"")</f>
        <v/>
      </c>
      <c r="J314" s="70" t="str">
        <f t="array" ref="J314">IF(ISNUMBER(AC314),INDEX('All Player Data Store'!$F$7:$F$594,SMALL(IF('All Player Data Store'!$Y$7:$Y$594=AC314,ROW('All Player Data Store'!$Y$7:$Y$594)-ROW('All Player Data Store'!$Y$7)+1),COUNTIF($AC$8:AC314,AC314))),"")</f>
        <v/>
      </c>
      <c r="K314" s="70" t="str">
        <f t="array" ref="K314">IF(ISNUMBER(AC314),INDEX('All Player Data Store'!$G$7:$G$594,SMALL(IF('All Player Data Store'!$Y$7:$Y$594=AC314,ROW('All Player Data Store'!$Y$7:$Y$594)-ROW('All Player Data Store'!$Y$7)+1),COUNTIF($AC$8:AC314,AC314))),"")</f>
        <v/>
      </c>
      <c r="L314" s="70" t="str">
        <f t="array" ref="L314">IF(ISNUMBER(AC314),INDEX('All Player Data Store'!$H$7:$H$594,SMALL(IF('All Player Data Store'!$Y$7:$Y$594=AC314,ROW('All Player Data Store'!$Y$7:$Y$594)-ROW('All Player Data Store'!$Y$7)+1),COUNTIF($AC$8:AC314,AC314))),"")</f>
        <v/>
      </c>
      <c r="M314" s="72" t="str">
        <f t="array" ref="M314">IF(ISNUMBER(AC314),INDEX('All Player Data Store'!$I$7:$I$594,SMALL(IF('All Player Data Store'!$Y$7:$Y$594=AC314,ROW('All Player Data Store'!$Y$7:$Y$594)-ROW('All Player Data Store'!$Y$7)+1),COUNTIF($AC$8:AC314,AC314))),"")</f>
        <v/>
      </c>
      <c r="N314" s="114" t="str">
        <f t="array" ref="N314">IF(ISNUMBER(AC314),INDEX('All Player Data Store'!$J$7:$J$594,SMALL(IF('All Player Data Store'!$Y$7:$Y$594=AC314,ROW('All Player Data Store'!$Y$7:$Y$594)-ROW('All Player Data Store'!$Y$7)+1),COUNTIF($AC$8:AC314,AC314))),"")</f>
        <v/>
      </c>
      <c r="O314" s="108" t="str">
        <f t="array" ref="O314">IF(ISNUMBER(AC314),INDEX('All Player Data Store'!$K$7:$K$594,SMALL(IF('All Player Data Store'!$Y$7:$Y$594=AC314,ROW('All Player Data Store'!$Y$7:$Y$594)-ROW('All Player Data Store'!$Y$7)+1),COUNTIF($AC$8:AC314,AC314))),"")</f>
        <v/>
      </c>
      <c r="P314" s="108" t="str">
        <f t="array" ref="P314">IF(ISNUMBER(AC314),INDEX('All Player Data Store'!$L$7:$L$594,SMALL(IF('All Player Data Store'!$Y$7:$Y$594=AC314,ROW('All Player Data Store'!$Y$7:$Y$594)-ROW('All Player Data Store'!$Y$7)+1),COUNTIF($AC$8:AC314,AC314))),"")</f>
        <v/>
      </c>
      <c r="Q314" s="108" t="str">
        <f t="array" ref="Q314">IF(ISNUMBER(AC314),INDEX('All Player Data Store'!$M$7:$M$594,SMALL(IF('All Player Data Store'!$Y$7:$Y$594=AC314,ROW('All Player Data Store'!$Y$7:$Y$594)-ROW('All Player Data Store'!$Y$7)+1),COUNTIF($AC$8:AC314,AC314))),"")</f>
        <v/>
      </c>
      <c r="R314" s="108" t="str">
        <f t="array" ref="R314">IF(ISNUMBER(AC314),INDEX('All Player Data Store'!$N$7:$N$594,SMALL(IF('All Player Data Store'!$Y$7:$Y$594=AC314,ROW('All Player Data Store'!$Y$7:$Y$594)-ROW('All Player Data Store'!$Y$7)+1),COUNTIF($AC$8:AC314,AC314))),"")</f>
        <v/>
      </c>
      <c r="S314" s="108" t="str">
        <f t="array" ref="S314">IF(ISNUMBER(AC314),INDEX('All Player Data Store'!$O$7:$O$594,SMALL(IF('All Player Data Store'!$Y$7:$Y$594=AC314,ROW('All Player Data Store'!$Y$7:$Y$594)-ROW('All Player Data Store'!$Y$7)+1),COUNTIF($AC$8:AC314,AC314))),"")</f>
        <v/>
      </c>
      <c r="T314" s="108" t="str">
        <f t="array" ref="T314">IF(ISNUMBER(AC314),INDEX('All Player Data Store'!$P$7:$P$594,SMALL(IF('All Player Data Store'!$Y$7:$Y$594=AC314,ROW('All Player Data Store'!$Y$7:$Y$594)-ROW('All Player Data Store'!$Y$7)+1),COUNTIF($AC$8:AC314,AC314))),"")</f>
        <v/>
      </c>
      <c r="U314" s="108" t="str">
        <f t="array" ref="U314">IF(ISNUMBER(AC314),INDEX('All Player Data Store'!$Q$7:$Q$594,SMALL(IF('All Player Data Store'!$Y$7:$Y$594=AC314,ROW('All Player Data Store'!$Y$7:$Y$594)-ROW('All Player Data Store'!$Y$7)+1),COUNTIF($AC$8:AC314,AC314))),"")</f>
        <v/>
      </c>
      <c r="V314" s="108" t="str">
        <f t="array" ref="V314">IF(ISNUMBER(AC314),INDEX('All Player Data Store'!$R$7:$R$594,SMALL(IF('All Player Data Store'!$Y$7:$Y$594=AC314,ROW('All Player Data Store'!$Y$7:$Y$594)-ROW('All Player Data Store'!$Y$7)+1),COUNTIF($AC$8:AC314,AC314))),"")</f>
        <v/>
      </c>
      <c r="W314" s="108" t="str">
        <f t="array" ref="W314">IF(ISNUMBER(AC314),INDEX('All Player Data Store'!$S$7:$S$594,SMALL(IF('All Player Data Store'!$Y$7:$Y$594=AC314,ROW('All Player Data Store'!$Y$7:$Y$594)-ROW('All Player Data Store'!$Y$7)+1),COUNTIF($AC$8:AC314,AC314))),"")</f>
        <v/>
      </c>
      <c r="X314" s="108" t="str">
        <f t="array" ref="X314">IF(ISNUMBER(AC314),INDEX('All Player Data Store'!$T$7:$T$594,SMALL(IF('All Player Data Store'!$Y$7:$Y$594=AC314,ROW('All Player Data Store'!$Y$7:$Y$594)-ROW('All Player Data Store'!$Y$7)+1),COUNTIF($AC$8:AC314,AC314))),"")</f>
        <v/>
      </c>
      <c r="Y314" s="108" t="str">
        <f t="array" ref="Y314">IF(ISNUMBER(AC314),INDEX('All Player Data Store'!$U$7:$U$594,SMALL(IF('All Player Data Store'!$Y$7:$Y$594=AC314,ROW('All Player Data Store'!$Y$7:$Y$594)-ROW('All Player Data Store'!$Y$7)+1),COUNTIF($AC$8:AC314,AC314))),"")</f>
        <v/>
      </c>
      <c r="Z314" s="108" t="str">
        <f t="array" ref="Z314">IF(ISNUMBER(AC314),INDEX('All Player Data Store'!$V$7:$V$594,SMALL(IF('All Player Data Store'!$Y$7:$Y$594=AC314,ROW('All Player Data Store'!$Y$7:$Y$594)-ROW('All Player Data Store'!$Y$7)+1),COUNTIF($AC$8:AC314,AC314))),"")</f>
        <v/>
      </c>
      <c r="AA314" s="112" t="str">
        <f t="array" ref="AA314">IF(ISNUMBER(AC314),INDEX('All Player Data Store'!$W$7:$W$594,SMALL(IF('All Player Data Store'!$Y$7:$Y$594=AC314,ROW('All Player Data Store'!$Y$7:$Y$594)-ROW('All Player Data Store'!$Y$7)+1),COUNTIF($AC$8:AC314,AC314))),"")</f>
        <v/>
      </c>
      <c r="AB314" s="108" t="str">
        <f t="array" ref="AB314">IF(ISNUMBER(AC314),INDEX('All Player Data Store'!$X$7:$X$594,SMALL(IF('All Player Data Store'!$Y$7:$Y$594=AC314,ROW('All Player Data Store'!$Y$7:$Y$594)-ROW('All Player Data Store'!$Y$7)+1),COUNTIF($AC$8:AC314,AC314))),"")</f>
        <v/>
      </c>
      <c r="AC314" s="115" t="str">
        <f>IF(ISERROR(IF(ISERROR(LARGE('All Player Data Store'!$Y$7:$Y$594,307)),"",(LARGE('All Player Data Store'!$Y$7:$Y$594,307)))),"",(IF(ISERROR(LARGE('All Player Data Store'!$Y$7:$Y$594,307)),"",(LARGE('All Player Data Store'!$Y$7:$Y$594,307)))))</f>
        <v/>
      </c>
      <c r="AD314" s="106">
        <f t="shared" si="16"/>
        <v>1</v>
      </c>
      <c r="AE314" s="107" t="str">
        <f t="array" ref="AE314">IF(ISNUMBER(AC314),INDEX('All Player Data Store'!$J$8:$J$594,SMALL(IF('All Player Data Store'!$Y$7:$Y$594=AC314,ROW('All Player Data Store'!$Y$7:$Y$594)-ROW('All Player Data Store'!$Y$7)+1),COUNTIF($AC$8:AC314,AC314))),"")</f>
        <v/>
      </c>
      <c r="AF314" s="108" t="str">
        <f t="shared" si="19"/>
        <v/>
      </c>
      <c r="AG314" s="108" t="str">
        <f t="array" ref="AG314">IF(ISNUMBER(AC314),INDEX('All Player Data Store'!$K$8:$K$594,SMALL(IF('All Player Data Store'!$Y$7:$Y$594=AC314,ROW('All Player Data Store'!$Y$7:$Y$594)-ROW('All Player Data Store'!$Y$7)+1),COUNTIF($AC$8:AC314,AC314))),"")</f>
        <v/>
      </c>
      <c r="AH314" s="108" t="str">
        <f t="shared" si="20"/>
        <v/>
      </c>
      <c r="AI314" s="108" t="str">
        <f t="array" ref="AI314">IF(ISNUMBER(AC314),INDEX('All Player Data Store'!$L$8:$L$594,SMALL(IF('All Player Data Store'!$Y$7:$Y$594=AC314,ROW('All Player Data Store'!$Y$7:$Y$594)-ROW('All Player Data Store'!$Y$7)+1),COUNTIF($AC$8:AC314,AC314))),"")</f>
        <v/>
      </c>
      <c r="AJ314" s="108" t="str">
        <f t="shared" si="21"/>
        <v/>
      </c>
      <c r="AK314" s="108" t="str">
        <f t="array" ref="AK314">IF(ISNUMBER(AC314),INDEX('All Player Data Store'!$M$8:$M$594,SMALL(IF('All Player Data Store'!$Y$7:$Y$594=AC314,ROW('All Player Data Store'!$Y$7:$Y$594)-ROW('All Player Data Store'!$Y$7)+1),COUNTIF($AC$8:AC314,AC314))),"")</f>
        <v/>
      </c>
      <c r="AL314" s="108" t="str">
        <f t="shared" si="22"/>
        <v/>
      </c>
      <c r="AM314" s="108" t="str">
        <f t="array" ref="AM314">IF(ISNUMBER(AC314),INDEX('All Player Data Store'!$N$8:$N$594,SMALL(IF('All Player Data Store'!$Y$7:$Y$594=AC314,ROW('All Player Data Store'!$Y$7:$Y$594)-ROW('All Player Data Store'!$Y$7)+1),COUNTIF($AC$8:AC314,AC314))),"")</f>
        <v/>
      </c>
      <c r="AN314" s="108" t="str">
        <f t="shared" si="23"/>
        <v/>
      </c>
      <c r="AO314" s="108" t="str">
        <f t="array" ref="AO314">IF(ISNUMBER(AC314),INDEX('All Player Data Store'!$O$8:$O$594,SMALL(IF('All Player Data Store'!$Y$7:$Y$594=AC314,ROW('All Player Data Store'!$Y$7:$Y$594)-ROW('All Player Data Store'!$Y$7)+1),COUNTIF($AC$8:AC314,AC314))),"")</f>
        <v/>
      </c>
      <c r="AP314" s="108" t="str">
        <f t="shared" si="24"/>
        <v/>
      </c>
      <c r="AQ314" s="108" t="str">
        <f t="array" ref="AQ314">IF(ISNUMBER(AC314),INDEX('All Player Data Store'!$P$8:$P$594,SMALL(IF('All Player Data Store'!$Y$7:$Y$594=AC314,ROW('All Player Data Store'!$Y$7:$Y$594)-ROW('All Player Data Store'!$Y$7)+1),COUNTIF($AC$8:AC314,AC314))),"")</f>
        <v/>
      </c>
      <c r="AR314" s="108" t="str">
        <f t="shared" si="25"/>
        <v/>
      </c>
      <c r="AS314" s="108" t="str">
        <f t="array" ref="AS314">IF(ISNUMBER(AC314),INDEX('All Player Data Store'!$Q$8:$Q$594,SMALL(IF('All Player Data Store'!$Y$7:$Y$594=AC314,ROW('All Player Data Store'!$Y$7:$Y$594)-ROW('All Player Data Store'!$Y$7)+1),COUNTIF($AC$8:AC314,AC314))),"")</f>
        <v/>
      </c>
      <c r="AT314" s="108" t="str">
        <f t="shared" si="26"/>
        <v/>
      </c>
      <c r="AU314" s="108" t="str">
        <f t="array" ref="AU314">IF(ISNUMBER(AC314),INDEX('All Player Data Store'!$R$8:$R$594,SMALL(IF('All Player Data Store'!$Y$7:$Y$594=AC314,ROW('All Player Data Store'!$Y$7:$Y$594)-ROW('All Player Data Store'!$Y$7)+1),COUNTIF($AC$8:AC314,AC314))),"")</f>
        <v/>
      </c>
      <c r="AV314" s="108" t="str">
        <f t="shared" si="27"/>
        <v/>
      </c>
      <c r="AW314" s="108" t="str">
        <f t="array" ref="AW314">IF(ISNUMBER(AC314),INDEX('All Player Data Store'!$S$8:$S$594,SMALL(IF('All Player Data Store'!$Y$7:$Y$594=AC314,ROW('All Player Data Store'!$Y$7:$Y$594)-ROW('All Player Data Store'!$Y$7)+1),COUNTIF($AC$8:AC314,AC314))),"")</f>
        <v/>
      </c>
      <c r="AX314" s="108" t="str">
        <f t="shared" si="28"/>
        <v/>
      </c>
      <c r="AY314" s="108" t="str">
        <f t="array" ref="AY314">IF(ISNUMBER(AC314),INDEX('All Player Data Store'!$T$8:$T$594,SMALL(IF('All Player Data Store'!$Y$7:$Y$594=AC314,ROW('All Player Data Store'!$Y$7:$Y$594)-ROW('All Player Data Store'!$Y$7)+1),COUNTIF($AC$8:AC314,AC314))),"")</f>
        <v/>
      </c>
      <c r="AZ314" s="108" t="str">
        <f t="shared" si="29"/>
        <v/>
      </c>
      <c r="BA314" s="108" t="str">
        <f t="array" ref="BA314">IF(ISNUMBER(AC314),INDEX('All Player Data Store'!$U$8:$U$594,SMALL(IF('All Player Data Store'!$Y$7:$Y$594=AC314,ROW('All Player Data Store'!$Y$7:$Y$594)-ROW('All Player Data Store'!$Y$7)+1),COUNTIF($AC$8:AC314,AC314))),"")</f>
        <v/>
      </c>
      <c r="BB314" s="108" t="str">
        <f t="shared" si="30"/>
        <v/>
      </c>
      <c r="BC314" s="108" t="str">
        <f t="array" ref="BC314">IF(ISNUMBER(AC314),INDEX('All Player Data Store'!$V$8:$V$594,SMALL(IF('All Player Data Store'!$Y$7:$Y$594=AC314,ROW('All Player Data Store'!$Y$7:$Y$594)-ROW('All Player Data Store'!$Y$7)+1),COUNTIF($AC$8:AC314,AC314))),"")</f>
        <v/>
      </c>
      <c r="BD314" s="108" t="str">
        <f t="shared" si="31"/>
        <v/>
      </c>
      <c r="BE314" s="1"/>
    </row>
    <row r="315" spans="2:57" ht="12" customHeight="1" x14ac:dyDescent="0.2">
      <c r="B315" s="118" t="str">
        <f t="shared" si="17"/>
        <v/>
      </c>
      <c r="C315" s="1"/>
      <c r="D315" s="68" t="str">
        <f t="shared" si="18"/>
        <v/>
      </c>
      <c r="E315" s="2"/>
      <c r="F315" s="78">
        <v>308</v>
      </c>
      <c r="G315" s="110" t="str">
        <f t="array" ref="G315">IF(ISNUMBER(AC315),INDEX('All Player Data Store'!$C$7:$C$594,SMALL(IF('All Player Data Store'!$Y$7:$Y$594=AC315,ROW('All Player Data Store'!$Y$7:$Y$594)-ROW('All Player Data Store'!$Y$7)+1),COUNTIF($AC$8:AC315,AC315))),"")</f>
        <v/>
      </c>
      <c r="H315" s="68" t="str">
        <f t="array" ref="H315">IF(ISNUMBER(AC315),INDEX('All Player Data Store'!$D$7:$D$594,SMALL(IF('All Player Data Store'!$Y$7:$Y$594=AC315,ROW('All Player Data Store'!$Y$7:$Y$594)-ROW('All Player Data Store'!$Y$7)+1),COUNTIF($AC$8:AC315,AC315))),"")</f>
        <v/>
      </c>
      <c r="I315" s="69" t="str">
        <f t="array" ref="I315">IF(ISNUMBER(AC315),INDEX('All Player Data Store'!$E$7:$E$594,SMALL(IF('All Player Data Store'!$Y$7:$Y$594=AC315,ROW('All Player Data Store'!$Y$7:$Y$594)-ROW('All Player Data Store'!$Y$7)+1),COUNTIF($AC$8:AC315,AC315))),"")</f>
        <v/>
      </c>
      <c r="J315" s="70" t="str">
        <f t="array" ref="J315">IF(ISNUMBER(AC315),INDEX('All Player Data Store'!$F$7:$F$594,SMALL(IF('All Player Data Store'!$Y$7:$Y$594=AC315,ROW('All Player Data Store'!$Y$7:$Y$594)-ROW('All Player Data Store'!$Y$7)+1),COUNTIF($AC$8:AC315,AC315))),"")</f>
        <v/>
      </c>
      <c r="K315" s="70" t="str">
        <f t="array" ref="K315">IF(ISNUMBER(AC315),INDEX('All Player Data Store'!$G$7:$G$594,SMALL(IF('All Player Data Store'!$Y$7:$Y$594=AC315,ROW('All Player Data Store'!$Y$7:$Y$594)-ROW('All Player Data Store'!$Y$7)+1),COUNTIF($AC$8:AC315,AC315))),"")</f>
        <v/>
      </c>
      <c r="L315" s="70" t="str">
        <f t="array" ref="L315">IF(ISNUMBER(AC315),INDEX('All Player Data Store'!$H$7:$H$594,SMALL(IF('All Player Data Store'!$Y$7:$Y$594=AC315,ROW('All Player Data Store'!$Y$7:$Y$594)-ROW('All Player Data Store'!$Y$7)+1),COUNTIF($AC$8:AC315,AC315))),"")</f>
        <v/>
      </c>
      <c r="M315" s="72" t="str">
        <f t="array" ref="M315">IF(ISNUMBER(AC315),INDEX('All Player Data Store'!$I$7:$I$594,SMALL(IF('All Player Data Store'!$Y$7:$Y$594=AC315,ROW('All Player Data Store'!$Y$7:$Y$594)-ROW('All Player Data Store'!$Y$7)+1),COUNTIF($AC$8:AC315,AC315))),"")</f>
        <v/>
      </c>
      <c r="N315" s="114" t="str">
        <f t="array" ref="N315">IF(ISNUMBER(AC315),INDEX('All Player Data Store'!$J$7:$J$594,SMALL(IF('All Player Data Store'!$Y$7:$Y$594=AC315,ROW('All Player Data Store'!$Y$7:$Y$594)-ROW('All Player Data Store'!$Y$7)+1),COUNTIF($AC$8:AC315,AC315))),"")</f>
        <v/>
      </c>
      <c r="O315" s="108" t="str">
        <f t="array" ref="O315">IF(ISNUMBER(AC315),INDEX('All Player Data Store'!$K$7:$K$594,SMALL(IF('All Player Data Store'!$Y$7:$Y$594=AC315,ROW('All Player Data Store'!$Y$7:$Y$594)-ROW('All Player Data Store'!$Y$7)+1),COUNTIF($AC$8:AC315,AC315))),"")</f>
        <v/>
      </c>
      <c r="P315" s="108" t="str">
        <f t="array" ref="P315">IF(ISNUMBER(AC315),INDEX('All Player Data Store'!$L$7:$L$594,SMALL(IF('All Player Data Store'!$Y$7:$Y$594=AC315,ROW('All Player Data Store'!$Y$7:$Y$594)-ROW('All Player Data Store'!$Y$7)+1),COUNTIF($AC$8:AC315,AC315))),"")</f>
        <v/>
      </c>
      <c r="Q315" s="108" t="str">
        <f t="array" ref="Q315">IF(ISNUMBER(AC315),INDEX('All Player Data Store'!$M$7:$M$594,SMALL(IF('All Player Data Store'!$Y$7:$Y$594=AC315,ROW('All Player Data Store'!$Y$7:$Y$594)-ROW('All Player Data Store'!$Y$7)+1),COUNTIF($AC$8:AC315,AC315))),"")</f>
        <v/>
      </c>
      <c r="R315" s="108" t="str">
        <f t="array" ref="R315">IF(ISNUMBER(AC315),INDEX('All Player Data Store'!$N$7:$N$594,SMALL(IF('All Player Data Store'!$Y$7:$Y$594=AC315,ROW('All Player Data Store'!$Y$7:$Y$594)-ROW('All Player Data Store'!$Y$7)+1),COUNTIF($AC$8:AC315,AC315))),"")</f>
        <v/>
      </c>
      <c r="S315" s="108" t="str">
        <f t="array" ref="S315">IF(ISNUMBER(AC315),INDEX('All Player Data Store'!$O$7:$O$594,SMALL(IF('All Player Data Store'!$Y$7:$Y$594=AC315,ROW('All Player Data Store'!$Y$7:$Y$594)-ROW('All Player Data Store'!$Y$7)+1),COUNTIF($AC$8:AC315,AC315))),"")</f>
        <v/>
      </c>
      <c r="T315" s="108" t="str">
        <f t="array" ref="T315">IF(ISNUMBER(AC315),INDEX('All Player Data Store'!$P$7:$P$594,SMALL(IF('All Player Data Store'!$Y$7:$Y$594=AC315,ROW('All Player Data Store'!$Y$7:$Y$594)-ROW('All Player Data Store'!$Y$7)+1),COUNTIF($AC$8:AC315,AC315))),"")</f>
        <v/>
      </c>
      <c r="U315" s="108" t="str">
        <f t="array" ref="U315">IF(ISNUMBER(AC315),INDEX('All Player Data Store'!$Q$7:$Q$594,SMALL(IF('All Player Data Store'!$Y$7:$Y$594=AC315,ROW('All Player Data Store'!$Y$7:$Y$594)-ROW('All Player Data Store'!$Y$7)+1),COUNTIF($AC$8:AC315,AC315))),"")</f>
        <v/>
      </c>
      <c r="V315" s="108" t="str">
        <f t="array" ref="V315">IF(ISNUMBER(AC315),INDEX('All Player Data Store'!$R$7:$R$594,SMALL(IF('All Player Data Store'!$Y$7:$Y$594=AC315,ROW('All Player Data Store'!$Y$7:$Y$594)-ROW('All Player Data Store'!$Y$7)+1),COUNTIF($AC$8:AC315,AC315))),"")</f>
        <v/>
      </c>
      <c r="W315" s="108" t="str">
        <f t="array" ref="W315">IF(ISNUMBER(AC315),INDEX('All Player Data Store'!$S$7:$S$594,SMALL(IF('All Player Data Store'!$Y$7:$Y$594=AC315,ROW('All Player Data Store'!$Y$7:$Y$594)-ROW('All Player Data Store'!$Y$7)+1),COUNTIF($AC$8:AC315,AC315))),"")</f>
        <v/>
      </c>
      <c r="X315" s="108" t="str">
        <f t="array" ref="X315">IF(ISNUMBER(AC315),INDEX('All Player Data Store'!$T$7:$T$594,SMALL(IF('All Player Data Store'!$Y$7:$Y$594=AC315,ROW('All Player Data Store'!$Y$7:$Y$594)-ROW('All Player Data Store'!$Y$7)+1),COUNTIF($AC$8:AC315,AC315))),"")</f>
        <v/>
      </c>
      <c r="Y315" s="108" t="str">
        <f t="array" ref="Y315">IF(ISNUMBER(AC315),INDEX('All Player Data Store'!$U$7:$U$594,SMALL(IF('All Player Data Store'!$Y$7:$Y$594=AC315,ROW('All Player Data Store'!$Y$7:$Y$594)-ROW('All Player Data Store'!$Y$7)+1),COUNTIF($AC$8:AC315,AC315))),"")</f>
        <v/>
      </c>
      <c r="Z315" s="108" t="str">
        <f t="array" ref="Z315">IF(ISNUMBER(AC315),INDEX('All Player Data Store'!$V$7:$V$594,SMALL(IF('All Player Data Store'!$Y$7:$Y$594=AC315,ROW('All Player Data Store'!$Y$7:$Y$594)-ROW('All Player Data Store'!$Y$7)+1),COUNTIF($AC$8:AC315,AC315))),"")</f>
        <v/>
      </c>
      <c r="AA315" s="112" t="str">
        <f t="array" ref="AA315">IF(ISNUMBER(AC315),INDEX('All Player Data Store'!$W$7:$W$594,SMALL(IF('All Player Data Store'!$Y$7:$Y$594=AC315,ROW('All Player Data Store'!$Y$7:$Y$594)-ROW('All Player Data Store'!$Y$7)+1),COUNTIF($AC$8:AC315,AC315))),"")</f>
        <v/>
      </c>
      <c r="AB315" s="108" t="str">
        <f t="array" ref="AB315">IF(ISNUMBER(AC315),INDEX('All Player Data Store'!$X$7:$X$594,SMALL(IF('All Player Data Store'!$Y$7:$Y$594=AC315,ROW('All Player Data Store'!$Y$7:$Y$594)-ROW('All Player Data Store'!$Y$7)+1),COUNTIF($AC$8:AC315,AC315))),"")</f>
        <v/>
      </c>
      <c r="AC315" s="115" t="str">
        <f>IF(ISERROR(IF(ISERROR(LARGE('All Player Data Store'!$Y$7:$Y$594,308)),"",(LARGE('All Player Data Store'!$Y$7:$Y$594,308)))),"",(IF(ISERROR(LARGE('All Player Data Store'!$Y$7:$Y$594,308)),"",(LARGE('All Player Data Store'!$Y$7:$Y$594,308)))))</f>
        <v/>
      </c>
      <c r="AD315" s="106">
        <f t="shared" si="16"/>
        <v>1</v>
      </c>
      <c r="AE315" s="107" t="str">
        <f t="array" ref="AE315">IF(ISNUMBER(AC315),INDEX('All Player Data Store'!$J$8:$J$594,SMALL(IF('All Player Data Store'!$Y$7:$Y$594=AC315,ROW('All Player Data Store'!$Y$7:$Y$594)-ROW('All Player Data Store'!$Y$7)+1),COUNTIF($AC$8:AC315,AC315))),"")</f>
        <v/>
      </c>
      <c r="AF315" s="108" t="str">
        <f t="shared" si="19"/>
        <v/>
      </c>
      <c r="AG315" s="108" t="str">
        <f t="array" ref="AG315">IF(ISNUMBER(AC315),INDEX('All Player Data Store'!$K$8:$K$594,SMALL(IF('All Player Data Store'!$Y$7:$Y$594=AC315,ROW('All Player Data Store'!$Y$7:$Y$594)-ROW('All Player Data Store'!$Y$7)+1),COUNTIF($AC$8:AC315,AC315))),"")</f>
        <v/>
      </c>
      <c r="AH315" s="108" t="str">
        <f t="shared" si="20"/>
        <v/>
      </c>
      <c r="AI315" s="108" t="str">
        <f t="array" ref="AI315">IF(ISNUMBER(AC315),INDEX('All Player Data Store'!$L$8:$L$594,SMALL(IF('All Player Data Store'!$Y$7:$Y$594=AC315,ROW('All Player Data Store'!$Y$7:$Y$594)-ROW('All Player Data Store'!$Y$7)+1),COUNTIF($AC$8:AC315,AC315))),"")</f>
        <v/>
      </c>
      <c r="AJ315" s="108" t="str">
        <f t="shared" si="21"/>
        <v/>
      </c>
      <c r="AK315" s="108" t="str">
        <f t="array" ref="AK315">IF(ISNUMBER(AC315),INDEX('All Player Data Store'!$M$8:$M$594,SMALL(IF('All Player Data Store'!$Y$7:$Y$594=AC315,ROW('All Player Data Store'!$Y$7:$Y$594)-ROW('All Player Data Store'!$Y$7)+1),COUNTIF($AC$8:AC315,AC315))),"")</f>
        <v/>
      </c>
      <c r="AL315" s="108" t="str">
        <f t="shared" si="22"/>
        <v/>
      </c>
      <c r="AM315" s="108" t="str">
        <f t="array" ref="AM315">IF(ISNUMBER(AC315),INDEX('All Player Data Store'!$N$8:$N$594,SMALL(IF('All Player Data Store'!$Y$7:$Y$594=AC315,ROW('All Player Data Store'!$Y$7:$Y$594)-ROW('All Player Data Store'!$Y$7)+1),COUNTIF($AC$8:AC315,AC315))),"")</f>
        <v/>
      </c>
      <c r="AN315" s="108" t="str">
        <f t="shared" si="23"/>
        <v/>
      </c>
      <c r="AO315" s="108" t="str">
        <f t="array" ref="AO315">IF(ISNUMBER(AC315),INDEX('All Player Data Store'!$O$8:$O$594,SMALL(IF('All Player Data Store'!$Y$7:$Y$594=AC315,ROW('All Player Data Store'!$Y$7:$Y$594)-ROW('All Player Data Store'!$Y$7)+1),COUNTIF($AC$8:AC315,AC315))),"")</f>
        <v/>
      </c>
      <c r="AP315" s="108" t="str">
        <f t="shared" si="24"/>
        <v/>
      </c>
      <c r="AQ315" s="108" t="str">
        <f t="array" ref="AQ315">IF(ISNUMBER(AC315),INDEX('All Player Data Store'!$P$8:$P$594,SMALL(IF('All Player Data Store'!$Y$7:$Y$594=AC315,ROW('All Player Data Store'!$Y$7:$Y$594)-ROW('All Player Data Store'!$Y$7)+1),COUNTIF($AC$8:AC315,AC315))),"")</f>
        <v/>
      </c>
      <c r="AR315" s="108" t="str">
        <f t="shared" si="25"/>
        <v/>
      </c>
      <c r="AS315" s="108" t="str">
        <f t="array" ref="AS315">IF(ISNUMBER(AC315),INDEX('All Player Data Store'!$Q$8:$Q$594,SMALL(IF('All Player Data Store'!$Y$7:$Y$594=AC315,ROW('All Player Data Store'!$Y$7:$Y$594)-ROW('All Player Data Store'!$Y$7)+1),COUNTIF($AC$8:AC315,AC315))),"")</f>
        <v/>
      </c>
      <c r="AT315" s="108" t="str">
        <f t="shared" si="26"/>
        <v/>
      </c>
      <c r="AU315" s="108" t="str">
        <f t="array" ref="AU315">IF(ISNUMBER(AC315),INDEX('All Player Data Store'!$R$8:$R$594,SMALL(IF('All Player Data Store'!$Y$7:$Y$594=AC315,ROW('All Player Data Store'!$Y$7:$Y$594)-ROW('All Player Data Store'!$Y$7)+1),COUNTIF($AC$8:AC315,AC315))),"")</f>
        <v/>
      </c>
      <c r="AV315" s="108" t="str">
        <f t="shared" si="27"/>
        <v/>
      </c>
      <c r="AW315" s="108" t="str">
        <f t="array" ref="AW315">IF(ISNUMBER(AC315),INDEX('All Player Data Store'!$S$8:$S$594,SMALL(IF('All Player Data Store'!$Y$7:$Y$594=AC315,ROW('All Player Data Store'!$Y$7:$Y$594)-ROW('All Player Data Store'!$Y$7)+1),COUNTIF($AC$8:AC315,AC315))),"")</f>
        <v/>
      </c>
      <c r="AX315" s="108" t="str">
        <f t="shared" si="28"/>
        <v/>
      </c>
      <c r="AY315" s="108" t="str">
        <f t="array" ref="AY315">IF(ISNUMBER(AC315),INDEX('All Player Data Store'!$T$8:$T$594,SMALL(IF('All Player Data Store'!$Y$7:$Y$594=AC315,ROW('All Player Data Store'!$Y$7:$Y$594)-ROW('All Player Data Store'!$Y$7)+1),COUNTIF($AC$8:AC315,AC315))),"")</f>
        <v/>
      </c>
      <c r="AZ315" s="108" t="str">
        <f t="shared" si="29"/>
        <v/>
      </c>
      <c r="BA315" s="108" t="str">
        <f t="array" ref="BA315">IF(ISNUMBER(AC315),INDEX('All Player Data Store'!$U$8:$U$594,SMALL(IF('All Player Data Store'!$Y$7:$Y$594=AC315,ROW('All Player Data Store'!$Y$7:$Y$594)-ROW('All Player Data Store'!$Y$7)+1),COUNTIF($AC$8:AC315,AC315))),"")</f>
        <v/>
      </c>
      <c r="BB315" s="108" t="str">
        <f t="shared" si="30"/>
        <v/>
      </c>
      <c r="BC315" s="108" t="str">
        <f t="array" ref="BC315">IF(ISNUMBER(AC315),INDEX('All Player Data Store'!$V$8:$V$594,SMALL(IF('All Player Data Store'!$Y$7:$Y$594=AC315,ROW('All Player Data Store'!$Y$7:$Y$594)-ROW('All Player Data Store'!$Y$7)+1),COUNTIF($AC$8:AC315,AC315))),"")</f>
        <v/>
      </c>
      <c r="BD315" s="108" t="str">
        <f t="shared" si="31"/>
        <v/>
      </c>
      <c r="BE315" s="1"/>
    </row>
    <row r="316" spans="2:57" ht="12" customHeight="1" x14ac:dyDescent="0.2">
      <c r="B316" s="118" t="str">
        <f t="shared" si="17"/>
        <v/>
      </c>
      <c r="C316" s="1"/>
      <c r="D316" s="68" t="str">
        <f t="shared" si="18"/>
        <v/>
      </c>
      <c r="E316" s="2"/>
      <c r="F316" s="78">
        <v>309</v>
      </c>
      <c r="G316" s="110" t="str">
        <f t="array" ref="G316">IF(ISNUMBER(AC316),INDEX('All Player Data Store'!$C$7:$C$594,SMALL(IF('All Player Data Store'!$Y$7:$Y$594=AC316,ROW('All Player Data Store'!$Y$7:$Y$594)-ROW('All Player Data Store'!$Y$7)+1),COUNTIF($AC$8:AC316,AC316))),"")</f>
        <v/>
      </c>
      <c r="H316" s="68" t="str">
        <f t="array" ref="H316">IF(ISNUMBER(AC316),INDEX('All Player Data Store'!$D$7:$D$594,SMALL(IF('All Player Data Store'!$Y$7:$Y$594=AC316,ROW('All Player Data Store'!$Y$7:$Y$594)-ROW('All Player Data Store'!$Y$7)+1),COUNTIF($AC$8:AC316,AC316))),"")</f>
        <v/>
      </c>
      <c r="I316" s="69" t="str">
        <f t="array" ref="I316">IF(ISNUMBER(AC316),INDEX('All Player Data Store'!$E$7:$E$594,SMALL(IF('All Player Data Store'!$Y$7:$Y$594=AC316,ROW('All Player Data Store'!$Y$7:$Y$594)-ROW('All Player Data Store'!$Y$7)+1),COUNTIF($AC$8:AC316,AC316))),"")</f>
        <v/>
      </c>
      <c r="J316" s="70" t="str">
        <f t="array" ref="J316">IF(ISNUMBER(AC316),INDEX('All Player Data Store'!$F$7:$F$594,SMALL(IF('All Player Data Store'!$Y$7:$Y$594=AC316,ROW('All Player Data Store'!$Y$7:$Y$594)-ROW('All Player Data Store'!$Y$7)+1),COUNTIF($AC$8:AC316,AC316))),"")</f>
        <v/>
      </c>
      <c r="K316" s="70" t="str">
        <f t="array" ref="K316">IF(ISNUMBER(AC316),INDEX('All Player Data Store'!$G$7:$G$594,SMALL(IF('All Player Data Store'!$Y$7:$Y$594=AC316,ROW('All Player Data Store'!$Y$7:$Y$594)-ROW('All Player Data Store'!$Y$7)+1),COUNTIF($AC$8:AC316,AC316))),"")</f>
        <v/>
      </c>
      <c r="L316" s="70" t="str">
        <f t="array" ref="L316">IF(ISNUMBER(AC316),INDEX('All Player Data Store'!$H$7:$H$594,SMALL(IF('All Player Data Store'!$Y$7:$Y$594=AC316,ROW('All Player Data Store'!$Y$7:$Y$594)-ROW('All Player Data Store'!$Y$7)+1),COUNTIF($AC$8:AC316,AC316))),"")</f>
        <v/>
      </c>
      <c r="M316" s="72" t="str">
        <f t="array" ref="M316">IF(ISNUMBER(AC316),INDEX('All Player Data Store'!$I$7:$I$594,SMALL(IF('All Player Data Store'!$Y$7:$Y$594=AC316,ROW('All Player Data Store'!$Y$7:$Y$594)-ROW('All Player Data Store'!$Y$7)+1),COUNTIF($AC$8:AC316,AC316))),"")</f>
        <v/>
      </c>
      <c r="N316" s="114" t="str">
        <f t="array" ref="N316">IF(ISNUMBER(AC316),INDEX('All Player Data Store'!$J$7:$J$594,SMALL(IF('All Player Data Store'!$Y$7:$Y$594=AC316,ROW('All Player Data Store'!$Y$7:$Y$594)-ROW('All Player Data Store'!$Y$7)+1),COUNTIF($AC$8:AC316,AC316))),"")</f>
        <v/>
      </c>
      <c r="O316" s="108" t="str">
        <f t="array" ref="O316">IF(ISNUMBER(AC316),INDEX('All Player Data Store'!$K$7:$K$594,SMALL(IF('All Player Data Store'!$Y$7:$Y$594=AC316,ROW('All Player Data Store'!$Y$7:$Y$594)-ROW('All Player Data Store'!$Y$7)+1),COUNTIF($AC$8:AC316,AC316))),"")</f>
        <v/>
      </c>
      <c r="P316" s="108" t="str">
        <f t="array" ref="P316">IF(ISNUMBER(AC316),INDEX('All Player Data Store'!$L$7:$L$594,SMALL(IF('All Player Data Store'!$Y$7:$Y$594=AC316,ROW('All Player Data Store'!$Y$7:$Y$594)-ROW('All Player Data Store'!$Y$7)+1),COUNTIF($AC$8:AC316,AC316))),"")</f>
        <v/>
      </c>
      <c r="Q316" s="108" t="str">
        <f t="array" ref="Q316">IF(ISNUMBER(AC316),INDEX('All Player Data Store'!$M$7:$M$594,SMALL(IF('All Player Data Store'!$Y$7:$Y$594=AC316,ROW('All Player Data Store'!$Y$7:$Y$594)-ROW('All Player Data Store'!$Y$7)+1),COUNTIF($AC$8:AC316,AC316))),"")</f>
        <v/>
      </c>
      <c r="R316" s="108" t="str">
        <f t="array" ref="R316">IF(ISNUMBER(AC316),INDEX('All Player Data Store'!$N$7:$N$594,SMALL(IF('All Player Data Store'!$Y$7:$Y$594=AC316,ROW('All Player Data Store'!$Y$7:$Y$594)-ROW('All Player Data Store'!$Y$7)+1),COUNTIF($AC$8:AC316,AC316))),"")</f>
        <v/>
      </c>
      <c r="S316" s="108" t="str">
        <f t="array" ref="S316">IF(ISNUMBER(AC316),INDEX('All Player Data Store'!$O$7:$O$594,SMALL(IF('All Player Data Store'!$Y$7:$Y$594=AC316,ROW('All Player Data Store'!$Y$7:$Y$594)-ROW('All Player Data Store'!$Y$7)+1),COUNTIF($AC$8:AC316,AC316))),"")</f>
        <v/>
      </c>
      <c r="T316" s="108" t="str">
        <f t="array" ref="T316">IF(ISNUMBER(AC316),INDEX('All Player Data Store'!$P$7:$P$594,SMALL(IF('All Player Data Store'!$Y$7:$Y$594=AC316,ROW('All Player Data Store'!$Y$7:$Y$594)-ROW('All Player Data Store'!$Y$7)+1),COUNTIF($AC$8:AC316,AC316))),"")</f>
        <v/>
      </c>
      <c r="U316" s="108" t="str">
        <f t="array" ref="U316">IF(ISNUMBER(AC316),INDEX('All Player Data Store'!$Q$7:$Q$594,SMALL(IF('All Player Data Store'!$Y$7:$Y$594=AC316,ROW('All Player Data Store'!$Y$7:$Y$594)-ROW('All Player Data Store'!$Y$7)+1),COUNTIF($AC$8:AC316,AC316))),"")</f>
        <v/>
      </c>
      <c r="V316" s="108" t="str">
        <f t="array" ref="V316">IF(ISNUMBER(AC316),INDEX('All Player Data Store'!$R$7:$R$594,SMALL(IF('All Player Data Store'!$Y$7:$Y$594=AC316,ROW('All Player Data Store'!$Y$7:$Y$594)-ROW('All Player Data Store'!$Y$7)+1),COUNTIF($AC$8:AC316,AC316))),"")</f>
        <v/>
      </c>
      <c r="W316" s="108" t="str">
        <f t="array" ref="W316">IF(ISNUMBER(AC316),INDEX('All Player Data Store'!$S$7:$S$594,SMALL(IF('All Player Data Store'!$Y$7:$Y$594=AC316,ROW('All Player Data Store'!$Y$7:$Y$594)-ROW('All Player Data Store'!$Y$7)+1),COUNTIF($AC$8:AC316,AC316))),"")</f>
        <v/>
      </c>
      <c r="X316" s="108" t="str">
        <f t="array" ref="X316">IF(ISNUMBER(AC316),INDEX('All Player Data Store'!$T$7:$T$594,SMALL(IF('All Player Data Store'!$Y$7:$Y$594=AC316,ROW('All Player Data Store'!$Y$7:$Y$594)-ROW('All Player Data Store'!$Y$7)+1),COUNTIF($AC$8:AC316,AC316))),"")</f>
        <v/>
      </c>
      <c r="Y316" s="108" t="str">
        <f t="array" ref="Y316">IF(ISNUMBER(AC316),INDEX('All Player Data Store'!$U$7:$U$594,SMALL(IF('All Player Data Store'!$Y$7:$Y$594=AC316,ROW('All Player Data Store'!$Y$7:$Y$594)-ROW('All Player Data Store'!$Y$7)+1),COUNTIF($AC$8:AC316,AC316))),"")</f>
        <v/>
      </c>
      <c r="Z316" s="108" t="str">
        <f t="array" ref="Z316">IF(ISNUMBER(AC316),INDEX('All Player Data Store'!$V$7:$V$594,SMALL(IF('All Player Data Store'!$Y$7:$Y$594=AC316,ROW('All Player Data Store'!$Y$7:$Y$594)-ROW('All Player Data Store'!$Y$7)+1),COUNTIF($AC$8:AC316,AC316))),"")</f>
        <v/>
      </c>
      <c r="AA316" s="112" t="str">
        <f t="array" ref="AA316">IF(ISNUMBER(AC316),INDEX('All Player Data Store'!$W$7:$W$594,SMALL(IF('All Player Data Store'!$Y$7:$Y$594=AC316,ROW('All Player Data Store'!$Y$7:$Y$594)-ROW('All Player Data Store'!$Y$7)+1),COUNTIF($AC$8:AC316,AC316))),"")</f>
        <v/>
      </c>
      <c r="AB316" s="108" t="str">
        <f t="array" ref="AB316">IF(ISNUMBER(AC316),INDEX('All Player Data Store'!$X$7:$X$594,SMALL(IF('All Player Data Store'!$Y$7:$Y$594=AC316,ROW('All Player Data Store'!$Y$7:$Y$594)-ROW('All Player Data Store'!$Y$7)+1),COUNTIF($AC$8:AC316,AC316))),"")</f>
        <v/>
      </c>
      <c r="AC316" s="115" t="str">
        <f>IF(ISERROR(IF(ISERROR(LARGE('All Player Data Store'!$Y$7:$Y$594,309)),"",(LARGE('All Player Data Store'!$Y$7:$Y$594,309)))),"",(IF(ISERROR(LARGE('All Player Data Store'!$Y$7:$Y$594,309)),"",(LARGE('All Player Data Store'!$Y$7:$Y$594,309)))))</f>
        <v/>
      </c>
      <c r="AD316" s="106">
        <f t="shared" si="16"/>
        <v>1</v>
      </c>
      <c r="AE316" s="107" t="str">
        <f t="array" ref="AE316">IF(ISNUMBER(AC316),INDEX('All Player Data Store'!$J$8:$J$594,SMALL(IF('All Player Data Store'!$Y$7:$Y$594=AC316,ROW('All Player Data Store'!$Y$7:$Y$594)-ROW('All Player Data Store'!$Y$7)+1),COUNTIF($AC$8:AC316,AC316))),"")</f>
        <v/>
      </c>
      <c r="AF316" s="108" t="str">
        <f t="shared" si="19"/>
        <v/>
      </c>
      <c r="AG316" s="108" t="str">
        <f t="array" ref="AG316">IF(ISNUMBER(AC316),INDEX('All Player Data Store'!$K$8:$K$594,SMALL(IF('All Player Data Store'!$Y$7:$Y$594=AC316,ROW('All Player Data Store'!$Y$7:$Y$594)-ROW('All Player Data Store'!$Y$7)+1),COUNTIF($AC$8:AC316,AC316))),"")</f>
        <v/>
      </c>
      <c r="AH316" s="108" t="str">
        <f t="shared" si="20"/>
        <v/>
      </c>
      <c r="AI316" s="108" t="str">
        <f t="array" ref="AI316">IF(ISNUMBER(AC316),INDEX('All Player Data Store'!$L$8:$L$594,SMALL(IF('All Player Data Store'!$Y$7:$Y$594=AC316,ROW('All Player Data Store'!$Y$7:$Y$594)-ROW('All Player Data Store'!$Y$7)+1),COUNTIF($AC$8:AC316,AC316))),"")</f>
        <v/>
      </c>
      <c r="AJ316" s="108" t="str">
        <f t="shared" si="21"/>
        <v/>
      </c>
      <c r="AK316" s="108" t="str">
        <f t="array" ref="AK316">IF(ISNUMBER(AC316),INDEX('All Player Data Store'!$M$8:$M$594,SMALL(IF('All Player Data Store'!$Y$7:$Y$594=AC316,ROW('All Player Data Store'!$Y$7:$Y$594)-ROW('All Player Data Store'!$Y$7)+1),COUNTIF($AC$8:AC316,AC316))),"")</f>
        <v/>
      </c>
      <c r="AL316" s="108" t="str">
        <f t="shared" si="22"/>
        <v/>
      </c>
      <c r="AM316" s="108" t="str">
        <f t="array" ref="AM316">IF(ISNUMBER(AC316),INDEX('All Player Data Store'!$N$8:$N$594,SMALL(IF('All Player Data Store'!$Y$7:$Y$594=AC316,ROW('All Player Data Store'!$Y$7:$Y$594)-ROW('All Player Data Store'!$Y$7)+1),COUNTIF($AC$8:AC316,AC316))),"")</f>
        <v/>
      </c>
      <c r="AN316" s="108" t="str">
        <f t="shared" si="23"/>
        <v/>
      </c>
      <c r="AO316" s="108" t="str">
        <f t="array" ref="AO316">IF(ISNUMBER(AC316),INDEX('All Player Data Store'!$O$8:$O$594,SMALL(IF('All Player Data Store'!$Y$7:$Y$594=AC316,ROW('All Player Data Store'!$Y$7:$Y$594)-ROW('All Player Data Store'!$Y$7)+1),COUNTIF($AC$8:AC316,AC316))),"")</f>
        <v/>
      </c>
      <c r="AP316" s="108" t="str">
        <f t="shared" si="24"/>
        <v/>
      </c>
      <c r="AQ316" s="108" t="str">
        <f t="array" ref="AQ316">IF(ISNUMBER(AC316),INDEX('All Player Data Store'!$P$8:$P$594,SMALL(IF('All Player Data Store'!$Y$7:$Y$594=AC316,ROW('All Player Data Store'!$Y$7:$Y$594)-ROW('All Player Data Store'!$Y$7)+1),COUNTIF($AC$8:AC316,AC316))),"")</f>
        <v/>
      </c>
      <c r="AR316" s="108" t="str">
        <f t="shared" si="25"/>
        <v/>
      </c>
      <c r="AS316" s="108" t="str">
        <f t="array" ref="AS316">IF(ISNUMBER(AC316),INDEX('All Player Data Store'!$Q$8:$Q$594,SMALL(IF('All Player Data Store'!$Y$7:$Y$594=AC316,ROW('All Player Data Store'!$Y$7:$Y$594)-ROW('All Player Data Store'!$Y$7)+1),COUNTIF($AC$8:AC316,AC316))),"")</f>
        <v/>
      </c>
      <c r="AT316" s="108" t="str">
        <f t="shared" si="26"/>
        <v/>
      </c>
      <c r="AU316" s="108" t="str">
        <f t="array" ref="AU316">IF(ISNUMBER(AC316),INDEX('All Player Data Store'!$R$8:$R$594,SMALL(IF('All Player Data Store'!$Y$7:$Y$594=AC316,ROW('All Player Data Store'!$Y$7:$Y$594)-ROW('All Player Data Store'!$Y$7)+1),COUNTIF($AC$8:AC316,AC316))),"")</f>
        <v/>
      </c>
      <c r="AV316" s="108" t="str">
        <f t="shared" si="27"/>
        <v/>
      </c>
      <c r="AW316" s="108" t="str">
        <f t="array" ref="AW316">IF(ISNUMBER(AC316),INDEX('All Player Data Store'!$S$8:$S$594,SMALL(IF('All Player Data Store'!$Y$7:$Y$594=AC316,ROW('All Player Data Store'!$Y$7:$Y$594)-ROW('All Player Data Store'!$Y$7)+1),COUNTIF($AC$8:AC316,AC316))),"")</f>
        <v/>
      </c>
      <c r="AX316" s="108" t="str">
        <f t="shared" si="28"/>
        <v/>
      </c>
      <c r="AY316" s="108" t="str">
        <f t="array" ref="AY316">IF(ISNUMBER(AC316),INDEX('All Player Data Store'!$T$8:$T$594,SMALL(IF('All Player Data Store'!$Y$7:$Y$594=AC316,ROW('All Player Data Store'!$Y$7:$Y$594)-ROW('All Player Data Store'!$Y$7)+1),COUNTIF($AC$8:AC316,AC316))),"")</f>
        <v/>
      </c>
      <c r="AZ316" s="108" t="str">
        <f t="shared" si="29"/>
        <v/>
      </c>
      <c r="BA316" s="108" t="str">
        <f t="array" ref="BA316">IF(ISNUMBER(AC316),INDEX('All Player Data Store'!$U$8:$U$594,SMALL(IF('All Player Data Store'!$Y$7:$Y$594=AC316,ROW('All Player Data Store'!$Y$7:$Y$594)-ROW('All Player Data Store'!$Y$7)+1),COUNTIF($AC$8:AC316,AC316))),"")</f>
        <v/>
      </c>
      <c r="BB316" s="108" t="str">
        <f t="shared" si="30"/>
        <v/>
      </c>
      <c r="BC316" s="108" t="str">
        <f t="array" ref="BC316">IF(ISNUMBER(AC316),INDEX('All Player Data Store'!$V$8:$V$594,SMALL(IF('All Player Data Store'!$Y$7:$Y$594=AC316,ROW('All Player Data Store'!$Y$7:$Y$594)-ROW('All Player Data Store'!$Y$7)+1),COUNTIF($AC$8:AC316,AC316))),"")</f>
        <v/>
      </c>
      <c r="BD316" s="108" t="str">
        <f t="shared" si="31"/>
        <v/>
      </c>
      <c r="BE316" s="1"/>
    </row>
    <row r="317" spans="2:57" ht="12" customHeight="1" x14ac:dyDescent="0.2">
      <c r="B317" s="118" t="str">
        <f t="shared" si="17"/>
        <v/>
      </c>
      <c r="C317" s="1"/>
      <c r="D317" s="68" t="str">
        <f t="shared" si="18"/>
        <v/>
      </c>
      <c r="E317" s="2"/>
      <c r="F317" s="78">
        <v>310</v>
      </c>
      <c r="G317" s="110" t="str">
        <f t="array" ref="G317">IF(ISNUMBER(AC317),INDEX('All Player Data Store'!$C$7:$C$594,SMALL(IF('All Player Data Store'!$Y$7:$Y$594=AC317,ROW('All Player Data Store'!$Y$7:$Y$594)-ROW('All Player Data Store'!$Y$7)+1),COUNTIF($AC$8:AC317,AC317))),"")</f>
        <v/>
      </c>
      <c r="H317" s="68" t="str">
        <f t="array" ref="H317">IF(ISNUMBER(AC317),INDEX('All Player Data Store'!$D$7:$D$594,SMALL(IF('All Player Data Store'!$Y$7:$Y$594=AC317,ROW('All Player Data Store'!$Y$7:$Y$594)-ROW('All Player Data Store'!$Y$7)+1),COUNTIF($AC$8:AC317,AC317))),"")</f>
        <v/>
      </c>
      <c r="I317" s="69" t="str">
        <f t="array" ref="I317">IF(ISNUMBER(AC317),INDEX('All Player Data Store'!$E$7:$E$594,SMALL(IF('All Player Data Store'!$Y$7:$Y$594=AC317,ROW('All Player Data Store'!$Y$7:$Y$594)-ROW('All Player Data Store'!$Y$7)+1),COUNTIF($AC$8:AC317,AC317))),"")</f>
        <v/>
      </c>
      <c r="J317" s="70" t="str">
        <f t="array" ref="J317">IF(ISNUMBER(AC317),INDEX('All Player Data Store'!$F$7:$F$594,SMALL(IF('All Player Data Store'!$Y$7:$Y$594=AC317,ROW('All Player Data Store'!$Y$7:$Y$594)-ROW('All Player Data Store'!$Y$7)+1),COUNTIF($AC$8:AC317,AC317))),"")</f>
        <v/>
      </c>
      <c r="K317" s="70" t="str">
        <f t="array" ref="K317">IF(ISNUMBER(AC317),INDEX('All Player Data Store'!$G$7:$G$594,SMALL(IF('All Player Data Store'!$Y$7:$Y$594=AC317,ROW('All Player Data Store'!$Y$7:$Y$594)-ROW('All Player Data Store'!$Y$7)+1),COUNTIF($AC$8:AC317,AC317))),"")</f>
        <v/>
      </c>
      <c r="L317" s="70" t="str">
        <f t="array" ref="L317">IF(ISNUMBER(AC317),INDEX('All Player Data Store'!$H$7:$H$594,SMALL(IF('All Player Data Store'!$Y$7:$Y$594=AC317,ROW('All Player Data Store'!$Y$7:$Y$594)-ROW('All Player Data Store'!$Y$7)+1),COUNTIF($AC$8:AC317,AC317))),"")</f>
        <v/>
      </c>
      <c r="M317" s="72" t="str">
        <f t="array" ref="M317">IF(ISNUMBER(AC317),INDEX('All Player Data Store'!$I$7:$I$594,SMALL(IF('All Player Data Store'!$Y$7:$Y$594=AC317,ROW('All Player Data Store'!$Y$7:$Y$594)-ROW('All Player Data Store'!$Y$7)+1),COUNTIF($AC$8:AC317,AC317))),"")</f>
        <v/>
      </c>
      <c r="N317" s="114" t="str">
        <f t="array" ref="N317">IF(ISNUMBER(AC317),INDEX('All Player Data Store'!$J$7:$J$594,SMALL(IF('All Player Data Store'!$Y$7:$Y$594=AC317,ROW('All Player Data Store'!$Y$7:$Y$594)-ROW('All Player Data Store'!$Y$7)+1),COUNTIF($AC$8:AC317,AC317))),"")</f>
        <v/>
      </c>
      <c r="O317" s="108" t="str">
        <f t="array" ref="O317">IF(ISNUMBER(AC317),INDEX('All Player Data Store'!$K$7:$K$594,SMALL(IF('All Player Data Store'!$Y$7:$Y$594=AC317,ROW('All Player Data Store'!$Y$7:$Y$594)-ROW('All Player Data Store'!$Y$7)+1),COUNTIF($AC$8:AC317,AC317))),"")</f>
        <v/>
      </c>
      <c r="P317" s="108" t="str">
        <f t="array" ref="P317">IF(ISNUMBER(AC317),INDEX('All Player Data Store'!$L$7:$L$594,SMALL(IF('All Player Data Store'!$Y$7:$Y$594=AC317,ROW('All Player Data Store'!$Y$7:$Y$594)-ROW('All Player Data Store'!$Y$7)+1),COUNTIF($AC$8:AC317,AC317))),"")</f>
        <v/>
      </c>
      <c r="Q317" s="108" t="str">
        <f t="array" ref="Q317">IF(ISNUMBER(AC317),INDEX('All Player Data Store'!$M$7:$M$594,SMALL(IF('All Player Data Store'!$Y$7:$Y$594=AC317,ROW('All Player Data Store'!$Y$7:$Y$594)-ROW('All Player Data Store'!$Y$7)+1),COUNTIF($AC$8:AC317,AC317))),"")</f>
        <v/>
      </c>
      <c r="R317" s="108" t="str">
        <f t="array" ref="R317">IF(ISNUMBER(AC317),INDEX('All Player Data Store'!$N$7:$N$594,SMALL(IF('All Player Data Store'!$Y$7:$Y$594=AC317,ROW('All Player Data Store'!$Y$7:$Y$594)-ROW('All Player Data Store'!$Y$7)+1),COUNTIF($AC$8:AC317,AC317))),"")</f>
        <v/>
      </c>
      <c r="S317" s="108" t="str">
        <f t="array" ref="S317">IF(ISNUMBER(AC317),INDEX('All Player Data Store'!$O$7:$O$594,SMALL(IF('All Player Data Store'!$Y$7:$Y$594=AC317,ROW('All Player Data Store'!$Y$7:$Y$594)-ROW('All Player Data Store'!$Y$7)+1),COUNTIF($AC$8:AC317,AC317))),"")</f>
        <v/>
      </c>
      <c r="T317" s="108" t="str">
        <f t="array" ref="T317">IF(ISNUMBER(AC317),INDEX('All Player Data Store'!$P$7:$P$594,SMALL(IF('All Player Data Store'!$Y$7:$Y$594=AC317,ROW('All Player Data Store'!$Y$7:$Y$594)-ROW('All Player Data Store'!$Y$7)+1),COUNTIF($AC$8:AC317,AC317))),"")</f>
        <v/>
      </c>
      <c r="U317" s="108" t="str">
        <f t="array" ref="U317">IF(ISNUMBER(AC317),INDEX('All Player Data Store'!$Q$7:$Q$594,SMALL(IF('All Player Data Store'!$Y$7:$Y$594=AC317,ROW('All Player Data Store'!$Y$7:$Y$594)-ROW('All Player Data Store'!$Y$7)+1),COUNTIF($AC$8:AC317,AC317))),"")</f>
        <v/>
      </c>
      <c r="V317" s="108" t="str">
        <f t="array" ref="V317">IF(ISNUMBER(AC317),INDEX('All Player Data Store'!$R$7:$R$594,SMALL(IF('All Player Data Store'!$Y$7:$Y$594=AC317,ROW('All Player Data Store'!$Y$7:$Y$594)-ROW('All Player Data Store'!$Y$7)+1),COUNTIF($AC$8:AC317,AC317))),"")</f>
        <v/>
      </c>
      <c r="W317" s="108" t="str">
        <f t="array" ref="W317">IF(ISNUMBER(AC317),INDEX('All Player Data Store'!$S$7:$S$594,SMALL(IF('All Player Data Store'!$Y$7:$Y$594=AC317,ROW('All Player Data Store'!$Y$7:$Y$594)-ROW('All Player Data Store'!$Y$7)+1),COUNTIF($AC$8:AC317,AC317))),"")</f>
        <v/>
      </c>
      <c r="X317" s="108" t="str">
        <f t="array" ref="X317">IF(ISNUMBER(AC317),INDEX('All Player Data Store'!$T$7:$T$594,SMALL(IF('All Player Data Store'!$Y$7:$Y$594=AC317,ROW('All Player Data Store'!$Y$7:$Y$594)-ROW('All Player Data Store'!$Y$7)+1),COUNTIF($AC$8:AC317,AC317))),"")</f>
        <v/>
      </c>
      <c r="Y317" s="108" t="str">
        <f t="array" ref="Y317">IF(ISNUMBER(AC317),INDEX('All Player Data Store'!$U$7:$U$594,SMALL(IF('All Player Data Store'!$Y$7:$Y$594=AC317,ROW('All Player Data Store'!$Y$7:$Y$594)-ROW('All Player Data Store'!$Y$7)+1),COUNTIF($AC$8:AC317,AC317))),"")</f>
        <v/>
      </c>
      <c r="Z317" s="108" t="str">
        <f t="array" ref="Z317">IF(ISNUMBER(AC317),INDEX('All Player Data Store'!$V$7:$V$594,SMALL(IF('All Player Data Store'!$Y$7:$Y$594=AC317,ROW('All Player Data Store'!$Y$7:$Y$594)-ROW('All Player Data Store'!$Y$7)+1),COUNTIF($AC$8:AC317,AC317))),"")</f>
        <v/>
      </c>
      <c r="AA317" s="112" t="str">
        <f t="array" ref="AA317">IF(ISNUMBER(AC317),INDEX('All Player Data Store'!$W$7:$W$594,SMALL(IF('All Player Data Store'!$Y$7:$Y$594=AC317,ROW('All Player Data Store'!$Y$7:$Y$594)-ROW('All Player Data Store'!$Y$7)+1),COUNTIF($AC$8:AC317,AC317))),"")</f>
        <v/>
      </c>
      <c r="AB317" s="108" t="str">
        <f t="array" ref="AB317">IF(ISNUMBER(AC317),INDEX('All Player Data Store'!$X$7:$X$594,SMALL(IF('All Player Data Store'!$Y$7:$Y$594=AC317,ROW('All Player Data Store'!$Y$7:$Y$594)-ROW('All Player Data Store'!$Y$7)+1),COUNTIF($AC$8:AC317,AC317))),"")</f>
        <v/>
      </c>
      <c r="AC317" s="115" t="str">
        <f>IF(ISERROR(IF(ISERROR(LARGE('All Player Data Store'!$Y$7:$Y$594,310)),"",(LARGE('All Player Data Store'!$Y$7:$Y$594,310)))),"",(IF(ISERROR(LARGE('All Player Data Store'!$Y$7:$Y$594,310)),"",(LARGE('All Player Data Store'!$Y$7:$Y$594,310)))))</f>
        <v/>
      </c>
      <c r="AD317" s="106">
        <f t="shared" si="16"/>
        <v>1</v>
      </c>
      <c r="AE317" s="107" t="str">
        <f t="array" ref="AE317">IF(ISNUMBER(AC317),INDEX('All Player Data Store'!$J$8:$J$594,SMALL(IF('All Player Data Store'!$Y$7:$Y$594=AC317,ROW('All Player Data Store'!$Y$7:$Y$594)-ROW('All Player Data Store'!$Y$7)+1),COUNTIF($AC$8:AC317,AC317))),"")</f>
        <v/>
      </c>
      <c r="AF317" s="108" t="str">
        <f t="shared" si="19"/>
        <v/>
      </c>
      <c r="AG317" s="108" t="str">
        <f t="array" ref="AG317">IF(ISNUMBER(AC317),INDEX('All Player Data Store'!$K$8:$K$594,SMALL(IF('All Player Data Store'!$Y$7:$Y$594=AC317,ROW('All Player Data Store'!$Y$7:$Y$594)-ROW('All Player Data Store'!$Y$7)+1),COUNTIF($AC$8:AC317,AC317))),"")</f>
        <v/>
      </c>
      <c r="AH317" s="108" t="str">
        <f t="shared" si="20"/>
        <v/>
      </c>
      <c r="AI317" s="108" t="str">
        <f t="array" ref="AI317">IF(ISNUMBER(AC317),INDEX('All Player Data Store'!$L$8:$L$594,SMALL(IF('All Player Data Store'!$Y$7:$Y$594=AC317,ROW('All Player Data Store'!$Y$7:$Y$594)-ROW('All Player Data Store'!$Y$7)+1),COUNTIF($AC$8:AC317,AC317))),"")</f>
        <v/>
      </c>
      <c r="AJ317" s="108" t="str">
        <f t="shared" si="21"/>
        <v/>
      </c>
      <c r="AK317" s="108" t="str">
        <f t="array" ref="AK317">IF(ISNUMBER(AC317),INDEX('All Player Data Store'!$M$8:$M$594,SMALL(IF('All Player Data Store'!$Y$7:$Y$594=AC317,ROW('All Player Data Store'!$Y$7:$Y$594)-ROW('All Player Data Store'!$Y$7)+1),COUNTIF($AC$8:AC317,AC317))),"")</f>
        <v/>
      </c>
      <c r="AL317" s="108" t="str">
        <f t="shared" si="22"/>
        <v/>
      </c>
      <c r="AM317" s="108" t="str">
        <f t="array" ref="AM317">IF(ISNUMBER(AC317),INDEX('All Player Data Store'!$N$8:$N$594,SMALL(IF('All Player Data Store'!$Y$7:$Y$594=AC317,ROW('All Player Data Store'!$Y$7:$Y$594)-ROW('All Player Data Store'!$Y$7)+1),COUNTIF($AC$8:AC317,AC317))),"")</f>
        <v/>
      </c>
      <c r="AN317" s="108" t="str">
        <f t="shared" si="23"/>
        <v/>
      </c>
      <c r="AO317" s="108" t="str">
        <f t="array" ref="AO317">IF(ISNUMBER(AC317),INDEX('All Player Data Store'!$O$8:$O$594,SMALL(IF('All Player Data Store'!$Y$7:$Y$594=AC317,ROW('All Player Data Store'!$Y$7:$Y$594)-ROW('All Player Data Store'!$Y$7)+1),COUNTIF($AC$8:AC317,AC317))),"")</f>
        <v/>
      </c>
      <c r="AP317" s="108" t="str">
        <f t="shared" si="24"/>
        <v/>
      </c>
      <c r="AQ317" s="108" t="str">
        <f t="array" ref="AQ317">IF(ISNUMBER(AC317),INDEX('All Player Data Store'!$P$8:$P$594,SMALL(IF('All Player Data Store'!$Y$7:$Y$594=AC317,ROW('All Player Data Store'!$Y$7:$Y$594)-ROW('All Player Data Store'!$Y$7)+1),COUNTIF($AC$8:AC317,AC317))),"")</f>
        <v/>
      </c>
      <c r="AR317" s="108" t="str">
        <f t="shared" si="25"/>
        <v/>
      </c>
      <c r="AS317" s="108" t="str">
        <f t="array" ref="AS317">IF(ISNUMBER(AC317),INDEX('All Player Data Store'!$Q$8:$Q$594,SMALL(IF('All Player Data Store'!$Y$7:$Y$594=AC317,ROW('All Player Data Store'!$Y$7:$Y$594)-ROW('All Player Data Store'!$Y$7)+1),COUNTIF($AC$8:AC317,AC317))),"")</f>
        <v/>
      </c>
      <c r="AT317" s="108" t="str">
        <f t="shared" si="26"/>
        <v/>
      </c>
      <c r="AU317" s="108" t="str">
        <f t="array" ref="AU317">IF(ISNUMBER(AC317),INDEX('All Player Data Store'!$R$8:$R$594,SMALL(IF('All Player Data Store'!$Y$7:$Y$594=AC317,ROW('All Player Data Store'!$Y$7:$Y$594)-ROW('All Player Data Store'!$Y$7)+1),COUNTIF($AC$8:AC317,AC317))),"")</f>
        <v/>
      </c>
      <c r="AV317" s="108" t="str">
        <f t="shared" si="27"/>
        <v/>
      </c>
      <c r="AW317" s="108" t="str">
        <f t="array" ref="AW317">IF(ISNUMBER(AC317),INDEX('All Player Data Store'!$S$8:$S$594,SMALL(IF('All Player Data Store'!$Y$7:$Y$594=AC317,ROW('All Player Data Store'!$Y$7:$Y$594)-ROW('All Player Data Store'!$Y$7)+1),COUNTIF($AC$8:AC317,AC317))),"")</f>
        <v/>
      </c>
      <c r="AX317" s="108" t="str">
        <f t="shared" si="28"/>
        <v/>
      </c>
      <c r="AY317" s="108" t="str">
        <f t="array" ref="AY317">IF(ISNUMBER(AC317),INDEX('All Player Data Store'!$T$8:$T$594,SMALL(IF('All Player Data Store'!$Y$7:$Y$594=AC317,ROW('All Player Data Store'!$Y$7:$Y$594)-ROW('All Player Data Store'!$Y$7)+1),COUNTIF($AC$8:AC317,AC317))),"")</f>
        <v/>
      </c>
      <c r="AZ317" s="108" t="str">
        <f t="shared" si="29"/>
        <v/>
      </c>
      <c r="BA317" s="108" t="str">
        <f t="array" ref="BA317">IF(ISNUMBER(AC317),INDEX('All Player Data Store'!$U$8:$U$594,SMALL(IF('All Player Data Store'!$Y$7:$Y$594=AC317,ROW('All Player Data Store'!$Y$7:$Y$594)-ROW('All Player Data Store'!$Y$7)+1),COUNTIF($AC$8:AC317,AC317))),"")</f>
        <v/>
      </c>
      <c r="BB317" s="108" t="str">
        <f t="shared" si="30"/>
        <v/>
      </c>
      <c r="BC317" s="108" t="str">
        <f t="array" ref="BC317">IF(ISNUMBER(AC317),INDEX('All Player Data Store'!$V$8:$V$594,SMALL(IF('All Player Data Store'!$Y$7:$Y$594=AC317,ROW('All Player Data Store'!$Y$7:$Y$594)-ROW('All Player Data Store'!$Y$7)+1),COUNTIF($AC$8:AC317,AC317))),"")</f>
        <v/>
      </c>
      <c r="BD317" s="108" t="str">
        <f t="shared" si="31"/>
        <v/>
      </c>
      <c r="BE317" s="1"/>
    </row>
    <row r="318" spans="2:57" ht="12" customHeight="1" x14ac:dyDescent="0.2">
      <c r="B318" s="118" t="str">
        <f t="shared" si="17"/>
        <v/>
      </c>
      <c r="C318" s="1"/>
      <c r="D318" s="68" t="str">
        <f t="shared" si="18"/>
        <v/>
      </c>
      <c r="E318" s="2"/>
      <c r="F318" s="78">
        <v>311</v>
      </c>
      <c r="G318" s="110" t="str">
        <f t="array" ref="G318">IF(ISNUMBER(AC318),INDEX('All Player Data Store'!$C$7:$C$594,SMALL(IF('All Player Data Store'!$Y$7:$Y$594=AC318,ROW('All Player Data Store'!$Y$7:$Y$594)-ROW('All Player Data Store'!$Y$7)+1),COUNTIF($AC$8:AC318,AC318))),"")</f>
        <v/>
      </c>
      <c r="H318" s="68" t="str">
        <f t="array" ref="H318">IF(ISNUMBER(AC318),INDEX('All Player Data Store'!$D$7:$D$594,SMALL(IF('All Player Data Store'!$Y$7:$Y$594=AC318,ROW('All Player Data Store'!$Y$7:$Y$594)-ROW('All Player Data Store'!$Y$7)+1),COUNTIF($AC$8:AC318,AC318))),"")</f>
        <v/>
      </c>
      <c r="I318" s="69" t="str">
        <f t="array" ref="I318">IF(ISNUMBER(AC318),INDEX('All Player Data Store'!$E$7:$E$594,SMALL(IF('All Player Data Store'!$Y$7:$Y$594=AC318,ROW('All Player Data Store'!$Y$7:$Y$594)-ROW('All Player Data Store'!$Y$7)+1),COUNTIF($AC$8:AC318,AC318))),"")</f>
        <v/>
      </c>
      <c r="J318" s="70" t="str">
        <f t="array" ref="J318">IF(ISNUMBER(AC318),INDEX('All Player Data Store'!$F$7:$F$594,SMALL(IF('All Player Data Store'!$Y$7:$Y$594=AC318,ROW('All Player Data Store'!$Y$7:$Y$594)-ROW('All Player Data Store'!$Y$7)+1),COUNTIF($AC$8:AC318,AC318))),"")</f>
        <v/>
      </c>
      <c r="K318" s="70" t="str">
        <f t="array" ref="K318">IF(ISNUMBER(AC318),INDEX('All Player Data Store'!$G$7:$G$594,SMALL(IF('All Player Data Store'!$Y$7:$Y$594=AC318,ROW('All Player Data Store'!$Y$7:$Y$594)-ROW('All Player Data Store'!$Y$7)+1),COUNTIF($AC$8:AC318,AC318))),"")</f>
        <v/>
      </c>
      <c r="L318" s="70" t="str">
        <f t="array" ref="L318">IF(ISNUMBER(AC318),INDEX('All Player Data Store'!$H$7:$H$594,SMALL(IF('All Player Data Store'!$Y$7:$Y$594=AC318,ROW('All Player Data Store'!$Y$7:$Y$594)-ROW('All Player Data Store'!$Y$7)+1),COUNTIF($AC$8:AC318,AC318))),"")</f>
        <v/>
      </c>
      <c r="M318" s="72" t="str">
        <f t="array" ref="M318">IF(ISNUMBER(AC318),INDEX('All Player Data Store'!$I$7:$I$594,SMALL(IF('All Player Data Store'!$Y$7:$Y$594=AC318,ROW('All Player Data Store'!$Y$7:$Y$594)-ROW('All Player Data Store'!$Y$7)+1),COUNTIF($AC$8:AC318,AC318))),"")</f>
        <v/>
      </c>
      <c r="N318" s="114" t="str">
        <f t="array" ref="N318">IF(ISNUMBER(AC318),INDEX('All Player Data Store'!$J$7:$J$594,SMALL(IF('All Player Data Store'!$Y$7:$Y$594=AC318,ROW('All Player Data Store'!$Y$7:$Y$594)-ROW('All Player Data Store'!$Y$7)+1),COUNTIF($AC$8:AC318,AC318))),"")</f>
        <v/>
      </c>
      <c r="O318" s="108" t="str">
        <f t="array" ref="O318">IF(ISNUMBER(AC318),INDEX('All Player Data Store'!$K$7:$K$594,SMALL(IF('All Player Data Store'!$Y$7:$Y$594=AC318,ROW('All Player Data Store'!$Y$7:$Y$594)-ROW('All Player Data Store'!$Y$7)+1),COUNTIF($AC$8:AC318,AC318))),"")</f>
        <v/>
      </c>
      <c r="P318" s="108" t="str">
        <f t="array" ref="P318">IF(ISNUMBER(AC318),INDEX('All Player Data Store'!$L$7:$L$594,SMALL(IF('All Player Data Store'!$Y$7:$Y$594=AC318,ROW('All Player Data Store'!$Y$7:$Y$594)-ROW('All Player Data Store'!$Y$7)+1),COUNTIF($AC$8:AC318,AC318))),"")</f>
        <v/>
      </c>
      <c r="Q318" s="108" t="str">
        <f t="array" ref="Q318">IF(ISNUMBER(AC318),INDEX('All Player Data Store'!$M$7:$M$594,SMALL(IF('All Player Data Store'!$Y$7:$Y$594=AC318,ROW('All Player Data Store'!$Y$7:$Y$594)-ROW('All Player Data Store'!$Y$7)+1),COUNTIF($AC$8:AC318,AC318))),"")</f>
        <v/>
      </c>
      <c r="R318" s="108" t="str">
        <f t="array" ref="R318">IF(ISNUMBER(AC318),INDEX('All Player Data Store'!$N$7:$N$594,SMALL(IF('All Player Data Store'!$Y$7:$Y$594=AC318,ROW('All Player Data Store'!$Y$7:$Y$594)-ROW('All Player Data Store'!$Y$7)+1),COUNTIF($AC$8:AC318,AC318))),"")</f>
        <v/>
      </c>
      <c r="S318" s="108" t="str">
        <f t="array" ref="S318">IF(ISNUMBER(AC318),INDEX('All Player Data Store'!$O$7:$O$594,SMALL(IF('All Player Data Store'!$Y$7:$Y$594=AC318,ROW('All Player Data Store'!$Y$7:$Y$594)-ROW('All Player Data Store'!$Y$7)+1),COUNTIF($AC$8:AC318,AC318))),"")</f>
        <v/>
      </c>
      <c r="T318" s="108" t="str">
        <f t="array" ref="T318">IF(ISNUMBER(AC318),INDEX('All Player Data Store'!$P$7:$P$594,SMALL(IF('All Player Data Store'!$Y$7:$Y$594=AC318,ROW('All Player Data Store'!$Y$7:$Y$594)-ROW('All Player Data Store'!$Y$7)+1),COUNTIF($AC$8:AC318,AC318))),"")</f>
        <v/>
      </c>
      <c r="U318" s="108" t="str">
        <f t="array" ref="U318">IF(ISNUMBER(AC318),INDEX('All Player Data Store'!$Q$7:$Q$594,SMALL(IF('All Player Data Store'!$Y$7:$Y$594=AC318,ROW('All Player Data Store'!$Y$7:$Y$594)-ROW('All Player Data Store'!$Y$7)+1),COUNTIF($AC$8:AC318,AC318))),"")</f>
        <v/>
      </c>
      <c r="V318" s="108" t="str">
        <f t="array" ref="V318">IF(ISNUMBER(AC318),INDEX('All Player Data Store'!$R$7:$R$594,SMALL(IF('All Player Data Store'!$Y$7:$Y$594=AC318,ROW('All Player Data Store'!$Y$7:$Y$594)-ROW('All Player Data Store'!$Y$7)+1),COUNTIF($AC$8:AC318,AC318))),"")</f>
        <v/>
      </c>
      <c r="W318" s="108" t="str">
        <f t="array" ref="W318">IF(ISNUMBER(AC318),INDEX('All Player Data Store'!$S$7:$S$594,SMALL(IF('All Player Data Store'!$Y$7:$Y$594=AC318,ROW('All Player Data Store'!$Y$7:$Y$594)-ROW('All Player Data Store'!$Y$7)+1),COUNTIF($AC$8:AC318,AC318))),"")</f>
        <v/>
      </c>
      <c r="X318" s="108" t="str">
        <f t="array" ref="X318">IF(ISNUMBER(AC318),INDEX('All Player Data Store'!$T$7:$T$594,SMALL(IF('All Player Data Store'!$Y$7:$Y$594=AC318,ROW('All Player Data Store'!$Y$7:$Y$594)-ROW('All Player Data Store'!$Y$7)+1),COUNTIF($AC$8:AC318,AC318))),"")</f>
        <v/>
      </c>
      <c r="Y318" s="108" t="str">
        <f t="array" ref="Y318">IF(ISNUMBER(AC318),INDEX('All Player Data Store'!$U$7:$U$594,SMALL(IF('All Player Data Store'!$Y$7:$Y$594=AC318,ROW('All Player Data Store'!$Y$7:$Y$594)-ROW('All Player Data Store'!$Y$7)+1),COUNTIF($AC$8:AC318,AC318))),"")</f>
        <v/>
      </c>
      <c r="Z318" s="108" t="str">
        <f t="array" ref="Z318">IF(ISNUMBER(AC318),INDEX('All Player Data Store'!$V$7:$V$594,SMALL(IF('All Player Data Store'!$Y$7:$Y$594=AC318,ROW('All Player Data Store'!$Y$7:$Y$594)-ROW('All Player Data Store'!$Y$7)+1),COUNTIF($AC$8:AC318,AC318))),"")</f>
        <v/>
      </c>
      <c r="AA318" s="112" t="str">
        <f t="array" ref="AA318">IF(ISNUMBER(AC318),INDEX('All Player Data Store'!$W$7:$W$594,SMALL(IF('All Player Data Store'!$Y$7:$Y$594=AC318,ROW('All Player Data Store'!$Y$7:$Y$594)-ROW('All Player Data Store'!$Y$7)+1),COUNTIF($AC$8:AC318,AC318))),"")</f>
        <v/>
      </c>
      <c r="AB318" s="108" t="str">
        <f t="array" ref="AB318">IF(ISNUMBER(AC318),INDEX('All Player Data Store'!$X$7:$X$594,SMALL(IF('All Player Data Store'!$Y$7:$Y$594=AC318,ROW('All Player Data Store'!$Y$7:$Y$594)-ROW('All Player Data Store'!$Y$7)+1),COUNTIF($AC$8:AC318,AC318))),"")</f>
        <v/>
      </c>
      <c r="AC318" s="115" t="str">
        <f>IF(ISERROR(IF(ISERROR(LARGE('All Player Data Store'!$Y$7:$Y$594,311)),"",(LARGE('All Player Data Store'!$Y$7:$Y$594,311)))),"",(IF(ISERROR(LARGE('All Player Data Store'!$Y$7:$Y$594,311)),"",(LARGE('All Player Data Store'!$Y$7:$Y$594,311)))))</f>
        <v/>
      </c>
      <c r="AD318" s="106">
        <f t="shared" si="16"/>
        <v>1</v>
      </c>
      <c r="AE318" s="107" t="str">
        <f t="array" ref="AE318">IF(ISNUMBER(AC318),INDEX('All Player Data Store'!$J$8:$J$594,SMALL(IF('All Player Data Store'!$Y$7:$Y$594=AC318,ROW('All Player Data Store'!$Y$7:$Y$594)-ROW('All Player Data Store'!$Y$7)+1),COUNTIF($AC$8:AC318,AC318))),"")</f>
        <v/>
      </c>
      <c r="AF318" s="108" t="str">
        <f t="shared" si="19"/>
        <v/>
      </c>
      <c r="AG318" s="108" t="str">
        <f t="array" ref="AG318">IF(ISNUMBER(AC318),INDEX('All Player Data Store'!$K$8:$K$594,SMALL(IF('All Player Data Store'!$Y$7:$Y$594=AC318,ROW('All Player Data Store'!$Y$7:$Y$594)-ROW('All Player Data Store'!$Y$7)+1),COUNTIF($AC$8:AC318,AC318))),"")</f>
        <v/>
      </c>
      <c r="AH318" s="108" t="str">
        <f t="shared" si="20"/>
        <v/>
      </c>
      <c r="AI318" s="108" t="str">
        <f t="array" ref="AI318">IF(ISNUMBER(AC318),INDEX('All Player Data Store'!$L$8:$L$594,SMALL(IF('All Player Data Store'!$Y$7:$Y$594=AC318,ROW('All Player Data Store'!$Y$7:$Y$594)-ROW('All Player Data Store'!$Y$7)+1),COUNTIF($AC$8:AC318,AC318))),"")</f>
        <v/>
      </c>
      <c r="AJ318" s="108" t="str">
        <f t="shared" si="21"/>
        <v/>
      </c>
      <c r="AK318" s="108" t="str">
        <f t="array" ref="AK318">IF(ISNUMBER(AC318),INDEX('All Player Data Store'!$M$8:$M$594,SMALL(IF('All Player Data Store'!$Y$7:$Y$594=AC318,ROW('All Player Data Store'!$Y$7:$Y$594)-ROW('All Player Data Store'!$Y$7)+1),COUNTIF($AC$8:AC318,AC318))),"")</f>
        <v/>
      </c>
      <c r="AL318" s="108" t="str">
        <f t="shared" si="22"/>
        <v/>
      </c>
      <c r="AM318" s="108" t="str">
        <f t="array" ref="AM318">IF(ISNUMBER(AC318),INDEX('All Player Data Store'!$N$8:$N$594,SMALL(IF('All Player Data Store'!$Y$7:$Y$594=AC318,ROW('All Player Data Store'!$Y$7:$Y$594)-ROW('All Player Data Store'!$Y$7)+1),COUNTIF($AC$8:AC318,AC318))),"")</f>
        <v/>
      </c>
      <c r="AN318" s="108" t="str">
        <f t="shared" si="23"/>
        <v/>
      </c>
      <c r="AO318" s="108" t="str">
        <f t="array" ref="AO318">IF(ISNUMBER(AC318),INDEX('All Player Data Store'!$O$8:$O$594,SMALL(IF('All Player Data Store'!$Y$7:$Y$594=AC318,ROW('All Player Data Store'!$Y$7:$Y$594)-ROW('All Player Data Store'!$Y$7)+1),COUNTIF($AC$8:AC318,AC318))),"")</f>
        <v/>
      </c>
      <c r="AP318" s="108" t="str">
        <f t="shared" si="24"/>
        <v/>
      </c>
      <c r="AQ318" s="108" t="str">
        <f t="array" ref="AQ318">IF(ISNUMBER(AC318),INDEX('All Player Data Store'!$P$8:$P$594,SMALL(IF('All Player Data Store'!$Y$7:$Y$594=AC318,ROW('All Player Data Store'!$Y$7:$Y$594)-ROW('All Player Data Store'!$Y$7)+1),COUNTIF($AC$8:AC318,AC318))),"")</f>
        <v/>
      </c>
      <c r="AR318" s="108" t="str">
        <f t="shared" si="25"/>
        <v/>
      </c>
      <c r="AS318" s="108" t="str">
        <f t="array" ref="AS318">IF(ISNUMBER(AC318),INDEX('All Player Data Store'!$Q$8:$Q$594,SMALL(IF('All Player Data Store'!$Y$7:$Y$594=AC318,ROW('All Player Data Store'!$Y$7:$Y$594)-ROW('All Player Data Store'!$Y$7)+1),COUNTIF($AC$8:AC318,AC318))),"")</f>
        <v/>
      </c>
      <c r="AT318" s="108" t="str">
        <f t="shared" si="26"/>
        <v/>
      </c>
      <c r="AU318" s="108" t="str">
        <f t="array" ref="AU318">IF(ISNUMBER(AC318),INDEX('All Player Data Store'!$R$8:$R$594,SMALL(IF('All Player Data Store'!$Y$7:$Y$594=AC318,ROW('All Player Data Store'!$Y$7:$Y$594)-ROW('All Player Data Store'!$Y$7)+1),COUNTIF($AC$8:AC318,AC318))),"")</f>
        <v/>
      </c>
      <c r="AV318" s="108" t="str">
        <f t="shared" si="27"/>
        <v/>
      </c>
      <c r="AW318" s="108" t="str">
        <f t="array" ref="AW318">IF(ISNUMBER(AC318),INDEX('All Player Data Store'!$S$8:$S$594,SMALL(IF('All Player Data Store'!$Y$7:$Y$594=AC318,ROW('All Player Data Store'!$Y$7:$Y$594)-ROW('All Player Data Store'!$Y$7)+1),COUNTIF($AC$8:AC318,AC318))),"")</f>
        <v/>
      </c>
      <c r="AX318" s="108" t="str">
        <f t="shared" si="28"/>
        <v/>
      </c>
      <c r="AY318" s="108" t="str">
        <f t="array" ref="AY318">IF(ISNUMBER(AC318),INDEX('All Player Data Store'!$T$8:$T$594,SMALL(IF('All Player Data Store'!$Y$7:$Y$594=AC318,ROW('All Player Data Store'!$Y$7:$Y$594)-ROW('All Player Data Store'!$Y$7)+1),COUNTIF($AC$8:AC318,AC318))),"")</f>
        <v/>
      </c>
      <c r="AZ318" s="108" t="str">
        <f t="shared" si="29"/>
        <v/>
      </c>
      <c r="BA318" s="108" t="str">
        <f t="array" ref="BA318">IF(ISNUMBER(AC318),INDEX('All Player Data Store'!$U$8:$U$594,SMALL(IF('All Player Data Store'!$Y$7:$Y$594=AC318,ROW('All Player Data Store'!$Y$7:$Y$594)-ROW('All Player Data Store'!$Y$7)+1),COUNTIF($AC$8:AC318,AC318))),"")</f>
        <v/>
      </c>
      <c r="BB318" s="108" t="str">
        <f t="shared" si="30"/>
        <v/>
      </c>
      <c r="BC318" s="108" t="str">
        <f t="array" ref="BC318">IF(ISNUMBER(AC318),INDEX('All Player Data Store'!$V$8:$V$594,SMALL(IF('All Player Data Store'!$Y$7:$Y$594=AC318,ROW('All Player Data Store'!$Y$7:$Y$594)-ROW('All Player Data Store'!$Y$7)+1),COUNTIF($AC$8:AC318,AC318))),"")</f>
        <v/>
      </c>
      <c r="BD318" s="108" t="str">
        <f t="shared" si="31"/>
        <v/>
      </c>
      <c r="BE318" s="1"/>
    </row>
    <row r="319" spans="2:57" ht="12" customHeight="1" x14ac:dyDescent="0.2">
      <c r="B319" s="118" t="str">
        <f t="shared" si="17"/>
        <v/>
      </c>
      <c r="C319" s="1"/>
      <c r="D319" s="68" t="str">
        <f t="shared" si="18"/>
        <v/>
      </c>
      <c r="E319" s="2"/>
      <c r="F319" s="78">
        <v>312</v>
      </c>
      <c r="G319" s="110" t="str">
        <f t="array" ref="G319">IF(ISNUMBER(AC319),INDEX('All Player Data Store'!$C$7:$C$594,SMALL(IF('All Player Data Store'!$Y$7:$Y$594=AC319,ROW('All Player Data Store'!$Y$7:$Y$594)-ROW('All Player Data Store'!$Y$7)+1),COUNTIF($AC$8:AC319,AC319))),"")</f>
        <v/>
      </c>
      <c r="H319" s="68" t="str">
        <f t="array" ref="H319">IF(ISNUMBER(AC319),INDEX('All Player Data Store'!$D$7:$D$594,SMALL(IF('All Player Data Store'!$Y$7:$Y$594=AC319,ROW('All Player Data Store'!$Y$7:$Y$594)-ROW('All Player Data Store'!$Y$7)+1),COUNTIF($AC$8:AC319,AC319))),"")</f>
        <v/>
      </c>
      <c r="I319" s="69" t="str">
        <f t="array" ref="I319">IF(ISNUMBER(AC319),INDEX('All Player Data Store'!$E$7:$E$594,SMALL(IF('All Player Data Store'!$Y$7:$Y$594=AC319,ROW('All Player Data Store'!$Y$7:$Y$594)-ROW('All Player Data Store'!$Y$7)+1),COUNTIF($AC$8:AC319,AC319))),"")</f>
        <v/>
      </c>
      <c r="J319" s="70" t="str">
        <f t="array" ref="J319">IF(ISNUMBER(AC319),INDEX('All Player Data Store'!$F$7:$F$594,SMALL(IF('All Player Data Store'!$Y$7:$Y$594=AC319,ROW('All Player Data Store'!$Y$7:$Y$594)-ROW('All Player Data Store'!$Y$7)+1),COUNTIF($AC$8:AC319,AC319))),"")</f>
        <v/>
      </c>
      <c r="K319" s="70" t="str">
        <f t="array" ref="K319">IF(ISNUMBER(AC319),INDEX('All Player Data Store'!$G$7:$G$594,SMALL(IF('All Player Data Store'!$Y$7:$Y$594=AC319,ROW('All Player Data Store'!$Y$7:$Y$594)-ROW('All Player Data Store'!$Y$7)+1),COUNTIF($AC$8:AC319,AC319))),"")</f>
        <v/>
      </c>
      <c r="L319" s="70" t="str">
        <f t="array" ref="L319">IF(ISNUMBER(AC319),INDEX('All Player Data Store'!$H$7:$H$594,SMALL(IF('All Player Data Store'!$Y$7:$Y$594=AC319,ROW('All Player Data Store'!$Y$7:$Y$594)-ROW('All Player Data Store'!$Y$7)+1),COUNTIF($AC$8:AC319,AC319))),"")</f>
        <v/>
      </c>
      <c r="M319" s="72" t="str">
        <f t="array" ref="M319">IF(ISNUMBER(AC319),INDEX('All Player Data Store'!$I$7:$I$594,SMALL(IF('All Player Data Store'!$Y$7:$Y$594=AC319,ROW('All Player Data Store'!$Y$7:$Y$594)-ROW('All Player Data Store'!$Y$7)+1),COUNTIF($AC$8:AC319,AC319))),"")</f>
        <v/>
      </c>
      <c r="N319" s="114" t="str">
        <f t="array" ref="N319">IF(ISNUMBER(AC319),INDEX('All Player Data Store'!$J$7:$J$594,SMALL(IF('All Player Data Store'!$Y$7:$Y$594=AC319,ROW('All Player Data Store'!$Y$7:$Y$594)-ROW('All Player Data Store'!$Y$7)+1),COUNTIF($AC$8:AC319,AC319))),"")</f>
        <v/>
      </c>
      <c r="O319" s="108" t="str">
        <f t="array" ref="O319">IF(ISNUMBER(AC319),INDEX('All Player Data Store'!$K$7:$K$594,SMALL(IF('All Player Data Store'!$Y$7:$Y$594=AC319,ROW('All Player Data Store'!$Y$7:$Y$594)-ROW('All Player Data Store'!$Y$7)+1),COUNTIF($AC$8:AC319,AC319))),"")</f>
        <v/>
      </c>
      <c r="P319" s="108" t="str">
        <f t="array" ref="P319">IF(ISNUMBER(AC319),INDEX('All Player Data Store'!$L$7:$L$594,SMALL(IF('All Player Data Store'!$Y$7:$Y$594=AC319,ROW('All Player Data Store'!$Y$7:$Y$594)-ROW('All Player Data Store'!$Y$7)+1),COUNTIF($AC$8:AC319,AC319))),"")</f>
        <v/>
      </c>
      <c r="Q319" s="108" t="str">
        <f t="array" ref="Q319">IF(ISNUMBER(AC319),INDEX('All Player Data Store'!$M$7:$M$594,SMALL(IF('All Player Data Store'!$Y$7:$Y$594=AC319,ROW('All Player Data Store'!$Y$7:$Y$594)-ROW('All Player Data Store'!$Y$7)+1),COUNTIF($AC$8:AC319,AC319))),"")</f>
        <v/>
      </c>
      <c r="R319" s="108" t="str">
        <f t="array" ref="R319">IF(ISNUMBER(AC319),INDEX('All Player Data Store'!$N$7:$N$594,SMALL(IF('All Player Data Store'!$Y$7:$Y$594=AC319,ROW('All Player Data Store'!$Y$7:$Y$594)-ROW('All Player Data Store'!$Y$7)+1),COUNTIF($AC$8:AC319,AC319))),"")</f>
        <v/>
      </c>
      <c r="S319" s="108" t="str">
        <f t="array" ref="S319">IF(ISNUMBER(AC319),INDEX('All Player Data Store'!$O$7:$O$594,SMALL(IF('All Player Data Store'!$Y$7:$Y$594=AC319,ROW('All Player Data Store'!$Y$7:$Y$594)-ROW('All Player Data Store'!$Y$7)+1),COUNTIF($AC$8:AC319,AC319))),"")</f>
        <v/>
      </c>
      <c r="T319" s="108" t="str">
        <f t="array" ref="T319">IF(ISNUMBER(AC319),INDEX('All Player Data Store'!$P$7:$P$594,SMALL(IF('All Player Data Store'!$Y$7:$Y$594=AC319,ROW('All Player Data Store'!$Y$7:$Y$594)-ROW('All Player Data Store'!$Y$7)+1),COUNTIF($AC$8:AC319,AC319))),"")</f>
        <v/>
      </c>
      <c r="U319" s="108" t="str">
        <f t="array" ref="U319">IF(ISNUMBER(AC319),INDEX('All Player Data Store'!$Q$7:$Q$594,SMALL(IF('All Player Data Store'!$Y$7:$Y$594=AC319,ROW('All Player Data Store'!$Y$7:$Y$594)-ROW('All Player Data Store'!$Y$7)+1),COUNTIF($AC$8:AC319,AC319))),"")</f>
        <v/>
      </c>
      <c r="V319" s="108" t="str">
        <f t="array" ref="V319">IF(ISNUMBER(AC319),INDEX('All Player Data Store'!$R$7:$R$594,SMALL(IF('All Player Data Store'!$Y$7:$Y$594=AC319,ROW('All Player Data Store'!$Y$7:$Y$594)-ROW('All Player Data Store'!$Y$7)+1),COUNTIF($AC$8:AC319,AC319))),"")</f>
        <v/>
      </c>
      <c r="W319" s="108" t="str">
        <f t="array" ref="W319">IF(ISNUMBER(AC319),INDEX('All Player Data Store'!$S$7:$S$594,SMALL(IF('All Player Data Store'!$Y$7:$Y$594=AC319,ROW('All Player Data Store'!$Y$7:$Y$594)-ROW('All Player Data Store'!$Y$7)+1),COUNTIF($AC$8:AC319,AC319))),"")</f>
        <v/>
      </c>
      <c r="X319" s="108" t="str">
        <f t="array" ref="X319">IF(ISNUMBER(AC319),INDEX('All Player Data Store'!$T$7:$T$594,SMALL(IF('All Player Data Store'!$Y$7:$Y$594=AC319,ROW('All Player Data Store'!$Y$7:$Y$594)-ROW('All Player Data Store'!$Y$7)+1),COUNTIF($AC$8:AC319,AC319))),"")</f>
        <v/>
      </c>
      <c r="Y319" s="108" t="str">
        <f t="array" ref="Y319">IF(ISNUMBER(AC319),INDEX('All Player Data Store'!$U$7:$U$594,SMALL(IF('All Player Data Store'!$Y$7:$Y$594=AC319,ROW('All Player Data Store'!$Y$7:$Y$594)-ROW('All Player Data Store'!$Y$7)+1),COUNTIF($AC$8:AC319,AC319))),"")</f>
        <v/>
      </c>
      <c r="Z319" s="108" t="str">
        <f t="array" ref="Z319">IF(ISNUMBER(AC319),INDEX('All Player Data Store'!$V$7:$V$594,SMALL(IF('All Player Data Store'!$Y$7:$Y$594=AC319,ROW('All Player Data Store'!$Y$7:$Y$594)-ROW('All Player Data Store'!$Y$7)+1),COUNTIF($AC$8:AC319,AC319))),"")</f>
        <v/>
      </c>
      <c r="AA319" s="112" t="str">
        <f t="array" ref="AA319">IF(ISNUMBER(AC319),INDEX('All Player Data Store'!$W$7:$W$594,SMALL(IF('All Player Data Store'!$Y$7:$Y$594=AC319,ROW('All Player Data Store'!$Y$7:$Y$594)-ROW('All Player Data Store'!$Y$7)+1),COUNTIF($AC$8:AC319,AC319))),"")</f>
        <v/>
      </c>
      <c r="AB319" s="108" t="str">
        <f t="array" ref="AB319">IF(ISNUMBER(AC319),INDEX('All Player Data Store'!$X$7:$X$594,SMALL(IF('All Player Data Store'!$Y$7:$Y$594=AC319,ROW('All Player Data Store'!$Y$7:$Y$594)-ROW('All Player Data Store'!$Y$7)+1),COUNTIF($AC$8:AC319,AC319))),"")</f>
        <v/>
      </c>
      <c r="AC319" s="115" t="str">
        <f>IF(ISERROR(IF(ISERROR(LARGE('All Player Data Store'!$Y$7:$Y$594,312)),"",(LARGE('All Player Data Store'!$Y$7:$Y$594,312)))),"",(IF(ISERROR(LARGE('All Player Data Store'!$Y$7:$Y$594,312)),"",(LARGE('All Player Data Store'!$Y$7:$Y$594,312)))))</f>
        <v/>
      </c>
      <c r="AD319" s="106">
        <f t="shared" si="16"/>
        <v>1</v>
      </c>
      <c r="AE319" s="107" t="str">
        <f t="array" ref="AE319">IF(ISNUMBER(AC319),INDEX('All Player Data Store'!$J$8:$J$594,SMALL(IF('All Player Data Store'!$Y$7:$Y$594=AC319,ROW('All Player Data Store'!$Y$7:$Y$594)-ROW('All Player Data Store'!$Y$7)+1),COUNTIF($AC$8:AC319,AC319))),"")</f>
        <v/>
      </c>
      <c r="AF319" s="108" t="str">
        <f t="shared" si="19"/>
        <v/>
      </c>
      <c r="AG319" s="108" t="str">
        <f t="array" ref="AG319">IF(ISNUMBER(AC319),INDEX('All Player Data Store'!$K$8:$K$594,SMALL(IF('All Player Data Store'!$Y$7:$Y$594=AC319,ROW('All Player Data Store'!$Y$7:$Y$594)-ROW('All Player Data Store'!$Y$7)+1),COUNTIF($AC$8:AC319,AC319))),"")</f>
        <v/>
      </c>
      <c r="AH319" s="108" t="str">
        <f t="shared" si="20"/>
        <v/>
      </c>
      <c r="AI319" s="108" t="str">
        <f t="array" ref="AI319">IF(ISNUMBER(AC319),INDEX('All Player Data Store'!$L$8:$L$594,SMALL(IF('All Player Data Store'!$Y$7:$Y$594=AC319,ROW('All Player Data Store'!$Y$7:$Y$594)-ROW('All Player Data Store'!$Y$7)+1),COUNTIF($AC$8:AC319,AC319))),"")</f>
        <v/>
      </c>
      <c r="AJ319" s="108" t="str">
        <f t="shared" si="21"/>
        <v/>
      </c>
      <c r="AK319" s="108" t="str">
        <f t="array" ref="AK319">IF(ISNUMBER(AC319),INDEX('All Player Data Store'!$M$8:$M$594,SMALL(IF('All Player Data Store'!$Y$7:$Y$594=AC319,ROW('All Player Data Store'!$Y$7:$Y$594)-ROW('All Player Data Store'!$Y$7)+1),COUNTIF($AC$8:AC319,AC319))),"")</f>
        <v/>
      </c>
      <c r="AL319" s="108" t="str">
        <f t="shared" si="22"/>
        <v/>
      </c>
      <c r="AM319" s="108" t="str">
        <f t="array" ref="AM319">IF(ISNUMBER(AC319),INDEX('All Player Data Store'!$N$8:$N$594,SMALL(IF('All Player Data Store'!$Y$7:$Y$594=AC319,ROW('All Player Data Store'!$Y$7:$Y$594)-ROW('All Player Data Store'!$Y$7)+1),COUNTIF($AC$8:AC319,AC319))),"")</f>
        <v/>
      </c>
      <c r="AN319" s="108" t="str">
        <f t="shared" si="23"/>
        <v/>
      </c>
      <c r="AO319" s="108" t="str">
        <f t="array" ref="AO319">IF(ISNUMBER(AC319),INDEX('All Player Data Store'!$O$8:$O$594,SMALL(IF('All Player Data Store'!$Y$7:$Y$594=AC319,ROW('All Player Data Store'!$Y$7:$Y$594)-ROW('All Player Data Store'!$Y$7)+1),COUNTIF($AC$8:AC319,AC319))),"")</f>
        <v/>
      </c>
      <c r="AP319" s="108" t="str">
        <f t="shared" si="24"/>
        <v/>
      </c>
      <c r="AQ319" s="108" t="str">
        <f t="array" ref="AQ319">IF(ISNUMBER(AC319),INDEX('All Player Data Store'!$P$8:$P$594,SMALL(IF('All Player Data Store'!$Y$7:$Y$594=AC319,ROW('All Player Data Store'!$Y$7:$Y$594)-ROW('All Player Data Store'!$Y$7)+1),COUNTIF($AC$8:AC319,AC319))),"")</f>
        <v/>
      </c>
      <c r="AR319" s="108" t="str">
        <f t="shared" si="25"/>
        <v/>
      </c>
      <c r="AS319" s="108" t="str">
        <f t="array" ref="AS319">IF(ISNUMBER(AC319),INDEX('All Player Data Store'!$Q$8:$Q$594,SMALL(IF('All Player Data Store'!$Y$7:$Y$594=AC319,ROW('All Player Data Store'!$Y$7:$Y$594)-ROW('All Player Data Store'!$Y$7)+1),COUNTIF($AC$8:AC319,AC319))),"")</f>
        <v/>
      </c>
      <c r="AT319" s="108" t="str">
        <f t="shared" si="26"/>
        <v/>
      </c>
      <c r="AU319" s="108" t="str">
        <f t="array" ref="AU319">IF(ISNUMBER(AC319),INDEX('All Player Data Store'!$R$8:$R$594,SMALL(IF('All Player Data Store'!$Y$7:$Y$594=AC319,ROW('All Player Data Store'!$Y$7:$Y$594)-ROW('All Player Data Store'!$Y$7)+1),COUNTIF($AC$8:AC319,AC319))),"")</f>
        <v/>
      </c>
      <c r="AV319" s="108" t="str">
        <f t="shared" si="27"/>
        <v/>
      </c>
      <c r="AW319" s="108" t="str">
        <f t="array" ref="AW319">IF(ISNUMBER(AC319),INDEX('All Player Data Store'!$S$8:$S$594,SMALL(IF('All Player Data Store'!$Y$7:$Y$594=AC319,ROW('All Player Data Store'!$Y$7:$Y$594)-ROW('All Player Data Store'!$Y$7)+1),COUNTIF($AC$8:AC319,AC319))),"")</f>
        <v/>
      </c>
      <c r="AX319" s="108" t="str">
        <f t="shared" si="28"/>
        <v/>
      </c>
      <c r="AY319" s="108" t="str">
        <f t="array" ref="AY319">IF(ISNUMBER(AC319),INDEX('All Player Data Store'!$T$8:$T$594,SMALL(IF('All Player Data Store'!$Y$7:$Y$594=AC319,ROW('All Player Data Store'!$Y$7:$Y$594)-ROW('All Player Data Store'!$Y$7)+1),COUNTIF($AC$8:AC319,AC319))),"")</f>
        <v/>
      </c>
      <c r="AZ319" s="108" t="str">
        <f t="shared" si="29"/>
        <v/>
      </c>
      <c r="BA319" s="108" t="str">
        <f t="array" ref="BA319">IF(ISNUMBER(AC319),INDEX('All Player Data Store'!$U$8:$U$594,SMALL(IF('All Player Data Store'!$Y$7:$Y$594=AC319,ROW('All Player Data Store'!$Y$7:$Y$594)-ROW('All Player Data Store'!$Y$7)+1),COUNTIF($AC$8:AC319,AC319))),"")</f>
        <v/>
      </c>
      <c r="BB319" s="108" t="str">
        <f t="shared" si="30"/>
        <v/>
      </c>
      <c r="BC319" s="108" t="str">
        <f t="array" ref="BC319">IF(ISNUMBER(AC319),INDEX('All Player Data Store'!$V$8:$V$594,SMALL(IF('All Player Data Store'!$Y$7:$Y$594=AC319,ROW('All Player Data Store'!$Y$7:$Y$594)-ROW('All Player Data Store'!$Y$7)+1),COUNTIF($AC$8:AC319,AC319))),"")</f>
        <v/>
      </c>
      <c r="BD319" s="108" t="str">
        <f t="shared" si="31"/>
        <v/>
      </c>
      <c r="BE319" s="1"/>
    </row>
    <row r="320" spans="2:57" ht="12" customHeight="1" x14ac:dyDescent="0.2">
      <c r="B320" s="118" t="str">
        <f t="shared" si="17"/>
        <v/>
      </c>
      <c r="C320" s="1"/>
      <c r="D320" s="68" t="str">
        <f t="shared" si="18"/>
        <v/>
      </c>
      <c r="E320" s="2"/>
      <c r="F320" s="78">
        <v>313</v>
      </c>
      <c r="G320" s="110" t="str">
        <f t="array" ref="G320">IF(ISNUMBER(AC320),INDEX('All Player Data Store'!$C$7:$C$594,SMALL(IF('All Player Data Store'!$Y$7:$Y$594=AC320,ROW('All Player Data Store'!$Y$7:$Y$594)-ROW('All Player Data Store'!$Y$7)+1),COUNTIF($AC$8:AC320,AC320))),"")</f>
        <v/>
      </c>
      <c r="H320" s="68" t="str">
        <f t="array" ref="H320">IF(ISNUMBER(AC320),INDEX('All Player Data Store'!$D$7:$D$594,SMALL(IF('All Player Data Store'!$Y$7:$Y$594=AC320,ROW('All Player Data Store'!$Y$7:$Y$594)-ROW('All Player Data Store'!$Y$7)+1),COUNTIF($AC$8:AC320,AC320))),"")</f>
        <v/>
      </c>
      <c r="I320" s="69" t="str">
        <f t="array" ref="I320">IF(ISNUMBER(AC320),INDEX('All Player Data Store'!$E$7:$E$594,SMALL(IF('All Player Data Store'!$Y$7:$Y$594=AC320,ROW('All Player Data Store'!$Y$7:$Y$594)-ROW('All Player Data Store'!$Y$7)+1),COUNTIF($AC$8:AC320,AC320))),"")</f>
        <v/>
      </c>
      <c r="J320" s="70" t="str">
        <f t="array" ref="J320">IF(ISNUMBER(AC320),INDEX('All Player Data Store'!$F$7:$F$594,SMALL(IF('All Player Data Store'!$Y$7:$Y$594=AC320,ROW('All Player Data Store'!$Y$7:$Y$594)-ROW('All Player Data Store'!$Y$7)+1),COUNTIF($AC$8:AC320,AC320))),"")</f>
        <v/>
      </c>
      <c r="K320" s="70" t="str">
        <f t="array" ref="K320">IF(ISNUMBER(AC320),INDEX('All Player Data Store'!$G$7:$G$594,SMALL(IF('All Player Data Store'!$Y$7:$Y$594=AC320,ROW('All Player Data Store'!$Y$7:$Y$594)-ROW('All Player Data Store'!$Y$7)+1),COUNTIF($AC$8:AC320,AC320))),"")</f>
        <v/>
      </c>
      <c r="L320" s="70" t="str">
        <f t="array" ref="L320">IF(ISNUMBER(AC320),INDEX('All Player Data Store'!$H$7:$H$594,SMALL(IF('All Player Data Store'!$Y$7:$Y$594=AC320,ROW('All Player Data Store'!$Y$7:$Y$594)-ROW('All Player Data Store'!$Y$7)+1),COUNTIF($AC$8:AC320,AC320))),"")</f>
        <v/>
      </c>
      <c r="M320" s="72" t="str">
        <f t="array" ref="M320">IF(ISNUMBER(AC320),INDEX('All Player Data Store'!$I$7:$I$594,SMALL(IF('All Player Data Store'!$Y$7:$Y$594=AC320,ROW('All Player Data Store'!$Y$7:$Y$594)-ROW('All Player Data Store'!$Y$7)+1),COUNTIF($AC$8:AC320,AC320))),"")</f>
        <v/>
      </c>
      <c r="N320" s="114" t="str">
        <f t="array" ref="N320">IF(ISNUMBER(AC320),INDEX('All Player Data Store'!$J$7:$J$594,SMALL(IF('All Player Data Store'!$Y$7:$Y$594=AC320,ROW('All Player Data Store'!$Y$7:$Y$594)-ROW('All Player Data Store'!$Y$7)+1),COUNTIF($AC$8:AC320,AC320))),"")</f>
        <v/>
      </c>
      <c r="O320" s="108" t="str">
        <f t="array" ref="O320">IF(ISNUMBER(AC320),INDEX('All Player Data Store'!$K$7:$K$594,SMALL(IF('All Player Data Store'!$Y$7:$Y$594=AC320,ROW('All Player Data Store'!$Y$7:$Y$594)-ROW('All Player Data Store'!$Y$7)+1),COUNTIF($AC$8:AC320,AC320))),"")</f>
        <v/>
      </c>
      <c r="P320" s="108" t="str">
        <f t="array" ref="P320">IF(ISNUMBER(AC320),INDEX('All Player Data Store'!$L$7:$L$594,SMALL(IF('All Player Data Store'!$Y$7:$Y$594=AC320,ROW('All Player Data Store'!$Y$7:$Y$594)-ROW('All Player Data Store'!$Y$7)+1),COUNTIF($AC$8:AC320,AC320))),"")</f>
        <v/>
      </c>
      <c r="Q320" s="108" t="str">
        <f t="array" ref="Q320">IF(ISNUMBER(AC320),INDEX('All Player Data Store'!$M$7:$M$594,SMALL(IF('All Player Data Store'!$Y$7:$Y$594=AC320,ROW('All Player Data Store'!$Y$7:$Y$594)-ROW('All Player Data Store'!$Y$7)+1),COUNTIF($AC$8:AC320,AC320))),"")</f>
        <v/>
      </c>
      <c r="R320" s="108" t="str">
        <f t="array" ref="R320">IF(ISNUMBER(AC320),INDEX('All Player Data Store'!$N$7:$N$594,SMALL(IF('All Player Data Store'!$Y$7:$Y$594=AC320,ROW('All Player Data Store'!$Y$7:$Y$594)-ROW('All Player Data Store'!$Y$7)+1),COUNTIF($AC$8:AC320,AC320))),"")</f>
        <v/>
      </c>
      <c r="S320" s="108" t="str">
        <f t="array" ref="S320">IF(ISNUMBER(AC320),INDEX('All Player Data Store'!$O$7:$O$594,SMALL(IF('All Player Data Store'!$Y$7:$Y$594=AC320,ROW('All Player Data Store'!$Y$7:$Y$594)-ROW('All Player Data Store'!$Y$7)+1),COUNTIF($AC$8:AC320,AC320))),"")</f>
        <v/>
      </c>
      <c r="T320" s="108" t="str">
        <f t="array" ref="T320">IF(ISNUMBER(AC320),INDEX('All Player Data Store'!$P$7:$P$594,SMALL(IF('All Player Data Store'!$Y$7:$Y$594=AC320,ROW('All Player Data Store'!$Y$7:$Y$594)-ROW('All Player Data Store'!$Y$7)+1),COUNTIF($AC$8:AC320,AC320))),"")</f>
        <v/>
      </c>
      <c r="U320" s="108" t="str">
        <f t="array" ref="U320">IF(ISNUMBER(AC320),INDEX('All Player Data Store'!$Q$7:$Q$594,SMALL(IF('All Player Data Store'!$Y$7:$Y$594=AC320,ROW('All Player Data Store'!$Y$7:$Y$594)-ROW('All Player Data Store'!$Y$7)+1),COUNTIF($AC$8:AC320,AC320))),"")</f>
        <v/>
      </c>
      <c r="V320" s="108" t="str">
        <f t="array" ref="V320">IF(ISNUMBER(AC320),INDEX('All Player Data Store'!$R$7:$R$594,SMALL(IF('All Player Data Store'!$Y$7:$Y$594=AC320,ROW('All Player Data Store'!$Y$7:$Y$594)-ROW('All Player Data Store'!$Y$7)+1),COUNTIF($AC$8:AC320,AC320))),"")</f>
        <v/>
      </c>
      <c r="W320" s="108" t="str">
        <f t="array" ref="W320">IF(ISNUMBER(AC320),INDEX('All Player Data Store'!$S$7:$S$594,SMALL(IF('All Player Data Store'!$Y$7:$Y$594=AC320,ROW('All Player Data Store'!$Y$7:$Y$594)-ROW('All Player Data Store'!$Y$7)+1),COUNTIF($AC$8:AC320,AC320))),"")</f>
        <v/>
      </c>
      <c r="X320" s="108" t="str">
        <f t="array" ref="X320">IF(ISNUMBER(AC320),INDEX('All Player Data Store'!$T$7:$T$594,SMALL(IF('All Player Data Store'!$Y$7:$Y$594=AC320,ROW('All Player Data Store'!$Y$7:$Y$594)-ROW('All Player Data Store'!$Y$7)+1),COUNTIF($AC$8:AC320,AC320))),"")</f>
        <v/>
      </c>
      <c r="Y320" s="108" t="str">
        <f t="array" ref="Y320">IF(ISNUMBER(AC320),INDEX('All Player Data Store'!$U$7:$U$594,SMALL(IF('All Player Data Store'!$Y$7:$Y$594=AC320,ROW('All Player Data Store'!$Y$7:$Y$594)-ROW('All Player Data Store'!$Y$7)+1),COUNTIF($AC$8:AC320,AC320))),"")</f>
        <v/>
      </c>
      <c r="Z320" s="108" t="str">
        <f t="array" ref="Z320">IF(ISNUMBER(AC320),INDEX('All Player Data Store'!$V$7:$V$594,SMALL(IF('All Player Data Store'!$Y$7:$Y$594=AC320,ROW('All Player Data Store'!$Y$7:$Y$594)-ROW('All Player Data Store'!$Y$7)+1),COUNTIF($AC$8:AC320,AC320))),"")</f>
        <v/>
      </c>
      <c r="AA320" s="112" t="str">
        <f t="array" ref="AA320">IF(ISNUMBER(AC320),INDEX('All Player Data Store'!$W$7:$W$594,SMALL(IF('All Player Data Store'!$Y$7:$Y$594=AC320,ROW('All Player Data Store'!$Y$7:$Y$594)-ROW('All Player Data Store'!$Y$7)+1),COUNTIF($AC$8:AC320,AC320))),"")</f>
        <v/>
      </c>
      <c r="AB320" s="108" t="str">
        <f t="array" ref="AB320">IF(ISNUMBER(AC320),INDEX('All Player Data Store'!$X$7:$X$594,SMALL(IF('All Player Data Store'!$Y$7:$Y$594=AC320,ROW('All Player Data Store'!$Y$7:$Y$594)-ROW('All Player Data Store'!$Y$7)+1),COUNTIF($AC$8:AC320,AC320))),"")</f>
        <v/>
      </c>
      <c r="AC320" s="115" t="str">
        <f>IF(ISERROR(IF(ISERROR(LARGE('All Player Data Store'!$Y$7:$Y$594,313)),"",(LARGE('All Player Data Store'!$Y$7:$Y$594,313)))),"",(IF(ISERROR(LARGE('All Player Data Store'!$Y$7:$Y$594,313)),"",(LARGE('All Player Data Store'!$Y$7:$Y$594,313)))))</f>
        <v/>
      </c>
      <c r="AD320" s="106">
        <f t="shared" si="16"/>
        <v>1</v>
      </c>
      <c r="AE320" s="107" t="str">
        <f t="array" ref="AE320">IF(ISNUMBER(AC320),INDEX('All Player Data Store'!$J$8:$J$594,SMALL(IF('All Player Data Store'!$Y$7:$Y$594=AC320,ROW('All Player Data Store'!$Y$7:$Y$594)-ROW('All Player Data Store'!$Y$7)+1),COUNTIF($AC$8:AC320,AC320))),"")</f>
        <v/>
      </c>
      <c r="AF320" s="108" t="str">
        <f t="shared" si="19"/>
        <v/>
      </c>
      <c r="AG320" s="108" t="str">
        <f t="array" ref="AG320">IF(ISNUMBER(AC320),INDEX('All Player Data Store'!$K$8:$K$594,SMALL(IF('All Player Data Store'!$Y$7:$Y$594=AC320,ROW('All Player Data Store'!$Y$7:$Y$594)-ROW('All Player Data Store'!$Y$7)+1),COUNTIF($AC$8:AC320,AC320))),"")</f>
        <v/>
      </c>
      <c r="AH320" s="108" t="str">
        <f t="shared" si="20"/>
        <v/>
      </c>
      <c r="AI320" s="108" t="str">
        <f t="array" ref="AI320">IF(ISNUMBER(AC320),INDEX('All Player Data Store'!$L$8:$L$594,SMALL(IF('All Player Data Store'!$Y$7:$Y$594=AC320,ROW('All Player Data Store'!$Y$7:$Y$594)-ROW('All Player Data Store'!$Y$7)+1),COUNTIF($AC$8:AC320,AC320))),"")</f>
        <v/>
      </c>
      <c r="AJ320" s="108" t="str">
        <f t="shared" si="21"/>
        <v/>
      </c>
      <c r="AK320" s="108" t="str">
        <f t="array" ref="AK320">IF(ISNUMBER(AC320),INDEX('All Player Data Store'!$M$8:$M$594,SMALL(IF('All Player Data Store'!$Y$7:$Y$594=AC320,ROW('All Player Data Store'!$Y$7:$Y$594)-ROW('All Player Data Store'!$Y$7)+1),COUNTIF($AC$8:AC320,AC320))),"")</f>
        <v/>
      </c>
      <c r="AL320" s="108" t="str">
        <f t="shared" si="22"/>
        <v/>
      </c>
      <c r="AM320" s="108" t="str">
        <f t="array" ref="AM320">IF(ISNUMBER(AC320),INDEX('All Player Data Store'!$N$8:$N$594,SMALL(IF('All Player Data Store'!$Y$7:$Y$594=AC320,ROW('All Player Data Store'!$Y$7:$Y$594)-ROW('All Player Data Store'!$Y$7)+1),COUNTIF($AC$8:AC320,AC320))),"")</f>
        <v/>
      </c>
      <c r="AN320" s="108" t="str">
        <f t="shared" si="23"/>
        <v/>
      </c>
      <c r="AO320" s="108" t="str">
        <f t="array" ref="AO320">IF(ISNUMBER(AC320),INDEX('All Player Data Store'!$O$8:$O$594,SMALL(IF('All Player Data Store'!$Y$7:$Y$594=AC320,ROW('All Player Data Store'!$Y$7:$Y$594)-ROW('All Player Data Store'!$Y$7)+1),COUNTIF($AC$8:AC320,AC320))),"")</f>
        <v/>
      </c>
      <c r="AP320" s="108" t="str">
        <f t="shared" si="24"/>
        <v/>
      </c>
      <c r="AQ320" s="108" t="str">
        <f t="array" ref="AQ320">IF(ISNUMBER(AC320),INDEX('All Player Data Store'!$P$8:$P$594,SMALL(IF('All Player Data Store'!$Y$7:$Y$594=AC320,ROW('All Player Data Store'!$Y$7:$Y$594)-ROW('All Player Data Store'!$Y$7)+1),COUNTIF($AC$8:AC320,AC320))),"")</f>
        <v/>
      </c>
      <c r="AR320" s="108" t="str">
        <f t="shared" si="25"/>
        <v/>
      </c>
      <c r="AS320" s="108" t="str">
        <f t="array" ref="AS320">IF(ISNUMBER(AC320),INDEX('All Player Data Store'!$Q$8:$Q$594,SMALL(IF('All Player Data Store'!$Y$7:$Y$594=AC320,ROW('All Player Data Store'!$Y$7:$Y$594)-ROW('All Player Data Store'!$Y$7)+1),COUNTIF($AC$8:AC320,AC320))),"")</f>
        <v/>
      </c>
      <c r="AT320" s="108" t="str">
        <f t="shared" si="26"/>
        <v/>
      </c>
      <c r="AU320" s="108" t="str">
        <f t="array" ref="AU320">IF(ISNUMBER(AC320),INDEX('All Player Data Store'!$R$8:$R$594,SMALL(IF('All Player Data Store'!$Y$7:$Y$594=AC320,ROW('All Player Data Store'!$Y$7:$Y$594)-ROW('All Player Data Store'!$Y$7)+1),COUNTIF($AC$8:AC320,AC320))),"")</f>
        <v/>
      </c>
      <c r="AV320" s="108" t="str">
        <f t="shared" si="27"/>
        <v/>
      </c>
      <c r="AW320" s="108" t="str">
        <f t="array" ref="AW320">IF(ISNUMBER(AC320),INDEX('All Player Data Store'!$S$8:$S$594,SMALL(IF('All Player Data Store'!$Y$7:$Y$594=AC320,ROW('All Player Data Store'!$Y$7:$Y$594)-ROW('All Player Data Store'!$Y$7)+1),COUNTIF($AC$8:AC320,AC320))),"")</f>
        <v/>
      </c>
      <c r="AX320" s="108" t="str">
        <f t="shared" si="28"/>
        <v/>
      </c>
      <c r="AY320" s="108" t="str">
        <f t="array" ref="AY320">IF(ISNUMBER(AC320),INDEX('All Player Data Store'!$T$8:$T$594,SMALL(IF('All Player Data Store'!$Y$7:$Y$594=AC320,ROW('All Player Data Store'!$Y$7:$Y$594)-ROW('All Player Data Store'!$Y$7)+1),COUNTIF($AC$8:AC320,AC320))),"")</f>
        <v/>
      </c>
      <c r="AZ320" s="108" t="str">
        <f t="shared" si="29"/>
        <v/>
      </c>
      <c r="BA320" s="108" t="str">
        <f t="array" ref="BA320">IF(ISNUMBER(AC320),INDEX('All Player Data Store'!$U$8:$U$594,SMALL(IF('All Player Data Store'!$Y$7:$Y$594=AC320,ROW('All Player Data Store'!$Y$7:$Y$594)-ROW('All Player Data Store'!$Y$7)+1),COUNTIF($AC$8:AC320,AC320))),"")</f>
        <v/>
      </c>
      <c r="BB320" s="108" t="str">
        <f t="shared" si="30"/>
        <v/>
      </c>
      <c r="BC320" s="108" t="str">
        <f t="array" ref="BC320">IF(ISNUMBER(AC320),INDEX('All Player Data Store'!$V$8:$V$594,SMALL(IF('All Player Data Store'!$Y$7:$Y$594=AC320,ROW('All Player Data Store'!$Y$7:$Y$594)-ROW('All Player Data Store'!$Y$7)+1),COUNTIF($AC$8:AC320,AC320))),"")</f>
        <v/>
      </c>
      <c r="BD320" s="108" t="str">
        <f t="shared" si="31"/>
        <v/>
      </c>
      <c r="BE320" s="1"/>
    </row>
    <row r="321" spans="2:57" ht="12" customHeight="1" x14ac:dyDescent="0.2">
      <c r="B321" s="118" t="str">
        <f t="shared" si="17"/>
        <v/>
      </c>
      <c r="C321" s="1"/>
      <c r="D321" s="68" t="str">
        <f t="shared" si="18"/>
        <v/>
      </c>
      <c r="E321" s="2"/>
      <c r="F321" s="78">
        <v>314</v>
      </c>
      <c r="G321" s="110" t="str">
        <f t="array" ref="G321">IF(ISNUMBER(AC321),INDEX('All Player Data Store'!$C$7:$C$594,SMALL(IF('All Player Data Store'!$Y$7:$Y$594=AC321,ROW('All Player Data Store'!$Y$7:$Y$594)-ROW('All Player Data Store'!$Y$7)+1),COUNTIF($AC$8:AC321,AC321))),"")</f>
        <v/>
      </c>
      <c r="H321" s="68" t="str">
        <f t="array" ref="H321">IF(ISNUMBER(AC321),INDEX('All Player Data Store'!$D$7:$D$594,SMALL(IF('All Player Data Store'!$Y$7:$Y$594=AC321,ROW('All Player Data Store'!$Y$7:$Y$594)-ROW('All Player Data Store'!$Y$7)+1),COUNTIF($AC$8:AC321,AC321))),"")</f>
        <v/>
      </c>
      <c r="I321" s="69" t="str">
        <f t="array" ref="I321">IF(ISNUMBER(AC321),INDEX('All Player Data Store'!$E$7:$E$594,SMALL(IF('All Player Data Store'!$Y$7:$Y$594=AC321,ROW('All Player Data Store'!$Y$7:$Y$594)-ROW('All Player Data Store'!$Y$7)+1),COUNTIF($AC$8:AC321,AC321))),"")</f>
        <v/>
      </c>
      <c r="J321" s="70" t="str">
        <f t="array" ref="J321">IF(ISNUMBER(AC321),INDEX('All Player Data Store'!$F$7:$F$594,SMALL(IF('All Player Data Store'!$Y$7:$Y$594=AC321,ROW('All Player Data Store'!$Y$7:$Y$594)-ROW('All Player Data Store'!$Y$7)+1),COUNTIF($AC$8:AC321,AC321))),"")</f>
        <v/>
      </c>
      <c r="K321" s="70" t="str">
        <f t="array" ref="K321">IF(ISNUMBER(AC321),INDEX('All Player Data Store'!$G$7:$G$594,SMALL(IF('All Player Data Store'!$Y$7:$Y$594=AC321,ROW('All Player Data Store'!$Y$7:$Y$594)-ROW('All Player Data Store'!$Y$7)+1),COUNTIF($AC$8:AC321,AC321))),"")</f>
        <v/>
      </c>
      <c r="L321" s="70" t="str">
        <f t="array" ref="L321">IF(ISNUMBER(AC321),INDEX('All Player Data Store'!$H$7:$H$594,SMALL(IF('All Player Data Store'!$Y$7:$Y$594=AC321,ROW('All Player Data Store'!$Y$7:$Y$594)-ROW('All Player Data Store'!$Y$7)+1),COUNTIF($AC$8:AC321,AC321))),"")</f>
        <v/>
      </c>
      <c r="M321" s="72" t="str">
        <f t="array" ref="M321">IF(ISNUMBER(AC321),INDEX('All Player Data Store'!$I$7:$I$594,SMALL(IF('All Player Data Store'!$Y$7:$Y$594=AC321,ROW('All Player Data Store'!$Y$7:$Y$594)-ROW('All Player Data Store'!$Y$7)+1),COUNTIF($AC$8:AC321,AC321))),"")</f>
        <v/>
      </c>
      <c r="N321" s="114" t="str">
        <f t="array" ref="N321">IF(ISNUMBER(AC321),INDEX('All Player Data Store'!$J$7:$J$594,SMALL(IF('All Player Data Store'!$Y$7:$Y$594=AC321,ROW('All Player Data Store'!$Y$7:$Y$594)-ROW('All Player Data Store'!$Y$7)+1),COUNTIF($AC$8:AC321,AC321))),"")</f>
        <v/>
      </c>
      <c r="O321" s="108" t="str">
        <f t="array" ref="O321">IF(ISNUMBER(AC321),INDEX('All Player Data Store'!$K$7:$K$594,SMALL(IF('All Player Data Store'!$Y$7:$Y$594=AC321,ROW('All Player Data Store'!$Y$7:$Y$594)-ROW('All Player Data Store'!$Y$7)+1),COUNTIF($AC$8:AC321,AC321))),"")</f>
        <v/>
      </c>
      <c r="P321" s="108" t="str">
        <f t="array" ref="P321">IF(ISNUMBER(AC321),INDEX('All Player Data Store'!$L$7:$L$594,SMALL(IF('All Player Data Store'!$Y$7:$Y$594=AC321,ROW('All Player Data Store'!$Y$7:$Y$594)-ROW('All Player Data Store'!$Y$7)+1),COUNTIF($AC$8:AC321,AC321))),"")</f>
        <v/>
      </c>
      <c r="Q321" s="108" t="str">
        <f t="array" ref="Q321">IF(ISNUMBER(AC321),INDEX('All Player Data Store'!$M$7:$M$594,SMALL(IF('All Player Data Store'!$Y$7:$Y$594=AC321,ROW('All Player Data Store'!$Y$7:$Y$594)-ROW('All Player Data Store'!$Y$7)+1),COUNTIF($AC$8:AC321,AC321))),"")</f>
        <v/>
      </c>
      <c r="R321" s="108" t="str">
        <f t="array" ref="R321">IF(ISNUMBER(AC321),INDEX('All Player Data Store'!$N$7:$N$594,SMALL(IF('All Player Data Store'!$Y$7:$Y$594=AC321,ROW('All Player Data Store'!$Y$7:$Y$594)-ROW('All Player Data Store'!$Y$7)+1),COUNTIF($AC$8:AC321,AC321))),"")</f>
        <v/>
      </c>
      <c r="S321" s="108" t="str">
        <f t="array" ref="S321">IF(ISNUMBER(AC321),INDEX('All Player Data Store'!$O$7:$O$594,SMALL(IF('All Player Data Store'!$Y$7:$Y$594=AC321,ROW('All Player Data Store'!$Y$7:$Y$594)-ROW('All Player Data Store'!$Y$7)+1),COUNTIF($AC$8:AC321,AC321))),"")</f>
        <v/>
      </c>
      <c r="T321" s="108" t="str">
        <f t="array" ref="T321">IF(ISNUMBER(AC321),INDEX('All Player Data Store'!$P$7:$P$594,SMALL(IF('All Player Data Store'!$Y$7:$Y$594=AC321,ROW('All Player Data Store'!$Y$7:$Y$594)-ROW('All Player Data Store'!$Y$7)+1),COUNTIF($AC$8:AC321,AC321))),"")</f>
        <v/>
      </c>
      <c r="U321" s="108" t="str">
        <f t="array" ref="U321">IF(ISNUMBER(AC321),INDEX('All Player Data Store'!$Q$7:$Q$594,SMALL(IF('All Player Data Store'!$Y$7:$Y$594=AC321,ROW('All Player Data Store'!$Y$7:$Y$594)-ROW('All Player Data Store'!$Y$7)+1),COUNTIF($AC$8:AC321,AC321))),"")</f>
        <v/>
      </c>
      <c r="V321" s="108" t="str">
        <f t="array" ref="V321">IF(ISNUMBER(AC321),INDEX('All Player Data Store'!$R$7:$R$594,SMALL(IF('All Player Data Store'!$Y$7:$Y$594=AC321,ROW('All Player Data Store'!$Y$7:$Y$594)-ROW('All Player Data Store'!$Y$7)+1),COUNTIF($AC$8:AC321,AC321))),"")</f>
        <v/>
      </c>
      <c r="W321" s="108" t="str">
        <f t="array" ref="W321">IF(ISNUMBER(AC321),INDEX('All Player Data Store'!$S$7:$S$594,SMALL(IF('All Player Data Store'!$Y$7:$Y$594=AC321,ROW('All Player Data Store'!$Y$7:$Y$594)-ROW('All Player Data Store'!$Y$7)+1),COUNTIF($AC$8:AC321,AC321))),"")</f>
        <v/>
      </c>
      <c r="X321" s="108" t="str">
        <f t="array" ref="X321">IF(ISNUMBER(AC321),INDEX('All Player Data Store'!$T$7:$T$594,SMALL(IF('All Player Data Store'!$Y$7:$Y$594=AC321,ROW('All Player Data Store'!$Y$7:$Y$594)-ROW('All Player Data Store'!$Y$7)+1),COUNTIF($AC$8:AC321,AC321))),"")</f>
        <v/>
      </c>
      <c r="Y321" s="108" t="str">
        <f t="array" ref="Y321">IF(ISNUMBER(AC321),INDEX('All Player Data Store'!$U$7:$U$594,SMALL(IF('All Player Data Store'!$Y$7:$Y$594=AC321,ROW('All Player Data Store'!$Y$7:$Y$594)-ROW('All Player Data Store'!$Y$7)+1),COUNTIF($AC$8:AC321,AC321))),"")</f>
        <v/>
      </c>
      <c r="Z321" s="108" t="str">
        <f t="array" ref="Z321">IF(ISNUMBER(AC321),INDEX('All Player Data Store'!$V$7:$V$594,SMALL(IF('All Player Data Store'!$Y$7:$Y$594=AC321,ROW('All Player Data Store'!$Y$7:$Y$594)-ROW('All Player Data Store'!$Y$7)+1),COUNTIF($AC$8:AC321,AC321))),"")</f>
        <v/>
      </c>
      <c r="AA321" s="112" t="str">
        <f t="array" ref="AA321">IF(ISNUMBER(AC321),INDEX('All Player Data Store'!$W$7:$W$594,SMALL(IF('All Player Data Store'!$Y$7:$Y$594=AC321,ROW('All Player Data Store'!$Y$7:$Y$594)-ROW('All Player Data Store'!$Y$7)+1),COUNTIF($AC$8:AC321,AC321))),"")</f>
        <v/>
      </c>
      <c r="AB321" s="108" t="str">
        <f t="array" ref="AB321">IF(ISNUMBER(AC321),INDEX('All Player Data Store'!$X$7:$X$594,SMALL(IF('All Player Data Store'!$Y$7:$Y$594=AC321,ROW('All Player Data Store'!$Y$7:$Y$594)-ROW('All Player Data Store'!$Y$7)+1),COUNTIF($AC$8:AC321,AC321))),"")</f>
        <v/>
      </c>
      <c r="AC321" s="115" t="str">
        <f>IF(ISERROR(IF(ISERROR(LARGE('All Player Data Store'!$Y$7:$Y$594,314)),"",(LARGE('All Player Data Store'!$Y$7:$Y$594,314)))),"",(IF(ISERROR(LARGE('All Player Data Store'!$Y$7:$Y$594,314)),"",(LARGE('All Player Data Store'!$Y$7:$Y$594,314)))))</f>
        <v/>
      </c>
      <c r="AD321" s="106">
        <f t="shared" si="16"/>
        <v>1</v>
      </c>
      <c r="AE321" s="107" t="str">
        <f t="array" ref="AE321">IF(ISNUMBER(AC321),INDEX('All Player Data Store'!$J$8:$J$594,SMALL(IF('All Player Data Store'!$Y$7:$Y$594=AC321,ROW('All Player Data Store'!$Y$7:$Y$594)-ROW('All Player Data Store'!$Y$7)+1),COUNTIF($AC$8:AC321,AC321))),"")</f>
        <v/>
      </c>
      <c r="AF321" s="108" t="str">
        <f t="shared" si="19"/>
        <v/>
      </c>
      <c r="AG321" s="108" t="str">
        <f t="array" ref="AG321">IF(ISNUMBER(AC321),INDEX('All Player Data Store'!$K$8:$K$594,SMALL(IF('All Player Data Store'!$Y$7:$Y$594=AC321,ROW('All Player Data Store'!$Y$7:$Y$594)-ROW('All Player Data Store'!$Y$7)+1),COUNTIF($AC$8:AC321,AC321))),"")</f>
        <v/>
      </c>
      <c r="AH321" s="108" t="str">
        <f t="shared" si="20"/>
        <v/>
      </c>
      <c r="AI321" s="108" t="str">
        <f t="array" ref="AI321">IF(ISNUMBER(AC321),INDEX('All Player Data Store'!$L$8:$L$594,SMALL(IF('All Player Data Store'!$Y$7:$Y$594=AC321,ROW('All Player Data Store'!$Y$7:$Y$594)-ROW('All Player Data Store'!$Y$7)+1),COUNTIF($AC$8:AC321,AC321))),"")</f>
        <v/>
      </c>
      <c r="AJ321" s="108" t="str">
        <f t="shared" si="21"/>
        <v/>
      </c>
      <c r="AK321" s="108" t="str">
        <f t="array" ref="AK321">IF(ISNUMBER(AC321),INDEX('All Player Data Store'!$M$8:$M$594,SMALL(IF('All Player Data Store'!$Y$7:$Y$594=AC321,ROW('All Player Data Store'!$Y$7:$Y$594)-ROW('All Player Data Store'!$Y$7)+1),COUNTIF($AC$8:AC321,AC321))),"")</f>
        <v/>
      </c>
      <c r="AL321" s="108" t="str">
        <f t="shared" si="22"/>
        <v/>
      </c>
      <c r="AM321" s="108" t="str">
        <f t="array" ref="AM321">IF(ISNUMBER(AC321),INDEX('All Player Data Store'!$N$8:$N$594,SMALL(IF('All Player Data Store'!$Y$7:$Y$594=AC321,ROW('All Player Data Store'!$Y$7:$Y$594)-ROW('All Player Data Store'!$Y$7)+1),COUNTIF($AC$8:AC321,AC321))),"")</f>
        <v/>
      </c>
      <c r="AN321" s="108" t="str">
        <f t="shared" si="23"/>
        <v/>
      </c>
      <c r="AO321" s="108" t="str">
        <f t="array" ref="AO321">IF(ISNUMBER(AC321),INDEX('All Player Data Store'!$O$8:$O$594,SMALL(IF('All Player Data Store'!$Y$7:$Y$594=AC321,ROW('All Player Data Store'!$Y$7:$Y$594)-ROW('All Player Data Store'!$Y$7)+1),COUNTIF($AC$8:AC321,AC321))),"")</f>
        <v/>
      </c>
      <c r="AP321" s="108" t="str">
        <f t="shared" si="24"/>
        <v/>
      </c>
      <c r="AQ321" s="108" t="str">
        <f t="array" ref="AQ321">IF(ISNUMBER(AC321),INDEX('All Player Data Store'!$P$8:$P$594,SMALL(IF('All Player Data Store'!$Y$7:$Y$594=AC321,ROW('All Player Data Store'!$Y$7:$Y$594)-ROW('All Player Data Store'!$Y$7)+1),COUNTIF($AC$8:AC321,AC321))),"")</f>
        <v/>
      </c>
      <c r="AR321" s="108" t="str">
        <f t="shared" si="25"/>
        <v/>
      </c>
      <c r="AS321" s="108" t="str">
        <f t="array" ref="AS321">IF(ISNUMBER(AC321),INDEX('All Player Data Store'!$Q$8:$Q$594,SMALL(IF('All Player Data Store'!$Y$7:$Y$594=AC321,ROW('All Player Data Store'!$Y$7:$Y$594)-ROW('All Player Data Store'!$Y$7)+1),COUNTIF($AC$8:AC321,AC321))),"")</f>
        <v/>
      </c>
      <c r="AT321" s="108" t="str">
        <f t="shared" si="26"/>
        <v/>
      </c>
      <c r="AU321" s="108" t="str">
        <f t="array" ref="AU321">IF(ISNUMBER(AC321),INDEX('All Player Data Store'!$R$8:$R$594,SMALL(IF('All Player Data Store'!$Y$7:$Y$594=AC321,ROW('All Player Data Store'!$Y$7:$Y$594)-ROW('All Player Data Store'!$Y$7)+1),COUNTIF($AC$8:AC321,AC321))),"")</f>
        <v/>
      </c>
      <c r="AV321" s="108" t="str">
        <f t="shared" si="27"/>
        <v/>
      </c>
      <c r="AW321" s="108" t="str">
        <f t="array" ref="AW321">IF(ISNUMBER(AC321),INDEX('All Player Data Store'!$S$8:$S$594,SMALL(IF('All Player Data Store'!$Y$7:$Y$594=AC321,ROW('All Player Data Store'!$Y$7:$Y$594)-ROW('All Player Data Store'!$Y$7)+1),COUNTIF($AC$8:AC321,AC321))),"")</f>
        <v/>
      </c>
      <c r="AX321" s="108" t="str">
        <f t="shared" si="28"/>
        <v/>
      </c>
      <c r="AY321" s="108" t="str">
        <f t="array" ref="AY321">IF(ISNUMBER(AC321),INDEX('All Player Data Store'!$T$8:$T$594,SMALL(IF('All Player Data Store'!$Y$7:$Y$594=AC321,ROW('All Player Data Store'!$Y$7:$Y$594)-ROW('All Player Data Store'!$Y$7)+1),COUNTIF($AC$8:AC321,AC321))),"")</f>
        <v/>
      </c>
      <c r="AZ321" s="108" t="str">
        <f t="shared" si="29"/>
        <v/>
      </c>
      <c r="BA321" s="108" t="str">
        <f t="array" ref="BA321">IF(ISNUMBER(AC321),INDEX('All Player Data Store'!$U$8:$U$594,SMALL(IF('All Player Data Store'!$Y$7:$Y$594=AC321,ROW('All Player Data Store'!$Y$7:$Y$594)-ROW('All Player Data Store'!$Y$7)+1),COUNTIF($AC$8:AC321,AC321))),"")</f>
        <v/>
      </c>
      <c r="BB321" s="108" t="str">
        <f t="shared" si="30"/>
        <v/>
      </c>
      <c r="BC321" s="108" t="str">
        <f t="array" ref="BC321">IF(ISNUMBER(AC321),INDEX('All Player Data Store'!$V$8:$V$594,SMALL(IF('All Player Data Store'!$Y$7:$Y$594=AC321,ROW('All Player Data Store'!$Y$7:$Y$594)-ROW('All Player Data Store'!$Y$7)+1),COUNTIF($AC$8:AC321,AC321))),"")</f>
        <v/>
      </c>
      <c r="BD321" s="108" t="str">
        <f t="shared" si="31"/>
        <v/>
      </c>
      <c r="BE321" s="1"/>
    </row>
    <row r="322" spans="2:57" ht="12" customHeight="1" x14ac:dyDescent="0.2">
      <c r="B322" s="118" t="str">
        <f t="shared" si="17"/>
        <v/>
      </c>
      <c r="C322" s="1"/>
      <c r="D322" s="68" t="str">
        <f t="shared" si="18"/>
        <v/>
      </c>
      <c r="E322" s="2"/>
      <c r="F322" s="78">
        <v>315</v>
      </c>
      <c r="G322" s="110" t="str">
        <f t="array" ref="G322">IF(ISNUMBER(AC322),INDEX('All Player Data Store'!$C$7:$C$594,SMALL(IF('All Player Data Store'!$Y$7:$Y$594=AC322,ROW('All Player Data Store'!$Y$7:$Y$594)-ROW('All Player Data Store'!$Y$7)+1),COUNTIF($AC$8:AC322,AC322))),"")</f>
        <v/>
      </c>
      <c r="H322" s="68" t="str">
        <f t="array" ref="H322">IF(ISNUMBER(AC322),INDEX('All Player Data Store'!$D$7:$D$594,SMALL(IF('All Player Data Store'!$Y$7:$Y$594=AC322,ROW('All Player Data Store'!$Y$7:$Y$594)-ROW('All Player Data Store'!$Y$7)+1),COUNTIF($AC$8:AC322,AC322))),"")</f>
        <v/>
      </c>
      <c r="I322" s="69" t="str">
        <f t="array" ref="I322">IF(ISNUMBER(AC322),INDEX('All Player Data Store'!$E$7:$E$594,SMALL(IF('All Player Data Store'!$Y$7:$Y$594=AC322,ROW('All Player Data Store'!$Y$7:$Y$594)-ROW('All Player Data Store'!$Y$7)+1),COUNTIF($AC$8:AC322,AC322))),"")</f>
        <v/>
      </c>
      <c r="J322" s="70" t="str">
        <f t="array" ref="J322">IF(ISNUMBER(AC322),INDEX('All Player Data Store'!$F$7:$F$594,SMALL(IF('All Player Data Store'!$Y$7:$Y$594=AC322,ROW('All Player Data Store'!$Y$7:$Y$594)-ROW('All Player Data Store'!$Y$7)+1),COUNTIF($AC$8:AC322,AC322))),"")</f>
        <v/>
      </c>
      <c r="K322" s="70" t="str">
        <f t="array" ref="K322">IF(ISNUMBER(AC322),INDEX('All Player Data Store'!$G$7:$G$594,SMALL(IF('All Player Data Store'!$Y$7:$Y$594=AC322,ROW('All Player Data Store'!$Y$7:$Y$594)-ROW('All Player Data Store'!$Y$7)+1),COUNTIF($AC$8:AC322,AC322))),"")</f>
        <v/>
      </c>
      <c r="L322" s="70" t="str">
        <f t="array" ref="L322">IF(ISNUMBER(AC322),INDEX('All Player Data Store'!$H$7:$H$594,SMALL(IF('All Player Data Store'!$Y$7:$Y$594=AC322,ROW('All Player Data Store'!$Y$7:$Y$594)-ROW('All Player Data Store'!$Y$7)+1),COUNTIF($AC$8:AC322,AC322))),"")</f>
        <v/>
      </c>
      <c r="M322" s="72" t="str">
        <f t="array" ref="M322">IF(ISNUMBER(AC322),INDEX('All Player Data Store'!$I$7:$I$594,SMALL(IF('All Player Data Store'!$Y$7:$Y$594=AC322,ROW('All Player Data Store'!$Y$7:$Y$594)-ROW('All Player Data Store'!$Y$7)+1),COUNTIF($AC$8:AC322,AC322))),"")</f>
        <v/>
      </c>
      <c r="N322" s="114" t="str">
        <f t="array" ref="N322">IF(ISNUMBER(AC322),INDEX('All Player Data Store'!$J$7:$J$594,SMALL(IF('All Player Data Store'!$Y$7:$Y$594=AC322,ROW('All Player Data Store'!$Y$7:$Y$594)-ROW('All Player Data Store'!$Y$7)+1),COUNTIF($AC$8:AC322,AC322))),"")</f>
        <v/>
      </c>
      <c r="O322" s="108" t="str">
        <f t="array" ref="O322">IF(ISNUMBER(AC322),INDEX('All Player Data Store'!$K$7:$K$594,SMALL(IF('All Player Data Store'!$Y$7:$Y$594=AC322,ROW('All Player Data Store'!$Y$7:$Y$594)-ROW('All Player Data Store'!$Y$7)+1),COUNTIF($AC$8:AC322,AC322))),"")</f>
        <v/>
      </c>
      <c r="P322" s="108" t="str">
        <f t="array" ref="P322">IF(ISNUMBER(AC322),INDEX('All Player Data Store'!$L$7:$L$594,SMALL(IF('All Player Data Store'!$Y$7:$Y$594=AC322,ROW('All Player Data Store'!$Y$7:$Y$594)-ROW('All Player Data Store'!$Y$7)+1),COUNTIF($AC$8:AC322,AC322))),"")</f>
        <v/>
      </c>
      <c r="Q322" s="108" t="str">
        <f t="array" ref="Q322">IF(ISNUMBER(AC322),INDEX('All Player Data Store'!$M$7:$M$594,SMALL(IF('All Player Data Store'!$Y$7:$Y$594=AC322,ROW('All Player Data Store'!$Y$7:$Y$594)-ROW('All Player Data Store'!$Y$7)+1),COUNTIF($AC$8:AC322,AC322))),"")</f>
        <v/>
      </c>
      <c r="R322" s="108" t="str">
        <f t="array" ref="R322">IF(ISNUMBER(AC322),INDEX('All Player Data Store'!$N$7:$N$594,SMALL(IF('All Player Data Store'!$Y$7:$Y$594=AC322,ROW('All Player Data Store'!$Y$7:$Y$594)-ROW('All Player Data Store'!$Y$7)+1),COUNTIF($AC$8:AC322,AC322))),"")</f>
        <v/>
      </c>
      <c r="S322" s="108" t="str">
        <f t="array" ref="S322">IF(ISNUMBER(AC322),INDEX('All Player Data Store'!$O$7:$O$594,SMALL(IF('All Player Data Store'!$Y$7:$Y$594=AC322,ROW('All Player Data Store'!$Y$7:$Y$594)-ROW('All Player Data Store'!$Y$7)+1),COUNTIF($AC$8:AC322,AC322))),"")</f>
        <v/>
      </c>
      <c r="T322" s="108" t="str">
        <f t="array" ref="T322">IF(ISNUMBER(AC322),INDEX('All Player Data Store'!$P$7:$P$594,SMALL(IF('All Player Data Store'!$Y$7:$Y$594=AC322,ROW('All Player Data Store'!$Y$7:$Y$594)-ROW('All Player Data Store'!$Y$7)+1),COUNTIF($AC$8:AC322,AC322))),"")</f>
        <v/>
      </c>
      <c r="U322" s="108" t="str">
        <f t="array" ref="U322">IF(ISNUMBER(AC322),INDEX('All Player Data Store'!$Q$7:$Q$594,SMALL(IF('All Player Data Store'!$Y$7:$Y$594=AC322,ROW('All Player Data Store'!$Y$7:$Y$594)-ROW('All Player Data Store'!$Y$7)+1),COUNTIF($AC$8:AC322,AC322))),"")</f>
        <v/>
      </c>
      <c r="V322" s="108" t="str">
        <f t="array" ref="V322">IF(ISNUMBER(AC322),INDEX('All Player Data Store'!$R$7:$R$594,SMALL(IF('All Player Data Store'!$Y$7:$Y$594=AC322,ROW('All Player Data Store'!$Y$7:$Y$594)-ROW('All Player Data Store'!$Y$7)+1),COUNTIF($AC$8:AC322,AC322))),"")</f>
        <v/>
      </c>
      <c r="W322" s="108" t="str">
        <f t="array" ref="W322">IF(ISNUMBER(AC322),INDEX('All Player Data Store'!$S$7:$S$594,SMALL(IF('All Player Data Store'!$Y$7:$Y$594=AC322,ROW('All Player Data Store'!$Y$7:$Y$594)-ROW('All Player Data Store'!$Y$7)+1),COUNTIF($AC$8:AC322,AC322))),"")</f>
        <v/>
      </c>
      <c r="X322" s="108" t="str">
        <f t="array" ref="X322">IF(ISNUMBER(AC322),INDEX('All Player Data Store'!$T$7:$T$594,SMALL(IF('All Player Data Store'!$Y$7:$Y$594=AC322,ROW('All Player Data Store'!$Y$7:$Y$594)-ROW('All Player Data Store'!$Y$7)+1),COUNTIF($AC$8:AC322,AC322))),"")</f>
        <v/>
      </c>
      <c r="Y322" s="108" t="str">
        <f t="array" ref="Y322">IF(ISNUMBER(AC322),INDEX('All Player Data Store'!$U$7:$U$594,SMALL(IF('All Player Data Store'!$Y$7:$Y$594=AC322,ROW('All Player Data Store'!$Y$7:$Y$594)-ROW('All Player Data Store'!$Y$7)+1),COUNTIF($AC$8:AC322,AC322))),"")</f>
        <v/>
      </c>
      <c r="Z322" s="108" t="str">
        <f t="array" ref="Z322">IF(ISNUMBER(AC322),INDEX('All Player Data Store'!$V$7:$V$594,SMALL(IF('All Player Data Store'!$Y$7:$Y$594=AC322,ROW('All Player Data Store'!$Y$7:$Y$594)-ROW('All Player Data Store'!$Y$7)+1),COUNTIF($AC$8:AC322,AC322))),"")</f>
        <v/>
      </c>
      <c r="AA322" s="112" t="str">
        <f t="array" ref="AA322">IF(ISNUMBER(AC322),INDEX('All Player Data Store'!$W$7:$W$594,SMALL(IF('All Player Data Store'!$Y$7:$Y$594=AC322,ROW('All Player Data Store'!$Y$7:$Y$594)-ROW('All Player Data Store'!$Y$7)+1),COUNTIF($AC$8:AC322,AC322))),"")</f>
        <v/>
      </c>
      <c r="AB322" s="108" t="str">
        <f t="array" ref="AB322">IF(ISNUMBER(AC322),INDEX('All Player Data Store'!$X$7:$X$594,SMALL(IF('All Player Data Store'!$Y$7:$Y$594=AC322,ROW('All Player Data Store'!$Y$7:$Y$594)-ROW('All Player Data Store'!$Y$7)+1),COUNTIF($AC$8:AC322,AC322))),"")</f>
        <v/>
      </c>
      <c r="AC322" s="115" t="str">
        <f>IF(ISERROR(IF(ISERROR(LARGE('All Player Data Store'!$Y$7:$Y$594,315)),"",(LARGE('All Player Data Store'!$Y$7:$Y$594,315)))),"",(IF(ISERROR(LARGE('All Player Data Store'!$Y$7:$Y$594,315)),"",(LARGE('All Player Data Store'!$Y$7:$Y$594,315)))))</f>
        <v/>
      </c>
      <c r="AD322" s="106">
        <f t="shared" si="16"/>
        <v>1</v>
      </c>
      <c r="AE322" s="107" t="str">
        <f t="array" ref="AE322">IF(ISNUMBER(AC322),INDEX('All Player Data Store'!$J$8:$J$594,SMALL(IF('All Player Data Store'!$Y$7:$Y$594=AC322,ROW('All Player Data Store'!$Y$7:$Y$594)-ROW('All Player Data Store'!$Y$7)+1),COUNTIF($AC$8:AC322,AC322))),"")</f>
        <v/>
      </c>
      <c r="AF322" s="108" t="str">
        <f t="shared" si="19"/>
        <v/>
      </c>
      <c r="AG322" s="108" t="str">
        <f t="array" ref="AG322">IF(ISNUMBER(AC322),INDEX('All Player Data Store'!$K$8:$K$594,SMALL(IF('All Player Data Store'!$Y$7:$Y$594=AC322,ROW('All Player Data Store'!$Y$7:$Y$594)-ROW('All Player Data Store'!$Y$7)+1),COUNTIF($AC$8:AC322,AC322))),"")</f>
        <v/>
      </c>
      <c r="AH322" s="108" t="str">
        <f t="shared" si="20"/>
        <v/>
      </c>
      <c r="AI322" s="108" t="str">
        <f t="array" ref="AI322">IF(ISNUMBER(AC322),INDEX('All Player Data Store'!$L$8:$L$594,SMALL(IF('All Player Data Store'!$Y$7:$Y$594=AC322,ROW('All Player Data Store'!$Y$7:$Y$594)-ROW('All Player Data Store'!$Y$7)+1),COUNTIF($AC$8:AC322,AC322))),"")</f>
        <v/>
      </c>
      <c r="AJ322" s="108" t="str">
        <f t="shared" si="21"/>
        <v/>
      </c>
      <c r="AK322" s="108" t="str">
        <f t="array" ref="AK322">IF(ISNUMBER(AC322),INDEX('All Player Data Store'!$M$8:$M$594,SMALL(IF('All Player Data Store'!$Y$7:$Y$594=AC322,ROW('All Player Data Store'!$Y$7:$Y$594)-ROW('All Player Data Store'!$Y$7)+1),COUNTIF($AC$8:AC322,AC322))),"")</f>
        <v/>
      </c>
      <c r="AL322" s="108" t="str">
        <f t="shared" si="22"/>
        <v/>
      </c>
      <c r="AM322" s="108" t="str">
        <f t="array" ref="AM322">IF(ISNUMBER(AC322),INDEX('All Player Data Store'!$N$8:$N$594,SMALL(IF('All Player Data Store'!$Y$7:$Y$594=AC322,ROW('All Player Data Store'!$Y$7:$Y$594)-ROW('All Player Data Store'!$Y$7)+1),COUNTIF($AC$8:AC322,AC322))),"")</f>
        <v/>
      </c>
      <c r="AN322" s="108" t="str">
        <f t="shared" si="23"/>
        <v/>
      </c>
      <c r="AO322" s="108" t="str">
        <f t="array" ref="AO322">IF(ISNUMBER(AC322),INDEX('All Player Data Store'!$O$8:$O$594,SMALL(IF('All Player Data Store'!$Y$7:$Y$594=AC322,ROW('All Player Data Store'!$Y$7:$Y$594)-ROW('All Player Data Store'!$Y$7)+1),COUNTIF($AC$8:AC322,AC322))),"")</f>
        <v/>
      </c>
      <c r="AP322" s="108" t="str">
        <f t="shared" si="24"/>
        <v/>
      </c>
      <c r="AQ322" s="108" t="str">
        <f t="array" ref="AQ322">IF(ISNUMBER(AC322),INDEX('All Player Data Store'!$P$8:$P$594,SMALL(IF('All Player Data Store'!$Y$7:$Y$594=AC322,ROW('All Player Data Store'!$Y$7:$Y$594)-ROW('All Player Data Store'!$Y$7)+1),COUNTIF($AC$8:AC322,AC322))),"")</f>
        <v/>
      </c>
      <c r="AR322" s="108" t="str">
        <f t="shared" si="25"/>
        <v/>
      </c>
      <c r="AS322" s="108" t="str">
        <f t="array" ref="AS322">IF(ISNUMBER(AC322),INDEX('All Player Data Store'!$Q$8:$Q$594,SMALL(IF('All Player Data Store'!$Y$7:$Y$594=AC322,ROW('All Player Data Store'!$Y$7:$Y$594)-ROW('All Player Data Store'!$Y$7)+1),COUNTIF($AC$8:AC322,AC322))),"")</f>
        <v/>
      </c>
      <c r="AT322" s="108" t="str">
        <f t="shared" si="26"/>
        <v/>
      </c>
      <c r="AU322" s="108" t="str">
        <f t="array" ref="AU322">IF(ISNUMBER(AC322),INDEX('All Player Data Store'!$R$8:$R$594,SMALL(IF('All Player Data Store'!$Y$7:$Y$594=AC322,ROW('All Player Data Store'!$Y$7:$Y$594)-ROW('All Player Data Store'!$Y$7)+1),COUNTIF($AC$8:AC322,AC322))),"")</f>
        <v/>
      </c>
      <c r="AV322" s="108" t="str">
        <f t="shared" si="27"/>
        <v/>
      </c>
      <c r="AW322" s="108" t="str">
        <f t="array" ref="AW322">IF(ISNUMBER(AC322),INDEX('All Player Data Store'!$S$8:$S$594,SMALL(IF('All Player Data Store'!$Y$7:$Y$594=AC322,ROW('All Player Data Store'!$Y$7:$Y$594)-ROW('All Player Data Store'!$Y$7)+1),COUNTIF($AC$8:AC322,AC322))),"")</f>
        <v/>
      </c>
      <c r="AX322" s="108" t="str">
        <f t="shared" si="28"/>
        <v/>
      </c>
      <c r="AY322" s="108" t="str">
        <f t="array" ref="AY322">IF(ISNUMBER(AC322),INDEX('All Player Data Store'!$T$8:$T$594,SMALL(IF('All Player Data Store'!$Y$7:$Y$594=AC322,ROW('All Player Data Store'!$Y$7:$Y$594)-ROW('All Player Data Store'!$Y$7)+1),COUNTIF($AC$8:AC322,AC322))),"")</f>
        <v/>
      </c>
      <c r="AZ322" s="108" t="str">
        <f t="shared" si="29"/>
        <v/>
      </c>
      <c r="BA322" s="108" t="str">
        <f t="array" ref="BA322">IF(ISNUMBER(AC322),INDEX('All Player Data Store'!$U$8:$U$594,SMALL(IF('All Player Data Store'!$Y$7:$Y$594=AC322,ROW('All Player Data Store'!$Y$7:$Y$594)-ROW('All Player Data Store'!$Y$7)+1),COUNTIF($AC$8:AC322,AC322))),"")</f>
        <v/>
      </c>
      <c r="BB322" s="108" t="str">
        <f t="shared" si="30"/>
        <v/>
      </c>
      <c r="BC322" s="108" t="str">
        <f t="array" ref="BC322">IF(ISNUMBER(AC322),INDEX('All Player Data Store'!$V$8:$V$594,SMALL(IF('All Player Data Store'!$Y$7:$Y$594=AC322,ROW('All Player Data Store'!$Y$7:$Y$594)-ROW('All Player Data Store'!$Y$7)+1),COUNTIF($AC$8:AC322,AC322))),"")</f>
        <v/>
      </c>
      <c r="BD322" s="108" t="str">
        <f t="shared" si="31"/>
        <v/>
      </c>
      <c r="BE322" s="1"/>
    </row>
    <row r="323" spans="2:57" ht="12" customHeight="1" x14ac:dyDescent="0.2">
      <c r="B323" s="118" t="str">
        <f t="shared" si="17"/>
        <v/>
      </c>
      <c r="C323" s="1"/>
      <c r="D323" s="68" t="str">
        <f t="shared" si="18"/>
        <v/>
      </c>
      <c r="E323" s="2"/>
      <c r="F323" s="78">
        <v>316</v>
      </c>
      <c r="G323" s="110" t="str">
        <f t="array" ref="G323">IF(ISNUMBER(AC323),INDEX('All Player Data Store'!$C$7:$C$594,SMALL(IF('All Player Data Store'!$Y$7:$Y$594=AC323,ROW('All Player Data Store'!$Y$7:$Y$594)-ROW('All Player Data Store'!$Y$7)+1),COUNTIF($AC$8:AC323,AC323))),"")</f>
        <v/>
      </c>
      <c r="H323" s="68" t="str">
        <f t="array" ref="H323">IF(ISNUMBER(AC323),INDEX('All Player Data Store'!$D$7:$D$594,SMALL(IF('All Player Data Store'!$Y$7:$Y$594=AC323,ROW('All Player Data Store'!$Y$7:$Y$594)-ROW('All Player Data Store'!$Y$7)+1),COUNTIF($AC$8:AC323,AC323))),"")</f>
        <v/>
      </c>
      <c r="I323" s="69" t="str">
        <f t="array" ref="I323">IF(ISNUMBER(AC323),INDEX('All Player Data Store'!$E$7:$E$594,SMALL(IF('All Player Data Store'!$Y$7:$Y$594=AC323,ROW('All Player Data Store'!$Y$7:$Y$594)-ROW('All Player Data Store'!$Y$7)+1),COUNTIF($AC$8:AC323,AC323))),"")</f>
        <v/>
      </c>
      <c r="J323" s="70" t="str">
        <f t="array" ref="J323">IF(ISNUMBER(AC323),INDEX('All Player Data Store'!$F$7:$F$594,SMALL(IF('All Player Data Store'!$Y$7:$Y$594=AC323,ROW('All Player Data Store'!$Y$7:$Y$594)-ROW('All Player Data Store'!$Y$7)+1),COUNTIF($AC$8:AC323,AC323))),"")</f>
        <v/>
      </c>
      <c r="K323" s="70" t="str">
        <f t="array" ref="K323">IF(ISNUMBER(AC323),INDEX('All Player Data Store'!$G$7:$G$594,SMALL(IF('All Player Data Store'!$Y$7:$Y$594=AC323,ROW('All Player Data Store'!$Y$7:$Y$594)-ROW('All Player Data Store'!$Y$7)+1),COUNTIF($AC$8:AC323,AC323))),"")</f>
        <v/>
      </c>
      <c r="L323" s="70" t="str">
        <f t="array" ref="L323">IF(ISNUMBER(AC323),INDEX('All Player Data Store'!$H$7:$H$594,SMALL(IF('All Player Data Store'!$Y$7:$Y$594=AC323,ROW('All Player Data Store'!$Y$7:$Y$594)-ROW('All Player Data Store'!$Y$7)+1),COUNTIF($AC$8:AC323,AC323))),"")</f>
        <v/>
      </c>
      <c r="M323" s="72" t="str">
        <f t="array" ref="M323">IF(ISNUMBER(AC323),INDEX('All Player Data Store'!$I$7:$I$594,SMALL(IF('All Player Data Store'!$Y$7:$Y$594=AC323,ROW('All Player Data Store'!$Y$7:$Y$594)-ROW('All Player Data Store'!$Y$7)+1),COUNTIF($AC$8:AC323,AC323))),"")</f>
        <v/>
      </c>
      <c r="N323" s="114" t="str">
        <f t="array" ref="N323">IF(ISNUMBER(AC323),INDEX('All Player Data Store'!$J$7:$J$594,SMALL(IF('All Player Data Store'!$Y$7:$Y$594=AC323,ROW('All Player Data Store'!$Y$7:$Y$594)-ROW('All Player Data Store'!$Y$7)+1),COUNTIF($AC$8:AC323,AC323))),"")</f>
        <v/>
      </c>
      <c r="O323" s="108" t="str">
        <f t="array" ref="O323">IF(ISNUMBER(AC323),INDEX('All Player Data Store'!$K$7:$K$594,SMALL(IF('All Player Data Store'!$Y$7:$Y$594=AC323,ROW('All Player Data Store'!$Y$7:$Y$594)-ROW('All Player Data Store'!$Y$7)+1),COUNTIF($AC$8:AC323,AC323))),"")</f>
        <v/>
      </c>
      <c r="P323" s="108" t="str">
        <f t="array" ref="P323">IF(ISNUMBER(AC323),INDEX('All Player Data Store'!$L$7:$L$594,SMALL(IF('All Player Data Store'!$Y$7:$Y$594=AC323,ROW('All Player Data Store'!$Y$7:$Y$594)-ROW('All Player Data Store'!$Y$7)+1),COUNTIF($AC$8:AC323,AC323))),"")</f>
        <v/>
      </c>
      <c r="Q323" s="108" t="str">
        <f t="array" ref="Q323">IF(ISNUMBER(AC323),INDEX('All Player Data Store'!$M$7:$M$594,SMALL(IF('All Player Data Store'!$Y$7:$Y$594=AC323,ROW('All Player Data Store'!$Y$7:$Y$594)-ROW('All Player Data Store'!$Y$7)+1),COUNTIF($AC$8:AC323,AC323))),"")</f>
        <v/>
      </c>
      <c r="R323" s="108" t="str">
        <f t="array" ref="R323">IF(ISNUMBER(AC323),INDEX('All Player Data Store'!$N$7:$N$594,SMALL(IF('All Player Data Store'!$Y$7:$Y$594=AC323,ROW('All Player Data Store'!$Y$7:$Y$594)-ROW('All Player Data Store'!$Y$7)+1),COUNTIF($AC$8:AC323,AC323))),"")</f>
        <v/>
      </c>
      <c r="S323" s="108" t="str">
        <f t="array" ref="S323">IF(ISNUMBER(AC323),INDEX('All Player Data Store'!$O$7:$O$594,SMALL(IF('All Player Data Store'!$Y$7:$Y$594=AC323,ROW('All Player Data Store'!$Y$7:$Y$594)-ROW('All Player Data Store'!$Y$7)+1),COUNTIF($AC$8:AC323,AC323))),"")</f>
        <v/>
      </c>
      <c r="T323" s="108" t="str">
        <f t="array" ref="T323">IF(ISNUMBER(AC323),INDEX('All Player Data Store'!$P$7:$P$594,SMALL(IF('All Player Data Store'!$Y$7:$Y$594=AC323,ROW('All Player Data Store'!$Y$7:$Y$594)-ROW('All Player Data Store'!$Y$7)+1),COUNTIF($AC$8:AC323,AC323))),"")</f>
        <v/>
      </c>
      <c r="U323" s="108" t="str">
        <f t="array" ref="U323">IF(ISNUMBER(AC323),INDEX('All Player Data Store'!$Q$7:$Q$594,SMALL(IF('All Player Data Store'!$Y$7:$Y$594=AC323,ROW('All Player Data Store'!$Y$7:$Y$594)-ROW('All Player Data Store'!$Y$7)+1),COUNTIF($AC$8:AC323,AC323))),"")</f>
        <v/>
      </c>
      <c r="V323" s="108" t="str">
        <f t="array" ref="V323">IF(ISNUMBER(AC323),INDEX('All Player Data Store'!$R$7:$R$594,SMALL(IF('All Player Data Store'!$Y$7:$Y$594=AC323,ROW('All Player Data Store'!$Y$7:$Y$594)-ROW('All Player Data Store'!$Y$7)+1),COUNTIF($AC$8:AC323,AC323))),"")</f>
        <v/>
      </c>
      <c r="W323" s="108" t="str">
        <f t="array" ref="W323">IF(ISNUMBER(AC323),INDEX('All Player Data Store'!$S$7:$S$594,SMALL(IF('All Player Data Store'!$Y$7:$Y$594=AC323,ROW('All Player Data Store'!$Y$7:$Y$594)-ROW('All Player Data Store'!$Y$7)+1),COUNTIF($AC$8:AC323,AC323))),"")</f>
        <v/>
      </c>
      <c r="X323" s="108" t="str">
        <f t="array" ref="X323">IF(ISNUMBER(AC323),INDEX('All Player Data Store'!$T$7:$T$594,SMALL(IF('All Player Data Store'!$Y$7:$Y$594=AC323,ROW('All Player Data Store'!$Y$7:$Y$594)-ROW('All Player Data Store'!$Y$7)+1),COUNTIF($AC$8:AC323,AC323))),"")</f>
        <v/>
      </c>
      <c r="Y323" s="108" t="str">
        <f t="array" ref="Y323">IF(ISNUMBER(AC323),INDEX('All Player Data Store'!$U$7:$U$594,SMALL(IF('All Player Data Store'!$Y$7:$Y$594=AC323,ROW('All Player Data Store'!$Y$7:$Y$594)-ROW('All Player Data Store'!$Y$7)+1),COUNTIF($AC$8:AC323,AC323))),"")</f>
        <v/>
      </c>
      <c r="Z323" s="108" t="str">
        <f t="array" ref="Z323">IF(ISNUMBER(AC323),INDEX('All Player Data Store'!$V$7:$V$594,SMALL(IF('All Player Data Store'!$Y$7:$Y$594=AC323,ROW('All Player Data Store'!$Y$7:$Y$594)-ROW('All Player Data Store'!$Y$7)+1),COUNTIF($AC$8:AC323,AC323))),"")</f>
        <v/>
      </c>
      <c r="AA323" s="112" t="str">
        <f t="array" ref="AA323">IF(ISNUMBER(AC323),INDEX('All Player Data Store'!$W$7:$W$594,SMALL(IF('All Player Data Store'!$Y$7:$Y$594=AC323,ROW('All Player Data Store'!$Y$7:$Y$594)-ROW('All Player Data Store'!$Y$7)+1),COUNTIF($AC$8:AC323,AC323))),"")</f>
        <v/>
      </c>
      <c r="AB323" s="108" t="str">
        <f t="array" ref="AB323">IF(ISNUMBER(AC323),INDEX('All Player Data Store'!$X$7:$X$594,SMALL(IF('All Player Data Store'!$Y$7:$Y$594=AC323,ROW('All Player Data Store'!$Y$7:$Y$594)-ROW('All Player Data Store'!$Y$7)+1),COUNTIF($AC$8:AC323,AC323))),"")</f>
        <v/>
      </c>
      <c r="AC323" s="115" t="str">
        <f>IF(ISERROR(IF(ISERROR(LARGE('All Player Data Store'!$Y$7:$Y$594,316)),"",(LARGE('All Player Data Store'!$Y$7:$Y$594,316)))),"",(IF(ISERROR(LARGE('All Player Data Store'!$Y$7:$Y$594,316)),"",(LARGE('All Player Data Store'!$Y$7:$Y$594,316)))))</f>
        <v/>
      </c>
      <c r="AD323" s="106">
        <f t="shared" si="16"/>
        <v>1</v>
      </c>
      <c r="AE323" s="107" t="str">
        <f t="array" ref="AE323">IF(ISNUMBER(AC323),INDEX('All Player Data Store'!$J$8:$J$594,SMALL(IF('All Player Data Store'!$Y$7:$Y$594=AC323,ROW('All Player Data Store'!$Y$7:$Y$594)-ROW('All Player Data Store'!$Y$7)+1),COUNTIF($AC$8:AC323,AC323))),"")</f>
        <v/>
      </c>
      <c r="AF323" s="108" t="str">
        <f t="shared" si="19"/>
        <v/>
      </c>
      <c r="AG323" s="108" t="str">
        <f t="array" ref="AG323">IF(ISNUMBER(AC323),INDEX('All Player Data Store'!$K$8:$K$594,SMALL(IF('All Player Data Store'!$Y$7:$Y$594=AC323,ROW('All Player Data Store'!$Y$7:$Y$594)-ROW('All Player Data Store'!$Y$7)+1),COUNTIF($AC$8:AC323,AC323))),"")</f>
        <v/>
      </c>
      <c r="AH323" s="108" t="str">
        <f t="shared" si="20"/>
        <v/>
      </c>
      <c r="AI323" s="108" t="str">
        <f t="array" ref="AI323">IF(ISNUMBER(AC323),INDEX('All Player Data Store'!$L$8:$L$594,SMALL(IF('All Player Data Store'!$Y$7:$Y$594=AC323,ROW('All Player Data Store'!$Y$7:$Y$594)-ROW('All Player Data Store'!$Y$7)+1),COUNTIF($AC$8:AC323,AC323))),"")</f>
        <v/>
      </c>
      <c r="AJ323" s="108" t="str">
        <f t="shared" si="21"/>
        <v/>
      </c>
      <c r="AK323" s="108" t="str">
        <f t="array" ref="AK323">IF(ISNUMBER(AC323),INDEX('All Player Data Store'!$M$8:$M$594,SMALL(IF('All Player Data Store'!$Y$7:$Y$594=AC323,ROW('All Player Data Store'!$Y$7:$Y$594)-ROW('All Player Data Store'!$Y$7)+1),COUNTIF($AC$8:AC323,AC323))),"")</f>
        <v/>
      </c>
      <c r="AL323" s="108" t="str">
        <f t="shared" si="22"/>
        <v/>
      </c>
      <c r="AM323" s="108" t="str">
        <f t="array" ref="AM323">IF(ISNUMBER(AC323),INDEX('All Player Data Store'!$N$8:$N$594,SMALL(IF('All Player Data Store'!$Y$7:$Y$594=AC323,ROW('All Player Data Store'!$Y$7:$Y$594)-ROW('All Player Data Store'!$Y$7)+1),COUNTIF($AC$8:AC323,AC323))),"")</f>
        <v/>
      </c>
      <c r="AN323" s="108" t="str">
        <f t="shared" si="23"/>
        <v/>
      </c>
      <c r="AO323" s="108" t="str">
        <f t="array" ref="AO323">IF(ISNUMBER(AC323),INDEX('All Player Data Store'!$O$8:$O$594,SMALL(IF('All Player Data Store'!$Y$7:$Y$594=AC323,ROW('All Player Data Store'!$Y$7:$Y$594)-ROW('All Player Data Store'!$Y$7)+1),COUNTIF($AC$8:AC323,AC323))),"")</f>
        <v/>
      </c>
      <c r="AP323" s="108" t="str">
        <f t="shared" si="24"/>
        <v/>
      </c>
      <c r="AQ323" s="108" t="str">
        <f t="array" ref="AQ323">IF(ISNUMBER(AC323),INDEX('All Player Data Store'!$P$8:$P$594,SMALL(IF('All Player Data Store'!$Y$7:$Y$594=AC323,ROW('All Player Data Store'!$Y$7:$Y$594)-ROW('All Player Data Store'!$Y$7)+1),COUNTIF($AC$8:AC323,AC323))),"")</f>
        <v/>
      </c>
      <c r="AR323" s="108" t="str">
        <f t="shared" si="25"/>
        <v/>
      </c>
      <c r="AS323" s="108" t="str">
        <f t="array" ref="AS323">IF(ISNUMBER(AC323),INDEX('All Player Data Store'!$Q$8:$Q$594,SMALL(IF('All Player Data Store'!$Y$7:$Y$594=AC323,ROW('All Player Data Store'!$Y$7:$Y$594)-ROW('All Player Data Store'!$Y$7)+1),COUNTIF($AC$8:AC323,AC323))),"")</f>
        <v/>
      </c>
      <c r="AT323" s="108" t="str">
        <f t="shared" si="26"/>
        <v/>
      </c>
      <c r="AU323" s="108" t="str">
        <f t="array" ref="AU323">IF(ISNUMBER(AC323),INDEX('All Player Data Store'!$R$8:$R$594,SMALL(IF('All Player Data Store'!$Y$7:$Y$594=AC323,ROW('All Player Data Store'!$Y$7:$Y$594)-ROW('All Player Data Store'!$Y$7)+1),COUNTIF($AC$8:AC323,AC323))),"")</f>
        <v/>
      </c>
      <c r="AV323" s="108" t="str">
        <f t="shared" si="27"/>
        <v/>
      </c>
      <c r="AW323" s="108" t="str">
        <f t="array" ref="AW323">IF(ISNUMBER(AC323),INDEX('All Player Data Store'!$S$8:$S$594,SMALL(IF('All Player Data Store'!$Y$7:$Y$594=AC323,ROW('All Player Data Store'!$Y$7:$Y$594)-ROW('All Player Data Store'!$Y$7)+1),COUNTIF($AC$8:AC323,AC323))),"")</f>
        <v/>
      </c>
      <c r="AX323" s="108" t="str">
        <f t="shared" si="28"/>
        <v/>
      </c>
      <c r="AY323" s="108" t="str">
        <f t="array" ref="AY323">IF(ISNUMBER(AC323),INDEX('All Player Data Store'!$T$8:$T$594,SMALL(IF('All Player Data Store'!$Y$7:$Y$594=AC323,ROW('All Player Data Store'!$Y$7:$Y$594)-ROW('All Player Data Store'!$Y$7)+1),COUNTIF($AC$8:AC323,AC323))),"")</f>
        <v/>
      </c>
      <c r="AZ323" s="108" t="str">
        <f t="shared" si="29"/>
        <v/>
      </c>
      <c r="BA323" s="108" t="str">
        <f t="array" ref="BA323">IF(ISNUMBER(AC323),INDEX('All Player Data Store'!$U$8:$U$594,SMALL(IF('All Player Data Store'!$Y$7:$Y$594=AC323,ROW('All Player Data Store'!$Y$7:$Y$594)-ROW('All Player Data Store'!$Y$7)+1),COUNTIF($AC$8:AC323,AC323))),"")</f>
        <v/>
      </c>
      <c r="BB323" s="108" t="str">
        <f t="shared" si="30"/>
        <v/>
      </c>
      <c r="BC323" s="108" t="str">
        <f t="array" ref="BC323">IF(ISNUMBER(AC323),INDEX('All Player Data Store'!$V$8:$V$594,SMALL(IF('All Player Data Store'!$Y$7:$Y$594=AC323,ROW('All Player Data Store'!$Y$7:$Y$594)-ROW('All Player Data Store'!$Y$7)+1),COUNTIF($AC$8:AC323,AC323))),"")</f>
        <v/>
      </c>
      <c r="BD323" s="108" t="str">
        <f t="shared" si="31"/>
        <v/>
      </c>
      <c r="BE323" s="1"/>
    </row>
    <row r="324" spans="2:57" ht="12" customHeight="1" x14ac:dyDescent="0.2">
      <c r="B324" s="118" t="str">
        <f t="shared" si="17"/>
        <v/>
      </c>
      <c r="C324" s="1"/>
      <c r="D324" s="68" t="str">
        <f t="shared" si="18"/>
        <v/>
      </c>
      <c r="E324" s="2"/>
      <c r="F324" s="78">
        <v>317</v>
      </c>
      <c r="G324" s="110" t="str">
        <f t="array" ref="G324">IF(ISNUMBER(AC324),INDEX('All Player Data Store'!$C$7:$C$594,SMALL(IF('All Player Data Store'!$Y$7:$Y$594=AC324,ROW('All Player Data Store'!$Y$7:$Y$594)-ROW('All Player Data Store'!$Y$7)+1),COUNTIF($AC$8:AC324,AC324))),"")</f>
        <v/>
      </c>
      <c r="H324" s="68" t="str">
        <f t="array" ref="H324">IF(ISNUMBER(AC324),INDEX('All Player Data Store'!$D$7:$D$594,SMALL(IF('All Player Data Store'!$Y$7:$Y$594=AC324,ROW('All Player Data Store'!$Y$7:$Y$594)-ROW('All Player Data Store'!$Y$7)+1),COUNTIF($AC$8:AC324,AC324))),"")</f>
        <v/>
      </c>
      <c r="I324" s="69" t="str">
        <f t="array" ref="I324">IF(ISNUMBER(AC324),INDEX('All Player Data Store'!$E$7:$E$594,SMALL(IF('All Player Data Store'!$Y$7:$Y$594=AC324,ROW('All Player Data Store'!$Y$7:$Y$594)-ROW('All Player Data Store'!$Y$7)+1),COUNTIF($AC$8:AC324,AC324))),"")</f>
        <v/>
      </c>
      <c r="J324" s="70" t="str">
        <f t="array" ref="J324">IF(ISNUMBER(AC324),INDEX('All Player Data Store'!$F$7:$F$594,SMALL(IF('All Player Data Store'!$Y$7:$Y$594=AC324,ROW('All Player Data Store'!$Y$7:$Y$594)-ROW('All Player Data Store'!$Y$7)+1),COUNTIF($AC$8:AC324,AC324))),"")</f>
        <v/>
      </c>
      <c r="K324" s="70" t="str">
        <f t="array" ref="K324">IF(ISNUMBER(AC324),INDEX('All Player Data Store'!$G$7:$G$594,SMALL(IF('All Player Data Store'!$Y$7:$Y$594=AC324,ROW('All Player Data Store'!$Y$7:$Y$594)-ROW('All Player Data Store'!$Y$7)+1),COUNTIF($AC$8:AC324,AC324))),"")</f>
        <v/>
      </c>
      <c r="L324" s="70" t="str">
        <f t="array" ref="L324">IF(ISNUMBER(AC324),INDEX('All Player Data Store'!$H$7:$H$594,SMALL(IF('All Player Data Store'!$Y$7:$Y$594=AC324,ROW('All Player Data Store'!$Y$7:$Y$594)-ROW('All Player Data Store'!$Y$7)+1),COUNTIF($AC$8:AC324,AC324))),"")</f>
        <v/>
      </c>
      <c r="M324" s="72" t="str">
        <f t="array" ref="M324">IF(ISNUMBER(AC324),INDEX('All Player Data Store'!$I$7:$I$594,SMALL(IF('All Player Data Store'!$Y$7:$Y$594=AC324,ROW('All Player Data Store'!$Y$7:$Y$594)-ROW('All Player Data Store'!$Y$7)+1),COUNTIF($AC$8:AC324,AC324))),"")</f>
        <v/>
      </c>
      <c r="N324" s="114" t="str">
        <f t="array" ref="N324">IF(ISNUMBER(AC324),INDEX('All Player Data Store'!$J$7:$J$594,SMALL(IF('All Player Data Store'!$Y$7:$Y$594=AC324,ROW('All Player Data Store'!$Y$7:$Y$594)-ROW('All Player Data Store'!$Y$7)+1),COUNTIF($AC$8:AC324,AC324))),"")</f>
        <v/>
      </c>
      <c r="O324" s="108" t="str">
        <f t="array" ref="O324">IF(ISNUMBER(AC324),INDEX('All Player Data Store'!$K$7:$K$594,SMALL(IF('All Player Data Store'!$Y$7:$Y$594=AC324,ROW('All Player Data Store'!$Y$7:$Y$594)-ROW('All Player Data Store'!$Y$7)+1),COUNTIF($AC$8:AC324,AC324))),"")</f>
        <v/>
      </c>
      <c r="P324" s="108" t="str">
        <f t="array" ref="P324">IF(ISNUMBER(AC324),INDEX('All Player Data Store'!$L$7:$L$594,SMALL(IF('All Player Data Store'!$Y$7:$Y$594=AC324,ROW('All Player Data Store'!$Y$7:$Y$594)-ROW('All Player Data Store'!$Y$7)+1),COUNTIF($AC$8:AC324,AC324))),"")</f>
        <v/>
      </c>
      <c r="Q324" s="108" t="str">
        <f t="array" ref="Q324">IF(ISNUMBER(AC324),INDEX('All Player Data Store'!$M$7:$M$594,SMALL(IF('All Player Data Store'!$Y$7:$Y$594=AC324,ROW('All Player Data Store'!$Y$7:$Y$594)-ROW('All Player Data Store'!$Y$7)+1),COUNTIF($AC$8:AC324,AC324))),"")</f>
        <v/>
      </c>
      <c r="R324" s="108" t="str">
        <f t="array" ref="R324">IF(ISNUMBER(AC324),INDEX('All Player Data Store'!$N$7:$N$594,SMALL(IF('All Player Data Store'!$Y$7:$Y$594=AC324,ROW('All Player Data Store'!$Y$7:$Y$594)-ROW('All Player Data Store'!$Y$7)+1),COUNTIF($AC$8:AC324,AC324))),"")</f>
        <v/>
      </c>
      <c r="S324" s="108" t="str">
        <f t="array" ref="S324">IF(ISNUMBER(AC324),INDEX('All Player Data Store'!$O$7:$O$594,SMALL(IF('All Player Data Store'!$Y$7:$Y$594=AC324,ROW('All Player Data Store'!$Y$7:$Y$594)-ROW('All Player Data Store'!$Y$7)+1),COUNTIF($AC$8:AC324,AC324))),"")</f>
        <v/>
      </c>
      <c r="T324" s="108" t="str">
        <f t="array" ref="T324">IF(ISNUMBER(AC324),INDEX('All Player Data Store'!$P$7:$P$594,SMALL(IF('All Player Data Store'!$Y$7:$Y$594=AC324,ROW('All Player Data Store'!$Y$7:$Y$594)-ROW('All Player Data Store'!$Y$7)+1),COUNTIF($AC$8:AC324,AC324))),"")</f>
        <v/>
      </c>
      <c r="U324" s="108" t="str">
        <f t="array" ref="U324">IF(ISNUMBER(AC324),INDEX('All Player Data Store'!$Q$7:$Q$594,SMALL(IF('All Player Data Store'!$Y$7:$Y$594=AC324,ROW('All Player Data Store'!$Y$7:$Y$594)-ROW('All Player Data Store'!$Y$7)+1),COUNTIF($AC$8:AC324,AC324))),"")</f>
        <v/>
      </c>
      <c r="V324" s="108" t="str">
        <f t="array" ref="V324">IF(ISNUMBER(AC324),INDEX('All Player Data Store'!$R$7:$R$594,SMALL(IF('All Player Data Store'!$Y$7:$Y$594=AC324,ROW('All Player Data Store'!$Y$7:$Y$594)-ROW('All Player Data Store'!$Y$7)+1),COUNTIF($AC$8:AC324,AC324))),"")</f>
        <v/>
      </c>
      <c r="W324" s="108" t="str">
        <f t="array" ref="W324">IF(ISNUMBER(AC324),INDEX('All Player Data Store'!$S$7:$S$594,SMALL(IF('All Player Data Store'!$Y$7:$Y$594=AC324,ROW('All Player Data Store'!$Y$7:$Y$594)-ROW('All Player Data Store'!$Y$7)+1),COUNTIF($AC$8:AC324,AC324))),"")</f>
        <v/>
      </c>
      <c r="X324" s="108" t="str">
        <f t="array" ref="X324">IF(ISNUMBER(AC324),INDEX('All Player Data Store'!$T$7:$T$594,SMALL(IF('All Player Data Store'!$Y$7:$Y$594=AC324,ROW('All Player Data Store'!$Y$7:$Y$594)-ROW('All Player Data Store'!$Y$7)+1),COUNTIF($AC$8:AC324,AC324))),"")</f>
        <v/>
      </c>
      <c r="Y324" s="108" t="str">
        <f t="array" ref="Y324">IF(ISNUMBER(AC324),INDEX('All Player Data Store'!$U$7:$U$594,SMALL(IF('All Player Data Store'!$Y$7:$Y$594=AC324,ROW('All Player Data Store'!$Y$7:$Y$594)-ROW('All Player Data Store'!$Y$7)+1),COUNTIF($AC$8:AC324,AC324))),"")</f>
        <v/>
      </c>
      <c r="Z324" s="108" t="str">
        <f t="array" ref="Z324">IF(ISNUMBER(AC324),INDEX('All Player Data Store'!$V$7:$V$594,SMALL(IF('All Player Data Store'!$Y$7:$Y$594=AC324,ROW('All Player Data Store'!$Y$7:$Y$594)-ROW('All Player Data Store'!$Y$7)+1),COUNTIF($AC$8:AC324,AC324))),"")</f>
        <v/>
      </c>
      <c r="AA324" s="112" t="str">
        <f t="array" ref="AA324">IF(ISNUMBER(AC324),INDEX('All Player Data Store'!$W$7:$W$594,SMALL(IF('All Player Data Store'!$Y$7:$Y$594=AC324,ROW('All Player Data Store'!$Y$7:$Y$594)-ROW('All Player Data Store'!$Y$7)+1),COUNTIF($AC$8:AC324,AC324))),"")</f>
        <v/>
      </c>
      <c r="AB324" s="108" t="str">
        <f t="array" ref="AB324">IF(ISNUMBER(AC324),INDEX('All Player Data Store'!$X$7:$X$594,SMALL(IF('All Player Data Store'!$Y$7:$Y$594=AC324,ROW('All Player Data Store'!$Y$7:$Y$594)-ROW('All Player Data Store'!$Y$7)+1),COUNTIF($AC$8:AC324,AC324))),"")</f>
        <v/>
      </c>
      <c r="AC324" s="115" t="str">
        <f>IF(ISERROR(IF(ISERROR(LARGE('All Player Data Store'!$Y$7:$Y$594,317)),"",(LARGE('All Player Data Store'!$Y$7:$Y$594,317)))),"",(IF(ISERROR(LARGE('All Player Data Store'!$Y$7:$Y$594,317)),"",(LARGE('All Player Data Store'!$Y$7:$Y$594,317)))))</f>
        <v/>
      </c>
      <c r="AD324" s="106">
        <f t="shared" si="16"/>
        <v>1</v>
      </c>
      <c r="AE324" s="107" t="str">
        <f t="array" ref="AE324">IF(ISNUMBER(AC324),INDEX('All Player Data Store'!$J$8:$J$594,SMALL(IF('All Player Data Store'!$Y$7:$Y$594=AC324,ROW('All Player Data Store'!$Y$7:$Y$594)-ROW('All Player Data Store'!$Y$7)+1),COUNTIF($AC$8:AC324,AC324))),"")</f>
        <v/>
      </c>
      <c r="AF324" s="108" t="str">
        <f t="shared" si="19"/>
        <v/>
      </c>
      <c r="AG324" s="108" t="str">
        <f t="array" ref="AG324">IF(ISNUMBER(AC324),INDEX('All Player Data Store'!$K$8:$K$594,SMALL(IF('All Player Data Store'!$Y$7:$Y$594=AC324,ROW('All Player Data Store'!$Y$7:$Y$594)-ROW('All Player Data Store'!$Y$7)+1),COUNTIF($AC$8:AC324,AC324))),"")</f>
        <v/>
      </c>
      <c r="AH324" s="108" t="str">
        <f t="shared" si="20"/>
        <v/>
      </c>
      <c r="AI324" s="108" t="str">
        <f t="array" ref="AI324">IF(ISNUMBER(AC324),INDEX('All Player Data Store'!$L$8:$L$594,SMALL(IF('All Player Data Store'!$Y$7:$Y$594=AC324,ROW('All Player Data Store'!$Y$7:$Y$594)-ROW('All Player Data Store'!$Y$7)+1),COUNTIF($AC$8:AC324,AC324))),"")</f>
        <v/>
      </c>
      <c r="AJ324" s="108" t="str">
        <f t="shared" si="21"/>
        <v/>
      </c>
      <c r="AK324" s="108" t="str">
        <f t="array" ref="AK324">IF(ISNUMBER(AC324),INDEX('All Player Data Store'!$M$8:$M$594,SMALL(IF('All Player Data Store'!$Y$7:$Y$594=AC324,ROW('All Player Data Store'!$Y$7:$Y$594)-ROW('All Player Data Store'!$Y$7)+1),COUNTIF($AC$8:AC324,AC324))),"")</f>
        <v/>
      </c>
      <c r="AL324" s="108" t="str">
        <f t="shared" si="22"/>
        <v/>
      </c>
      <c r="AM324" s="108" t="str">
        <f t="array" ref="AM324">IF(ISNUMBER(AC324),INDEX('All Player Data Store'!$N$8:$N$594,SMALL(IF('All Player Data Store'!$Y$7:$Y$594=AC324,ROW('All Player Data Store'!$Y$7:$Y$594)-ROW('All Player Data Store'!$Y$7)+1),COUNTIF($AC$8:AC324,AC324))),"")</f>
        <v/>
      </c>
      <c r="AN324" s="108" t="str">
        <f t="shared" si="23"/>
        <v/>
      </c>
      <c r="AO324" s="108" t="str">
        <f t="array" ref="AO324">IF(ISNUMBER(AC324),INDEX('All Player Data Store'!$O$8:$O$594,SMALL(IF('All Player Data Store'!$Y$7:$Y$594=AC324,ROW('All Player Data Store'!$Y$7:$Y$594)-ROW('All Player Data Store'!$Y$7)+1),COUNTIF($AC$8:AC324,AC324))),"")</f>
        <v/>
      </c>
      <c r="AP324" s="108" t="str">
        <f t="shared" si="24"/>
        <v/>
      </c>
      <c r="AQ324" s="108" t="str">
        <f t="array" ref="AQ324">IF(ISNUMBER(AC324),INDEX('All Player Data Store'!$P$8:$P$594,SMALL(IF('All Player Data Store'!$Y$7:$Y$594=AC324,ROW('All Player Data Store'!$Y$7:$Y$594)-ROW('All Player Data Store'!$Y$7)+1),COUNTIF($AC$8:AC324,AC324))),"")</f>
        <v/>
      </c>
      <c r="AR324" s="108" t="str">
        <f t="shared" si="25"/>
        <v/>
      </c>
      <c r="AS324" s="108" t="str">
        <f t="array" ref="AS324">IF(ISNUMBER(AC324),INDEX('All Player Data Store'!$Q$8:$Q$594,SMALL(IF('All Player Data Store'!$Y$7:$Y$594=AC324,ROW('All Player Data Store'!$Y$7:$Y$594)-ROW('All Player Data Store'!$Y$7)+1),COUNTIF($AC$8:AC324,AC324))),"")</f>
        <v/>
      </c>
      <c r="AT324" s="108" t="str">
        <f t="shared" si="26"/>
        <v/>
      </c>
      <c r="AU324" s="108" t="str">
        <f t="array" ref="AU324">IF(ISNUMBER(AC324),INDEX('All Player Data Store'!$R$8:$R$594,SMALL(IF('All Player Data Store'!$Y$7:$Y$594=AC324,ROW('All Player Data Store'!$Y$7:$Y$594)-ROW('All Player Data Store'!$Y$7)+1),COUNTIF($AC$8:AC324,AC324))),"")</f>
        <v/>
      </c>
      <c r="AV324" s="108" t="str">
        <f t="shared" si="27"/>
        <v/>
      </c>
      <c r="AW324" s="108" t="str">
        <f t="array" ref="AW324">IF(ISNUMBER(AC324),INDEX('All Player Data Store'!$S$8:$S$594,SMALL(IF('All Player Data Store'!$Y$7:$Y$594=AC324,ROW('All Player Data Store'!$Y$7:$Y$594)-ROW('All Player Data Store'!$Y$7)+1),COUNTIF($AC$8:AC324,AC324))),"")</f>
        <v/>
      </c>
      <c r="AX324" s="108" t="str">
        <f t="shared" si="28"/>
        <v/>
      </c>
      <c r="AY324" s="108" t="str">
        <f t="array" ref="AY324">IF(ISNUMBER(AC324),INDEX('All Player Data Store'!$T$8:$T$594,SMALL(IF('All Player Data Store'!$Y$7:$Y$594=AC324,ROW('All Player Data Store'!$Y$7:$Y$594)-ROW('All Player Data Store'!$Y$7)+1),COUNTIF($AC$8:AC324,AC324))),"")</f>
        <v/>
      </c>
      <c r="AZ324" s="108" t="str">
        <f t="shared" si="29"/>
        <v/>
      </c>
      <c r="BA324" s="108" t="str">
        <f t="array" ref="BA324">IF(ISNUMBER(AC324),INDEX('All Player Data Store'!$U$8:$U$594,SMALL(IF('All Player Data Store'!$Y$7:$Y$594=AC324,ROW('All Player Data Store'!$Y$7:$Y$594)-ROW('All Player Data Store'!$Y$7)+1),COUNTIF($AC$8:AC324,AC324))),"")</f>
        <v/>
      </c>
      <c r="BB324" s="108" t="str">
        <f t="shared" si="30"/>
        <v/>
      </c>
      <c r="BC324" s="108" t="str">
        <f t="array" ref="BC324">IF(ISNUMBER(AC324),INDEX('All Player Data Store'!$V$8:$V$594,SMALL(IF('All Player Data Store'!$Y$7:$Y$594=AC324,ROW('All Player Data Store'!$Y$7:$Y$594)-ROW('All Player Data Store'!$Y$7)+1),COUNTIF($AC$8:AC324,AC324))),"")</f>
        <v/>
      </c>
      <c r="BD324" s="108" t="str">
        <f t="shared" si="31"/>
        <v/>
      </c>
      <c r="BE324" s="1"/>
    </row>
    <row r="325" spans="2:57" ht="12" customHeight="1" x14ac:dyDescent="0.2">
      <c r="B325" s="118" t="str">
        <f t="shared" si="17"/>
        <v/>
      </c>
      <c r="C325" s="1"/>
      <c r="D325" s="68" t="str">
        <f t="shared" si="18"/>
        <v/>
      </c>
      <c r="E325" s="2"/>
      <c r="F325" s="78">
        <v>318</v>
      </c>
      <c r="G325" s="110" t="str">
        <f t="array" ref="G325">IF(ISNUMBER(AC325),INDEX('All Player Data Store'!$C$7:$C$594,SMALL(IF('All Player Data Store'!$Y$7:$Y$594=AC325,ROW('All Player Data Store'!$Y$7:$Y$594)-ROW('All Player Data Store'!$Y$7)+1),COUNTIF($AC$8:AC325,AC325))),"")</f>
        <v/>
      </c>
      <c r="H325" s="68" t="str">
        <f t="array" ref="H325">IF(ISNUMBER(AC325),INDEX('All Player Data Store'!$D$7:$D$594,SMALL(IF('All Player Data Store'!$Y$7:$Y$594=AC325,ROW('All Player Data Store'!$Y$7:$Y$594)-ROW('All Player Data Store'!$Y$7)+1),COUNTIF($AC$8:AC325,AC325))),"")</f>
        <v/>
      </c>
      <c r="I325" s="69" t="str">
        <f t="array" ref="I325">IF(ISNUMBER(AC325),INDEX('All Player Data Store'!$E$7:$E$594,SMALL(IF('All Player Data Store'!$Y$7:$Y$594=AC325,ROW('All Player Data Store'!$Y$7:$Y$594)-ROW('All Player Data Store'!$Y$7)+1),COUNTIF($AC$8:AC325,AC325))),"")</f>
        <v/>
      </c>
      <c r="J325" s="70" t="str">
        <f t="array" ref="J325">IF(ISNUMBER(AC325),INDEX('All Player Data Store'!$F$7:$F$594,SMALL(IF('All Player Data Store'!$Y$7:$Y$594=AC325,ROW('All Player Data Store'!$Y$7:$Y$594)-ROW('All Player Data Store'!$Y$7)+1),COUNTIF($AC$8:AC325,AC325))),"")</f>
        <v/>
      </c>
      <c r="K325" s="70" t="str">
        <f t="array" ref="K325">IF(ISNUMBER(AC325),INDEX('All Player Data Store'!$G$7:$G$594,SMALL(IF('All Player Data Store'!$Y$7:$Y$594=AC325,ROW('All Player Data Store'!$Y$7:$Y$594)-ROW('All Player Data Store'!$Y$7)+1),COUNTIF($AC$8:AC325,AC325))),"")</f>
        <v/>
      </c>
      <c r="L325" s="70" t="str">
        <f t="array" ref="L325">IF(ISNUMBER(AC325),INDEX('All Player Data Store'!$H$7:$H$594,SMALL(IF('All Player Data Store'!$Y$7:$Y$594=AC325,ROW('All Player Data Store'!$Y$7:$Y$594)-ROW('All Player Data Store'!$Y$7)+1),COUNTIF($AC$8:AC325,AC325))),"")</f>
        <v/>
      </c>
      <c r="M325" s="72" t="str">
        <f t="array" ref="M325">IF(ISNUMBER(AC325),INDEX('All Player Data Store'!$I$7:$I$594,SMALL(IF('All Player Data Store'!$Y$7:$Y$594=AC325,ROW('All Player Data Store'!$Y$7:$Y$594)-ROW('All Player Data Store'!$Y$7)+1),COUNTIF($AC$8:AC325,AC325))),"")</f>
        <v/>
      </c>
      <c r="N325" s="114" t="str">
        <f t="array" ref="N325">IF(ISNUMBER(AC325),INDEX('All Player Data Store'!$J$7:$J$594,SMALL(IF('All Player Data Store'!$Y$7:$Y$594=AC325,ROW('All Player Data Store'!$Y$7:$Y$594)-ROW('All Player Data Store'!$Y$7)+1),COUNTIF($AC$8:AC325,AC325))),"")</f>
        <v/>
      </c>
      <c r="O325" s="108" t="str">
        <f t="array" ref="O325">IF(ISNUMBER(AC325),INDEX('All Player Data Store'!$K$7:$K$594,SMALL(IF('All Player Data Store'!$Y$7:$Y$594=AC325,ROW('All Player Data Store'!$Y$7:$Y$594)-ROW('All Player Data Store'!$Y$7)+1),COUNTIF($AC$8:AC325,AC325))),"")</f>
        <v/>
      </c>
      <c r="P325" s="108" t="str">
        <f t="array" ref="P325">IF(ISNUMBER(AC325),INDEX('All Player Data Store'!$L$7:$L$594,SMALL(IF('All Player Data Store'!$Y$7:$Y$594=AC325,ROW('All Player Data Store'!$Y$7:$Y$594)-ROW('All Player Data Store'!$Y$7)+1),COUNTIF($AC$8:AC325,AC325))),"")</f>
        <v/>
      </c>
      <c r="Q325" s="108" t="str">
        <f t="array" ref="Q325">IF(ISNUMBER(AC325),INDEX('All Player Data Store'!$M$7:$M$594,SMALL(IF('All Player Data Store'!$Y$7:$Y$594=AC325,ROW('All Player Data Store'!$Y$7:$Y$594)-ROW('All Player Data Store'!$Y$7)+1),COUNTIF($AC$8:AC325,AC325))),"")</f>
        <v/>
      </c>
      <c r="R325" s="108" t="str">
        <f t="array" ref="R325">IF(ISNUMBER(AC325),INDEX('All Player Data Store'!$N$7:$N$594,SMALL(IF('All Player Data Store'!$Y$7:$Y$594=AC325,ROW('All Player Data Store'!$Y$7:$Y$594)-ROW('All Player Data Store'!$Y$7)+1),COUNTIF($AC$8:AC325,AC325))),"")</f>
        <v/>
      </c>
      <c r="S325" s="108" t="str">
        <f t="array" ref="S325">IF(ISNUMBER(AC325),INDEX('All Player Data Store'!$O$7:$O$594,SMALL(IF('All Player Data Store'!$Y$7:$Y$594=AC325,ROW('All Player Data Store'!$Y$7:$Y$594)-ROW('All Player Data Store'!$Y$7)+1),COUNTIF($AC$8:AC325,AC325))),"")</f>
        <v/>
      </c>
      <c r="T325" s="108" t="str">
        <f t="array" ref="T325">IF(ISNUMBER(AC325),INDEX('All Player Data Store'!$P$7:$P$594,SMALL(IF('All Player Data Store'!$Y$7:$Y$594=AC325,ROW('All Player Data Store'!$Y$7:$Y$594)-ROW('All Player Data Store'!$Y$7)+1),COUNTIF($AC$8:AC325,AC325))),"")</f>
        <v/>
      </c>
      <c r="U325" s="108" t="str">
        <f t="array" ref="U325">IF(ISNUMBER(AC325),INDEX('All Player Data Store'!$Q$7:$Q$594,SMALL(IF('All Player Data Store'!$Y$7:$Y$594=AC325,ROW('All Player Data Store'!$Y$7:$Y$594)-ROW('All Player Data Store'!$Y$7)+1),COUNTIF($AC$8:AC325,AC325))),"")</f>
        <v/>
      </c>
      <c r="V325" s="108" t="str">
        <f t="array" ref="V325">IF(ISNUMBER(AC325),INDEX('All Player Data Store'!$R$7:$R$594,SMALL(IF('All Player Data Store'!$Y$7:$Y$594=AC325,ROW('All Player Data Store'!$Y$7:$Y$594)-ROW('All Player Data Store'!$Y$7)+1),COUNTIF($AC$8:AC325,AC325))),"")</f>
        <v/>
      </c>
      <c r="W325" s="108" t="str">
        <f t="array" ref="W325">IF(ISNUMBER(AC325),INDEX('All Player Data Store'!$S$7:$S$594,SMALL(IF('All Player Data Store'!$Y$7:$Y$594=AC325,ROW('All Player Data Store'!$Y$7:$Y$594)-ROW('All Player Data Store'!$Y$7)+1),COUNTIF($AC$8:AC325,AC325))),"")</f>
        <v/>
      </c>
      <c r="X325" s="108" t="str">
        <f t="array" ref="X325">IF(ISNUMBER(AC325),INDEX('All Player Data Store'!$T$7:$T$594,SMALL(IF('All Player Data Store'!$Y$7:$Y$594=AC325,ROW('All Player Data Store'!$Y$7:$Y$594)-ROW('All Player Data Store'!$Y$7)+1),COUNTIF($AC$8:AC325,AC325))),"")</f>
        <v/>
      </c>
      <c r="Y325" s="108" t="str">
        <f t="array" ref="Y325">IF(ISNUMBER(AC325),INDEX('All Player Data Store'!$U$7:$U$594,SMALL(IF('All Player Data Store'!$Y$7:$Y$594=AC325,ROW('All Player Data Store'!$Y$7:$Y$594)-ROW('All Player Data Store'!$Y$7)+1),COUNTIF($AC$8:AC325,AC325))),"")</f>
        <v/>
      </c>
      <c r="Z325" s="108" t="str">
        <f t="array" ref="Z325">IF(ISNUMBER(AC325),INDEX('All Player Data Store'!$V$7:$V$594,SMALL(IF('All Player Data Store'!$Y$7:$Y$594=AC325,ROW('All Player Data Store'!$Y$7:$Y$594)-ROW('All Player Data Store'!$Y$7)+1),COUNTIF($AC$8:AC325,AC325))),"")</f>
        <v/>
      </c>
      <c r="AA325" s="112" t="str">
        <f t="array" ref="AA325">IF(ISNUMBER(AC325),INDEX('All Player Data Store'!$W$7:$W$594,SMALL(IF('All Player Data Store'!$Y$7:$Y$594=AC325,ROW('All Player Data Store'!$Y$7:$Y$594)-ROW('All Player Data Store'!$Y$7)+1),COUNTIF($AC$8:AC325,AC325))),"")</f>
        <v/>
      </c>
      <c r="AB325" s="108" t="str">
        <f t="array" ref="AB325">IF(ISNUMBER(AC325),INDEX('All Player Data Store'!$X$7:$X$594,SMALL(IF('All Player Data Store'!$Y$7:$Y$594=AC325,ROW('All Player Data Store'!$Y$7:$Y$594)-ROW('All Player Data Store'!$Y$7)+1),COUNTIF($AC$8:AC325,AC325))),"")</f>
        <v/>
      </c>
      <c r="AC325" s="115" t="str">
        <f>IF(ISERROR(IF(ISERROR(LARGE('All Player Data Store'!$Y$7:$Y$594,318)),"",(LARGE('All Player Data Store'!$Y$7:$Y$594,318)))),"",(IF(ISERROR(LARGE('All Player Data Store'!$Y$7:$Y$594,318)),"",(LARGE('All Player Data Store'!$Y$7:$Y$594,318)))))</f>
        <v/>
      </c>
      <c r="AD325" s="106">
        <f t="shared" si="16"/>
        <v>1</v>
      </c>
      <c r="AE325" s="107" t="str">
        <f t="array" ref="AE325">IF(ISNUMBER(AC325),INDEX('All Player Data Store'!$J$8:$J$594,SMALL(IF('All Player Data Store'!$Y$7:$Y$594=AC325,ROW('All Player Data Store'!$Y$7:$Y$594)-ROW('All Player Data Store'!$Y$7)+1),COUNTIF($AC$8:AC325,AC325))),"")</f>
        <v/>
      </c>
      <c r="AF325" s="108" t="str">
        <f t="shared" si="19"/>
        <v/>
      </c>
      <c r="AG325" s="108" t="str">
        <f t="array" ref="AG325">IF(ISNUMBER(AC325),INDEX('All Player Data Store'!$K$8:$K$594,SMALL(IF('All Player Data Store'!$Y$7:$Y$594=AC325,ROW('All Player Data Store'!$Y$7:$Y$594)-ROW('All Player Data Store'!$Y$7)+1),COUNTIF($AC$8:AC325,AC325))),"")</f>
        <v/>
      </c>
      <c r="AH325" s="108" t="str">
        <f t="shared" si="20"/>
        <v/>
      </c>
      <c r="AI325" s="108" t="str">
        <f t="array" ref="AI325">IF(ISNUMBER(AC325),INDEX('All Player Data Store'!$L$8:$L$594,SMALL(IF('All Player Data Store'!$Y$7:$Y$594=AC325,ROW('All Player Data Store'!$Y$7:$Y$594)-ROW('All Player Data Store'!$Y$7)+1),COUNTIF($AC$8:AC325,AC325))),"")</f>
        <v/>
      </c>
      <c r="AJ325" s="108" t="str">
        <f t="shared" si="21"/>
        <v/>
      </c>
      <c r="AK325" s="108" t="str">
        <f t="array" ref="AK325">IF(ISNUMBER(AC325),INDEX('All Player Data Store'!$M$8:$M$594,SMALL(IF('All Player Data Store'!$Y$7:$Y$594=AC325,ROW('All Player Data Store'!$Y$7:$Y$594)-ROW('All Player Data Store'!$Y$7)+1),COUNTIF($AC$8:AC325,AC325))),"")</f>
        <v/>
      </c>
      <c r="AL325" s="108" t="str">
        <f t="shared" si="22"/>
        <v/>
      </c>
      <c r="AM325" s="108" t="str">
        <f t="array" ref="AM325">IF(ISNUMBER(AC325),INDEX('All Player Data Store'!$N$8:$N$594,SMALL(IF('All Player Data Store'!$Y$7:$Y$594=AC325,ROW('All Player Data Store'!$Y$7:$Y$594)-ROW('All Player Data Store'!$Y$7)+1),COUNTIF($AC$8:AC325,AC325))),"")</f>
        <v/>
      </c>
      <c r="AN325" s="108" t="str">
        <f t="shared" si="23"/>
        <v/>
      </c>
      <c r="AO325" s="108" t="str">
        <f t="array" ref="AO325">IF(ISNUMBER(AC325),INDEX('All Player Data Store'!$O$8:$O$594,SMALL(IF('All Player Data Store'!$Y$7:$Y$594=AC325,ROW('All Player Data Store'!$Y$7:$Y$594)-ROW('All Player Data Store'!$Y$7)+1),COUNTIF($AC$8:AC325,AC325))),"")</f>
        <v/>
      </c>
      <c r="AP325" s="108" t="str">
        <f t="shared" si="24"/>
        <v/>
      </c>
      <c r="AQ325" s="108" t="str">
        <f t="array" ref="AQ325">IF(ISNUMBER(AC325),INDEX('All Player Data Store'!$P$8:$P$594,SMALL(IF('All Player Data Store'!$Y$7:$Y$594=AC325,ROW('All Player Data Store'!$Y$7:$Y$594)-ROW('All Player Data Store'!$Y$7)+1),COUNTIF($AC$8:AC325,AC325))),"")</f>
        <v/>
      </c>
      <c r="AR325" s="108" t="str">
        <f t="shared" si="25"/>
        <v/>
      </c>
      <c r="AS325" s="108" t="str">
        <f t="array" ref="AS325">IF(ISNUMBER(AC325),INDEX('All Player Data Store'!$Q$8:$Q$594,SMALL(IF('All Player Data Store'!$Y$7:$Y$594=AC325,ROW('All Player Data Store'!$Y$7:$Y$594)-ROW('All Player Data Store'!$Y$7)+1),COUNTIF($AC$8:AC325,AC325))),"")</f>
        <v/>
      </c>
      <c r="AT325" s="108" t="str">
        <f t="shared" si="26"/>
        <v/>
      </c>
      <c r="AU325" s="108" t="str">
        <f t="array" ref="AU325">IF(ISNUMBER(AC325),INDEX('All Player Data Store'!$R$8:$R$594,SMALL(IF('All Player Data Store'!$Y$7:$Y$594=AC325,ROW('All Player Data Store'!$Y$7:$Y$594)-ROW('All Player Data Store'!$Y$7)+1),COUNTIF($AC$8:AC325,AC325))),"")</f>
        <v/>
      </c>
      <c r="AV325" s="108" t="str">
        <f t="shared" si="27"/>
        <v/>
      </c>
      <c r="AW325" s="108" t="str">
        <f t="array" ref="AW325">IF(ISNUMBER(AC325),INDEX('All Player Data Store'!$S$8:$S$594,SMALL(IF('All Player Data Store'!$Y$7:$Y$594=AC325,ROW('All Player Data Store'!$Y$7:$Y$594)-ROW('All Player Data Store'!$Y$7)+1),COUNTIF($AC$8:AC325,AC325))),"")</f>
        <v/>
      </c>
      <c r="AX325" s="108" t="str">
        <f t="shared" si="28"/>
        <v/>
      </c>
      <c r="AY325" s="108" t="str">
        <f t="array" ref="AY325">IF(ISNUMBER(AC325),INDEX('All Player Data Store'!$T$8:$T$594,SMALL(IF('All Player Data Store'!$Y$7:$Y$594=AC325,ROW('All Player Data Store'!$Y$7:$Y$594)-ROW('All Player Data Store'!$Y$7)+1),COUNTIF($AC$8:AC325,AC325))),"")</f>
        <v/>
      </c>
      <c r="AZ325" s="108" t="str">
        <f t="shared" si="29"/>
        <v/>
      </c>
      <c r="BA325" s="108" t="str">
        <f t="array" ref="BA325">IF(ISNUMBER(AC325),INDEX('All Player Data Store'!$U$8:$U$594,SMALL(IF('All Player Data Store'!$Y$7:$Y$594=AC325,ROW('All Player Data Store'!$Y$7:$Y$594)-ROW('All Player Data Store'!$Y$7)+1),COUNTIF($AC$8:AC325,AC325))),"")</f>
        <v/>
      </c>
      <c r="BB325" s="108" t="str">
        <f t="shared" si="30"/>
        <v/>
      </c>
      <c r="BC325" s="108" t="str">
        <f t="array" ref="BC325">IF(ISNUMBER(AC325),INDEX('All Player Data Store'!$V$8:$V$594,SMALL(IF('All Player Data Store'!$Y$7:$Y$594=AC325,ROW('All Player Data Store'!$Y$7:$Y$594)-ROW('All Player Data Store'!$Y$7)+1),COUNTIF($AC$8:AC325,AC325))),"")</f>
        <v/>
      </c>
      <c r="BD325" s="108" t="str">
        <f t="shared" si="31"/>
        <v/>
      </c>
      <c r="BE325" s="1"/>
    </row>
    <row r="326" spans="2:57" ht="12" customHeight="1" x14ac:dyDescent="0.2">
      <c r="B326" s="118" t="str">
        <f t="shared" si="17"/>
        <v/>
      </c>
      <c r="C326" s="1"/>
      <c r="D326" s="68" t="str">
        <f t="shared" si="18"/>
        <v/>
      </c>
      <c r="E326" s="2"/>
      <c r="F326" s="78">
        <v>319</v>
      </c>
      <c r="G326" s="110" t="str">
        <f t="array" ref="G326">IF(ISNUMBER(AC326),INDEX('All Player Data Store'!$C$7:$C$594,SMALL(IF('All Player Data Store'!$Y$7:$Y$594=AC326,ROW('All Player Data Store'!$Y$7:$Y$594)-ROW('All Player Data Store'!$Y$7)+1),COUNTIF($AC$8:AC326,AC326))),"")</f>
        <v/>
      </c>
      <c r="H326" s="68" t="str">
        <f t="array" ref="H326">IF(ISNUMBER(AC326),INDEX('All Player Data Store'!$D$7:$D$594,SMALL(IF('All Player Data Store'!$Y$7:$Y$594=AC326,ROW('All Player Data Store'!$Y$7:$Y$594)-ROW('All Player Data Store'!$Y$7)+1),COUNTIF($AC$8:AC326,AC326))),"")</f>
        <v/>
      </c>
      <c r="I326" s="69" t="str">
        <f t="array" ref="I326">IF(ISNUMBER(AC326),INDEX('All Player Data Store'!$E$7:$E$594,SMALL(IF('All Player Data Store'!$Y$7:$Y$594=AC326,ROW('All Player Data Store'!$Y$7:$Y$594)-ROW('All Player Data Store'!$Y$7)+1),COUNTIF($AC$8:AC326,AC326))),"")</f>
        <v/>
      </c>
      <c r="J326" s="70" t="str">
        <f t="array" ref="J326">IF(ISNUMBER(AC326),INDEX('All Player Data Store'!$F$7:$F$594,SMALL(IF('All Player Data Store'!$Y$7:$Y$594=AC326,ROW('All Player Data Store'!$Y$7:$Y$594)-ROW('All Player Data Store'!$Y$7)+1),COUNTIF($AC$8:AC326,AC326))),"")</f>
        <v/>
      </c>
      <c r="K326" s="70" t="str">
        <f t="array" ref="K326">IF(ISNUMBER(AC326),INDEX('All Player Data Store'!$G$7:$G$594,SMALL(IF('All Player Data Store'!$Y$7:$Y$594=AC326,ROW('All Player Data Store'!$Y$7:$Y$594)-ROW('All Player Data Store'!$Y$7)+1),COUNTIF($AC$8:AC326,AC326))),"")</f>
        <v/>
      </c>
      <c r="L326" s="70" t="str">
        <f t="array" ref="L326">IF(ISNUMBER(AC326),INDEX('All Player Data Store'!$H$7:$H$594,SMALL(IF('All Player Data Store'!$Y$7:$Y$594=AC326,ROW('All Player Data Store'!$Y$7:$Y$594)-ROW('All Player Data Store'!$Y$7)+1),COUNTIF($AC$8:AC326,AC326))),"")</f>
        <v/>
      </c>
      <c r="M326" s="72" t="str">
        <f t="array" ref="M326">IF(ISNUMBER(AC326),INDEX('All Player Data Store'!$I$7:$I$594,SMALL(IF('All Player Data Store'!$Y$7:$Y$594=AC326,ROW('All Player Data Store'!$Y$7:$Y$594)-ROW('All Player Data Store'!$Y$7)+1),COUNTIF($AC$8:AC326,AC326))),"")</f>
        <v/>
      </c>
      <c r="N326" s="114" t="str">
        <f t="array" ref="N326">IF(ISNUMBER(AC326),INDEX('All Player Data Store'!$J$7:$J$594,SMALL(IF('All Player Data Store'!$Y$7:$Y$594=AC326,ROW('All Player Data Store'!$Y$7:$Y$594)-ROW('All Player Data Store'!$Y$7)+1),COUNTIF($AC$8:AC326,AC326))),"")</f>
        <v/>
      </c>
      <c r="O326" s="108" t="str">
        <f t="array" ref="O326">IF(ISNUMBER(AC326),INDEX('All Player Data Store'!$K$7:$K$594,SMALL(IF('All Player Data Store'!$Y$7:$Y$594=AC326,ROW('All Player Data Store'!$Y$7:$Y$594)-ROW('All Player Data Store'!$Y$7)+1),COUNTIF($AC$8:AC326,AC326))),"")</f>
        <v/>
      </c>
      <c r="P326" s="108" t="str">
        <f t="array" ref="P326">IF(ISNUMBER(AC326),INDEX('All Player Data Store'!$L$7:$L$594,SMALL(IF('All Player Data Store'!$Y$7:$Y$594=AC326,ROW('All Player Data Store'!$Y$7:$Y$594)-ROW('All Player Data Store'!$Y$7)+1),COUNTIF($AC$8:AC326,AC326))),"")</f>
        <v/>
      </c>
      <c r="Q326" s="108" t="str">
        <f t="array" ref="Q326">IF(ISNUMBER(AC326),INDEX('All Player Data Store'!$M$7:$M$594,SMALL(IF('All Player Data Store'!$Y$7:$Y$594=AC326,ROW('All Player Data Store'!$Y$7:$Y$594)-ROW('All Player Data Store'!$Y$7)+1),COUNTIF($AC$8:AC326,AC326))),"")</f>
        <v/>
      </c>
      <c r="R326" s="108" t="str">
        <f t="array" ref="R326">IF(ISNUMBER(AC326),INDEX('All Player Data Store'!$N$7:$N$594,SMALL(IF('All Player Data Store'!$Y$7:$Y$594=AC326,ROW('All Player Data Store'!$Y$7:$Y$594)-ROW('All Player Data Store'!$Y$7)+1),COUNTIF($AC$8:AC326,AC326))),"")</f>
        <v/>
      </c>
      <c r="S326" s="108" t="str">
        <f t="array" ref="S326">IF(ISNUMBER(AC326),INDEX('All Player Data Store'!$O$7:$O$594,SMALL(IF('All Player Data Store'!$Y$7:$Y$594=AC326,ROW('All Player Data Store'!$Y$7:$Y$594)-ROW('All Player Data Store'!$Y$7)+1),COUNTIF($AC$8:AC326,AC326))),"")</f>
        <v/>
      </c>
      <c r="T326" s="108" t="str">
        <f t="array" ref="T326">IF(ISNUMBER(AC326),INDEX('All Player Data Store'!$P$7:$P$594,SMALL(IF('All Player Data Store'!$Y$7:$Y$594=AC326,ROW('All Player Data Store'!$Y$7:$Y$594)-ROW('All Player Data Store'!$Y$7)+1),COUNTIF($AC$8:AC326,AC326))),"")</f>
        <v/>
      </c>
      <c r="U326" s="108" t="str">
        <f t="array" ref="U326">IF(ISNUMBER(AC326),INDEX('All Player Data Store'!$Q$7:$Q$594,SMALL(IF('All Player Data Store'!$Y$7:$Y$594=AC326,ROW('All Player Data Store'!$Y$7:$Y$594)-ROW('All Player Data Store'!$Y$7)+1),COUNTIF($AC$8:AC326,AC326))),"")</f>
        <v/>
      </c>
      <c r="V326" s="108" t="str">
        <f t="array" ref="V326">IF(ISNUMBER(AC326),INDEX('All Player Data Store'!$R$7:$R$594,SMALL(IF('All Player Data Store'!$Y$7:$Y$594=AC326,ROW('All Player Data Store'!$Y$7:$Y$594)-ROW('All Player Data Store'!$Y$7)+1),COUNTIF($AC$8:AC326,AC326))),"")</f>
        <v/>
      </c>
      <c r="W326" s="108" t="str">
        <f t="array" ref="W326">IF(ISNUMBER(AC326),INDEX('All Player Data Store'!$S$7:$S$594,SMALL(IF('All Player Data Store'!$Y$7:$Y$594=AC326,ROW('All Player Data Store'!$Y$7:$Y$594)-ROW('All Player Data Store'!$Y$7)+1),COUNTIF($AC$8:AC326,AC326))),"")</f>
        <v/>
      </c>
      <c r="X326" s="108" t="str">
        <f t="array" ref="X326">IF(ISNUMBER(AC326),INDEX('All Player Data Store'!$T$7:$T$594,SMALL(IF('All Player Data Store'!$Y$7:$Y$594=AC326,ROW('All Player Data Store'!$Y$7:$Y$594)-ROW('All Player Data Store'!$Y$7)+1),COUNTIF($AC$8:AC326,AC326))),"")</f>
        <v/>
      </c>
      <c r="Y326" s="108" t="str">
        <f t="array" ref="Y326">IF(ISNUMBER(AC326),INDEX('All Player Data Store'!$U$7:$U$594,SMALL(IF('All Player Data Store'!$Y$7:$Y$594=AC326,ROW('All Player Data Store'!$Y$7:$Y$594)-ROW('All Player Data Store'!$Y$7)+1),COUNTIF($AC$8:AC326,AC326))),"")</f>
        <v/>
      </c>
      <c r="Z326" s="108" t="str">
        <f t="array" ref="Z326">IF(ISNUMBER(AC326),INDEX('All Player Data Store'!$V$7:$V$594,SMALL(IF('All Player Data Store'!$Y$7:$Y$594=AC326,ROW('All Player Data Store'!$Y$7:$Y$594)-ROW('All Player Data Store'!$Y$7)+1),COUNTIF($AC$8:AC326,AC326))),"")</f>
        <v/>
      </c>
      <c r="AA326" s="112" t="str">
        <f t="array" ref="AA326">IF(ISNUMBER(AC326),INDEX('All Player Data Store'!$W$7:$W$594,SMALL(IF('All Player Data Store'!$Y$7:$Y$594=AC326,ROW('All Player Data Store'!$Y$7:$Y$594)-ROW('All Player Data Store'!$Y$7)+1),COUNTIF($AC$8:AC326,AC326))),"")</f>
        <v/>
      </c>
      <c r="AB326" s="108" t="str">
        <f t="array" ref="AB326">IF(ISNUMBER(AC326),INDEX('All Player Data Store'!$X$7:$X$594,SMALL(IF('All Player Data Store'!$Y$7:$Y$594=AC326,ROW('All Player Data Store'!$Y$7:$Y$594)-ROW('All Player Data Store'!$Y$7)+1),COUNTIF($AC$8:AC326,AC326))),"")</f>
        <v/>
      </c>
      <c r="AC326" s="115" t="str">
        <f>IF(ISERROR(IF(ISERROR(LARGE('All Player Data Store'!$Y$7:$Y$594,319)),"",(LARGE('All Player Data Store'!$Y$7:$Y$594,319)))),"",(IF(ISERROR(LARGE('All Player Data Store'!$Y$7:$Y$594,319)),"",(LARGE('All Player Data Store'!$Y$7:$Y$594,319)))))</f>
        <v/>
      </c>
      <c r="AD326" s="106">
        <f t="shared" si="16"/>
        <v>1</v>
      </c>
      <c r="AE326" s="107" t="str">
        <f t="array" ref="AE326">IF(ISNUMBER(AC326),INDEX('All Player Data Store'!$J$8:$J$594,SMALL(IF('All Player Data Store'!$Y$7:$Y$594=AC326,ROW('All Player Data Store'!$Y$7:$Y$594)-ROW('All Player Data Store'!$Y$7)+1),COUNTIF($AC$8:AC326,AC326))),"")</f>
        <v/>
      </c>
      <c r="AF326" s="108" t="str">
        <f t="shared" si="19"/>
        <v/>
      </c>
      <c r="AG326" s="108" t="str">
        <f t="array" ref="AG326">IF(ISNUMBER(AC326),INDEX('All Player Data Store'!$K$8:$K$594,SMALL(IF('All Player Data Store'!$Y$7:$Y$594=AC326,ROW('All Player Data Store'!$Y$7:$Y$594)-ROW('All Player Data Store'!$Y$7)+1),COUNTIF($AC$8:AC326,AC326))),"")</f>
        <v/>
      </c>
      <c r="AH326" s="108" t="str">
        <f t="shared" si="20"/>
        <v/>
      </c>
      <c r="AI326" s="108" t="str">
        <f t="array" ref="AI326">IF(ISNUMBER(AC326),INDEX('All Player Data Store'!$L$8:$L$594,SMALL(IF('All Player Data Store'!$Y$7:$Y$594=AC326,ROW('All Player Data Store'!$Y$7:$Y$594)-ROW('All Player Data Store'!$Y$7)+1),COUNTIF($AC$8:AC326,AC326))),"")</f>
        <v/>
      </c>
      <c r="AJ326" s="108" t="str">
        <f t="shared" si="21"/>
        <v/>
      </c>
      <c r="AK326" s="108" t="str">
        <f t="array" ref="AK326">IF(ISNUMBER(AC326),INDEX('All Player Data Store'!$M$8:$M$594,SMALL(IF('All Player Data Store'!$Y$7:$Y$594=AC326,ROW('All Player Data Store'!$Y$7:$Y$594)-ROW('All Player Data Store'!$Y$7)+1),COUNTIF($AC$8:AC326,AC326))),"")</f>
        <v/>
      </c>
      <c r="AL326" s="108" t="str">
        <f t="shared" si="22"/>
        <v/>
      </c>
      <c r="AM326" s="108" t="str">
        <f t="array" ref="AM326">IF(ISNUMBER(AC326),INDEX('All Player Data Store'!$N$8:$N$594,SMALL(IF('All Player Data Store'!$Y$7:$Y$594=AC326,ROW('All Player Data Store'!$Y$7:$Y$594)-ROW('All Player Data Store'!$Y$7)+1),COUNTIF($AC$8:AC326,AC326))),"")</f>
        <v/>
      </c>
      <c r="AN326" s="108" t="str">
        <f t="shared" si="23"/>
        <v/>
      </c>
      <c r="AO326" s="108" t="str">
        <f t="array" ref="AO326">IF(ISNUMBER(AC326),INDEX('All Player Data Store'!$O$8:$O$594,SMALL(IF('All Player Data Store'!$Y$7:$Y$594=AC326,ROW('All Player Data Store'!$Y$7:$Y$594)-ROW('All Player Data Store'!$Y$7)+1),COUNTIF($AC$8:AC326,AC326))),"")</f>
        <v/>
      </c>
      <c r="AP326" s="108" t="str">
        <f t="shared" si="24"/>
        <v/>
      </c>
      <c r="AQ326" s="108" t="str">
        <f t="array" ref="AQ326">IF(ISNUMBER(AC326),INDEX('All Player Data Store'!$P$8:$P$594,SMALL(IF('All Player Data Store'!$Y$7:$Y$594=AC326,ROW('All Player Data Store'!$Y$7:$Y$594)-ROW('All Player Data Store'!$Y$7)+1),COUNTIF($AC$8:AC326,AC326))),"")</f>
        <v/>
      </c>
      <c r="AR326" s="108" t="str">
        <f t="shared" si="25"/>
        <v/>
      </c>
      <c r="AS326" s="108" t="str">
        <f t="array" ref="AS326">IF(ISNUMBER(AC326),INDEX('All Player Data Store'!$Q$8:$Q$594,SMALL(IF('All Player Data Store'!$Y$7:$Y$594=AC326,ROW('All Player Data Store'!$Y$7:$Y$594)-ROW('All Player Data Store'!$Y$7)+1),COUNTIF($AC$8:AC326,AC326))),"")</f>
        <v/>
      </c>
      <c r="AT326" s="108" t="str">
        <f t="shared" si="26"/>
        <v/>
      </c>
      <c r="AU326" s="108" t="str">
        <f t="array" ref="AU326">IF(ISNUMBER(AC326),INDEX('All Player Data Store'!$R$8:$R$594,SMALL(IF('All Player Data Store'!$Y$7:$Y$594=AC326,ROW('All Player Data Store'!$Y$7:$Y$594)-ROW('All Player Data Store'!$Y$7)+1),COUNTIF($AC$8:AC326,AC326))),"")</f>
        <v/>
      </c>
      <c r="AV326" s="108" t="str">
        <f t="shared" si="27"/>
        <v/>
      </c>
      <c r="AW326" s="108" t="str">
        <f t="array" ref="AW326">IF(ISNUMBER(AC326),INDEX('All Player Data Store'!$S$8:$S$594,SMALL(IF('All Player Data Store'!$Y$7:$Y$594=AC326,ROW('All Player Data Store'!$Y$7:$Y$594)-ROW('All Player Data Store'!$Y$7)+1),COUNTIF($AC$8:AC326,AC326))),"")</f>
        <v/>
      </c>
      <c r="AX326" s="108" t="str">
        <f t="shared" si="28"/>
        <v/>
      </c>
      <c r="AY326" s="108" t="str">
        <f t="array" ref="AY326">IF(ISNUMBER(AC326),INDEX('All Player Data Store'!$T$8:$T$594,SMALL(IF('All Player Data Store'!$Y$7:$Y$594=AC326,ROW('All Player Data Store'!$Y$7:$Y$594)-ROW('All Player Data Store'!$Y$7)+1),COUNTIF($AC$8:AC326,AC326))),"")</f>
        <v/>
      </c>
      <c r="AZ326" s="108" t="str">
        <f t="shared" si="29"/>
        <v/>
      </c>
      <c r="BA326" s="108" t="str">
        <f t="array" ref="BA326">IF(ISNUMBER(AC326),INDEX('All Player Data Store'!$U$8:$U$594,SMALL(IF('All Player Data Store'!$Y$7:$Y$594=AC326,ROW('All Player Data Store'!$Y$7:$Y$594)-ROW('All Player Data Store'!$Y$7)+1),COUNTIF($AC$8:AC326,AC326))),"")</f>
        <v/>
      </c>
      <c r="BB326" s="108" t="str">
        <f t="shared" si="30"/>
        <v/>
      </c>
      <c r="BC326" s="108" t="str">
        <f t="array" ref="BC326">IF(ISNUMBER(AC326),INDEX('All Player Data Store'!$V$8:$V$594,SMALL(IF('All Player Data Store'!$Y$7:$Y$594=AC326,ROW('All Player Data Store'!$Y$7:$Y$594)-ROW('All Player Data Store'!$Y$7)+1),COUNTIF($AC$8:AC326,AC326))),"")</f>
        <v/>
      </c>
      <c r="BD326" s="108" t="str">
        <f t="shared" si="31"/>
        <v/>
      </c>
      <c r="BE326" s="1"/>
    </row>
    <row r="327" spans="2:57" ht="12" customHeight="1" x14ac:dyDescent="0.2">
      <c r="B327" s="118" t="str">
        <f t="shared" si="17"/>
        <v/>
      </c>
      <c r="C327" s="1"/>
      <c r="D327" s="68" t="str">
        <f t="shared" si="18"/>
        <v/>
      </c>
      <c r="E327" s="2"/>
      <c r="F327" s="78">
        <v>320</v>
      </c>
      <c r="G327" s="110" t="str">
        <f t="array" ref="G327">IF(ISNUMBER(AC327),INDEX('All Player Data Store'!$C$7:$C$594,SMALL(IF('All Player Data Store'!$Y$7:$Y$594=AC327,ROW('All Player Data Store'!$Y$7:$Y$594)-ROW('All Player Data Store'!$Y$7)+1),COUNTIF($AC$8:AC327,AC327))),"")</f>
        <v/>
      </c>
      <c r="H327" s="68" t="str">
        <f t="array" ref="H327">IF(ISNUMBER(AC327),INDEX('All Player Data Store'!$D$7:$D$594,SMALL(IF('All Player Data Store'!$Y$7:$Y$594=AC327,ROW('All Player Data Store'!$Y$7:$Y$594)-ROW('All Player Data Store'!$Y$7)+1),COUNTIF($AC$8:AC327,AC327))),"")</f>
        <v/>
      </c>
      <c r="I327" s="69" t="str">
        <f t="array" ref="I327">IF(ISNUMBER(AC327),INDEX('All Player Data Store'!$E$7:$E$594,SMALL(IF('All Player Data Store'!$Y$7:$Y$594=AC327,ROW('All Player Data Store'!$Y$7:$Y$594)-ROW('All Player Data Store'!$Y$7)+1),COUNTIF($AC$8:AC327,AC327))),"")</f>
        <v/>
      </c>
      <c r="J327" s="70" t="str">
        <f t="array" ref="J327">IF(ISNUMBER(AC327),INDEX('All Player Data Store'!$F$7:$F$594,SMALL(IF('All Player Data Store'!$Y$7:$Y$594=AC327,ROW('All Player Data Store'!$Y$7:$Y$594)-ROW('All Player Data Store'!$Y$7)+1),COUNTIF($AC$8:AC327,AC327))),"")</f>
        <v/>
      </c>
      <c r="K327" s="70" t="str">
        <f t="array" ref="K327">IF(ISNUMBER(AC327),INDEX('All Player Data Store'!$G$7:$G$594,SMALL(IF('All Player Data Store'!$Y$7:$Y$594=AC327,ROW('All Player Data Store'!$Y$7:$Y$594)-ROW('All Player Data Store'!$Y$7)+1),COUNTIF($AC$8:AC327,AC327))),"")</f>
        <v/>
      </c>
      <c r="L327" s="70" t="str">
        <f t="array" ref="L327">IF(ISNUMBER(AC327),INDEX('All Player Data Store'!$H$7:$H$594,SMALL(IF('All Player Data Store'!$Y$7:$Y$594=AC327,ROW('All Player Data Store'!$Y$7:$Y$594)-ROW('All Player Data Store'!$Y$7)+1),COUNTIF($AC$8:AC327,AC327))),"")</f>
        <v/>
      </c>
      <c r="M327" s="72" t="str">
        <f t="array" ref="M327">IF(ISNUMBER(AC327),INDEX('All Player Data Store'!$I$7:$I$594,SMALL(IF('All Player Data Store'!$Y$7:$Y$594=AC327,ROW('All Player Data Store'!$Y$7:$Y$594)-ROW('All Player Data Store'!$Y$7)+1),COUNTIF($AC$8:AC327,AC327))),"")</f>
        <v/>
      </c>
      <c r="N327" s="114" t="str">
        <f t="array" ref="N327">IF(ISNUMBER(AC327),INDEX('All Player Data Store'!$J$7:$J$594,SMALL(IF('All Player Data Store'!$Y$7:$Y$594=AC327,ROW('All Player Data Store'!$Y$7:$Y$594)-ROW('All Player Data Store'!$Y$7)+1),COUNTIF($AC$8:AC327,AC327))),"")</f>
        <v/>
      </c>
      <c r="O327" s="108" t="str">
        <f t="array" ref="O327">IF(ISNUMBER(AC327),INDEX('All Player Data Store'!$K$7:$K$594,SMALL(IF('All Player Data Store'!$Y$7:$Y$594=AC327,ROW('All Player Data Store'!$Y$7:$Y$594)-ROW('All Player Data Store'!$Y$7)+1),COUNTIF($AC$8:AC327,AC327))),"")</f>
        <v/>
      </c>
      <c r="P327" s="108" t="str">
        <f t="array" ref="P327">IF(ISNUMBER(AC327),INDEX('All Player Data Store'!$L$7:$L$594,SMALL(IF('All Player Data Store'!$Y$7:$Y$594=AC327,ROW('All Player Data Store'!$Y$7:$Y$594)-ROW('All Player Data Store'!$Y$7)+1),COUNTIF($AC$8:AC327,AC327))),"")</f>
        <v/>
      </c>
      <c r="Q327" s="108" t="str">
        <f t="array" ref="Q327">IF(ISNUMBER(AC327),INDEX('All Player Data Store'!$M$7:$M$594,SMALL(IF('All Player Data Store'!$Y$7:$Y$594=AC327,ROW('All Player Data Store'!$Y$7:$Y$594)-ROW('All Player Data Store'!$Y$7)+1),COUNTIF($AC$8:AC327,AC327))),"")</f>
        <v/>
      </c>
      <c r="R327" s="108" t="str">
        <f t="array" ref="R327">IF(ISNUMBER(AC327),INDEX('All Player Data Store'!$N$7:$N$594,SMALL(IF('All Player Data Store'!$Y$7:$Y$594=AC327,ROW('All Player Data Store'!$Y$7:$Y$594)-ROW('All Player Data Store'!$Y$7)+1),COUNTIF($AC$8:AC327,AC327))),"")</f>
        <v/>
      </c>
      <c r="S327" s="108" t="str">
        <f t="array" ref="S327">IF(ISNUMBER(AC327),INDEX('All Player Data Store'!$O$7:$O$594,SMALL(IF('All Player Data Store'!$Y$7:$Y$594=AC327,ROW('All Player Data Store'!$Y$7:$Y$594)-ROW('All Player Data Store'!$Y$7)+1),COUNTIF($AC$8:AC327,AC327))),"")</f>
        <v/>
      </c>
      <c r="T327" s="108" t="str">
        <f t="array" ref="T327">IF(ISNUMBER(AC327),INDEX('All Player Data Store'!$P$7:$P$594,SMALL(IF('All Player Data Store'!$Y$7:$Y$594=AC327,ROW('All Player Data Store'!$Y$7:$Y$594)-ROW('All Player Data Store'!$Y$7)+1),COUNTIF($AC$8:AC327,AC327))),"")</f>
        <v/>
      </c>
      <c r="U327" s="108" t="str">
        <f t="array" ref="U327">IF(ISNUMBER(AC327),INDEX('All Player Data Store'!$Q$7:$Q$594,SMALL(IF('All Player Data Store'!$Y$7:$Y$594=AC327,ROW('All Player Data Store'!$Y$7:$Y$594)-ROW('All Player Data Store'!$Y$7)+1),COUNTIF($AC$8:AC327,AC327))),"")</f>
        <v/>
      </c>
      <c r="V327" s="108" t="str">
        <f t="array" ref="V327">IF(ISNUMBER(AC327),INDEX('All Player Data Store'!$R$7:$R$594,SMALL(IF('All Player Data Store'!$Y$7:$Y$594=AC327,ROW('All Player Data Store'!$Y$7:$Y$594)-ROW('All Player Data Store'!$Y$7)+1),COUNTIF($AC$8:AC327,AC327))),"")</f>
        <v/>
      </c>
      <c r="W327" s="108" t="str">
        <f t="array" ref="W327">IF(ISNUMBER(AC327),INDEX('All Player Data Store'!$S$7:$S$594,SMALL(IF('All Player Data Store'!$Y$7:$Y$594=AC327,ROW('All Player Data Store'!$Y$7:$Y$594)-ROW('All Player Data Store'!$Y$7)+1),COUNTIF($AC$8:AC327,AC327))),"")</f>
        <v/>
      </c>
      <c r="X327" s="108" t="str">
        <f t="array" ref="X327">IF(ISNUMBER(AC327),INDEX('All Player Data Store'!$T$7:$T$594,SMALL(IF('All Player Data Store'!$Y$7:$Y$594=AC327,ROW('All Player Data Store'!$Y$7:$Y$594)-ROW('All Player Data Store'!$Y$7)+1),COUNTIF($AC$8:AC327,AC327))),"")</f>
        <v/>
      </c>
      <c r="Y327" s="108" t="str">
        <f t="array" ref="Y327">IF(ISNUMBER(AC327),INDEX('All Player Data Store'!$U$7:$U$594,SMALL(IF('All Player Data Store'!$Y$7:$Y$594=AC327,ROW('All Player Data Store'!$Y$7:$Y$594)-ROW('All Player Data Store'!$Y$7)+1),COUNTIF($AC$8:AC327,AC327))),"")</f>
        <v/>
      </c>
      <c r="Z327" s="108" t="str">
        <f t="array" ref="Z327">IF(ISNUMBER(AC327),INDEX('All Player Data Store'!$V$7:$V$594,SMALL(IF('All Player Data Store'!$Y$7:$Y$594=AC327,ROW('All Player Data Store'!$Y$7:$Y$594)-ROW('All Player Data Store'!$Y$7)+1),COUNTIF($AC$8:AC327,AC327))),"")</f>
        <v/>
      </c>
      <c r="AA327" s="112" t="str">
        <f t="array" ref="AA327">IF(ISNUMBER(AC327),INDEX('All Player Data Store'!$W$7:$W$594,SMALL(IF('All Player Data Store'!$Y$7:$Y$594=AC327,ROW('All Player Data Store'!$Y$7:$Y$594)-ROW('All Player Data Store'!$Y$7)+1),COUNTIF($AC$8:AC327,AC327))),"")</f>
        <v/>
      </c>
      <c r="AB327" s="108" t="str">
        <f t="array" ref="AB327">IF(ISNUMBER(AC327),INDEX('All Player Data Store'!$X$7:$X$594,SMALL(IF('All Player Data Store'!$Y$7:$Y$594=AC327,ROW('All Player Data Store'!$Y$7:$Y$594)-ROW('All Player Data Store'!$Y$7)+1),COUNTIF($AC$8:AC327,AC327))),"")</f>
        <v/>
      </c>
      <c r="AC327" s="115" t="str">
        <f>IF(ISERROR(IF(ISERROR(LARGE('All Player Data Store'!$Y$7:$Y$594,320)),"",(LARGE('All Player Data Store'!$Y$7:$Y$594,320)))),"",(IF(ISERROR(LARGE('All Player Data Store'!$Y$7:$Y$594,320)),"",(LARGE('All Player Data Store'!$Y$7:$Y$594,320)))))</f>
        <v/>
      </c>
      <c r="AD327" s="106">
        <f t="shared" si="16"/>
        <v>1</v>
      </c>
      <c r="AE327" s="107" t="str">
        <f t="array" ref="AE327">IF(ISNUMBER(AC327),INDEX('All Player Data Store'!$J$8:$J$594,SMALL(IF('All Player Data Store'!$Y$7:$Y$594=AC327,ROW('All Player Data Store'!$Y$7:$Y$594)-ROW('All Player Data Store'!$Y$7)+1),COUNTIF($AC$8:AC327,AC327))),"")</f>
        <v/>
      </c>
      <c r="AF327" s="108" t="str">
        <f t="shared" si="19"/>
        <v/>
      </c>
      <c r="AG327" s="108" t="str">
        <f t="array" ref="AG327">IF(ISNUMBER(AC327),INDEX('All Player Data Store'!$K$8:$K$594,SMALL(IF('All Player Data Store'!$Y$7:$Y$594=AC327,ROW('All Player Data Store'!$Y$7:$Y$594)-ROW('All Player Data Store'!$Y$7)+1),COUNTIF($AC$8:AC327,AC327))),"")</f>
        <v/>
      </c>
      <c r="AH327" s="108" t="str">
        <f t="shared" si="20"/>
        <v/>
      </c>
      <c r="AI327" s="108" t="str">
        <f t="array" ref="AI327">IF(ISNUMBER(AC327),INDEX('All Player Data Store'!$L$8:$L$594,SMALL(IF('All Player Data Store'!$Y$7:$Y$594=AC327,ROW('All Player Data Store'!$Y$7:$Y$594)-ROW('All Player Data Store'!$Y$7)+1),COUNTIF($AC$8:AC327,AC327))),"")</f>
        <v/>
      </c>
      <c r="AJ327" s="108" t="str">
        <f t="shared" si="21"/>
        <v/>
      </c>
      <c r="AK327" s="108" t="str">
        <f t="array" ref="AK327">IF(ISNUMBER(AC327),INDEX('All Player Data Store'!$M$8:$M$594,SMALL(IF('All Player Data Store'!$Y$7:$Y$594=AC327,ROW('All Player Data Store'!$Y$7:$Y$594)-ROW('All Player Data Store'!$Y$7)+1),COUNTIF($AC$8:AC327,AC327))),"")</f>
        <v/>
      </c>
      <c r="AL327" s="108" t="str">
        <f t="shared" si="22"/>
        <v/>
      </c>
      <c r="AM327" s="108" t="str">
        <f t="array" ref="AM327">IF(ISNUMBER(AC327),INDEX('All Player Data Store'!$N$8:$N$594,SMALL(IF('All Player Data Store'!$Y$7:$Y$594=AC327,ROW('All Player Data Store'!$Y$7:$Y$594)-ROW('All Player Data Store'!$Y$7)+1),COUNTIF($AC$8:AC327,AC327))),"")</f>
        <v/>
      </c>
      <c r="AN327" s="108" t="str">
        <f t="shared" si="23"/>
        <v/>
      </c>
      <c r="AO327" s="108" t="str">
        <f t="array" ref="AO327">IF(ISNUMBER(AC327),INDEX('All Player Data Store'!$O$8:$O$594,SMALL(IF('All Player Data Store'!$Y$7:$Y$594=AC327,ROW('All Player Data Store'!$Y$7:$Y$594)-ROW('All Player Data Store'!$Y$7)+1),COUNTIF($AC$8:AC327,AC327))),"")</f>
        <v/>
      </c>
      <c r="AP327" s="108" t="str">
        <f t="shared" si="24"/>
        <v/>
      </c>
      <c r="AQ327" s="108" t="str">
        <f t="array" ref="AQ327">IF(ISNUMBER(AC327),INDEX('All Player Data Store'!$P$8:$P$594,SMALL(IF('All Player Data Store'!$Y$7:$Y$594=AC327,ROW('All Player Data Store'!$Y$7:$Y$594)-ROW('All Player Data Store'!$Y$7)+1),COUNTIF($AC$8:AC327,AC327))),"")</f>
        <v/>
      </c>
      <c r="AR327" s="108" t="str">
        <f t="shared" si="25"/>
        <v/>
      </c>
      <c r="AS327" s="108" t="str">
        <f t="array" ref="AS327">IF(ISNUMBER(AC327),INDEX('All Player Data Store'!$Q$8:$Q$594,SMALL(IF('All Player Data Store'!$Y$7:$Y$594=AC327,ROW('All Player Data Store'!$Y$7:$Y$594)-ROW('All Player Data Store'!$Y$7)+1),COUNTIF($AC$8:AC327,AC327))),"")</f>
        <v/>
      </c>
      <c r="AT327" s="108" t="str">
        <f t="shared" si="26"/>
        <v/>
      </c>
      <c r="AU327" s="108" t="str">
        <f t="array" ref="AU327">IF(ISNUMBER(AC327),INDEX('All Player Data Store'!$R$8:$R$594,SMALL(IF('All Player Data Store'!$Y$7:$Y$594=AC327,ROW('All Player Data Store'!$Y$7:$Y$594)-ROW('All Player Data Store'!$Y$7)+1),COUNTIF($AC$8:AC327,AC327))),"")</f>
        <v/>
      </c>
      <c r="AV327" s="108" t="str">
        <f t="shared" si="27"/>
        <v/>
      </c>
      <c r="AW327" s="108" t="str">
        <f t="array" ref="AW327">IF(ISNUMBER(AC327),INDEX('All Player Data Store'!$S$8:$S$594,SMALL(IF('All Player Data Store'!$Y$7:$Y$594=AC327,ROW('All Player Data Store'!$Y$7:$Y$594)-ROW('All Player Data Store'!$Y$7)+1),COUNTIF($AC$8:AC327,AC327))),"")</f>
        <v/>
      </c>
      <c r="AX327" s="108" t="str">
        <f t="shared" si="28"/>
        <v/>
      </c>
      <c r="AY327" s="108" t="str">
        <f t="array" ref="AY327">IF(ISNUMBER(AC327),INDEX('All Player Data Store'!$T$8:$T$594,SMALL(IF('All Player Data Store'!$Y$7:$Y$594=AC327,ROW('All Player Data Store'!$Y$7:$Y$594)-ROW('All Player Data Store'!$Y$7)+1),COUNTIF($AC$8:AC327,AC327))),"")</f>
        <v/>
      </c>
      <c r="AZ327" s="108" t="str">
        <f t="shared" si="29"/>
        <v/>
      </c>
      <c r="BA327" s="108" t="str">
        <f t="array" ref="BA327">IF(ISNUMBER(AC327),INDEX('All Player Data Store'!$U$8:$U$594,SMALL(IF('All Player Data Store'!$Y$7:$Y$594=AC327,ROW('All Player Data Store'!$Y$7:$Y$594)-ROW('All Player Data Store'!$Y$7)+1),COUNTIF($AC$8:AC327,AC327))),"")</f>
        <v/>
      </c>
      <c r="BB327" s="108" t="str">
        <f t="shared" si="30"/>
        <v/>
      </c>
      <c r="BC327" s="108" t="str">
        <f t="array" ref="BC327">IF(ISNUMBER(AC327),INDEX('All Player Data Store'!$V$8:$V$594,SMALL(IF('All Player Data Store'!$Y$7:$Y$594=AC327,ROW('All Player Data Store'!$Y$7:$Y$594)-ROW('All Player Data Store'!$Y$7)+1),COUNTIF($AC$8:AC327,AC327))),"")</f>
        <v/>
      </c>
      <c r="BD327" s="108" t="str">
        <f t="shared" si="31"/>
        <v/>
      </c>
      <c r="BE327" s="1"/>
    </row>
    <row r="328" spans="2:57" ht="12" customHeight="1" x14ac:dyDescent="0.2">
      <c r="B328" s="118" t="str">
        <f t="shared" si="17"/>
        <v/>
      </c>
      <c r="C328" s="1"/>
      <c r="D328" s="68" t="str">
        <f t="shared" si="18"/>
        <v/>
      </c>
      <c r="E328" s="2"/>
      <c r="F328" s="78">
        <v>321</v>
      </c>
      <c r="G328" s="110" t="str">
        <f t="array" ref="G328">IF(ISNUMBER(AC328),INDEX('All Player Data Store'!$C$7:$C$594,SMALL(IF('All Player Data Store'!$Y$7:$Y$594=AC328,ROW('All Player Data Store'!$Y$7:$Y$594)-ROW('All Player Data Store'!$Y$7)+1),COUNTIF($AC$8:AC328,AC328))),"")</f>
        <v/>
      </c>
      <c r="H328" s="68" t="str">
        <f t="array" ref="H328">IF(ISNUMBER(AC328),INDEX('All Player Data Store'!$D$7:$D$594,SMALL(IF('All Player Data Store'!$Y$7:$Y$594=AC328,ROW('All Player Data Store'!$Y$7:$Y$594)-ROW('All Player Data Store'!$Y$7)+1),COUNTIF($AC$8:AC328,AC328))),"")</f>
        <v/>
      </c>
      <c r="I328" s="69" t="str">
        <f t="array" ref="I328">IF(ISNUMBER(AC328),INDEX('All Player Data Store'!$E$7:$E$594,SMALL(IF('All Player Data Store'!$Y$7:$Y$594=AC328,ROW('All Player Data Store'!$Y$7:$Y$594)-ROW('All Player Data Store'!$Y$7)+1),COUNTIF($AC$8:AC328,AC328))),"")</f>
        <v/>
      </c>
      <c r="J328" s="70" t="str">
        <f t="array" ref="J328">IF(ISNUMBER(AC328),INDEX('All Player Data Store'!$F$7:$F$594,SMALL(IF('All Player Data Store'!$Y$7:$Y$594=AC328,ROW('All Player Data Store'!$Y$7:$Y$594)-ROW('All Player Data Store'!$Y$7)+1),COUNTIF($AC$8:AC328,AC328))),"")</f>
        <v/>
      </c>
      <c r="K328" s="70" t="str">
        <f t="array" ref="K328">IF(ISNUMBER(AC328),INDEX('All Player Data Store'!$G$7:$G$594,SMALL(IF('All Player Data Store'!$Y$7:$Y$594=AC328,ROW('All Player Data Store'!$Y$7:$Y$594)-ROW('All Player Data Store'!$Y$7)+1),COUNTIF($AC$8:AC328,AC328))),"")</f>
        <v/>
      </c>
      <c r="L328" s="70" t="str">
        <f t="array" ref="L328">IF(ISNUMBER(AC328),INDEX('All Player Data Store'!$H$7:$H$594,SMALL(IF('All Player Data Store'!$Y$7:$Y$594=AC328,ROW('All Player Data Store'!$Y$7:$Y$594)-ROW('All Player Data Store'!$Y$7)+1),COUNTIF($AC$8:AC328,AC328))),"")</f>
        <v/>
      </c>
      <c r="M328" s="72" t="str">
        <f t="array" ref="M328">IF(ISNUMBER(AC328),INDEX('All Player Data Store'!$I$7:$I$594,SMALL(IF('All Player Data Store'!$Y$7:$Y$594=AC328,ROW('All Player Data Store'!$Y$7:$Y$594)-ROW('All Player Data Store'!$Y$7)+1),COUNTIF($AC$8:AC328,AC328))),"")</f>
        <v/>
      </c>
      <c r="N328" s="114" t="str">
        <f t="array" ref="N328">IF(ISNUMBER(AC328),INDEX('All Player Data Store'!$J$7:$J$594,SMALL(IF('All Player Data Store'!$Y$7:$Y$594=AC328,ROW('All Player Data Store'!$Y$7:$Y$594)-ROW('All Player Data Store'!$Y$7)+1),COUNTIF($AC$8:AC328,AC328))),"")</f>
        <v/>
      </c>
      <c r="O328" s="108" t="str">
        <f t="array" ref="O328">IF(ISNUMBER(AC328),INDEX('All Player Data Store'!$K$7:$K$594,SMALL(IF('All Player Data Store'!$Y$7:$Y$594=AC328,ROW('All Player Data Store'!$Y$7:$Y$594)-ROW('All Player Data Store'!$Y$7)+1),COUNTIF($AC$8:AC328,AC328))),"")</f>
        <v/>
      </c>
      <c r="P328" s="108" t="str">
        <f t="array" ref="P328">IF(ISNUMBER(AC328),INDEX('All Player Data Store'!$L$7:$L$594,SMALL(IF('All Player Data Store'!$Y$7:$Y$594=AC328,ROW('All Player Data Store'!$Y$7:$Y$594)-ROW('All Player Data Store'!$Y$7)+1),COUNTIF($AC$8:AC328,AC328))),"")</f>
        <v/>
      </c>
      <c r="Q328" s="108" t="str">
        <f t="array" ref="Q328">IF(ISNUMBER(AC328),INDEX('All Player Data Store'!$M$7:$M$594,SMALL(IF('All Player Data Store'!$Y$7:$Y$594=AC328,ROW('All Player Data Store'!$Y$7:$Y$594)-ROW('All Player Data Store'!$Y$7)+1),COUNTIF($AC$8:AC328,AC328))),"")</f>
        <v/>
      </c>
      <c r="R328" s="108" t="str">
        <f t="array" ref="R328">IF(ISNUMBER(AC328),INDEX('All Player Data Store'!$N$7:$N$594,SMALL(IF('All Player Data Store'!$Y$7:$Y$594=AC328,ROW('All Player Data Store'!$Y$7:$Y$594)-ROW('All Player Data Store'!$Y$7)+1),COUNTIF($AC$8:AC328,AC328))),"")</f>
        <v/>
      </c>
      <c r="S328" s="108" t="str">
        <f t="array" ref="S328">IF(ISNUMBER(AC328),INDEX('All Player Data Store'!$O$7:$O$594,SMALL(IF('All Player Data Store'!$Y$7:$Y$594=AC328,ROW('All Player Data Store'!$Y$7:$Y$594)-ROW('All Player Data Store'!$Y$7)+1),COUNTIF($AC$8:AC328,AC328))),"")</f>
        <v/>
      </c>
      <c r="T328" s="108" t="str">
        <f t="array" ref="T328">IF(ISNUMBER(AC328),INDEX('All Player Data Store'!$P$7:$P$594,SMALL(IF('All Player Data Store'!$Y$7:$Y$594=AC328,ROW('All Player Data Store'!$Y$7:$Y$594)-ROW('All Player Data Store'!$Y$7)+1),COUNTIF($AC$8:AC328,AC328))),"")</f>
        <v/>
      </c>
      <c r="U328" s="108" t="str">
        <f t="array" ref="U328">IF(ISNUMBER(AC328),INDEX('All Player Data Store'!$Q$7:$Q$594,SMALL(IF('All Player Data Store'!$Y$7:$Y$594=AC328,ROW('All Player Data Store'!$Y$7:$Y$594)-ROW('All Player Data Store'!$Y$7)+1),COUNTIF($AC$8:AC328,AC328))),"")</f>
        <v/>
      </c>
      <c r="V328" s="108" t="str">
        <f t="array" ref="V328">IF(ISNUMBER(AC328),INDEX('All Player Data Store'!$R$7:$R$594,SMALL(IF('All Player Data Store'!$Y$7:$Y$594=AC328,ROW('All Player Data Store'!$Y$7:$Y$594)-ROW('All Player Data Store'!$Y$7)+1),COUNTIF($AC$8:AC328,AC328))),"")</f>
        <v/>
      </c>
      <c r="W328" s="108" t="str">
        <f t="array" ref="W328">IF(ISNUMBER(AC328),INDEX('All Player Data Store'!$S$7:$S$594,SMALL(IF('All Player Data Store'!$Y$7:$Y$594=AC328,ROW('All Player Data Store'!$Y$7:$Y$594)-ROW('All Player Data Store'!$Y$7)+1),COUNTIF($AC$8:AC328,AC328))),"")</f>
        <v/>
      </c>
      <c r="X328" s="108" t="str">
        <f t="array" ref="X328">IF(ISNUMBER(AC328),INDEX('All Player Data Store'!$T$7:$T$594,SMALL(IF('All Player Data Store'!$Y$7:$Y$594=AC328,ROW('All Player Data Store'!$Y$7:$Y$594)-ROW('All Player Data Store'!$Y$7)+1),COUNTIF($AC$8:AC328,AC328))),"")</f>
        <v/>
      </c>
      <c r="Y328" s="108" t="str">
        <f t="array" ref="Y328">IF(ISNUMBER(AC328),INDEX('All Player Data Store'!$U$7:$U$594,SMALL(IF('All Player Data Store'!$Y$7:$Y$594=AC328,ROW('All Player Data Store'!$Y$7:$Y$594)-ROW('All Player Data Store'!$Y$7)+1),COUNTIF($AC$8:AC328,AC328))),"")</f>
        <v/>
      </c>
      <c r="Z328" s="108" t="str">
        <f t="array" ref="Z328">IF(ISNUMBER(AC328),INDEX('All Player Data Store'!$V$7:$V$594,SMALL(IF('All Player Data Store'!$Y$7:$Y$594=AC328,ROW('All Player Data Store'!$Y$7:$Y$594)-ROW('All Player Data Store'!$Y$7)+1),COUNTIF($AC$8:AC328,AC328))),"")</f>
        <v/>
      </c>
      <c r="AA328" s="112" t="str">
        <f t="array" ref="AA328">IF(ISNUMBER(AC328),INDEX('All Player Data Store'!$W$7:$W$594,SMALL(IF('All Player Data Store'!$Y$7:$Y$594=AC328,ROW('All Player Data Store'!$Y$7:$Y$594)-ROW('All Player Data Store'!$Y$7)+1),COUNTIF($AC$8:AC328,AC328))),"")</f>
        <v/>
      </c>
      <c r="AB328" s="108" t="str">
        <f t="array" ref="AB328">IF(ISNUMBER(AC328),INDEX('All Player Data Store'!$X$7:$X$594,SMALL(IF('All Player Data Store'!$Y$7:$Y$594=AC328,ROW('All Player Data Store'!$Y$7:$Y$594)-ROW('All Player Data Store'!$Y$7)+1),COUNTIF($AC$8:AC328,AC328))),"")</f>
        <v/>
      </c>
      <c r="AC328" s="115" t="str">
        <f>IF(ISERROR(IF(ISERROR(LARGE('All Player Data Store'!$Y$7:$Y$594,321)),"",(LARGE('All Player Data Store'!$Y$7:$Y$594,321)))),"",(IF(ISERROR(LARGE('All Player Data Store'!$Y$7:$Y$594,321)),"",(LARGE('All Player Data Store'!$Y$7:$Y$594,321)))))</f>
        <v/>
      </c>
      <c r="AD328" s="106">
        <f t="shared" si="16"/>
        <v>1</v>
      </c>
      <c r="AE328" s="107" t="str">
        <f t="array" ref="AE328">IF(ISNUMBER(AC328),INDEX('All Player Data Store'!$J$8:$J$594,SMALL(IF('All Player Data Store'!$Y$7:$Y$594=AC328,ROW('All Player Data Store'!$Y$7:$Y$594)-ROW('All Player Data Store'!$Y$7)+1),COUNTIF($AC$8:AC328,AC328))),"")</f>
        <v/>
      </c>
      <c r="AF328" s="108" t="str">
        <f t="shared" si="19"/>
        <v/>
      </c>
      <c r="AG328" s="108" t="str">
        <f t="array" ref="AG328">IF(ISNUMBER(AC328),INDEX('All Player Data Store'!$K$8:$K$594,SMALL(IF('All Player Data Store'!$Y$7:$Y$594=AC328,ROW('All Player Data Store'!$Y$7:$Y$594)-ROW('All Player Data Store'!$Y$7)+1),COUNTIF($AC$8:AC328,AC328))),"")</f>
        <v/>
      </c>
      <c r="AH328" s="108" t="str">
        <f t="shared" si="20"/>
        <v/>
      </c>
      <c r="AI328" s="108" t="str">
        <f t="array" ref="AI328">IF(ISNUMBER(AC328),INDEX('All Player Data Store'!$L$8:$L$594,SMALL(IF('All Player Data Store'!$Y$7:$Y$594=AC328,ROW('All Player Data Store'!$Y$7:$Y$594)-ROW('All Player Data Store'!$Y$7)+1),COUNTIF($AC$8:AC328,AC328))),"")</f>
        <v/>
      </c>
      <c r="AJ328" s="108" t="str">
        <f t="shared" si="21"/>
        <v/>
      </c>
      <c r="AK328" s="108" t="str">
        <f t="array" ref="AK328">IF(ISNUMBER(AC328),INDEX('All Player Data Store'!$M$8:$M$594,SMALL(IF('All Player Data Store'!$Y$7:$Y$594=AC328,ROW('All Player Data Store'!$Y$7:$Y$594)-ROW('All Player Data Store'!$Y$7)+1),COUNTIF($AC$8:AC328,AC328))),"")</f>
        <v/>
      </c>
      <c r="AL328" s="108" t="str">
        <f t="shared" si="22"/>
        <v/>
      </c>
      <c r="AM328" s="108" t="str">
        <f t="array" ref="AM328">IF(ISNUMBER(AC328),INDEX('All Player Data Store'!$N$8:$N$594,SMALL(IF('All Player Data Store'!$Y$7:$Y$594=AC328,ROW('All Player Data Store'!$Y$7:$Y$594)-ROW('All Player Data Store'!$Y$7)+1),COUNTIF($AC$8:AC328,AC328))),"")</f>
        <v/>
      </c>
      <c r="AN328" s="108" t="str">
        <f t="shared" si="23"/>
        <v/>
      </c>
      <c r="AO328" s="108" t="str">
        <f t="array" ref="AO328">IF(ISNUMBER(AC328),INDEX('All Player Data Store'!$O$8:$O$594,SMALL(IF('All Player Data Store'!$Y$7:$Y$594=AC328,ROW('All Player Data Store'!$Y$7:$Y$594)-ROW('All Player Data Store'!$Y$7)+1),COUNTIF($AC$8:AC328,AC328))),"")</f>
        <v/>
      </c>
      <c r="AP328" s="108" t="str">
        <f t="shared" si="24"/>
        <v/>
      </c>
      <c r="AQ328" s="108" t="str">
        <f t="array" ref="AQ328">IF(ISNUMBER(AC328),INDEX('All Player Data Store'!$P$8:$P$594,SMALL(IF('All Player Data Store'!$Y$7:$Y$594=AC328,ROW('All Player Data Store'!$Y$7:$Y$594)-ROW('All Player Data Store'!$Y$7)+1),COUNTIF($AC$8:AC328,AC328))),"")</f>
        <v/>
      </c>
      <c r="AR328" s="108" t="str">
        <f t="shared" si="25"/>
        <v/>
      </c>
      <c r="AS328" s="108" t="str">
        <f t="array" ref="AS328">IF(ISNUMBER(AC328),INDEX('All Player Data Store'!$Q$8:$Q$594,SMALL(IF('All Player Data Store'!$Y$7:$Y$594=AC328,ROW('All Player Data Store'!$Y$7:$Y$594)-ROW('All Player Data Store'!$Y$7)+1),COUNTIF($AC$8:AC328,AC328))),"")</f>
        <v/>
      </c>
      <c r="AT328" s="108" t="str">
        <f t="shared" si="26"/>
        <v/>
      </c>
      <c r="AU328" s="108" t="str">
        <f t="array" ref="AU328">IF(ISNUMBER(AC328),INDEX('All Player Data Store'!$R$8:$R$594,SMALL(IF('All Player Data Store'!$Y$7:$Y$594=AC328,ROW('All Player Data Store'!$Y$7:$Y$594)-ROW('All Player Data Store'!$Y$7)+1),COUNTIF($AC$8:AC328,AC328))),"")</f>
        <v/>
      </c>
      <c r="AV328" s="108" t="str">
        <f t="shared" si="27"/>
        <v/>
      </c>
      <c r="AW328" s="108" t="str">
        <f t="array" ref="AW328">IF(ISNUMBER(AC328),INDEX('All Player Data Store'!$S$8:$S$594,SMALL(IF('All Player Data Store'!$Y$7:$Y$594=AC328,ROW('All Player Data Store'!$Y$7:$Y$594)-ROW('All Player Data Store'!$Y$7)+1),COUNTIF($AC$8:AC328,AC328))),"")</f>
        <v/>
      </c>
      <c r="AX328" s="108" t="str">
        <f t="shared" si="28"/>
        <v/>
      </c>
      <c r="AY328" s="108" t="str">
        <f t="array" ref="AY328">IF(ISNUMBER(AC328),INDEX('All Player Data Store'!$T$8:$T$594,SMALL(IF('All Player Data Store'!$Y$7:$Y$594=AC328,ROW('All Player Data Store'!$Y$7:$Y$594)-ROW('All Player Data Store'!$Y$7)+1),COUNTIF($AC$8:AC328,AC328))),"")</f>
        <v/>
      </c>
      <c r="AZ328" s="108" t="str">
        <f t="shared" si="29"/>
        <v/>
      </c>
      <c r="BA328" s="108" t="str">
        <f t="array" ref="BA328">IF(ISNUMBER(AC328),INDEX('All Player Data Store'!$U$8:$U$594,SMALL(IF('All Player Data Store'!$Y$7:$Y$594=AC328,ROW('All Player Data Store'!$Y$7:$Y$594)-ROW('All Player Data Store'!$Y$7)+1),COUNTIF($AC$8:AC328,AC328))),"")</f>
        <v/>
      </c>
      <c r="BB328" s="108" t="str">
        <f t="shared" si="30"/>
        <v/>
      </c>
      <c r="BC328" s="108" t="str">
        <f t="array" ref="BC328">IF(ISNUMBER(AC328),INDEX('All Player Data Store'!$V$8:$V$594,SMALL(IF('All Player Data Store'!$Y$7:$Y$594=AC328,ROW('All Player Data Store'!$Y$7:$Y$594)-ROW('All Player Data Store'!$Y$7)+1),COUNTIF($AC$8:AC328,AC328))),"")</f>
        <v/>
      </c>
      <c r="BD328" s="108" t="str">
        <f t="shared" si="31"/>
        <v/>
      </c>
      <c r="BE328" s="1"/>
    </row>
    <row r="329" spans="2:57" ht="12" customHeight="1" x14ac:dyDescent="0.2">
      <c r="B329" s="118" t="str">
        <f t="shared" si="17"/>
        <v/>
      </c>
      <c r="C329" s="1"/>
      <c r="D329" s="68" t="str">
        <f t="shared" si="18"/>
        <v/>
      </c>
      <c r="E329" s="2"/>
      <c r="F329" s="78">
        <v>322</v>
      </c>
      <c r="G329" s="110" t="str">
        <f t="array" ref="G329">IF(ISNUMBER(AC329),INDEX('All Player Data Store'!$C$7:$C$594,SMALL(IF('All Player Data Store'!$Y$7:$Y$594=AC329,ROW('All Player Data Store'!$Y$7:$Y$594)-ROW('All Player Data Store'!$Y$7)+1),COUNTIF($AC$8:AC329,AC329))),"")</f>
        <v/>
      </c>
      <c r="H329" s="68" t="str">
        <f t="array" ref="H329">IF(ISNUMBER(AC329),INDEX('All Player Data Store'!$D$7:$D$594,SMALL(IF('All Player Data Store'!$Y$7:$Y$594=AC329,ROW('All Player Data Store'!$Y$7:$Y$594)-ROW('All Player Data Store'!$Y$7)+1),COUNTIF($AC$8:AC329,AC329))),"")</f>
        <v/>
      </c>
      <c r="I329" s="69" t="str">
        <f t="array" ref="I329">IF(ISNUMBER(AC329),INDEX('All Player Data Store'!$E$7:$E$594,SMALL(IF('All Player Data Store'!$Y$7:$Y$594=AC329,ROW('All Player Data Store'!$Y$7:$Y$594)-ROW('All Player Data Store'!$Y$7)+1),COUNTIF($AC$8:AC329,AC329))),"")</f>
        <v/>
      </c>
      <c r="J329" s="70" t="str">
        <f t="array" ref="J329">IF(ISNUMBER(AC329),INDEX('All Player Data Store'!$F$7:$F$594,SMALL(IF('All Player Data Store'!$Y$7:$Y$594=AC329,ROW('All Player Data Store'!$Y$7:$Y$594)-ROW('All Player Data Store'!$Y$7)+1),COUNTIF($AC$8:AC329,AC329))),"")</f>
        <v/>
      </c>
      <c r="K329" s="70" t="str">
        <f t="array" ref="K329">IF(ISNUMBER(AC329),INDEX('All Player Data Store'!$G$7:$G$594,SMALL(IF('All Player Data Store'!$Y$7:$Y$594=AC329,ROW('All Player Data Store'!$Y$7:$Y$594)-ROW('All Player Data Store'!$Y$7)+1),COUNTIF($AC$8:AC329,AC329))),"")</f>
        <v/>
      </c>
      <c r="L329" s="70" t="str">
        <f t="array" ref="L329">IF(ISNUMBER(AC329),INDEX('All Player Data Store'!$H$7:$H$594,SMALL(IF('All Player Data Store'!$Y$7:$Y$594=AC329,ROW('All Player Data Store'!$Y$7:$Y$594)-ROW('All Player Data Store'!$Y$7)+1),COUNTIF($AC$8:AC329,AC329))),"")</f>
        <v/>
      </c>
      <c r="M329" s="72" t="str">
        <f t="array" ref="M329">IF(ISNUMBER(AC329),INDEX('All Player Data Store'!$I$7:$I$594,SMALL(IF('All Player Data Store'!$Y$7:$Y$594=AC329,ROW('All Player Data Store'!$Y$7:$Y$594)-ROW('All Player Data Store'!$Y$7)+1),COUNTIF($AC$8:AC329,AC329))),"")</f>
        <v/>
      </c>
      <c r="N329" s="114" t="str">
        <f t="array" ref="N329">IF(ISNUMBER(AC329),INDEX('All Player Data Store'!$J$7:$J$594,SMALL(IF('All Player Data Store'!$Y$7:$Y$594=AC329,ROW('All Player Data Store'!$Y$7:$Y$594)-ROW('All Player Data Store'!$Y$7)+1),COUNTIF($AC$8:AC329,AC329))),"")</f>
        <v/>
      </c>
      <c r="O329" s="108" t="str">
        <f t="array" ref="O329">IF(ISNUMBER(AC329),INDEX('All Player Data Store'!$K$7:$K$594,SMALL(IF('All Player Data Store'!$Y$7:$Y$594=AC329,ROW('All Player Data Store'!$Y$7:$Y$594)-ROW('All Player Data Store'!$Y$7)+1),COUNTIF($AC$8:AC329,AC329))),"")</f>
        <v/>
      </c>
      <c r="P329" s="108" t="str">
        <f t="array" ref="P329">IF(ISNUMBER(AC329),INDEX('All Player Data Store'!$L$7:$L$594,SMALL(IF('All Player Data Store'!$Y$7:$Y$594=AC329,ROW('All Player Data Store'!$Y$7:$Y$594)-ROW('All Player Data Store'!$Y$7)+1),COUNTIF($AC$8:AC329,AC329))),"")</f>
        <v/>
      </c>
      <c r="Q329" s="108" t="str">
        <f t="array" ref="Q329">IF(ISNUMBER(AC329),INDEX('All Player Data Store'!$M$7:$M$594,SMALL(IF('All Player Data Store'!$Y$7:$Y$594=AC329,ROW('All Player Data Store'!$Y$7:$Y$594)-ROW('All Player Data Store'!$Y$7)+1),COUNTIF($AC$8:AC329,AC329))),"")</f>
        <v/>
      </c>
      <c r="R329" s="108" t="str">
        <f t="array" ref="R329">IF(ISNUMBER(AC329),INDEX('All Player Data Store'!$N$7:$N$594,SMALL(IF('All Player Data Store'!$Y$7:$Y$594=AC329,ROW('All Player Data Store'!$Y$7:$Y$594)-ROW('All Player Data Store'!$Y$7)+1),COUNTIF($AC$8:AC329,AC329))),"")</f>
        <v/>
      </c>
      <c r="S329" s="108" t="str">
        <f t="array" ref="S329">IF(ISNUMBER(AC329),INDEX('All Player Data Store'!$O$7:$O$594,SMALL(IF('All Player Data Store'!$Y$7:$Y$594=AC329,ROW('All Player Data Store'!$Y$7:$Y$594)-ROW('All Player Data Store'!$Y$7)+1),COUNTIF($AC$8:AC329,AC329))),"")</f>
        <v/>
      </c>
      <c r="T329" s="108" t="str">
        <f t="array" ref="T329">IF(ISNUMBER(AC329),INDEX('All Player Data Store'!$P$7:$P$594,SMALL(IF('All Player Data Store'!$Y$7:$Y$594=AC329,ROW('All Player Data Store'!$Y$7:$Y$594)-ROW('All Player Data Store'!$Y$7)+1),COUNTIF($AC$8:AC329,AC329))),"")</f>
        <v/>
      </c>
      <c r="U329" s="108" t="str">
        <f t="array" ref="U329">IF(ISNUMBER(AC329),INDEX('All Player Data Store'!$Q$7:$Q$594,SMALL(IF('All Player Data Store'!$Y$7:$Y$594=AC329,ROW('All Player Data Store'!$Y$7:$Y$594)-ROW('All Player Data Store'!$Y$7)+1),COUNTIF($AC$8:AC329,AC329))),"")</f>
        <v/>
      </c>
      <c r="V329" s="108" t="str">
        <f t="array" ref="V329">IF(ISNUMBER(AC329),INDEX('All Player Data Store'!$R$7:$R$594,SMALL(IF('All Player Data Store'!$Y$7:$Y$594=AC329,ROW('All Player Data Store'!$Y$7:$Y$594)-ROW('All Player Data Store'!$Y$7)+1),COUNTIF($AC$8:AC329,AC329))),"")</f>
        <v/>
      </c>
      <c r="W329" s="108" t="str">
        <f t="array" ref="W329">IF(ISNUMBER(AC329),INDEX('All Player Data Store'!$S$7:$S$594,SMALL(IF('All Player Data Store'!$Y$7:$Y$594=AC329,ROW('All Player Data Store'!$Y$7:$Y$594)-ROW('All Player Data Store'!$Y$7)+1),COUNTIF($AC$8:AC329,AC329))),"")</f>
        <v/>
      </c>
      <c r="X329" s="108" t="str">
        <f t="array" ref="X329">IF(ISNUMBER(AC329),INDEX('All Player Data Store'!$T$7:$T$594,SMALL(IF('All Player Data Store'!$Y$7:$Y$594=AC329,ROW('All Player Data Store'!$Y$7:$Y$594)-ROW('All Player Data Store'!$Y$7)+1),COUNTIF($AC$8:AC329,AC329))),"")</f>
        <v/>
      </c>
      <c r="Y329" s="108" t="str">
        <f t="array" ref="Y329">IF(ISNUMBER(AC329),INDEX('All Player Data Store'!$U$7:$U$594,SMALL(IF('All Player Data Store'!$Y$7:$Y$594=AC329,ROW('All Player Data Store'!$Y$7:$Y$594)-ROW('All Player Data Store'!$Y$7)+1),COUNTIF($AC$8:AC329,AC329))),"")</f>
        <v/>
      </c>
      <c r="Z329" s="108" t="str">
        <f t="array" ref="Z329">IF(ISNUMBER(AC329),INDEX('All Player Data Store'!$V$7:$V$594,SMALL(IF('All Player Data Store'!$Y$7:$Y$594=AC329,ROW('All Player Data Store'!$Y$7:$Y$594)-ROW('All Player Data Store'!$Y$7)+1),COUNTIF($AC$8:AC329,AC329))),"")</f>
        <v/>
      </c>
      <c r="AA329" s="112" t="str">
        <f t="array" ref="AA329">IF(ISNUMBER(AC329),INDEX('All Player Data Store'!$W$7:$W$594,SMALL(IF('All Player Data Store'!$Y$7:$Y$594=AC329,ROW('All Player Data Store'!$Y$7:$Y$594)-ROW('All Player Data Store'!$Y$7)+1),COUNTIF($AC$8:AC329,AC329))),"")</f>
        <v/>
      </c>
      <c r="AB329" s="108" t="str">
        <f t="array" ref="AB329">IF(ISNUMBER(AC329),INDEX('All Player Data Store'!$X$7:$X$594,SMALL(IF('All Player Data Store'!$Y$7:$Y$594=AC329,ROW('All Player Data Store'!$Y$7:$Y$594)-ROW('All Player Data Store'!$Y$7)+1),COUNTIF($AC$8:AC329,AC329))),"")</f>
        <v/>
      </c>
      <c r="AC329" s="115" t="str">
        <f>IF(ISERROR(IF(ISERROR(LARGE('All Player Data Store'!$Y$7:$Y$594,322)),"",(LARGE('All Player Data Store'!$Y$7:$Y$594,322)))),"",(IF(ISERROR(LARGE('All Player Data Store'!$Y$7:$Y$594,322)),"",(LARGE('All Player Data Store'!$Y$7:$Y$594,322)))))</f>
        <v/>
      </c>
      <c r="AD329" s="106">
        <f t="shared" si="16"/>
        <v>1</v>
      </c>
      <c r="AE329" s="107" t="str">
        <f t="array" ref="AE329">IF(ISNUMBER(AC329),INDEX('All Player Data Store'!$J$8:$J$594,SMALL(IF('All Player Data Store'!$Y$7:$Y$594=AC329,ROW('All Player Data Store'!$Y$7:$Y$594)-ROW('All Player Data Store'!$Y$7)+1),COUNTIF($AC$8:AC329,AC329))),"")</f>
        <v/>
      </c>
      <c r="AF329" s="108" t="str">
        <f t="shared" si="19"/>
        <v/>
      </c>
      <c r="AG329" s="108" t="str">
        <f t="array" ref="AG329">IF(ISNUMBER(AC329),INDEX('All Player Data Store'!$K$8:$K$594,SMALL(IF('All Player Data Store'!$Y$7:$Y$594=AC329,ROW('All Player Data Store'!$Y$7:$Y$594)-ROW('All Player Data Store'!$Y$7)+1),COUNTIF($AC$8:AC329,AC329))),"")</f>
        <v/>
      </c>
      <c r="AH329" s="108" t="str">
        <f t="shared" si="20"/>
        <v/>
      </c>
      <c r="AI329" s="108" t="str">
        <f t="array" ref="AI329">IF(ISNUMBER(AC329),INDEX('All Player Data Store'!$L$8:$L$594,SMALL(IF('All Player Data Store'!$Y$7:$Y$594=AC329,ROW('All Player Data Store'!$Y$7:$Y$594)-ROW('All Player Data Store'!$Y$7)+1),COUNTIF($AC$8:AC329,AC329))),"")</f>
        <v/>
      </c>
      <c r="AJ329" s="108" t="str">
        <f t="shared" si="21"/>
        <v/>
      </c>
      <c r="AK329" s="108" t="str">
        <f t="array" ref="AK329">IF(ISNUMBER(AC329),INDEX('All Player Data Store'!$M$8:$M$594,SMALL(IF('All Player Data Store'!$Y$7:$Y$594=AC329,ROW('All Player Data Store'!$Y$7:$Y$594)-ROW('All Player Data Store'!$Y$7)+1),COUNTIF($AC$8:AC329,AC329))),"")</f>
        <v/>
      </c>
      <c r="AL329" s="108" t="str">
        <f t="shared" si="22"/>
        <v/>
      </c>
      <c r="AM329" s="108" t="str">
        <f t="array" ref="AM329">IF(ISNUMBER(AC329),INDEX('All Player Data Store'!$N$8:$N$594,SMALL(IF('All Player Data Store'!$Y$7:$Y$594=AC329,ROW('All Player Data Store'!$Y$7:$Y$594)-ROW('All Player Data Store'!$Y$7)+1),COUNTIF($AC$8:AC329,AC329))),"")</f>
        <v/>
      </c>
      <c r="AN329" s="108" t="str">
        <f t="shared" si="23"/>
        <v/>
      </c>
      <c r="AO329" s="108" t="str">
        <f t="array" ref="AO329">IF(ISNUMBER(AC329),INDEX('All Player Data Store'!$O$8:$O$594,SMALL(IF('All Player Data Store'!$Y$7:$Y$594=AC329,ROW('All Player Data Store'!$Y$7:$Y$594)-ROW('All Player Data Store'!$Y$7)+1),COUNTIF($AC$8:AC329,AC329))),"")</f>
        <v/>
      </c>
      <c r="AP329" s="108" t="str">
        <f t="shared" si="24"/>
        <v/>
      </c>
      <c r="AQ329" s="108" t="str">
        <f t="array" ref="AQ329">IF(ISNUMBER(AC329),INDEX('All Player Data Store'!$P$8:$P$594,SMALL(IF('All Player Data Store'!$Y$7:$Y$594=AC329,ROW('All Player Data Store'!$Y$7:$Y$594)-ROW('All Player Data Store'!$Y$7)+1),COUNTIF($AC$8:AC329,AC329))),"")</f>
        <v/>
      </c>
      <c r="AR329" s="108" t="str">
        <f t="shared" si="25"/>
        <v/>
      </c>
      <c r="AS329" s="108" t="str">
        <f t="array" ref="AS329">IF(ISNUMBER(AC329),INDEX('All Player Data Store'!$Q$8:$Q$594,SMALL(IF('All Player Data Store'!$Y$7:$Y$594=AC329,ROW('All Player Data Store'!$Y$7:$Y$594)-ROW('All Player Data Store'!$Y$7)+1),COUNTIF($AC$8:AC329,AC329))),"")</f>
        <v/>
      </c>
      <c r="AT329" s="108" t="str">
        <f t="shared" si="26"/>
        <v/>
      </c>
      <c r="AU329" s="108" t="str">
        <f t="array" ref="AU329">IF(ISNUMBER(AC329),INDEX('All Player Data Store'!$R$8:$R$594,SMALL(IF('All Player Data Store'!$Y$7:$Y$594=AC329,ROW('All Player Data Store'!$Y$7:$Y$594)-ROW('All Player Data Store'!$Y$7)+1),COUNTIF($AC$8:AC329,AC329))),"")</f>
        <v/>
      </c>
      <c r="AV329" s="108" t="str">
        <f t="shared" si="27"/>
        <v/>
      </c>
      <c r="AW329" s="108" t="str">
        <f t="array" ref="AW329">IF(ISNUMBER(AC329),INDEX('All Player Data Store'!$S$8:$S$594,SMALL(IF('All Player Data Store'!$Y$7:$Y$594=AC329,ROW('All Player Data Store'!$Y$7:$Y$594)-ROW('All Player Data Store'!$Y$7)+1),COUNTIF($AC$8:AC329,AC329))),"")</f>
        <v/>
      </c>
      <c r="AX329" s="108" t="str">
        <f t="shared" si="28"/>
        <v/>
      </c>
      <c r="AY329" s="108" t="str">
        <f t="array" ref="AY329">IF(ISNUMBER(AC329),INDEX('All Player Data Store'!$T$8:$T$594,SMALL(IF('All Player Data Store'!$Y$7:$Y$594=AC329,ROW('All Player Data Store'!$Y$7:$Y$594)-ROW('All Player Data Store'!$Y$7)+1),COUNTIF($AC$8:AC329,AC329))),"")</f>
        <v/>
      </c>
      <c r="AZ329" s="108" t="str">
        <f t="shared" si="29"/>
        <v/>
      </c>
      <c r="BA329" s="108" t="str">
        <f t="array" ref="BA329">IF(ISNUMBER(AC329),INDEX('All Player Data Store'!$U$8:$U$594,SMALL(IF('All Player Data Store'!$Y$7:$Y$594=AC329,ROW('All Player Data Store'!$Y$7:$Y$594)-ROW('All Player Data Store'!$Y$7)+1),COUNTIF($AC$8:AC329,AC329))),"")</f>
        <v/>
      </c>
      <c r="BB329" s="108" t="str">
        <f t="shared" si="30"/>
        <v/>
      </c>
      <c r="BC329" s="108" t="str">
        <f t="array" ref="BC329">IF(ISNUMBER(AC329),INDEX('All Player Data Store'!$V$8:$V$594,SMALL(IF('All Player Data Store'!$Y$7:$Y$594=AC329,ROW('All Player Data Store'!$Y$7:$Y$594)-ROW('All Player Data Store'!$Y$7)+1),COUNTIF($AC$8:AC329,AC329))),"")</f>
        <v/>
      </c>
      <c r="BD329" s="108" t="str">
        <f t="shared" si="31"/>
        <v/>
      </c>
      <c r="BE329" s="1"/>
    </row>
    <row r="330" spans="2:57" ht="12" customHeight="1" x14ac:dyDescent="0.2">
      <c r="B330" s="118" t="str">
        <f t="shared" si="17"/>
        <v/>
      </c>
      <c r="C330" s="1"/>
      <c r="D330" s="68" t="str">
        <f t="shared" si="18"/>
        <v/>
      </c>
      <c r="E330" s="2"/>
      <c r="F330" s="78">
        <v>323</v>
      </c>
      <c r="G330" s="110" t="str">
        <f t="array" ref="G330">IF(ISNUMBER(AC330),INDEX('All Player Data Store'!$C$7:$C$594,SMALL(IF('All Player Data Store'!$Y$7:$Y$594=AC330,ROW('All Player Data Store'!$Y$7:$Y$594)-ROW('All Player Data Store'!$Y$7)+1),COUNTIF($AC$8:AC330,AC330))),"")</f>
        <v/>
      </c>
      <c r="H330" s="68" t="str">
        <f t="array" ref="H330">IF(ISNUMBER(AC330),INDEX('All Player Data Store'!$D$7:$D$594,SMALL(IF('All Player Data Store'!$Y$7:$Y$594=AC330,ROW('All Player Data Store'!$Y$7:$Y$594)-ROW('All Player Data Store'!$Y$7)+1),COUNTIF($AC$8:AC330,AC330))),"")</f>
        <v/>
      </c>
      <c r="I330" s="69" t="str">
        <f t="array" ref="I330">IF(ISNUMBER(AC330),INDEX('All Player Data Store'!$E$7:$E$594,SMALL(IF('All Player Data Store'!$Y$7:$Y$594=AC330,ROW('All Player Data Store'!$Y$7:$Y$594)-ROW('All Player Data Store'!$Y$7)+1),COUNTIF($AC$8:AC330,AC330))),"")</f>
        <v/>
      </c>
      <c r="J330" s="70" t="str">
        <f t="array" ref="J330">IF(ISNUMBER(AC330),INDEX('All Player Data Store'!$F$7:$F$594,SMALL(IF('All Player Data Store'!$Y$7:$Y$594=AC330,ROW('All Player Data Store'!$Y$7:$Y$594)-ROW('All Player Data Store'!$Y$7)+1),COUNTIF($AC$8:AC330,AC330))),"")</f>
        <v/>
      </c>
      <c r="K330" s="70" t="str">
        <f t="array" ref="K330">IF(ISNUMBER(AC330),INDEX('All Player Data Store'!$G$7:$G$594,SMALL(IF('All Player Data Store'!$Y$7:$Y$594=AC330,ROW('All Player Data Store'!$Y$7:$Y$594)-ROW('All Player Data Store'!$Y$7)+1),COUNTIF($AC$8:AC330,AC330))),"")</f>
        <v/>
      </c>
      <c r="L330" s="70" t="str">
        <f t="array" ref="L330">IF(ISNUMBER(AC330),INDEX('All Player Data Store'!$H$7:$H$594,SMALL(IF('All Player Data Store'!$Y$7:$Y$594=AC330,ROW('All Player Data Store'!$Y$7:$Y$594)-ROW('All Player Data Store'!$Y$7)+1),COUNTIF($AC$8:AC330,AC330))),"")</f>
        <v/>
      </c>
      <c r="M330" s="72" t="str">
        <f t="array" ref="M330">IF(ISNUMBER(AC330),INDEX('All Player Data Store'!$I$7:$I$594,SMALL(IF('All Player Data Store'!$Y$7:$Y$594=AC330,ROW('All Player Data Store'!$Y$7:$Y$594)-ROW('All Player Data Store'!$Y$7)+1),COUNTIF($AC$8:AC330,AC330))),"")</f>
        <v/>
      </c>
      <c r="N330" s="114" t="str">
        <f t="array" ref="N330">IF(ISNUMBER(AC330),INDEX('All Player Data Store'!$J$7:$J$594,SMALL(IF('All Player Data Store'!$Y$7:$Y$594=AC330,ROW('All Player Data Store'!$Y$7:$Y$594)-ROW('All Player Data Store'!$Y$7)+1),COUNTIF($AC$8:AC330,AC330))),"")</f>
        <v/>
      </c>
      <c r="O330" s="108" t="str">
        <f t="array" ref="O330">IF(ISNUMBER(AC330),INDEX('All Player Data Store'!$K$7:$K$594,SMALL(IF('All Player Data Store'!$Y$7:$Y$594=AC330,ROW('All Player Data Store'!$Y$7:$Y$594)-ROW('All Player Data Store'!$Y$7)+1),COUNTIF($AC$8:AC330,AC330))),"")</f>
        <v/>
      </c>
      <c r="P330" s="108" t="str">
        <f t="array" ref="P330">IF(ISNUMBER(AC330),INDEX('All Player Data Store'!$L$7:$L$594,SMALL(IF('All Player Data Store'!$Y$7:$Y$594=AC330,ROW('All Player Data Store'!$Y$7:$Y$594)-ROW('All Player Data Store'!$Y$7)+1),COUNTIF($AC$8:AC330,AC330))),"")</f>
        <v/>
      </c>
      <c r="Q330" s="108" t="str">
        <f t="array" ref="Q330">IF(ISNUMBER(AC330),INDEX('All Player Data Store'!$M$7:$M$594,SMALL(IF('All Player Data Store'!$Y$7:$Y$594=AC330,ROW('All Player Data Store'!$Y$7:$Y$594)-ROW('All Player Data Store'!$Y$7)+1),COUNTIF($AC$8:AC330,AC330))),"")</f>
        <v/>
      </c>
      <c r="R330" s="108" t="str">
        <f t="array" ref="R330">IF(ISNUMBER(AC330),INDEX('All Player Data Store'!$N$7:$N$594,SMALL(IF('All Player Data Store'!$Y$7:$Y$594=AC330,ROW('All Player Data Store'!$Y$7:$Y$594)-ROW('All Player Data Store'!$Y$7)+1),COUNTIF($AC$8:AC330,AC330))),"")</f>
        <v/>
      </c>
      <c r="S330" s="108" t="str">
        <f t="array" ref="S330">IF(ISNUMBER(AC330),INDEX('All Player Data Store'!$O$7:$O$594,SMALL(IF('All Player Data Store'!$Y$7:$Y$594=AC330,ROW('All Player Data Store'!$Y$7:$Y$594)-ROW('All Player Data Store'!$Y$7)+1),COUNTIF($AC$8:AC330,AC330))),"")</f>
        <v/>
      </c>
      <c r="T330" s="108" t="str">
        <f t="array" ref="T330">IF(ISNUMBER(AC330),INDEX('All Player Data Store'!$P$7:$P$594,SMALL(IF('All Player Data Store'!$Y$7:$Y$594=AC330,ROW('All Player Data Store'!$Y$7:$Y$594)-ROW('All Player Data Store'!$Y$7)+1),COUNTIF($AC$8:AC330,AC330))),"")</f>
        <v/>
      </c>
      <c r="U330" s="108" t="str">
        <f t="array" ref="U330">IF(ISNUMBER(AC330),INDEX('All Player Data Store'!$Q$7:$Q$594,SMALL(IF('All Player Data Store'!$Y$7:$Y$594=AC330,ROW('All Player Data Store'!$Y$7:$Y$594)-ROW('All Player Data Store'!$Y$7)+1),COUNTIF($AC$8:AC330,AC330))),"")</f>
        <v/>
      </c>
      <c r="V330" s="108" t="str">
        <f t="array" ref="V330">IF(ISNUMBER(AC330),INDEX('All Player Data Store'!$R$7:$R$594,SMALL(IF('All Player Data Store'!$Y$7:$Y$594=AC330,ROW('All Player Data Store'!$Y$7:$Y$594)-ROW('All Player Data Store'!$Y$7)+1),COUNTIF($AC$8:AC330,AC330))),"")</f>
        <v/>
      </c>
      <c r="W330" s="108" t="str">
        <f t="array" ref="W330">IF(ISNUMBER(AC330),INDEX('All Player Data Store'!$S$7:$S$594,SMALL(IF('All Player Data Store'!$Y$7:$Y$594=AC330,ROW('All Player Data Store'!$Y$7:$Y$594)-ROW('All Player Data Store'!$Y$7)+1),COUNTIF($AC$8:AC330,AC330))),"")</f>
        <v/>
      </c>
      <c r="X330" s="108" t="str">
        <f t="array" ref="X330">IF(ISNUMBER(AC330),INDEX('All Player Data Store'!$T$7:$T$594,SMALL(IF('All Player Data Store'!$Y$7:$Y$594=AC330,ROW('All Player Data Store'!$Y$7:$Y$594)-ROW('All Player Data Store'!$Y$7)+1),COUNTIF($AC$8:AC330,AC330))),"")</f>
        <v/>
      </c>
      <c r="Y330" s="108" t="str">
        <f t="array" ref="Y330">IF(ISNUMBER(AC330),INDEX('All Player Data Store'!$U$7:$U$594,SMALL(IF('All Player Data Store'!$Y$7:$Y$594=AC330,ROW('All Player Data Store'!$Y$7:$Y$594)-ROW('All Player Data Store'!$Y$7)+1),COUNTIF($AC$8:AC330,AC330))),"")</f>
        <v/>
      </c>
      <c r="Z330" s="108" t="str">
        <f t="array" ref="Z330">IF(ISNUMBER(AC330),INDEX('All Player Data Store'!$V$7:$V$594,SMALL(IF('All Player Data Store'!$Y$7:$Y$594=AC330,ROW('All Player Data Store'!$Y$7:$Y$594)-ROW('All Player Data Store'!$Y$7)+1),COUNTIF($AC$8:AC330,AC330))),"")</f>
        <v/>
      </c>
      <c r="AA330" s="112" t="str">
        <f t="array" ref="AA330">IF(ISNUMBER(AC330),INDEX('All Player Data Store'!$W$7:$W$594,SMALL(IF('All Player Data Store'!$Y$7:$Y$594=AC330,ROW('All Player Data Store'!$Y$7:$Y$594)-ROW('All Player Data Store'!$Y$7)+1),COUNTIF($AC$8:AC330,AC330))),"")</f>
        <v/>
      </c>
      <c r="AB330" s="108" t="str">
        <f t="array" ref="AB330">IF(ISNUMBER(AC330),INDEX('All Player Data Store'!$X$7:$X$594,SMALL(IF('All Player Data Store'!$Y$7:$Y$594=AC330,ROW('All Player Data Store'!$Y$7:$Y$594)-ROW('All Player Data Store'!$Y$7)+1),COUNTIF($AC$8:AC330,AC330))),"")</f>
        <v/>
      </c>
      <c r="AC330" s="115" t="str">
        <f>IF(ISERROR(IF(ISERROR(LARGE('All Player Data Store'!$Y$7:$Y$594,323)),"",(LARGE('All Player Data Store'!$Y$7:$Y$594,323)))),"",(IF(ISERROR(LARGE('All Player Data Store'!$Y$7:$Y$594,323)),"",(LARGE('All Player Data Store'!$Y$7:$Y$594,323)))))</f>
        <v/>
      </c>
      <c r="AD330" s="106">
        <f t="shared" si="16"/>
        <v>1</v>
      </c>
      <c r="AE330" s="107" t="str">
        <f t="array" ref="AE330">IF(ISNUMBER(AC330),INDEX('All Player Data Store'!$J$8:$J$594,SMALL(IF('All Player Data Store'!$Y$7:$Y$594=AC330,ROW('All Player Data Store'!$Y$7:$Y$594)-ROW('All Player Data Store'!$Y$7)+1),COUNTIF($AC$8:AC330,AC330))),"")</f>
        <v/>
      </c>
      <c r="AF330" s="108" t="str">
        <f t="shared" si="19"/>
        <v/>
      </c>
      <c r="AG330" s="108" t="str">
        <f t="array" ref="AG330">IF(ISNUMBER(AC330),INDEX('All Player Data Store'!$K$8:$K$594,SMALL(IF('All Player Data Store'!$Y$7:$Y$594=AC330,ROW('All Player Data Store'!$Y$7:$Y$594)-ROW('All Player Data Store'!$Y$7)+1),COUNTIF($AC$8:AC330,AC330))),"")</f>
        <v/>
      </c>
      <c r="AH330" s="108" t="str">
        <f t="shared" si="20"/>
        <v/>
      </c>
      <c r="AI330" s="108" t="str">
        <f t="array" ref="AI330">IF(ISNUMBER(AC330),INDEX('All Player Data Store'!$L$8:$L$594,SMALL(IF('All Player Data Store'!$Y$7:$Y$594=AC330,ROW('All Player Data Store'!$Y$7:$Y$594)-ROW('All Player Data Store'!$Y$7)+1),COUNTIF($AC$8:AC330,AC330))),"")</f>
        <v/>
      </c>
      <c r="AJ330" s="108" t="str">
        <f t="shared" si="21"/>
        <v/>
      </c>
      <c r="AK330" s="108" t="str">
        <f t="array" ref="AK330">IF(ISNUMBER(AC330),INDEX('All Player Data Store'!$M$8:$M$594,SMALL(IF('All Player Data Store'!$Y$7:$Y$594=AC330,ROW('All Player Data Store'!$Y$7:$Y$594)-ROW('All Player Data Store'!$Y$7)+1),COUNTIF($AC$8:AC330,AC330))),"")</f>
        <v/>
      </c>
      <c r="AL330" s="108" t="str">
        <f t="shared" si="22"/>
        <v/>
      </c>
      <c r="AM330" s="108" t="str">
        <f t="array" ref="AM330">IF(ISNUMBER(AC330),INDEX('All Player Data Store'!$N$8:$N$594,SMALL(IF('All Player Data Store'!$Y$7:$Y$594=AC330,ROW('All Player Data Store'!$Y$7:$Y$594)-ROW('All Player Data Store'!$Y$7)+1),COUNTIF($AC$8:AC330,AC330))),"")</f>
        <v/>
      </c>
      <c r="AN330" s="108" t="str">
        <f t="shared" si="23"/>
        <v/>
      </c>
      <c r="AO330" s="108" t="str">
        <f t="array" ref="AO330">IF(ISNUMBER(AC330),INDEX('All Player Data Store'!$O$8:$O$594,SMALL(IF('All Player Data Store'!$Y$7:$Y$594=AC330,ROW('All Player Data Store'!$Y$7:$Y$594)-ROW('All Player Data Store'!$Y$7)+1),COUNTIF($AC$8:AC330,AC330))),"")</f>
        <v/>
      </c>
      <c r="AP330" s="108" t="str">
        <f t="shared" si="24"/>
        <v/>
      </c>
      <c r="AQ330" s="108" t="str">
        <f t="array" ref="AQ330">IF(ISNUMBER(AC330),INDEX('All Player Data Store'!$P$8:$P$594,SMALL(IF('All Player Data Store'!$Y$7:$Y$594=AC330,ROW('All Player Data Store'!$Y$7:$Y$594)-ROW('All Player Data Store'!$Y$7)+1),COUNTIF($AC$8:AC330,AC330))),"")</f>
        <v/>
      </c>
      <c r="AR330" s="108" t="str">
        <f t="shared" si="25"/>
        <v/>
      </c>
      <c r="AS330" s="108" t="str">
        <f t="array" ref="AS330">IF(ISNUMBER(AC330),INDEX('All Player Data Store'!$Q$8:$Q$594,SMALL(IF('All Player Data Store'!$Y$7:$Y$594=AC330,ROW('All Player Data Store'!$Y$7:$Y$594)-ROW('All Player Data Store'!$Y$7)+1),COUNTIF($AC$8:AC330,AC330))),"")</f>
        <v/>
      </c>
      <c r="AT330" s="108" t="str">
        <f t="shared" si="26"/>
        <v/>
      </c>
      <c r="AU330" s="108" t="str">
        <f t="array" ref="AU330">IF(ISNUMBER(AC330),INDEX('All Player Data Store'!$R$8:$R$594,SMALL(IF('All Player Data Store'!$Y$7:$Y$594=AC330,ROW('All Player Data Store'!$Y$7:$Y$594)-ROW('All Player Data Store'!$Y$7)+1),COUNTIF($AC$8:AC330,AC330))),"")</f>
        <v/>
      </c>
      <c r="AV330" s="108" t="str">
        <f t="shared" si="27"/>
        <v/>
      </c>
      <c r="AW330" s="108" t="str">
        <f t="array" ref="AW330">IF(ISNUMBER(AC330),INDEX('All Player Data Store'!$S$8:$S$594,SMALL(IF('All Player Data Store'!$Y$7:$Y$594=AC330,ROW('All Player Data Store'!$Y$7:$Y$594)-ROW('All Player Data Store'!$Y$7)+1),COUNTIF($AC$8:AC330,AC330))),"")</f>
        <v/>
      </c>
      <c r="AX330" s="108" t="str">
        <f t="shared" si="28"/>
        <v/>
      </c>
      <c r="AY330" s="108" t="str">
        <f t="array" ref="AY330">IF(ISNUMBER(AC330),INDEX('All Player Data Store'!$T$8:$T$594,SMALL(IF('All Player Data Store'!$Y$7:$Y$594=AC330,ROW('All Player Data Store'!$Y$7:$Y$594)-ROW('All Player Data Store'!$Y$7)+1),COUNTIF($AC$8:AC330,AC330))),"")</f>
        <v/>
      </c>
      <c r="AZ330" s="108" t="str">
        <f t="shared" si="29"/>
        <v/>
      </c>
      <c r="BA330" s="108" t="str">
        <f t="array" ref="BA330">IF(ISNUMBER(AC330),INDEX('All Player Data Store'!$U$8:$U$594,SMALL(IF('All Player Data Store'!$Y$7:$Y$594=AC330,ROW('All Player Data Store'!$Y$7:$Y$594)-ROW('All Player Data Store'!$Y$7)+1),COUNTIF($AC$8:AC330,AC330))),"")</f>
        <v/>
      </c>
      <c r="BB330" s="108" t="str">
        <f t="shared" si="30"/>
        <v/>
      </c>
      <c r="BC330" s="108" t="str">
        <f t="array" ref="BC330">IF(ISNUMBER(AC330),INDEX('All Player Data Store'!$V$8:$V$594,SMALL(IF('All Player Data Store'!$Y$7:$Y$594=AC330,ROW('All Player Data Store'!$Y$7:$Y$594)-ROW('All Player Data Store'!$Y$7)+1),COUNTIF($AC$8:AC330,AC330))),"")</f>
        <v/>
      </c>
      <c r="BD330" s="108" t="str">
        <f t="shared" si="31"/>
        <v/>
      </c>
      <c r="BE330" s="1"/>
    </row>
    <row r="331" spans="2:57" ht="12" customHeight="1" x14ac:dyDescent="0.2">
      <c r="B331" s="118" t="str">
        <f t="shared" si="17"/>
        <v/>
      </c>
      <c r="C331" s="1"/>
      <c r="D331" s="68" t="str">
        <f t="shared" si="18"/>
        <v/>
      </c>
      <c r="E331" s="2"/>
      <c r="F331" s="78">
        <v>324</v>
      </c>
      <c r="G331" s="110" t="str">
        <f t="array" ref="G331">IF(ISNUMBER(AC331),INDEX('All Player Data Store'!$C$7:$C$594,SMALL(IF('All Player Data Store'!$Y$7:$Y$594=AC331,ROW('All Player Data Store'!$Y$7:$Y$594)-ROW('All Player Data Store'!$Y$7)+1),COUNTIF($AC$8:AC331,AC331))),"")</f>
        <v/>
      </c>
      <c r="H331" s="68" t="str">
        <f t="array" ref="H331">IF(ISNUMBER(AC331),INDEX('All Player Data Store'!$D$7:$D$594,SMALL(IF('All Player Data Store'!$Y$7:$Y$594=AC331,ROW('All Player Data Store'!$Y$7:$Y$594)-ROW('All Player Data Store'!$Y$7)+1),COUNTIF($AC$8:AC331,AC331))),"")</f>
        <v/>
      </c>
      <c r="I331" s="69" t="str">
        <f t="array" ref="I331">IF(ISNUMBER(AC331),INDEX('All Player Data Store'!$E$7:$E$594,SMALL(IF('All Player Data Store'!$Y$7:$Y$594=AC331,ROW('All Player Data Store'!$Y$7:$Y$594)-ROW('All Player Data Store'!$Y$7)+1),COUNTIF($AC$8:AC331,AC331))),"")</f>
        <v/>
      </c>
      <c r="J331" s="70" t="str">
        <f t="array" ref="J331">IF(ISNUMBER(AC331),INDEX('All Player Data Store'!$F$7:$F$594,SMALL(IF('All Player Data Store'!$Y$7:$Y$594=AC331,ROW('All Player Data Store'!$Y$7:$Y$594)-ROW('All Player Data Store'!$Y$7)+1),COUNTIF($AC$8:AC331,AC331))),"")</f>
        <v/>
      </c>
      <c r="K331" s="70" t="str">
        <f t="array" ref="K331">IF(ISNUMBER(AC331),INDEX('All Player Data Store'!$G$7:$G$594,SMALL(IF('All Player Data Store'!$Y$7:$Y$594=AC331,ROW('All Player Data Store'!$Y$7:$Y$594)-ROW('All Player Data Store'!$Y$7)+1),COUNTIF($AC$8:AC331,AC331))),"")</f>
        <v/>
      </c>
      <c r="L331" s="70" t="str">
        <f t="array" ref="L331">IF(ISNUMBER(AC331),INDEX('All Player Data Store'!$H$7:$H$594,SMALL(IF('All Player Data Store'!$Y$7:$Y$594=AC331,ROW('All Player Data Store'!$Y$7:$Y$594)-ROW('All Player Data Store'!$Y$7)+1),COUNTIF($AC$8:AC331,AC331))),"")</f>
        <v/>
      </c>
      <c r="M331" s="72" t="str">
        <f t="array" ref="M331">IF(ISNUMBER(AC331),INDEX('All Player Data Store'!$I$7:$I$594,SMALL(IF('All Player Data Store'!$Y$7:$Y$594=AC331,ROW('All Player Data Store'!$Y$7:$Y$594)-ROW('All Player Data Store'!$Y$7)+1),COUNTIF($AC$8:AC331,AC331))),"")</f>
        <v/>
      </c>
      <c r="N331" s="114" t="str">
        <f t="array" ref="N331">IF(ISNUMBER(AC331),INDEX('All Player Data Store'!$J$7:$J$594,SMALL(IF('All Player Data Store'!$Y$7:$Y$594=AC331,ROW('All Player Data Store'!$Y$7:$Y$594)-ROW('All Player Data Store'!$Y$7)+1),COUNTIF($AC$8:AC331,AC331))),"")</f>
        <v/>
      </c>
      <c r="O331" s="108" t="str">
        <f t="array" ref="O331">IF(ISNUMBER(AC331),INDEX('All Player Data Store'!$K$7:$K$594,SMALL(IF('All Player Data Store'!$Y$7:$Y$594=AC331,ROW('All Player Data Store'!$Y$7:$Y$594)-ROW('All Player Data Store'!$Y$7)+1),COUNTIF($AC$8:AC331,AC331))),"")</f>
        <v/>
      </c>
      <c r="P331" s="108" t="str">
        <f t="array" ref="P331">IF(ISNUMBER(AC331),INDEX('All Player Data Store'!$L$7:$L$594,SMALL(IF('All Player Data Store'!$Y$7:$Y$594=AC331,ROW('All Player Data Store'!$Y$7:$Y$594)-ROW('All Player Data Store'!$Y$7)+1),COUNTIF($AC$8:AC331,AC331))),"")</f>
        <v/>
      </c>
      <c r="Q331" s="108" t="str">
        <f t="array" ref="Q331">IF(ISNUMBER(AC331),INDEX('All Player Data Store'!$M$7:$M$594,SMALL(IF('All Player Data Store'!$Y$7:$Y$594=AC331,ROW('All Player Data Store'!$Y$7:$Y$594)-ROW('All Player Data Store'!$Y$7)+1),COUNTIF($AC$8:AC331,AC331))),"")</f>
        <v/>
      </c>
      <c r="R331" s="108" t="str">
        <f t="array" ref="R331">IF(ISNUMBER(AC331),INDEX('All Player Data Store'!$N$7:$N$594,SMALL(IF('All Player Data Store'!$Y$7:$Y$594=AC331,ROW('All Player Data Store'!$Y$7:$Y$594)-ROW('All Player Data Store'!$Y$7)+1),COUNTIF($AC$8:AC331,AC331))),"")</f>
        <v/>
      </c>
      <c r="S331" s="108" t="str">
        <f t="array" ref="S331">IF(ISNUMBER(AC331),INDEX('All Player Data Store'!$O$7:$O$594,SMALL(IF('All Player Data Store'!$Y$7:$Y$594=AC331,ROW('All Player Data Store'!$Y$7:$Y$594)-ROW('All Player Data Store'!$Y$7)+1),COUNTIF($AC$8:AC331,AC331))),"")</f>
        <v/>
      </c>
      <c r="T331" s="108" t="str">
        <f t="array" ref="T331">IF(ISNUMBER(AC331),INDEX('All Player Data Store'!$P$7:$P$594,SMALL(IF('All Player Data Store'!$Y$7:$Y$594=AC331,ROW('All Player Data Store'!$Y$7:$Y$594)-ROW('All Player Data Store'!$Y$7)+1),COUNTIF($AC$8:AC331,AC331))),"")</f>
        <v/>
      </c>
      <c r="U331" s="108" t="str">
        <f t="array" ref="U331">IF(ISNUMBER(AC331),INDEX('All Player Data Store'!$Q$7:$Q$594,SMALL(IF('All Player Data Store'!$Y$7:$Y$594=AC331,ROW('All Player Data Store'!$Y$7:$Y$594)-ROW('All Player Data Store'!$Y$7)+1),COUNTIF($AC$8:AC331,AC331))),"")</f>
        <v/>
      </c>
      <c r="V331" s="108" t="str">
        <f t="array" ref="V331">IF(ISNUMBER(AC331),INDEX('All Player Data Store'!$R$7:$R$594,SMALL(IF('All Player Data Store'!$Y$7:$Y$594=AC331,ROW('All Player Data Store'!$Y$7:$Y$594)-ROW('All Player Data Store'!$Y$7)+1),COUNTIF($AC$8:AC331,AC331))),"")</f>
        <v/>
      </c>
      <c r="W331" s="108" t="str">
        <f t="array" ref="W331">IF(ISNUMBER(AC331),INDEX('All Player Data Store'!$S$7:$S$594,SMALL(IF('All Player Data Store'!$Y$7:$Y$594=AC331,ROW('All Player Data Store'!$Y$7:$Y$594)-ROW('All Player Data Store'!$Y$7)+1),COUNTIF($AC$8:AC331,AC331))),"")</f>
        <v/>
      </c>
      <c r="X331" s="108" t="str">
        <f t="array" ref="X331">IF(ISNUMBER(AC331),INDEX('All Player Data Store'!$T$7:$T$594,SMALL(IF('All Player Data Store'!$Y$7:$Y$594=AC331,ROW('All Player Data Store'!$Y$7:$Y$594)-ROW('All Player Data Store'!$Y$7)+1),COUNTIF($AC$8:AC331,AC331))),"")</f>
        <v/>
      </c>
      <c r="Y331" s="108" t="str">
        <f t="array" ref="Y331">IF(ISNUMBER(AC331),INDEX('All Player Data Store'!$U$7:$U$594,SMALL(IF('All Player Data Store'!$Y$7:$Y$594=AC331,ROW('All Player Data Store'!$Y$7:$Y$594)-ROW('All Player Data Store'!$Y$7)+1),COUNTIF($AC$8:AC331,AC331))),"")</f>
        <v/>
      </c>
      <c r="Z331" s="108" t="str">
        <f t="array" ref="Z331">IF(ISNUMBER(AC331),INDEX('All Player Data Store'!$V$7:$V$594,SMALL(IF('All Player Data Store'!$Y$7:$Y$594=AC331,ROW('All Player Data Store'!$Y$7:$Y$594)-ROW('All Player Data Store'!$Y$7)+1),COUNTIF($AC$8:AC331,AC331))),"")</f>
        <v/>
      </c>
      <c r="AA331" s="112" t="str">
        <f t="array" ref="AA331">IF(ISNUMBER(AC331),INDEX('All Player Data Store'!$W$7:$W$594,SMALL(IF('All Player Data Store'!$Y$7:$Y$594=AC331,ROW('All Player Data Store'!$Y$7:$Y$594)-ROW('All Player Data Store'!$Y$7)+1),COUNTIF($AC$8:AC331,AC331))),"")</f>
        <v/>
      </c>
      <c r="AB331" s="108" t="str">
        <f t="array" ref="AB331">IF(ISNUMBER(AC331),INDEX('All Player Data Store'!$X$7:$X$594,SMALL(IF('All Player Data Store'!$Y$7:$Y$594=AC331,ROW('All Player Data Store'!$Y$7:$Y$594)-ROW('All Player Data Store'!$Y$7)+1),COUNTIF($AC$8:AC331,AC331))),"")</f>
        <v/>
      </c>
      <c r="AC331" s="115" t="str">
        <f>IF(ISERROR(IF(ISERROR(LARGE('All Player Data Store'!$Y$7:$Y$594,324)),"",(LARGE('All Player Data Store'!$Y$7:$Y$594,324)))),"",(IF(ISERROR(LARGE('All Player Data Store'!$Y$7:$Y$594,324)),"",(LARGE('All Player Data Store'!$Y$7:$Y$594,324)))))</f>
        <v/>
      </c>
      <c r="AD331" s="106">
        <f t="shared" si="16"/>
        <v>1</v>
      </c>
      <c r="AE331" s="107" t="str">
        <f t="array" ref="AE331">IF(ISNUMBER(AC331),INDEX('All Player Data Store'!$J$8:$J$594,SMALL(IF('All Player Data Store'!$Y$7:$Y$594=AC331,ROW('All Player Data Store'!$Y$7:$Y$594)-ROW('All Player Data Store'!$Y$7)+1),COUNTIF($AC$8:AC331,AC331))),"")</f>
        <v/>
      </c>
      <c r="AF331" s="108" t="str">
        <f t="shared" si="19"/>
        <v/>
      </c>
      <c r="AG331" s="108" t="str">
        <f t="array" ref="AG331">IF(ISNUMBER(AC331),INDEX('All Player Data Store'!$K$8:$K$594,SMALL(IF('All Player Data Store'!$Y$7:$Y$594=AC331,ROW('All Player Data Store'!$Y$7:$Y$594)-ROW('All Player Data Store'!$Y$7)+1),COUNTIF($AC$8:AC331,AC331))),"")</f>
        <v/>
      </c>
      <c r="AH331" s="108" t="str">
        <f t="shared" si="20"/>
        <v/>
      </c>
      <c r="AI331" s="108" t="str">
        <f t="array" ref="AI331">IF(ISNUMBER(AC331),INDEX('All Player Data Store'!$L$8:$L$594,SMALL(IF('All Player Data Store'!$Y$7:$Y$594=AC331,ROW('All Player Data Store'!$Y$7:$Y$594)-ROW('All Player Data Store'!$Y$7)+1),COUNTIF($AC$8:AC331,AC331))),"")</f>
        <v/>
      </c>
      <c r="AJ331" s="108" t="str">
        <f t="shared" si="21"/>
        <v/>
      </c>
      <c r="AK331" s="108" t="str">
        <f t="array" ref="AK331">IF(ISNUMBER(AC331),INDEX('All Player Data Store'!$M$8:$M$594,SMALL(IF('All Player Data Store'!$Y$7:$Y$594=AC331,ROW('All Player Data Store'!$Y$7:$Y$594)-ROW('All Player Data Store'!$Y$7)+1),COUNTIF($AC$8:AC331,AC331))),"")</f>
        <v/>
      </c>
      <c r="AL331" s="108" t="str">
        <f t="shared" si="22"/>
        <v/>
      </c>
      <c r="AM331" s="108" t="str">
        <f t="array" ref="AM331">IF(ISNUMBER(AC331),INDEX('All Player Data Store'!$N$8:$N$594,SMALL(IF('All Player Data Store'!$Y$7:$Y$594=AC331,ROW('All Player Data Store'!$Y$7:$Y$594)-ROW('All Player Data Store'!$Y$7)+1),COUNTIF($AC$8:AC331,AC331))),"")</f>
        <v/>
      </c>
      <c r="AN331" s="108" t="str">
        <f t="shared" si="23"/>
        <v/>
      </c>
      <c r="AO331" s="108" t="str">
        <f t="array" ref="AO331">IF(ISNUMBER(AC331),INDEX('All Player Data Store'!$O$8:$O$594,SMALL(IF('All Player Data Store'!$Y$7:$Y$594=AC331,ROW('All Player Data Store'!$Y$7:$Y$594)-ROW('All Player Data Store'!$Y$7)+1),COUNTIF($AC$8:AC331,AC331))),"")</f>
        <v/>
      </c>
      <c r="AP331" s="108" t="str">
        <f t="shared" si="24"/>
        <v/>
      </c>
      <c r="AQ331" s="108" t="str">
        <f t="array" ref="AQ331">IF(ISNUMBER(AC331),INDEX('All Player Data Store'!$P$8:$P$594,SMALL(IF('All Player Data Store'!$Y$7:$Y$594=AC331,ROW('All Player Data Store'!$Y$7:$Y$594)-ROW('All Player Data Store'!$Y$7)+1),COUNTIF($AC$8:AC331,AC331))),"")</f>
        <v/>
      </c>
      <c r="AR331" s="108" t="str">
        <f t="shared" si="25"/>
        <v/>
      </c>
      <c r="AS331" s="108" t="str">
        <f t="array" ref="AS331">IF(ISNUMBER(AC331),INDEX('All Player Data Store'!$Q$8:$Q$594,SMALL(IF('All Player Data Store'!$Y$7:$Y$594=AC331,ROW('All Player Data Store'!$Y$7:$Y$594)-ROW('All Player Data Store'!$Y$7)+1),COUNTIF($AC$8:AC331,AC331))),"")</f>
        <v/>
      </c>
      <c r="AT331" s="108" t="str">
        <f t="shared" si="26"/>
        <v/>
      </c>
      <c r="AU331" s="108" t="str">
        <f t="array" ref="AU331">IF(ISNUMBER(AC331),INDEX('All Player Data Store'!$R$8:$R$594,SMALL(IF('All Player Data Store'!$Y$7:$Y$594=AC331,ROW('All Player Data Store'!$Y$7:$Y$594)-ROW('All Player Data Store'!$Y$7)+1),COUNTIF($AC$8:AC331,AC331))),"")</f>
        <v/>
      </c>
      <c r="AV331" s="108" t="str">
        <f t="shared" si="27"/>
        <v/>
      </c>
      <c r="AW331" s="108" t="str">
        <f t="array" ref="AW331">IF(ISNUMBER(AC331),INDEX('All Player Data Store'!$S$8:$S$594,SMALL(IF('All Player Data Store'!$Y$7:$Y$594=AC331,ROW('All Player Data Store'!$Y$7:$Y$594)-ROW('All Player Data Store'!$Y$7)+1),COUNTIF($AC$8:AC331,AC331))),"")</f>
        <v/>
      </c>
      <c r="AX331" s="108" t="str">
        <f t="shared" si="28"/>
        <v/>
      </c>
      <c r="AY331" s="108" t="str">
        <f t="array" ref="AY331">IF(ISNUMBER(AC331),INDEX('All Player Data Store'!$T$8:$T$594,SMALL(IF('All Player Data Store'!$Y$7:$Y$594=AC331,ROW('All Player Data Store'!$Y$7:$Y$594)-ROW('All Player Data Store'!$Y$7)+1),COUNTIF($AC$8:AC331,AC331))),"")</f>
        <v/>
      </c>
      <c r="AZ331" s="108" t="str">
        <f t="shared" si="29"/>
        <v/>
      </c>
      <c r="BA331" s="108" t="str">
        <f t="array" ref="BA331">IF(ISNUMBER(AC331),INDEX('All Player Data Store'!$U$8:$U$594,SMALL(IF('All Player Data Store'!$Y$7:$Y$594=AC331,ROW('All Player Data Store'!$Y$7:$Y$594)-ROW('All Player Data Store'!$Y$7)+1),COUNTIF($AC$8:AC331,AC331))),"")</f>
        <v/>
      </c>
      <c r="BB331" s="108" t="str">
        <f t="shared" si="30"/>
        <v/>
      </c>
      <c r="BC331" s="108" t="str">
        <f t="array" ref="BC331">IF(ISNUMBER(AC331),INDEX('All Player Data Store'!$V$8:$V$594,SMALL(IF('All Player Data Store'!$Y$7:$Y$594=AC331,ROW('All Player Data Store'!$Y$7:$Y$594)-ROW('All Player Data Store'!$Y$7)+1),COUNTIF($AC$8:AC331,AC331))),"")</f>
        <v/>
      </c>
      <c r="BD331" s="108" t="str">
        <f t="shared" si="31"/>
        <v/>
      </c>
      <c r="BE331" s="1"/>
    </row>
    <row r="332" spans="2:57" ht="12" customHeight="1" x14ac:dyDescent="0.2">
      <c r="B332" s="118" t="str">
        <f t="shared" si="17"/>
        <v/>
      </c>
      <c r="C332" s="1"/>
      <c r="D332" s="68" t="str">
        <f t="shared" si="18"/>
        <v/>
      </c>
      <c r="E332" s="2"/>
      <c r="F332" s="78">
        <v>325</v>
      </c>
      <c r="G332" s="110" t="str">
        <f t="array" ref="G332">IF(ISNUMBER(AC332),INDEX('All Player Data Store'!$C$7:$C$594,SMALL(IF('All Player Data Store'!$Y$7:$Y$594=AC332,ROW('All Player Data Store'!$Y$7:$Y$594)-ROW('All Player Data Store'!$Y$7)+1),COUNTIF($AC$8:AC332,AC332))),"")</f>
        <v/>
      </c>
      <c r="H332" s="68" t="str">
        <f t="array" ref="H332">IF(ISNUMBER(AC332),INDEX('All Player Data Store'!$D$7:$D$594,SMALL(IF('All Player Data Store'!$Y$7:$Y$594=AC332,ROW('All Player Data Store'!$Y$7:$Y$594)-ROW('All Player Data Store'!$Y$7)+1),COUNTIF($AC$8:AC332,AC332))),"")</f>
        <v/>
      </c>
      <c r="I332" s="69" t="str">
        <f t="array" ref="I332">IF(ISNUMBER(AC332),INDEX('All Player Data Store'!$E$7:$E$594,SMALL(IF('All Player Data Store'!$Y$7:$Y$594=AC332,ROW('All Player Data Store'!$Y$7:$Y$594)-ROW('All Player Data Store'!$Y$7)+1),COUNTIF($AC$8:AC332,AC332))),"")</f>
        <v/>
      </c>
      <c r="J332" s="70" t="str">
        <f t="array" ref="J332">IF(ISNUMBER(AC332),INDEX('All Player Data Store'!$F$7:$F$594,SMALL(IF('All Player Data Store'!$Y$7:$Y$594=AC332,ROW('All Player Data Store'!$Y$7:$Y$594)-ROW('All Player Data Store'!$Y$7)+1),COUNTIF($AC$8:AC332,AC332))),"")</f>
        <v/>
      </c>
      <c r="K332" s="70" t="str">
        <f t="array" ref="K332">IF(ISNUMBER(AC332),INDEX('All Player Data Store'!$G$7:$G$594,SMALL(IF('All Player Data Store'!$Y$7:$Y$594=AC332,ROW('All Player Data Store'!$Y$7:$Y$594)-ROW('All Player Data Store'!$Y$7)+1),COUNTIF($AC$8:AC332,AC332))),"")</f>
        <v/>
      </c>
      <c r="L332" s="70" t="str">
        <f t="array" ref="L332">IF(ISNUMBER(AC332),INDEX('All Player Data Store'!$H$7:$H$594,SMALL(IF('All Player Data Store'!$Y$7:$Y$594=AC332,ROW('All Player Data Store'!$Y$7:$Y$594)-ROW('All Player Data Store'!$Y$7)+1),COUNTIF($AC$8:AC332,AC332))),"")</f>
        <v/>
      </c>
      <c r="M332" s="72" t="str">
        <f t="array" ref="M332">IF(ISNUMBER(AC332),INDEX('All Player Data Store'!$I$7:$I$594,SMALL(IF('All Player Data Store'!$Y$7:$Y$594=AC332,ROW('All Player Data Store'!$Y$7:$Y$594)-ROW('All Player Data Store'!$Y$7)+1),COUNTIF($AC$8:AC332,AC332))),"")</f>
        <v/>
      </c>
      <c r="N332" s="114" t="str">
        <f t="array" ref="N332">IF(ISNUMBER(AC332),INDEX('All Player Data Store'!$J$7:$J$594,SMALL(IF('All Player Data Store'!$Y$7:$Y$594=AC332,ROW('All Player Data Store'!$Y$7:$Y$594)-ROW('All Player Data Store'!$Y$7)+1),COUNTIF($AC$8:AC332,AC332))),"")</f>
        <v/>
      </c>
      <c r="O332" s="108" t="str">
        <f t="array" ref="O332">IF(ISNUMBER(AC332),INDEX('All Player Data Store'!$K$7:$K$594,SMALL(IF('All Player Data Store'!$Y$7:$Y$594=AC332,ROW('All Player Data Store'!$Y$7:$Y$594)-ROW('All Player Data Store'!$Y$7)+1),COUNTIF($AC$8:AC332,AC332))),"")</f>
        <v/>
      </c>
      <c r="P332" s="108" t="str">
        <f t="array" ref="P332">IF(ISNUMBER(AC332),INDEX('All Player Data Store'!$L$7:$L$594,SMALL(IF('All Player Data Store'!$Y$7:$Y$594=AC332,ROW('All Player Data Store'!$Y$7:$Y$594)-ROW('All Player Data Store'!$Y$7)+1),COUNTIF($AC$8:AC332,AC332))),"")</f>
        <v/>
      </c>
      <c r="Q332" s="108" t="str">
        <f t="array" ref="Q332">IF(ISNUMBER(AC332),INDEX('All Player Data Store'!$M$7:$M$594,SMALL(IF('All Player Data Store'!$Y$7:$Y$594=AC332,ROW('All Player Data Store'!$Y$7:$Y$594)-ROW('All Player Data Store'!$Y$7)+1),COUNTIF($AC$8:AC332,AC332))),"")</f>
        <v/>
      </c>
      <c r="R332" s="108" t="str">
        <f t="array" ref="R332">IF(ISNUMBER(AC332),INDEX('All Player Data Store'!$N$7:$N$594,SMALL(IF('All Player Data Store'!$Y$7:$Y$594=AC332,ROW('All Player Data Store'!$Y$7:$Y$594)-ROW('All Player Data Store'!$Y$7)+1),COUNTIF($AC$8:AC332,AC332))),"")</f>
        <v/>
      </c>
      <c r="S332" s="108" t="str">
        <f t="array" ref="S332">IF(ISNUMBER(AC332),INDEX('All Player Data Store'!$O$7:$O$594,SMALL(IF('All Player Data Store'!$Y$7:$Y$594=AC332,ROW('All Player Data Store'!$Y$7:$Y$594)-ROW('All Player Data Store'!$Y$7)+1),COUNTIF($AC$8:AC332,AC332))),"")</f>
        <v/>
      </c>
      <c r="T332" s="108" t="str">
        <f t="array" ref="T332">IF(ISNUMBER(AC332),INDEX('All Player Data Store'!$P$7:$P$594,SMALL(IF('All Player Data Store'!$Y$7:$Y$594=AC332,ROW('All Player Data Store'!$Y$7:$Y$594)-ROW('All Player Data Store'!$Y$7)+1),COUNTIF($AC$8:AC332,AC332))),"")</f>
        <v/>
      </c>
      <c r="U332" s="108" t="str">
        <f t="array" ref="U332">IF(ISNUMBER(AC332),INDEX('All Player Data Store'!$Q$7:$Q$594,SMALL(IF('All Player Data Store'!$Y$7:$Y$594=AC332,ROW('All Player Data Store'!$Y$7:$Y$594)-ROW('All Player Data Store'!$Y$7)+1),COUNTIF($AC$8:AC332,AC332))),"")</f>
        <v/>
      </c>
      <c r="V332" s="108" t="str">
        <f t="array" ref="V332">IF(ISNUMBER(AC332),INDEX('All Player Data Store'!$R$7:$R$594,SMALL(IF('All Player Data Store'!$Y$7:$Y$594=AC332,ROW('All Player Data Store'!$Y$7:$Y$594)-ROW('All Player Data Store'!$Y$7)+1),COUNTIF($AC$8:AC332,AC332))),"")</f>
        <v/>
      </c>
      <c r="W332" s="108" t="str">
        <f t="array" ref="W332">IF(ISNUMBER(AC332),INDEX('All Player Data Store'!$S$7:$S$594,SMALL(IF('All Player Data Store'!$Y$7:$Y$594=AC332,ROW('All Player Data Store'!$Y$7:$Y$594)-ROW('All Player Data Store'!$Y$7)+1),COUNTIF($AC$8:AC332,AC332))),"")</f>
        <v/>
      </c>
      <c r="X332" s="108" t="str">
        <f t="array" ref="X332">IF(ISNUMBER(AC332),INDEX('All Player Data Store'!$T$7:$T$594,SMALL(IF('All Player Data Store'!$Y$7:$Y$594=AC332,ROW('All Player Data Store'!$Y$7:$Y$594)-ROW('All Player Data Store'!$Y$7)+1),COUNTIF($AC$8:AC332,AC332))),"")</f>
        <v/>
      </c>
      <c r="Y332" s="108" t="str">
        <f t="array" ref="Y332">IF(ISNUMBER(AC332),INDEX('All Player Data Store'!$U$7:$U$594,SMALL(IF('All Player Data Store'!$Y$7:$Y$594=AC332,ROW('All Player Data Store'!$Y$7:$Y$594)-ROW('All Player Data Store'!$Y$7)+1),COUNTIF($AC$8:AC332,AC332))),"")</f>
        <v/>
      </c>
      <c r="Z332" s="108" t="str">
        <f t="array" ref="Z332">IF(ISNUMBER(AC332),INDEX('All Player Data Store'!$V$7:$V$594,SMALL(IF('All Player Data Store'!$Y$7:$Y$594=AC332,ROW('All Player Data Store'!$Y$7:$Y$594)-ROW('All Player Data Store'!$Y$7)+1),COUNTIF($AC$8:AC332,AC332))),"")</f>
        <v/>
      </c>
      <c r="AA332" s="112" t="str">
        <f t="array" ref="AA332">IF(ISNUMBER(AC332),INDEX('All Player Data Store'!$W$7:$W$594,SMALL(IF('All Player Data Store'!$Y$7:$Y$594=AC332,ROW('All Player Data Store'!$Y$7:$Y$594)-ROW('All Player Data Store'!$Y$7)+1),COUNTIF($AC$8:AC332,AC332))),"")</f>
        <v/>
      </c>
      <c r="AB332" s="108" t="str">
        <f t="array" ref="AB332">IF(ISNUMBER(AC332),INDEX('All Player Data Store'!$X$7:$X$594,SMALL(IF('All Player Data Store'!$Y$7:$Y$594=AC332,ROW('All Player Data Store'!$Y$7:$Y$594)-ROW('All Player Data Store'!$Y$7)+1),COUNTIF($AC$8:AC332,AC332))),"")</f>
        <v/>
      </c>
      <c r="AC332" s="115" t="str">
        <f>IF(ISERROR(IF(ISERROR(LARGE('All Player Data Store'!$Y$7:$Y$594,325)),"",(LARGE('All Player Data Store'!$Y$7:$Y$594,325)))),"",(IF(ISERROR(LARGE('All Player Data Store'!$Y$7:$Y$594,325)),"",(LARGE('All Player Data Store'!$Y$7:$Y$594,325)))))</f>
        <v/>
      </c>
      <c r="AD332" s="106">
        <f t="shared" si="16"/>
        <v>1</v>
      </c>
      <c r="AE332" s="107" t="str">
        <f t="array" ref="AE332">IF(ISNUMBER(AC332),INDEX('All Player Data Store'!$J$8:$J$594,SMALL(IF('All Player Data Store'!$Y$7:$Y$594=AC332,ROW('All Player Data Store'!$Y$7:$Y$594)-ROW('All Player Data Store'!$Y$7)+1),COUNTIF($AC$8:AC332,AC332))),"")</f>
        <v/>
      </c>
      <c r="AF332" s="108" t="str">
        <f t="shared" si="19"/>
        <v/>
      </c>
      <c r="AG332" s="108" t="str">
        <f t="array" ref="AG332">IF(ISNUMBER(AC332),INDEX('All Player Data Store'!$K$8:$K$594,SMALL(IF('All Player Data Store'!$Y$7:$Y$594=AC332,ROW('All Player Data Store'!$Y$7:$Y$594)-ROW('All Player Data Store'!$Y$7)+1),COUNTIF($AC$8:AC332,AC332))),"")</f>
        <v/>
      </c>
      <c r="AH332" s="108" t="str">
        <f t="shared" si="20"/>
        <v/>
      </c>
      <c r="AI332" s="108" t="str">
        <f t="array" ref="AI332">IF(ISNUMBER(AC332),INDEX('All Player Data Store'!$L$8:$L$594,SMALL(IF('All Player Data Store'!$Y$7:$Y$594=AC332,ROW('All Player Data Store'!$Y$7:$Y$594)-ROW('All Player Data Store'!$Y$7)+1),COUNTIF($AC$8:AC332,AC332))),"")</f>
        <v/>
      </c>
      <c r="AJ332" s="108" t="str">
        <f t="shared" si="21"/>
        <v/>
      </c>
      <c r="AK332" s="108" t="str">
        <f t="array" ref="AK332">IF(ISNUMBER(AC332),INDEX('All Player Data Store'!$M$8:$M$594,SMALL(IF('All Player Data Store'!$Y$7:$Y$594=AC332,ROW('All Player Data Store'!$Y$7:$Y$594)-ROW('All Player Data Store'!$Y$7)+1),COUNTIF($AC$8:AC332,AC332))),"")</f>
        <v/>
      </c>
      <c r="AL332" s="108" t="str">
        <f t="shared" si="22"/>
        <v/>
      </c>
      <c r="AM332" s="108" t="str">
        <f t="array" ref="AM332">IF(ISNUMBER(AC332),INDEX('All Player Data Store'!$N$8:$N$594,SMALL(IF('All Player Data Store'!$Y$7:$Y$594=AC332,ROW('All Player Data Store'!$Y$7:$Y$594)-ROW('All Player Data Store'!$Y$7)+1),COUNTIF($AC$8:AC332,AC332))),"")</f>
        <v/>
      </c>
      <c r="AN332" s="108" t="str">
        <f t="shared" si="23"/>
        <v/>
      </c>
      <c r="AO332" s="108" t="str">
        <f t="array" ref="AO332">IF(ISNUMBER(AC332),INDEX('All Player Data Store'!$O$8:$O$594,SMALL(IF('All Player Data Store'!$Y$7:$Y$594=AC332,ROW('All Player Data Store'!$Y$7:$Y$594)-ROW('All Player Data Store'!$Y$7)+1),COUNTIF($AC$8:AC332,AC332))),"")</f>
        <v/>
      </c>
      <c r="AP332" s="108" t="str">
        <f t="shared" si="24"/>
        <v/>
      </c>
      <c r="AQ332" s="108" t="str">
        <f t="array" ref="AQ332">IF(ISNUMBER(AC332),INDEX('All Player Data Store'!$P$8:$P$594,SMALL(IF('All Player Data Store'!$Y$7:$Y$594=AC332,ROW('All Player Data Store'!$Y$7:$Y$594)-ROW('All Player Data Store'!$Y$7)+1),COUNTIF($AC$8:AC332,AC332))),"")</f>
        <v/>
      </c>
      <c r="AR332" s="108" t="str">
        <f t="shared" si="25"/>
        <v/>
      </c>
      <c r="AS332" s="108" t="str">
        <f t="array" ref="AS332">IF(ISNUMBER(AC332),INDEX('All Player Data Store'!$Q$8:$Q$594,SMALL(IF('All Player Data Store'!$Y$7:$Y$594=AC332,ROW('All Player Data Store'!$Y$7:$Y$594)-ROW('All Player Data Store'!$Y$7)+1),COUNTIF($AC$8:AC332,AC332))),"")</f>
        <v/>
      </c>
      <c r="AT332" s="108" t="str">
        <f t="shared" si="26"/>
        <v/>
      </c>
      <c r="AU332" s="108" t="str">
        <f t="array" ref="AU332">IF(ISNUMBER(AC332),INDEX('All Player Data Store'!$R$8:$R$594,SMALL(IF('All Player Data Store'!$Y$7:$Y$594=AC332,ROW('All Player Data Store'!$Y$7:$Y$594)-ROW('All Player Data Store'!$Y$7)+1),COUNTIF($AC$8:AC332,AC332))),"")</f>
        <v/>
      </c>
      <c r="AV332" s="108" t="str">
        <f t="shared" si="27"/>
        <v/>
      </c>
      <c r="AW332" s="108" t="str">
        <f t="array" ref="AW332">IF(ISNUMBER(AC332),INDEX('All Player Data Store'!$S$8:$S$594,SMALL(IF('All Player Data Store'!$Y$7:$Y$594=AC332,ROW('All Player Data Store'!$Y$7:$Y$594)-ROW('All Player Data Store'!$Y$7)+1),COUNTIF($AC$8:AC332,AC332))),"")</f>
        <v/>
      </c>
      <c r="AX332" s="108" t="str">
        <f t="shared" si="28"/>
        <v/>
      </c>
      <c r="AY332" s="108" t="str">
        <f t="array" ref="AY332">IF(ISNUMBER(AC332),INDEX('All Player Data Store'!$T$8:$T$594,SMALL(IF('All Player Data Store'!$Y$7:$Y$594=AC332,ROW('All Player Data Store'!$Y$7:$Y$594)-ROW('All Player Data Store'!$Y$7)+1),COUNTIF($AC$8:AC332,AC332))),"")</f>
        <v/>
      </c>
      <c r="AZ332" s="108" t="str">
        <f t="shared" si="29"/>
        <v/>
      </c>
      <c r="BA332" s="108" t="str">
        <f t="array" ref="BA332">IF(ISNUMBER(AC332),INDEX('All Player Data Store'!$U$8:$U$594,SMALL(IF('All Player Data Store'!$Y$7:$Y$594=AC332,ROW('All Player Data Store'!$Y$7:$Y$594)-ROW('All Player Data Store'!$Y$7)+1),COUNTIF($AC$8:AC332,AC332))),"")</f>
        <v/>
      </c>
      <c r="BB332" s="108" t="str">
        <f t="shared" si="30"/>
        <v/>
      </c>
      <c r="BC332" s="108" t="str">
        <f t="array" ref="BC332">IF(ISNUMBER(AC332),INDEX('All Player Data Store'!$V$8:$V$594,SMALL(IF('All Player Data Store'!$Y$7:$Y$594=AC332,ROW('All Player Data Store'!$Y$7:$Y$594)-ROW('All Player Data Store'!$Y$7)+1),COUNTIF($AC$8:AC332,AC332))),"")</f>
        <v/>
      </c>
      <c r="BD332" s="108" t="str">
        <f t="shared" si="31"/>
        <v/>
      </c>
      <c r="BE332" s="1"/>
    </row>
    <row r="333" spans="2:57" ht="12" customHeight="1" x14ac:dyDescent="0.2">
      <c r="B333" s="118" t="str">
        <f t="shared" si="17"/>
        <v/>
      </c>
      <c r="C333" s="1"/>
      <c r="D333" s="68" t="str">
        <f t="shared" si="18"/>
        <v/>
      </c>
      <c r="E333" s="2"/>
      <c r="F333" s="78">
        <v>326</v>
      </c>
      <c r="G333" s="110" t="str">
        <f t="array" ref="G333">IF(ISNUMBER(AC333),INDEX('All Player Data Store'!$C$7:$C$594,SMALL(IF('All Player Data Store'!$Y$7:$Y$594=AC333,ROW('All Player Data Store'!$Y$7:$Y$594)-ROW('All Player Data Store'!$Y$7)+1),COUNTIF($AC$8:AC333,AC333))),"")</f>
        <v/>
      </c>
      <c r="H333" s="68" t="str">
        <f t="array" ref="H333">IF(ISNUMBER(AC333),INDEX('All Player Data Store'!$D$7:$D$594,SMALL(IF('All Player Data Store'!$Y$7:$Y$594=AC333,ROW('All Player Data Store'!$Y$7:$Y$594)-ROW('All Player Data Store'!$Y$7)+1),COUNTIF($AC$8:AC333,AC333))),"")</f>
        <v/>
      </c>
      <c r="I333" s="69" t="str">
        <f t="array" ref="I333">IF(ISNUMBER(AC333),INDEX('All Player Data Store'!$E$7:$E$594,SMALL(IF('All Player Data Store'!$Y$7:$Y$594=AC333,ROW('All Player Data Store'!$Y$7:$Y$594)-ROW('All Player Data Store'!$Y$7)+1),COUNTIF($AC$8:AC333,AC333))),"")</f>
        <v/>
      </c>
      <c r="J333" s="70" t="str">
        <f t="array" ref="J333">IF(ISNUMBER(AC333),INDEX('All Player Data Store'!$F$7:$F$594,SMALL(IF('All Player Data Store'!$Y$7:$Y$594=AC333,ROW('All Player Data Store'!$Y$7:$Y$594)-ROW('All Player Data Store'!$Y$7)+1),COUNTIF($AC$8:AC333,AC333))),"")</f>
        <v/>
      </c>
      <c r="K333" s="70" t="str">
        <f t="array" ref="K333">IF(ISNUMBER(AC333),INDEX('All Player Data Store'!$G$7:$G$594,SMALL(IF('All Player Data Store'!$Y$7:$Y$594=AC333,ROW('All Player Data Store'!$Y$7:$Y$594)-ROW('All Player Data Store'!$Y$7)+1),COUNTIF($AC$8:AC333,AC333))),"")</f>
        <v/>
      </c>
      <c r="L333" s="70" t="str">
        <f t="array" ref="L333">IF(ISNUMBER(AC333),INDEX('All Player Data Store'!$H$7:$H$594,SMALL(IF('All Player Data Store'!$Y$7:$Y$594=AC333,ROW('All Player Data Store'!$Y$7:$Y$594)-ROW('All Player Data Store'!$Y$7)+1),COUNTIF($AC$8:AC333,AC333))),"")</f>
        <v/>
      </c>
      <c r="M333" s="72" t="str">
        <f t="array" ref="M333">IF(ISNUMBER(AC333),INDEX('All Player Data Store'!$I$7:$I$594,SMALL(IF('All Player Data Store'!$Y$7:$Y$594=AC333,ROW('All Player Data Store'!$Y$7:$Y$594)-ROW('All Player Data Store'!$Y$7)+1),COUNTIF($AC$8:AC333,AC333))),"")</f>
        <v/>
      </c>
      <c r="N333" s="114" t="str">
        <f t="array" ref="N333">IF(ISNUMBER(AC333),INDEX('All Player Data Store'!$J$7:$J$594,SMALL(IF('All Player Data Store'!$Y$7:$Y$594=AC333,ROW('All Player Data Store'!$Y$7:$Y$594)-ROW('All Player Data Store'!$Y$7)+1),COUNTIF($AC$8:AC333,AC333))),"")</f>
        <v/>
      </c>
      <c r="O333" s="108" t="str">
        <f t="array" ref="O333">IF(ISNUMBER(AC333),INDEX('All Player Data Store'!$K$7:$K$594,SMALL(IF('All Player Data Store'!$Y$7:$Y$594=AC333,ROW('All Player Data Store'!$Y$7:$Y$594)-ROW('All Player Data Store'!$Y$7)+1),COUNTIF($AC$8:AC333,AC333))),"")</f>
        <v/>
      </c>
      <c r="P333" s="108" t="str">
        <f t="array" ref="P333">IF(ISNUMBER(AC333),INDEX('All Player Data Store'!$L$7:$L$594,SMALL(IF('All Player Data Store'!$Y$7:$Y$594=AC333,ROW('All Player Data Store'!$Y$7:$Y$594)-ROW('All Player Data Store'!$Y$7)+1),COUNTIF($AC$8:AC333,AC333))),"")</f>
        <v/>
      </c>
      <c r="Q333" s="108" t="str">
        <f t="array" ref="Q333">IF(ISNUMBER(AC333),INDEX('All Player Data Store'!$M$7:$M$594,SMALL(IF('All Player Data Store'!$Y$7:$Y$594=AC333,ROW('All Player Data Store'!$Y$7:$Y$594)-ROW('All Player Data Store'!$Y$7)+1),COUNTIF($AC$8:AC333,AC333))),"")</f>
        <v/>
      </c>
      <c r="R333" s="108" t="str">
        <f t="array" ref="R333">IF(ISNUMBER(AC333),INDEX('All Player Data Store'!$N$7:$N$594,SMALL(IF('All Player Data Store'!$Y$7:$Y$594=AC333,ROW('All Player Data Store'!$Y$7:$Y$594)-ROW('All Player Data Store'!$Y$7)+1),COUNTIF($AC$8:AC333,AC333))),"")</f>
        <v/>
      </c>
      <c r="S333" s="108" t="str">
        <f t="array" ref="S333">IF(ISNUMBER(AC333),INDEX('All Player Data Store'!$O$7:$O$594,SMALL(IF('All Player Data Store'!$Y$7:$Y$594=AC333,ROW('All Player Data Store'!$Y$7:$Y$594)-ROW('All Player Data Store'!$Y$7)+1),COUNTIF($AC$8:AC333,AC333))),"")</f>
        <v/>
      </c>
      <c r="T333" s="108" t="str">
        <f t="array" ref="T333">IF(ISNUMBER(AC333),INDEX('All Player Data Store'!$P$7:$P$594,SMALL(IF('All Player Data Store'!$Y$7:$Y$594=AC333,ROW('All Player Data Store'!$Y$7:$Y$594)-ROW('All Player Data Store'!$Y$7)+1),COUNTIF($AC$8:AC333,AC333))),"")</f>
        <v/>
      </c>
      <c r="U333" s="108" t="str">
        <f t="array" ref="U333">IF(ISNUMBER(AC333),INDEX('All Player Data Store'!$Q$7:$Q$594,SMALL(IF('All Player Data Store'!$Y$7:$Y$594=AC333,ROW('All Player Data Store'!$Y$7:$Y$594)-ROW('All Player Data Store'!$Y$7)+1),COUNTIF($AC$8:AC333,AC333))),"")</f>
        <v/>
      </c>
      <c r="V333" s="108" t="str">
        <f t="array" ref="V333">IF(ISNUMBER(AC333),INDEX('All Player Data Store'!$R$7:$R$594,SMALL(IF('All Player Data Store'!$Y$7:$Y$594=AC333,ROW('All Player Data Store'!$Y$7:$Y$594)-ROW('All Player Data Store'!$Y$7)+1),COUNTIF($AC$8:AC333,AC333))),"")</f>
        <v/>
      </c>
      <c r="W333" s="108" t="str">
        <f t="array" ref="W333">IF(ISNUMBER(AC333),INDEX('All Player Data Store'!$S$7:$S$594,SMALL(IF('All Player Data Store'!$Y$7:$Y$594=AC333,ROW('All Player Data Store'!$Y$7:$Y$594)-ROW('All Player Data Store'!$Y$7)+1),COUNTIF($AC$8:AC333,AC333))),"")</f>
        <v/>
      </c>
      <c r="X333" s="108" t="str">
        <f t="array" ref="X333">IF(ISNUMBER(AC333),INDEX('All Player Data Store'!$T$7:$T$594,SMALL(IF('All Player Data Store'!$Y$7:$Y$594=AC333,ROW('All Player Data Store'!$Y$7:$Y$594)-ROW('All Player Data Store'!$Y$7)+1),COUNTIF($AC$8:AC333,AC333))),"")</f>
        <v/>
      </c>
      <c r="Y333" s="108" t="str">
        <f t="array" ref="Y333">IF(ISNUMBER(AC333),INDEX('All Player Data Store'!$U$7:$U$594,SMALL(IF('All Player Data Store'!$Y$7:$Y$594=AC333,ROW('All Player Data Store'!$Y$7:$Y$594)-ROW('All Player Data Store'!$Y$7)+1),COUNTIF($AC$8:AC333,AC333))),"")</f>
        <v/>
      </c>
      <c r="Z333" s="108" t="str">
        <f t="array" ref="Z333">IF(ISNUMBER(AC333),INDEX('All Player Data Store'!$V$7:$V$594,SMALL(IF('All Player Data Store'!$Y$7:$Y$594=AC333,ROW('All Player Data Store'!$Y$7:$Y$594)-ROW('All Player Data Store'!$Y$7)+1),COUNTIF($AC$8:AC333,AC333))),"")</f>
        <v/>
      </c>
      <c r="AA333" s="112" t="str">
        <f t="array" ref="AA333">IF(ISNUMBER(AC333),INDEX('All Player Data Store'!$W$7:$W$594,SMALL(IF('All Player Data Store'!$Y$7:$Y$594=AC333,ROW('All Player Data Store'!$Y$7:$Y$594)-ROW('All Player Data Store'!$Y$7)+1),COUNTIF($AC$8:AC333,AC333))),"")</f>
        <v/>
      </c>
      <c r="AB333" s="108" t="str">
        <f t="array" ref="AB333">IF(ISNUMBER(AC333),INDEX('All Player Data Store'!$X$7:$X$594,SMALL(IF('All Player Data Store'!$Y$7:$Y$594=AC333,ROW('All Player Data Store'!$Y$7:$Y$594)-ROW('All Player Data Store'!$Y$7)+1),COUNTIF($AC$8:AC333,AC333))),"")</f>
        <v/>
      </c>
      <c r="AC333" s="115" t="str">
        <f>IF(ISERROR(IF(ISERROR(LARGE('All Player Data Store'!$Y$7:$Y$594,326)),"",(LARGE('All Player Data Store'!$Y$7:$Y$594,326)))),"",(IF(ISERROR(LARGE('All Player Data Store'!$Y$7:$Y$594,326)),"",(LARGE('All Player Data Store'!$Y$7:$Y$594,326)))))</f>
        <v/>
      </c>
      <c r="AD333" s="106">
        <f t="shared" si="16"/>
        <v>1</v>
      </c>
      <c r="AE333" s="107" t="str">
        <f t="array" ref="AE333">IF(ISNUMBER(AC333),INDEX('All Player Data Store'!$J$8:$J$594,SMALL(IF('All Player Data Store'!$Y$7:$Y$594=AC333,ROW('All Player Data Store'!$Y$7:$Y$594)-ROW('All Player Data Store'!$Y$7)+1),COUNTIF($AC$8:AC333,AC333))),"")</f>
        <v/>
      </c>
      <c r="AF333" s="108" t="str">
        <f t="shared" si="19"/>
        <v/>
      </c>
      <c r="AG333" s="108" t="str">
        <f t="array" ref="AG333">IF(ISNUMBER(AC333),INDEX('All Player Data Store'!$K$8:$K$594,SMALL(IF('All Player Data Store'!$Y$7:$Y$594=AC333,ROW('All Player Data Store'!$Y$7:$Y$594)-ROW('All Player Data Store'!$Y$7)+1),COUNTIF($AC$8:AC333,AC333))),"")</f>
        <v/>
      </c>
      <c r="AH333" s="108" t="str">
        <f t="shared" si="20"/>
        <v/>
      </c>
      <c r="AI333" s="108" t="str">
        <f t="array" ref="AI333">IF(ISNUMBER(AC333),INDEX('All Player Data Store'!$L$8:$L$594,SMALL(IF('All Player Data Store'!$Y$7:$Y$594=AC333,ROW('All Player Data Store'!$Y$7:$Y$594)-ROW('All Player Data Store'!$Y$7)+1),COUNTIF($AC$8:AC333,AC333))),"")</f>
        <v/>
      </c>
      <c r="AJ333" s="108" t="str">
        <f t="shared" si="21"/>
        <v/>
      </c>
      <c r="AK333" s="108" t="str">
        <f t="array" ref="AK333">IF(ISNUMBER(AC333),INDEX('All Player Data Store'!$M$8:$M$594,SMALL(IF('All Player Data Store'!$Y$7:$Y$594=AC333,ROW('All Player Data Store'!$Y$7:$Y$594)-ROW('All Player Data Store'!$Y$7)+1),COUNTIF($AC$8:AC333,AC333))),"")</f>
        <v/>
      </c>
      <c r="AL333" s="108" t="str">
        <f t="shared" si="22"/>
        <v/>
      </c>
      <c r="AM333" s="108" t="str">
        <f t="array" ref="AM333">IF(ISNUMBER(AC333),INDEX('All Player Data Store'!$N$8:$N$594,SMALL(IF('All Player Data Store'!$Y$7:$Y$594=AC333,ROW('All Player Data Store'!$Y$7:$Y$594)-ROW('All Player Data Store'!$Y$7)+1),COUNTIF($AC$8:AC333,AC333))),"")</f>
        <v/>
      </c>
      <c r="AN333" s="108" t="str">
        <f t="shared" si="23"/>
        <v/>
      </c>
      <c r="AO333" s="108" t="str">
        <f t="array" ref="AO333">IF(ISNUMBER(AC333),INDEX('All Player Data Store'!$O$8:$O$594,SMALL(IF('All Player Data Store'!$Y$7:$Y$594=AC333,ROW('All Player Data Store'!$Y$7:$Y$594)-ROW('All Player Data Store'!$Y$7)+1),COUNTIF($AC$8:AC333,AC333))),"")</f>
        <v/>
      </c>
      <c r="AP333" s="108" t="str">
        <f t="shared" si="24"/>
        <v/>
      </c>
      <c r="AQ333" s="108" t="str">
        <f t="array" ref="AQ333">IF(ISNUMBER(AC333),INDEX('All Player Data Store'!$P$8:$P$594,SMALL(IF('All Player Data Store'!$Y$7:$Y$594=AC333,ROW('All Player Data Store'!$Y$7:$Y$594)-ROW('All Player Data Store'!$Y$7)+1),COUNTIF($AC$8:AC333,AC333))),"")</f>
        <v/>
      </c>
      <c r="AR333" s="108" t="str">
        <f t="shared" si="25"/>
        <v/>
      </c>
      <c r="AS333" s="108" t="str">
        <f t="array" ref="AS333">IF(ISNUMBER(AC333),INDEX('All Player Data Store'!$Q$8:$Q$594,SMALL(IF('All Player Data Store'!$Y$7:$Y$594=AC333,ROW('All Player Data Store'!$Y$7:$Y$594)-ROW('All Player Data Store'!$Y$7)+1),COUNTIF($AC$8:AC333,AC333))),"")</f>
        <v/>
      </c>
      <c r="AT333" s="108" t="str">
        <f t="shared" si="26"/>
        <v/>
      </c>
      <c r="AU333" s="108" t="str">
        <f t="array" ref="AU333">IF(ISNUMBER(AC333),INDEX('All Player Data Store'!$R$8:$R$594,SMALL(IF('All Player Data Store'!$Y$7:$Y$594=AC333,ROW('All Player Data Store'!$Y$7:$Y$594)-ROW('All Player Data Store'!$Y$7)+1),COUNTIF($AC$8:AC333,AC333))),"")</f>
        <v/>
      </c>
      <c r="AV333" s="108" t="str">
        <f t="shared" si="27"/>
        <v/>
      </c>
      <c r="AW333" s="108" t="str">
        <f t="array" ref="AW333">IF(ISNUMBER(AC333),INDEX('All Player Data Store'!$S$8:$S$594,SMALL(IF('All Player Data Store'!$Y$7:$Y$594=AC333,ROW('All Player Data Store'!$Y$7:$Y$594)-ROW('All Player Data Store'!$Y$7)+1),COUNTIF($AC$8:AC333,AC333))),"")</f>
        <v/>
      </c>
      <c r="AX333" s="108" t="str">
        <f t="shared" si="28"/>
        <v/>
      </c>
      <c r="AY333" s="108" t="str">
        <f t="array" ref="AY333">IF(ISNUMBER(AC333),INDEX('All Player Data Store'!$T$8:$T$594,SMALL(IF('All Player Data Store'!$Y$7:$Y$594=AC333,ROW('All Player Data Store'!$Y$7:$Y$594)-ROW('All Player Data Store'!$Y$7)+1),COUNTIF($AC$8:AC333,AC333))),"")</f>
        <v/>
      </c>
      <c r="AZ333" s="108" t="str">
        <f t="shared" si="29"/>
        <v/>
      </c>
      <c r="BA333" s="108" t="str">
        <f t="array" ref="BA333">IF(ISNUMBER(AC333),INDEX('All Player Data Store'!$U$8:$U$594,SMALL(IF('All Player Data Store'!$Y$7:$Y$594=AC333,ROW('All Player Data Store'!$Y$7:$Y$594)-ROW('All Player Data Store'!$Y$7)+1),COUNTIF($AC$8:AC333,AC333))),"")</f>
        <v/>
      </c>
      <c r="BB333" s="108" t="str">
        <f t="shared" si="30"/>
        <v/>
      </c>
      <c r="BC333" s="108" t="str">
        <f t="array" ref="BC333">IF(ISNUMBER(AC333),INDEX('All Player Data Store'!$V$8:$V$594,SMALL(IF('All Player Data Store'!$Y$7:$Y$594=AC333,ROW('All Player Data Store'!$Y$7:$Y$594)-ROW('All Player Data Store'!$Y$7)+1),COUNTIF($AC$8:AC333,AC333))),"")</f>
        <v/>
      </c>
      <c r="BD333" s="108" t="str">
        <f t="shared" si="31"/>
        <v/>
      </c>
      <c r="BE333" s="1"/>
    </row>
    <row r="334" spans="2:57" ht="12" customHeight="1" x14ac:dyDescent="0.2">
      <c r="B334" s="118" t="str">
        <f t="shared" si="17"/>
        <v/>
      </c>
      <c r="C334" s="1"/>
      <c r="D334" s="68" t="str">
        <f t="shared" si="18"/>
        <v/>
      </c>
      <c r="E334" s="2"/>
      <c r="F334" s="78">
        <v>327</v>
      </c>
      <c r="G334" s="110" t="str">
        <f t="array" ref="G334">IF(ISNUMBER(AC334),INDEX('All Player Data Store'!$C$7:$C$594,SMALL(IF('All Player Data Store'!$Y$7:$Y$594=AC334,ROW('All Player Data Store'!$Y$7:$Y$594)-ROW('All Player Data Store'!$Y$7)+1),COUNTIF($AC$8:AC334,AC334))),"")</f>
        <v/>
      </c>
      <c r="H334" s="68" t="str">
        <f t="array" ref="H334">IF(ISNUMBER(AC334),INDEX('All Player Data Store'!$D$7:$D$594,SMALL(IF('All Player Data Store'!$Y$7:$Y$594=AC334,ROW('All Player Data Store'!$Y$7:$Y$594)-ROW('All Player Data Store'!$Y$7)+1),COUNTIF($AC$8:AC334,AC334))),"")</f>
        <v/>
      </c>
      <c r="I334" s="69" t="str">
        <f t="array" ref="I334">IF(ISNUMBER(AC334),INDEX('All Player Data Store'!$E$7:$E$594,SMALL(IF('All Player Data Store'!$Y$7:$Y$594=AC334,ROW('All Player Data Store'!$Y$7:$Y$594)-ROW('All Player Data Store'!$Y$7)+1),COUNTIF($AC$8:AC334,AC334))),"")</f>
        <v/>
      </c>
      <c r="J334" s="70" t="str">
        <f t="array" ref="J334">IF(ISNUMBER(AC334),INDEX('All Player Data Store'!$F$7:$F$594,SMALL(IF('All Player Data Store'!$Y$7:$Y$594=AC334,ROW('All Player Data Store'!$Y$7:$Y$594)-ROW('All Player Data Store'!$Y$7)+1),COUNTIF($AC$8:AC334,AC334))),"")</f>
        <v/>
      </c>
      <c r="K334" s="70" t="str">
        <f t="array" ref="K334">IF(ISNUMBER(AC334),INDEX('All Player Data Store'!$G$7:$G$594,SMALL(IF('All Player Data Store'!$Y$7:$Y$594=AC334,ROW('All Player Data Store'!$Y$7:$Y$594)-ROW('All Player Data Store'!$Y$7)+1),COUNTIF($AC$8:AC334,AC334))),"")</f>
        <v/>
      </c>
      <c r="L334" s="70" t="str">
        <f t="array" ref="L334">IF(ISNUMBER(AC334),INDEX('All Player Data Store'!$H$7:$H$594,SMALL(IF('All Player Data Store'!$Y$7:$Y$594=AC334,ROW('All Player Data Store'!$Y$7:$Y$594)-ROW('All Player Data Store'!$Y$7)+1),COUNTIF($AC$8:AC334,AC334))),"")</f>
        <v/>
      </c>
      <c r="M334" s="72" t="str">
        <f t="array" ref="M334">IF(ISNUMBER(AC334),INDEX('All Player Data Store'!$I$7:$I$594,SMALL(IF('All Player Data Store'!$Y$7:$Y$594=AC334,ROW('All Player Data Store'!$Y$7:$Y$594)-ROW('All Player Data Store'!$Y$7)+1),COUNTIF($AC$8:AC334,AC334))),"")</f>
        <v/>
      </c>
      <c r="N334" s="114" t="str">
        <f t="array" ref="N334">IF(ISNUMBER(AC334),INDEX('All Player Data Store'!$J$7:$J$594,SMALL(IF('All Player Data Store'!$Y$7:$Y$594=AC334,ROW('All Player Data Store'!$Y$7:$Y$594)-ROW('All Player Data Store'!$Y$7)+1),COUNTIF($AC$8:AC334,AC334))),"")</f>
        <v/>
      </c>
      <c r="O334" s="108" t="str">
        <f t="array" ref="O334">IF(ISNUMBER(AC334),INDEX('All Player Data Store'!$K$7:$K$594,SMALL(IF('All Player Data Store'!$Y$7:$Y$594=AC334,ROW('All Player Data Store'!$Y$7:$Y$594)-ROW('All Player Data Store'!$Y$7)+1),COUNTIF($AC$8:AC334,AC334))),"")</f>
        <v/>
      </c>
      <c r="P334" s="108" t="str">
        <f t="array" ref="P334">IF(ISNUMBER(AC334),INDEX('All Player Data Store'!$L$7:$L$594,SMALL(IF('All Player Data Store'!$Y$7:$Y$594=AC334,ROW('All Player Data Store'!$Y$7:$Y$594)-ROW('All Player Data Store'!$Y$7)+1),COUNTIF($AC$8:AC334,AC334))),"")</f>
        <v/>
      </c>
      <c r="Q334" s="108" t="str">
        <f t="array" ref="Q334">IF(ISNUMBER(AC334),INDEX('All Player Data Store'!$M$7:$M$594,SMALL(IF('All Player Data Store'!$Y$7:$Y$594=AC334,ROW('All Player Data Store'!$Y$7:$Y$594)-ROW('All Player Data Store'!$Y$7)+1),COUNTIF($AC$8:AC334,AC334))),"")</f>
        <v/>
      </c>
      <c r="R334" s="108" t="str">
        <f t="array" ref="R334">IF(ISNUMBER(AC334),INDEX('All Player Data Store'!$N$7:$N$594,SMALL(IF('All Player Data Store'!$Y$7:$Y$594=AC334,ROW('All Player Data Store'!$Y$7:$Y$594)-ROW('All Player Data Store'!$Y$7)+1),COUNTIF($AC$8:AC334,AC334))),"")</f>
        <v/>
      </c>
      <c r="S334" s="108" t="str">
        <f t="array" ref="S334">IF(ISNUMBER(AC334),INDEX('All Player Data Store'!$O$7:$O$594,SMALL(IF('All Player Data Store'!$Y$7:$Y$594=AC334,ROW('All Player Data Store'!$Y$7:$Y$594)-ROW('All Player Data Store'!$Y$7)+1),COUNTIF($AC$8:AC334,AC334))),"")</f>
        <v/>
      </c>
      <c r="T334" s="108" t="str">
        <f t="array" ref="T334">IF(ISNUMBER(AC334),INDEX('All Player Data Store'!$P$7:$P$594,SMALL(IF('All Player Data Store'!$Y$7:$Y$594=AC334,ROW('All Player Data Store'!$Y$7:$Y$594)-ROW('All Player Data Store'!$Y$7)+1),COUNTIF($AC$8:AC334,AC334))),"")</f>
        <v/>
      </c>
      <c r="U334" s="108" t="str">
        <f t="array" ref="U334">IF(ISNUMBER(AC334),INDEX('All Player Data Store'!$Q$7:$Q$594,SMALL(IF('All Player Data Store'!$Y$7:$Y$594=AC334,ROW('All Player Data Store'!$Y$7:$Y$594)-ROW('All Player Data Store'!$Y$7)+1),COUNTIF($AC$8:AC334,AC334))),"")</f>
        <v/>
      </c>
      <c r="V334" s="108" t="str">
        <f t="array" ref="V334">IF(ISNUMBER(AC334),INDEX('All Player Data Store'!$R$7:$R$594,SMALL(IF('All Player Data Store'!$Y$7:$Y$594=AC334,ROW('All Player Data Store'!$Y$7:$Y$594)-ROW('All Player Data Store'!$Y$7)+1),COUNTIF($AC$8:AC334,AC334))),"")</f>
        <v/>
      </c>
      <c r="W334" s="108" t="str">
        <f t="array" ref="W334">IF(ISNUMBER(AC334),INDEX('All Player Data Store'!$S$7:$S$594,SMALL(IF('All Player Data Store'!$Y$7:$Y$594=AC334,ROW('All Player Data Store'!$Y$7:$Y$594)-ROW('All Player Data Store'!$Y$7)+1),COUNTIF($AC$8:AC334,AC334))),"")</f>
        <v/>
      </c>
      <c r="X334" s="108" t="str">
        <f t="array" ref="X334">IF(ISNUMBER(AC334),INDEX('All Player Data Store'!$T$7:$T$594,SMALL(IF('All Player Data Store'!$Y$7:$Y$594=AC334,ROW('All Player Data Store'!$Y$7:$Y$594)-ROW('All Player Data Store'!$Y$7)+1),COUNTIF($AC$8:AC334,AC334))),"")</f>
        <v/>
      </c>
      <c r="Y334" s="108" t="str">
        <f t="array" ref="Y334">IF(ISNUMBER(AC334),INDEX('All Player Data Store'!$U$7:$U$594,SMALL(IF('All Player Data Store'!$Y$7:$Y$594=AC334,ROW('All Player Data Store'!$Y$7:$Y$594)-ROW('All Player Data Store'!$Y$7)+1),COUNTIF($AC$8:AC334,AC334))),"")</f>
        <v/>
      </c>
      <c r="Z334" s="108" t="str">
        <f t="array" ref="Z334">IF(ISNUMBER(AC334),INDEX('All Player Data Store'!$V$7:$V$594,SMALL(IF('All Player Data Store'!$Y$7:$Y$594=AC334,ROW('All Player Data Store'!$Y$7:$Y$594)-ROW('All Player Data Store'!$Y$7)+1),COUNTIF($AC$8:AC334,AC334))),"")</f>
        <v/>
      </c>
      <c r="AA334" s="112" t="str">
        <f t="array" ref="AA334">IF(ISNUMBER(AC334),INDEX('All Player Data Store'!$W$7:$W$594,SMALL(IF('All Player Data Store'!$Y$7:$Y$594=AC334,ROW('All Player Data Store'!$Y$7:$Y$594)-ROW('All Player Data Store'!$Y$7)+1),COUNTIF($AC$8:AC334,AC334))),"")</f>
        <v/>
      </c>
      <c r="AB334" s="108" t="str">
        <f t="array" ref="AB334">IF(ISNUMBER(AC334),INDEX('All Player Data Store'!$X$7:$X$594,SMALL(IF('All Player Data Store'!$Y$7:$Y$594=AC334,ROW('All Player Data Store'!$Y$7:$Y$594)-ROW('All Player Data Store'!$Y$7)+1),COUNTIF($AC$8:AC334,AC334))),"")</f>
        <v/>
      </c>
      <c r="AC334" s="115" t="str">
        <f>IF(ISERROR(IF(ISERROR(LARGE('All Player Data Store'!$Y$7:$Y$594,327)),"",(LARGE('All Player Data Store'!$Y$7:$Y$594,327)))),"",(IF(ISERROR(LARGE('All Player Data Store'!$Y$7:$Y$594,327)),"",(LARGE('All Player Data Store'!$Y$7:$Y$594,327)))))</f>
        <v/>
      </c>
      <c r="AD334" s="106">
        <f t="shared" si="16"/>
        <v>1</v>
      </c>
      <c r="AE334" s="107" t="str">
        <f t="array" ref="AE334">IF(ISNUMBER(AC334),INDEX('All Player Data Store'!$J$8:$J$594,SMALL(IF('All Player Data Store'!$Y$7:$Y$594=AC334,ROW('All Player Data Store'!$Y$7:$Y$594)-ROW('All Player Data Store'!$Y$7)+1),COUNTIF($AC$8:AC334,AC334))),"")</f>
        <v/>
      </c>
      <c r="AF334" s="108" t="str">
        <f t="shared" si="19"/>
        <v/>
      </c>
      <c r="AG334" s="108" t="str">
        <f t="array" ref="AG334">IF(ISNUMBER(AC334),INDEX('All Player Data Store'!$K$8:$K$594,SMALL(IF('All Player Data Store'!$Y$7:$Y$594=AC334,ROW('All Player Data Store'!$Y$7:$Y$594)-ROW('All Player Data Store'!$Y$7)+1),COUNTIF($AC$8:AC334,AC334))),"")</f>
        <v/>
      </c>
      <c r="AH334" s="108" t="str">
        <f t="shared" si="20"/>
        <v/>
      </c>
      <c r="AI334" s="108" t="str">
        <f t="array" ref="AI334">IF(ISNUMBER(AC334),INDEX('All Player Data Store'!$L$8:$L$594,SMALL(IF('All Player Data Store'!$Y$7:$Y$594=AC334,ROW('All Player Data Store'!$Y$7:$Y$594)-ROW('All Player Data Store'!$Y$7)+1),COUNTIF($AC$8:AC334,AC334))),"")</f>
        <v/>
      </c>
      <c r="AJ334" s="108" t="str">
        <f t="shared" si="21"/>
        <v/>
      </c>
      <c r="AK334" s="108" t="str">
        <f t="array" ref="AK334">IF(ISNUMBER(AC334),INDEX('All Player Data Store'!$M$8:$M$594,SMALL(IF('All Player Data Store'!$Y$7:$Y$594=AC334,ROW('All Player Data Store'!$Y$7:$Y$594)-ROW('All Player Data Store'!$Y$7)+1),COUNTIF($AC$8:AC334,AC334))),"")</f>
        <v/>
      </c>
      <c r="AL334" s="108" t="str">
        <f t="shared" si="22"/>
        <v/>
      </c>
      <c r="AM334" s="108" t="str">
        <f t="array" ref="AM334">IF(ISNUMBER(AC334),INDEX('All Player Data Store'!$N$8:$N$594,SMALL(IF('All Player Data Store'!$Y$7:$Y$594=AC334,ROW('All Player Data Store'!$Y$7:$Y$594)-ROW('All Player Data Store'!$Y$7)+1),COUNTIF($AC$8:AC334,AC334))),"")</f>
        <v/>
      </c>
      <c r="AN334" s="108" t="str">
        <f t="shared" si="23"/>
        <v/>
      </c>
      <c r="AO334" s="108" t="str">
        <f t="array" ref="AO334">IF(ISNUMBER(AC334),INDEX('All Player Data Store'!$O$8:$O$594,SMALL(IF('All Player Data Store'!$Y$7:$Y$594=AC334,ROW('All Player Data Store'!$Y$7:$Y$594)-ROW('All Player Data Store'!$Y$7)+1),COUNTIF($AC$8:AC334,AC334))),"")</f>
        <v/>
      </c>
      <c r="AP334" s="108" t="str">
        <f t="shared" si="24"/>
        <v/>
      </c>
      <c r="AQ334" s="108" t="str">
        <f t="array" ref="AQ334">IF(ISNUMBER(AC334),INDEX('All Player Data Store'!$P$8:$P$594,SMALL(IF('All Player Data Store'!$Y$7:$Y$594=AC334,ROW('All Player Data Store'!$Y$7:$Y$594)-ROW('All Player Data Store'!$Y$7)+1),COUNTIF($AC$8:AC334,AC334))),"")</f>
        <v/>
      </c>
      <c r="AR334" s="108" t="str">
        <f t="shared" si="25"/>
        <v/>
      </c>
      <c r="AS334" s="108" t="str">
        <f t="array" ref="AS334">IF(ISNUMBER(AC334),INDEX('All Player Data Store'!$Q$8:$Q$594,SMALL(IF('All Player Data Store'!$Y$7:$Y$594=AC334,ROW('All Player Data Store'!$Y$7:$Y$594)-ROW('All Player Data Store'!$Y$7)+1),COUNTIF($AC$8:AC334,AC334))),"")</f>
        <v/>
      </c>
      <c r="AT334" s="108" t="str">
        <f t="shared" si="26"/>
        <v/>
      </c>
      <c r="AU334" s="108" t="str">
        <f t="array" ref="AU334">IF(ISNUMBER(AC334),INDEX('All Player Data Store'!$R$8:$R$594,SMALL(IF('All Player Data Store'!$Y$7:$Y$594=AC334,ROW('All Player Data Store'!$Y$7:$Y$594)-ROW('All Player Data Store'!$Y$7)+1),COUNTIF($AC$8:AC334,AC334))),"")</f>
        <v/>
      </c>
      <c r="AV334" s="108" t="str">
        <f t="shared" si="27"/>
        <v/>
      </c>
      <c r="AW334" s="108" t="str">
        <f t="array" ref="AW334">IF(ISNUMBER(AC334),INDEX('All Player Data Store'!$S$8:$S$594,SMALL(IF('All Player Data Store'!$Y$7:$Y$594=AC334,ROW('All Player Data Store'!$Y$7:$Y$594)-ROW('All Player Data Store'!$Y$7)+1),COUNTIF($AC$8:AC334,AC334))),"")</f>
        <v/>
      </c>
      <c r="AX334" s="108" t="str">
        <f t="shared" si="28"/>
        <v/>
      </c>
      <c r="AY334" s="108" t="str">
        <f t="array" ref="AY334">IF(ISNUMBER(AC334),INDEX('All Player Data Store'!$T$8:$T$594,SMALL(IF('All Player Data Store'!$Y$7:$Y$594=AC334,ROW('All Player Data Store'!$Y$7:$Y$594)-ROW('All Player Data Store'!$Y$7)+1),COUNTIF($AC$8:AC334,AC334))),"")</f>
        <v/>
      </c>
      <c r="AZ334" s="108" t="str">
        <f t="shared" si="29"/>
        <v/>
      </c>
      <c r="BA334" s="108" t="str">
        <f t="array" ref="BA334">IF(ISNUMBER(AC334),INDEX('All Player Data Store'!$U$8:$U$594,SMALL(IF('All Player Data Store'!$Y$7:$Y$594=AC334,ROW('All Player Data Store'!$Y$7:$Y$594)-ROW('All Player Data Store'!$Y$7)+1),COUNTIF($AC$8:AC334,AC334))),"")</f>
        <v/>
      </c>
      <c r="BB334" s="108" t="str">
        <f t="shared" si="30"/>
        <v/>
      </c>
      <c r="BC334" s="108" t="str">
        <f t="array" ref="BC334">IF(ISNUMBER(AC334),INDEX('All Player Data Store'!$V$8:$V$594,SMALL(IF('All Player Data Store'!$Y$7:$Y$594=AC334,ROW('All Player Data Store'!$Y$7:$Y$594)-ROW('All Player Data Store'!$Y$7)+1),COUNTIF($AC$8:AC334,AC334))),"")</f>
        <v/>
      </c>
      <c r="BD334" s="108" t="str">
        <f t="shared" si="31"/>
        <v/>
      </c>
      <c r="BE334" s="1"/>
    </row>
    <row r="335" spans="2:57" ht="12" customHeight="1" x14ac:dyDescent="0.2">
      <c r="B335" s="118" t="str">
        <f t="shared" si="17"/>
        <v/>
      </c>
      <c r="C335" s="1"/>
      <c r="D335" s="68" t="str">
        <f t="shared" si="18"/>
        <v/>
      </c>
      <c r="E335" s="2"/>
      <c r="F335" s="78">
        <v>328</v>
      </c>
      <c r="G335" s="110" t="str">
        <f t="array" ref="G335">IF(ISNUMBER(AC335),INDEX('All Player Data Store'!$C$7:$C$594,SMALL(IF('All Player Data Store'!$Y$7:$Y$594=AC335,ROW('All Player Data Store'!$Y$7:$Y$594)-ROW('All Player Data Store'!$Y$7)+1),COUNTIF($AC$8:AC335,AC335))),"")</f>
        <v/>
      </c>
      <c r="H335" s="68" t="str">
        <f t="array" ref="H335">IF(ISNUMBER(AC335),INDEX('All Player Data Store'!$D$7:$D$594,SMALL(IF('All Player Data Store'!$Y$7:$Y$594=AC335,ROW('All Player Data Store'!$Y$7:$Y$594)-ROW('All Player Data Store'!$Y$7)+1),COUNTIF($AC$8:AC335,AC335))),"")</f>
        <v/>
      </c>
      <c r="I335" s="69" t="str">
        <f t="array" ref="I335">IF(ISNUMBER(AC335),INDEX('All Player Data Store'!$E$7:$E$594,SMALL(IF('All Player Data Store'!$Y$7:$Y$594=AC335,ROW('All Player Data Store'!$Y$7:$Y$594)-ROW('All Player Data Store'!$Y$7)+1),COUNTIF($AC$8:AC335,AC335))),"")</f>
        <v/>
      </c>
      <c r="J335" s="70" t="str">
        <f t="array" ref="J335">IF(ISNUMBER(AC335),INDEX('All Player Data Store'!$F$7:$F$594,SMALL(IF('All Player Data Store'!$Y$7:$Y$594=AC335,ROW('All Player Data Store'!$Y$7:$Y$594)-ROW('All Player Data Store'!$Y$7)+1),COUNTIF($AC$8:AC335,AC335))),"")</f>
        <v/>
      </c>
      <c r="K335" s="70" t="str">
        <f t="array" ref="K335">IF(ISNUMBER(AC335),INDEX('All Player Data Store'!$G$7:$G$594,SMALL(IF('All Player Data Store'!$Y$7:$Y$594=AC335,ROW('All Player Data Store'!$Y$7:$Y$594)-ROW('All Player Data Store'!$Y$7)+1),COUNTIF($AC$8:AC335,AC335))),"")</f>
        <v/>
      </c>
      <c r="L335" s="70" t="str">
        <f t="array" ref="L335">IF(ISNUMBER(AC335),INDEX('All Player Data Store'!$H$7:$H$594,SMALL(IF('All Player Data Store'!$Y$7:$Y$594=AC335,ROW('All Player Data Store'!$Y$7:$Y$594)-ROW('All Player Data Store'!$Y$7)+1),COUNTIF($AC$8:AC335,AC335))),"")</f>
        <v/>
      </c>
      <c r="M335" s="72" t="str">
        <f t="array" ref="M335">IF(ISNUMBER(AC335),INDEX('All Player Data Store'!$I$7:$I$594,SMALL(IF('All Player Data Store'!$Y$7:$Y$594=AC335,ROW('All Player Data Store'!$Y$7:$Y$594)-ROW('All Player Data Store'!$Y$7)+1),COUNTIF($AC$8:AC335,AC335))),"")</f>
        <v/>
      </c>
      <c r="N335" s="114" t="str">
        <f t="array" ref="N335">IF(ISNUMBER(AC335),INDEX('All Player Data Store'!$J$7:$J$594,SMALL(IF('All Player Data Store'!$Y$7:$Y$594=AC335,ROW('All Player Data Store'!$Y$7:$Y$594)-ROW('All Player Data Store'!$Y$7)+1),COUNTIF($AC$8:AC335,AC335))),"")</f>
        <v/>
      </c>
      <c r="O335" s="108" t="str">
        <f t="array" ref="O335">IF(ISNUMBER(AC335),INDEX('All Player Data Store'!$K$7:$K$594,SMALL(IF('All Player Data Store'!$Y$7:$Y$594=AC335,ROW('All Player Data Store'!$Y$7:$Y$594)-ROW('All Player Data Store'!$Y$7)+1),COUNTIF($AC$8:AC335,AC335))),"")</f>
        <v/>
      </c>
      <c r="P335" s="108" t="str">
        <f t="array" ref="P335">IF(ISNUMBER(AC335),INDEX('All Player Data Store'!$L$7:$L$594,SMALL(IF('All Player Data Store'!$Y$7:$Y$594=AC335,ROW('All Player Data Store'!$Y$7:$Y$594)-ROW('All Player Data Store'!$Y$7)+1),COUNTIF($AC$8:AC335,AC335))),"")</f>
        <v/>
      </c>
      <c r="Q335" s="108" t="str">
        <f t="array" ref="Q335">IF(ISNUMBER(AC335),INDEX('All Player Data Store'!$M$7:$M$594,SMALL(IF('All Player Data Store'!$Y$7:$Y$594=AC335,ROW('All Player Data Store'!$Y$7:$Y$594)-ROW('All Player Data Store'!$Y$7)+1),COUNTIF($AC$8:AC335,AC335))),"")</f>
        <v/>
      </c>
      <c r="R335" s="108" t="str">
        <f t="array" ref="R335">IF(ISNUMBER(AC335),INDEX('All Player Data Store'!$N$7:$N$594,SMALL(IF('All Player Data Store'!$Y$7:$Y$594=AC335,ROW('All Player Data Store'!$Y$7:$Y$594)-ROW('All Player Data Store'!$Y$7)+1),COUNTIF($AC$8:AC335,AC335))),"")</f>
        <v/>
      </c>
      <c r="S335" s="108" t="str">
        <f t="array" ref="S335">IF(ISNUMBER(AC335),INDEX('All Player Data Store'!$O$7:$O$594,SMALL(IF('All Player Data Store'!$Y$7:$Y$594=AC335,ROW('All Player Data Store'!$Y$7:$Y$594)-ROW('All Player Data Store'!$Y$7)+1),COUNTIF($AC$8:AC335,AC335))),"")</f>
        <v/>
      </c>
      <c r="T335" s="108" t="str">
        <f t="array" ref="T335">IF(ISNUMBER(AC335),INDEX('All Player Data Store'!$P$7:$P$594,SMALL(IF('All Player Data Store'!$Y$7:$Y$594=AC335,ROW('All Player Data Store'!$Y$7:$Y$594)-ROW('All Player Data Store'!$Y$7)+1),COUNTIF($AC$8:AC335,AC335))),"")</f>
        <v/>
      </c>
      <c r="U335" s="108" t="str">
        <f t="array" ref="U335">IF(ISNUMBER(AC335),INDEX('All Player Data Store'!$Q$7:$Q$594,SMALL(IF('All Player Data Store'!$Y$7:$Y$594=AC335,ROW('All Player Data Store'!$Y$7:$Y$594)-ROW('All Player Data Store'!$Y$7)+1),COUNTIF($AC$8:AC335,AC335))),"")</f>
        <v/>
      </c>
      <c r="V335" s="108" t="str">
        <f t="array" ref="V335">IF(ISNUMBER(AC335),INDEX('All Player Data Store'!$R$7:$R$594,SMALL(IF('All Player Data Store'!$Y$7:$Y$594=AC335,ROW('All Player Data Store'!$Y$7:$Y$594)-ROW('All Player Data Store'!$Y$7)+1),COUNTIF($AC$8:AC335,AC335))),"")</f>
        <v/>
      </c>
      <c r="W335" s="108" t="str">
        <f t="array" ref="W335">IF(ISNUMBER(AC335),INDEX('All Player Data Store'!$S$7:$S$594,SMALL(IF('All Player Data Store'!$Y$7:$Y$594=AC335,ROW('All Player Data Store'!$Y$7:$Y$594)-ROW('All Player Data Store'!$Y$7)+1),COUNTIF($AC$8:AC335,AC335))),"")</f>
        <v/>
      </c>
      <c r="X335" s="108" t="str">
        <f t="array" ref="X335">IF(ISNUMBER(AC335),INDEX('All Player Data Store'!$T$7:$T$594,SMALL(IF('All Player Data Store'!$Y$7:$Y$594=AC335,ROW('All Player Data Store'!$Y$7:$Y$594)-ROW('All Player Data Store'!$Y$7)+1),COUNTIF($AC$8:AC335,AC335))),"")</f>
        <v/>
      </c>
      <c r="Y335" s="108" t="str">
        <f t="array" ref="Y335">IF(ISNUMBER(AC335),INDEX('All Player Data Store'!$U$7:$U$594,SMALL(IF('All Player Data Store'!$Y$7:$Y$594=AC335,ROW('All Player Data Store'!$Y$7:$Y$594)-ROW('All Player Data Store'!$Y$7)+1),COUNTIF($AC$8:AC335,AC335))),"")</f>
        <v/>
      </c>
      <c r="Z335" s="108" t="str">
        <f t="array" ref="Z335">IF(ISNUMBER(AC335),INDEX('All Player Data Store'!$V$7:$V$594,SMALL(IF('All Player Data Store'!$Y$7:$Y$594=AC335,ROW('All Player Data Store'!$Y$7:$Y$594)-ROW('All Player Data Store'!$Y$7)+1),COUNTIF($AC$8:AC335,AC335))),"")</f>
        <v/>
      </c>
      <c r="AA335" s="112" t="str">
        <f t="array" ref="AA335">IF(ISNUMBER(AC335),INDEX('All Player Data Store'!$W$7:$W$594,SMALL(IF('All Player Data Store'!$Y$7:$Y$594=AC335,ROW('All Player Data Store'!$Y$7:$Y$594)-ROW('All Player Data Store'!$Y$7)+1),COUNTIF($AC$8:AC335,AC335))),"")</f>
        <v/>
      </c>
      <c r="AB335" s="108" t="str">
        <f t="array" ref="AB335">IF(ISNUMBER(AC335),INDEX('All Player Data Store'!$X$7:$X$594,SMALL(IF('All Player Data Store'!$Y$7:$Y$594=AC335,ROW('All Player Data Store'!$Y$7:$Y$594)-ROW('All Player Data Store'!$Y$7)+1),COUNTIF($AC$8:AC335,AC335))),"")</f>
        <v/>
      </c>
      <c r="AC335" s="115" t="str">
        <f>IF(ISERROR(IF(ISERROR(LARGE('All Player Data Store'!$Y$7:$Y$594,328)),"",(LARGE('All Player Data Store'!$Y$7:$Y$594,328)))),"",(IF(ISERROR(LARGE('All Player Data Store'!$Y$7:$Y$594,328)),"",(LARGE('All Player Data Store'!$Y$7:$Y$594,328)))))</f>
        <v/>
      </c>
      <c r="AD335" s="106">
        <f t="shared" si="16"/>
        <v>1</v>
      </c>
      <c r="AE335" s="107" t="str">
        <f t="array" ref="AE335">IF(ISNUMBER(AC335),INDEX('All Player Data Store'!$J$8:$J$594,SMALL(IF('All Player Data Store'!$Y$7:$Y$594=AC335,ROW('All Player Data Store'!$Y$7:$Y$594)-ROW('All Player Data Store'!$Y$7)+1),COUNTIF($AC$8:AC335,AC335))),"")</f>
        <v/>
      </c>
      <c r="AF335" s="108" t="str">
        <f t="shared" si="19"/>
        <v/>
      </c>
      <c r="AG335" s="108" t="str">
        <f t="array" ref="AG335">IF(ISNUMBER(AC335),INDEX('All Player Data Store'!$K$8:$K$594,SMALL(IF('All Player Data Store'!$Y$7:$Y$594=AC335,ROW('All Player Data Store'!$Y$7:$Y$594)-ROW('All Player Data Store'!$Y$7)+1),COUNTIF($AC$8:AC335,AC335))),"")</f>
        <v/>
      </c>
      <c r="AH335" s="108" t="str">
        <f t="shared" si="20"/>
        <v/>
      </c>
      <c r="AI335" s="108" t="str">
        <f t="array" ref="AI335">IF(ISNUMBER(AC335),INDEX('All Player Data Store'!$L$8:$L$594,SMALL(IF('All Player Data Store'!$Y$7:$Y$594=AC335,ROW('All Player Data Store'!$Y$7:$Y$594)-ROW('All Player Data Store'!$Y$7)+1),COUNTIF($AC$8:AC335,AC335))),"")</f>
        <v/>
      </c>
      <c r="AJ335" s="108" t="str">
        <f t="shared" si="21"/>
        <v/>
      </c>
      <c r="AK335" s="108" t="str">
        <f t="array" ref="AK335">IF(ISNUMBER(AC335),INDEX('All Player Data Store'!$M$8:$M$594,SMALL(IF('All Player Data Store'!$Y$7:$Y$594=AC335,ROW('All Player Data Store'!$Y$7:$Y$594)-ROW('All Player Data Store'!$Y$7)+1),COUNTIF($AC$8:AC335,AC335))),"")</f>
        <v/>
      </c>
      <c r="AL335" s="108" t="str">
        <f t="shared" si="22"/>
        <v/>
      </c>
      <c r="AM335" s="108" t="str">
        <f t="array" ref="AM335">IF(ISNUMBER(AC335),INDEX('All Player Data Store'!$N$8:$N$594,SMALL(IF('All Player Data Store'!$Y$7:$Y$594=AC335,ROW('All Player Data Store'!$Y$7:$Y$594)-ROW('All Player Data Store'!$Y$7)+1),COUNTIF($AC$8:AC335,AC335))),"")</f>
        <v/>
      </c>
      <c r="AN335" s="108" t="str">
        <f t="shared" si="23"/>
        <v/>
      </c>
      <c r="AO335" s="108" t="str">
        <f t="array" ref="AO335">IF(ISNUMBER(AC335),INDEX('All Player Data Store'!$O$8:$O$594,SMALL(IF('All Player Data Store'!$Y$7:$Y$594=AC335,ROW('All Player Data Store'!$Y$7:$Y$594)-ROW('All Player Data Store'!$Y$7)+1),COUNTIF($AC$8:AC335,AC335))),"")</f>
        <v/>
      </c>
      <c r="AP335" s="108" t="str">
        <f t="shared" si="24"/>
        <v/>
      </c>
      <c r="AQ335" s="108" t="str">
        <f t="array" ref="AQ335">IF(ISNUMBER(AC335),INDEX('All Player Data Store'!$P$8:$P$594,SMALL(IF('All Player Data Store'!$Y$7:$Y$594=AC335,ROW('All Player Data Store'!$Y$7:$Y$594)-ROW('All Player Data Store'!$Y$7)+1),COUNTIF($AC$8:AC335,AC335))),"")</f>
        <v/>
      </c>
      <c r="AR335" s="108" t="str">
        <f t="shared" si="25"/>
        <v/>
      </c>
      <c r="AS335" s="108" t="str">
        <f t="array" ref="AS335">IF(ISNUMBER(AC335),INDEX('All Player Data Store'!$Q$8:$Q$594,SMALL(IF('All Player Data Store'!$Y$7:$Y$594=AC335,ROW('All Player Data Store'!$Y$7:$Y$594)-ROW('All Player Data Store'!$Y$7)+1),COUNTIF($AC$8:AC335,AC335))),"")</f>
        <v/>
      </c>
      <c r="AT335" s="108" t="str">
        <f t="shared" si="26"/>
        <v/>
      </c>
      <c r="AU335" s="108" t="str">
        <f t="array" ref="AU335">IF(ISNUMBER(AC335),INDEX('All Player Data Store'!$R$8:$R$594,SMALL(IF('All Player Data Store'!$Y$7:$Y$594=AC335,ROW('All Player Data Store'!$Y$7:$Y$594)-ROW('All Player Data Store'!$Y$7)+1),COUNTIF($AC$8:AC335,AC335))),"")</f>
        <v/>
      </c>
      <c r="AV335" s="108" t="str">
        <f t="shared" si="27"/>
        <v/>
      </c>
      <c r="AW335" s="108" t="str">
        <f t="array" ref="AW335">IF(ISNUMBER(AC335),INDEX('All Player Data Store'!$S$8:$S$594,SMALL(IF('All Player Data Store'!$Y$7:$Y$594=AC335,ROW('All Player Data Store'!$Y$7:$Y$594)-ROW('All Player Data Store'!$Y$7)+1),COUNTIF($AC$8:AC335,AC335))),"")</f>
        <v/>
      </c>
      <c r="AX335" s="108" t="str">
        <f t="shared" si="28"/>
        <v/>
      </c>
      <c r="AY335" s="108" t="str">
        <f t="array" ref="AY335">IF(ISNUMBER(AC335),INDEX('All Player Data Store'!$T$8:$T$594,SMALL(IF('All Player Data Store'!$Y$7:$Y$594=AC335,ROW('All Player Data Store'!$Y$7:$Y$594)-ROW('All Player Data Store'!$Y$7)+1),COUNTIF($AC$8:AC335,AC335))),"")</f>
        <v/>
      </c>
      <c r="AZ335" s="108" t="str">
        <f t="shared" si="29"/>
        <v/>
      </c>
      <c r="BA335" s="108" t="str">
        <f t="array" ref="BA335">IF(ISNUMBER(AC335),INDEX('All Player Data Store'!$U$8:$U$594,SMALL(IF('All Player Data Store'!$Y$7:$Y$594=AC335,ROW('All Player Data Store'!$Y$7:$Y$594)-ROW('All Player Data Store'!$Y$7)+1),COUNTIF($AC$8:AC335,AC335))),"")</f>
        <v/>
      </c>
      <c r="BB335" s="108" t="str">
        <f t="shared" si="30"/>
        <v/>
      </c>
      <c r="BC335" s="108" t="str">
        <f t="array" ref="BC335">IF(ISNUMBER(AC335),INDEX('All Player Data Store'!$V$8:$V$594,SMALL(IF('All Player Data Store'!$Y$7:$Y$594=AC335,ROW('All Player Data Store'!$Y$7:$Y$594)-ROW('All Player Data Store'!$Y$7)+1),COUNTIF($AC$8:AC335,AC335))),"")</f>
        <v/>
      </c>
      <c r="BD335" s="108" t="str">
        <f t="shared" si="31"/>
        <v/>
      </c>
      <c r="BE335" s="1"/>
    </row>
    <row r="336" spans="2:57" ht="12" customHeight="1" x14ac:dyDescent="0.2">
      <c r="B336" s="118" t="str">
        <f t="shared" si="17"/>
        <v/>
      </c>
      <c r="C336" s="1"/>
      <c r="D336" s="68" t="str">
        <f t="shared" si="18"/>
        <v/>
      </c>
      <c r="E336" s="2"/>
      <c r="F336" s="78">
        <v>329</v>
      </c>
      <c r="G336" s="110" t="str">
        <f t="array" ref="G336">IF(ISNUMBER(AC336),INDEX('All Player Data Store'!$C$7:$C$594,SMALL(IF('All Player Data Store'!$Y$7:$Y$594=AC336,ROW('All Player Data Store'!$Y$7:$Y$594)-ROW('All Player Data Store'!$Y$7)+1),COUNTIF($AC$8:AC336,AC336))),"")</f>
        <v/>
      </c>
      <c r="H336" s="68" t="str">
        <f t="array" ref="H336">IF(ISNUMBER(AC336),INDEX('All Player Data Store'!$D$7:$D$594,SMALL(IF('All Player Data Store'!$Y$7:$Y$594=AC336,ROW('All Player Data Store'!$Y$7:$Y$594)-ROW('All Player Data Store'!$Y$7)+1),COUNTIF($AC$8:AC336,AC336))),"")</f>
        <v/>
      </c>
      <c r="I336" s="69" t="str">
        <f t="array" ref="I336">IF(ISNUMBER(AC336),INDEX('All Player Data Store'!$E$7:$E$594,SMALL(IF('All Player Data Store'!$Y$7:$Y$594=AC336,ROW('All Player Data Store'!$Y$7:$Y$594)-ROW('All Player Data Store'!$Y$7)+1),COUNTIF($AC$8:AC336,AC336))),"")</f>
        <v/>
      </c>
      <c r="J336" s="70" t="str">
        <f t="array" ref="J336">IF(ISNUMBER(AC336),INDEX('All Player Data Store'!$F$7:$F$594,SMALL(IF('All Player Data Store'!$Y$7:$Y$594=AC336,ROW('All Player Data Store'!$Y$7:$Y$594)-ROW('All Player Data Store'!$Y$7)+1),COUNTIF($AC$8:AC336,AC336))),"")</f>
        <v/>
      </c>
      <c r="K336" s="70" t="str">
        <f t="array" ref="K336">IF(ISNUMBER(AC336),INDEX('All Player Data Store'!$G$7:$G$594,SMALL(IF('All Player Data Store'!$Y$7:$Y$594=AC336,ROW('All Player Data Store'!$Y$7:$Y$594)-ROW('All Player Data Store'!$Y$7)+1),COUNTIF($AC$8:AC336,AC336))),"")</f>
        <v/>
      </c>
      <c r="L336" s="70" t="str">
        <f t="array" ref="L336">IF(ISNUMBER(AC336),INDEX('All Player Data Store'!$H$7:$H$594,SMALL(IF('All Player Data Store'!$Y$7:$Y$594=AC336,ROW('All Player Data Store'!$Y$7:$Y$594)-ROW('All Player Data Store'!$Y$7)+1),COUNTIF($AC$8:AC336,AC336))),"")</f>
        <v/>
      </c>
      <c r="M336" s="72" t="str">
        <f t="array" ref="M336">IF(ISNUMBER(AC336),INDEX('All Player Data Store'!$I$7:$I$594,SMALL(IF('All Player Data Store'!$Y$7:$Y$594=AC336,ROW('All Player Data Store'!$Y$7:$Y$594)-ROW('All Player Data Store'!$Y$7)+1),COUNTIF($AC$8:AC336,AC336))),"")</f>
        <v/>
      </c>
      <c r="N336" s="114" t="str">
        <f t="array" ref="N336">IF(ISNUMBER(AC336),INDEX('All Player Data Store'!$J$7:$J$594,SMALL(IF('All Player Data Store'!$Y$7:$Y$594=AC336,ROW('All Player Data Store'!$Y$7:$Y$594)-ROW('All Player Data Store'!$Y$7)+1),COUNTIF($AC$8:AC336,AC336))),"")</f>
        <v/>
      </c>
      <c r="O336" s="108" t="str">
        <f t="array" ref="O336">IF(ISNUMBER(AC336),INDEX('All Player Data Store'!$K$7:$K$594,SMALL(IF('All Player Data Store'!$Y$7:$Y$594=AC336,ROW('All Player Data Store'!$Y$7:$Y$594)-ROW('All Player Data Store'!$Y$7)+1),COUNTIF($AC$8:AC336,AC336))),"")</f>
        <v/>
      </c>
      <c r="P336" s="108" t="str">
        <f t="array" ref="P336">IF(ISNUMBER(AC336),INDEX('All Player Data Store'!$L$7:$L$594,SMALL(IF('All Player Data Store'!$Y$7:$Y$594=AC336,ROW('All Player Data Store'!$Y$7:$Y$594)-ROW('All Player Data Store'!$Y$7)+1),COUNTIF($AC$8:AC336,AC336))),"")</f>
        <v/>
      </c>
      <c r="Q336" s="108" t="str">
        <f t="array" ref="Q336">IF(ISNUMBER(AC336),INDEX('All Player Data Store'!$M$7:$M$594,SMALL(IF('All Player Data Store'!$Y$7:$Y$594=AC336,ROW('All Player Data Store'!$Y$7:$Y$594)-ROW('All Player Data Store'!$Y$7)+1),COUNTIF($AC$8:AC336,AC336))),"")</f>
        <v/>
      </c>
      <c r="R336" s="108" t="str">
        <f t="array" ref="R336">IF(ISNUMBER(AC336),INDEX('All Player Data Store'!$N$7:$N$594,SMALL(IF('All Player Data Store'!$Y$7:$Y$594=AC336,ROW('All Player Data Store'!$Y$7:$Y$594)-ROW('All Player Data Store'!$Y$7)+1),COUNTIF($AC$8:AC336,AC336))),"")</f>
        <v/>
      </c>
      <c r="S336" s="108" t="str">
        <f t="array" ref="S336">IF(ISNUMBER(AC336),INDEX('All Player Data Store'!$O$7:$O$594,SMALL(IF('All Player Data Store'!$Y$7:$Y$594=AC336,ROW('All Player Data Store'!$Y$7:$Y$594)-ROW('All Player Data Store'!$Y$7)+1),COUNTIF($AC$8:AC336,AC336))),"")</f>
        <v/>
      </c>
      <c r="T336" s="108" t="str">
        <f t="array" ref="T336">IF(ISNUMBER(AC336),INDEX('All Player Data Store'!$P$7:$P$594,SMALL(IF('All Player Data Store'!$Y$7:$Y$594=AC336,ROW('All Player Data Store'!$Y$7:$Y$594)-ROW('All Player Data Store'!$Y$7)+1),COUNTIF($AC$8:AC336,AC336))),"")</f>
        <v/>
      </c>
      <c r="U336" s="108" t="str">
        <f t="array" ref="U336">IF(ISNUMBER(AC336),INDEX('All Player Data Store'!$Q$7:$Q$594,SMALL(IF('All Player Data Store'!$Y$7:$Y$594=AC336,ROW('All Player Data Store'!$Y$7:$Y$594)-ROW('All Player Data Store'!$Y$7)+1),COUNTIF($AC$8:AC336,AC336))),"")</f>
        <v/>
      </c>
      <c r="V336" s="108" t="str">
        <f t="array" ref="V336">IF(ISNUMBER(AC336),INDEX('All Player Data Store'!$R$7:$R$594,SMALL(IF('All Player Data Store'!$Y$7:$Y$594=AC336,ROW('All Player Data Store'!$Y$7:$Y$594)-ROW('All Player Data Store'!$Y$7)+1),COUNTIF($AC$8:AC336,AC336))),"")</f>
        <v/>
      </c>
      <c r="W336" s="108" t="str">
        <f t="array" ref="W336">IF(ISNUMBER(AC336),INDEX('All Player Data Store'!$S$7:$S$594,SMALL(IF('All Player Data Store'!$Y$7:$Y$594=AC336,ROW('All Player Data Store'!$Y$7:$Y$594)-ROW('All Player Data Store'!$Y$7)+1),COUNTIF($AC$8:AC336,AC336))),"")</f>
        <v/>
      </c>
      <c r="X336" s="108" t="str">
        <f t="array" ref="X336">IF(ISNUMBER(AC336),INDEX('All Player Data Store'!$T$7:$T$594,SMALL(IF('All Player Data Store'!$Y$7:$Y$594=AC336,ROW('All Player Data Store'!$Y$7:$Y$594)-ROW('All Player Data Store'!$Y$7)+1),COUNTIF($AC$8:AC336,AC336))),"")</f>
        <v/>
      </c>
      <c r="Y336" s="108" t="str">
        <f t="array" ref="Y336">IF(ISNUMBER(AC336),INDEX('All Player Data Store'!$U$7:$U$594,SMALL(IF('All Player Data Store'!$Y$7:$Y$594=AC336,ROW('All Player Data Store'!$Y$7:$Y$594)-ROW('All Player Data Store'!$Y$7)+1),COUNTIF($AC$8:AC336,AC336))),"")</f>
        <v/>
      </c>
      <c r="Z336" s="108" t="str">
        <f t="array" ref="Z336">IF(ISNUMBER(AC336),INDEX('All Player Data Store'!$V$7:$V$594,SMALL(IF('All Player Data Store'!$Y$7:$Y$594=AC336,ROW('All Player Data Store'!$Y$7:$Y$594)-ROW('All Player Data Store'!$Y$7)+1),COUNTIF($AC$8:AC336,AC336))),"")</f>
        <v/>
      </c>
      <c r="AA336" s="112" t="str">
        <f t="array" ref="AA336">IF(ISNUMBER(AC336),INDEX('All Player Data Store'!$W$7:$W$594,SMALL(IF('All Player Data Store'!$Y$7:$Y$594=AC336,ROW('All Player Data Store'!$Y$7:$Y$594)-ROW('All Player Data Store'!$Y$7)+1),COUNTIF($AC$8:AC336,AC336))),"")</f>
        <v/>
      </c>
      <c r="AB336" s="108" t="str">
        <f t="array" ref="AB336">IF(ISNUMBER(AC336),INDEX('All Player Data Store'!$X$7:$X$594,SMALL(IF('All Player Data Store'!$Y$7:$Y$594=AC336,ROW('All Player Data Store'!$Y$7:$Y$594)-ROW('All Player Data Store'!$Y$7)+1),COUNTIF($AC$8:AC336,AC336))),"")</f>
        <v/>
      </c>
      <c r="AC336" s="115" t="str">
        <f>IF(ISERROR(IF(ISERROR(LARGE('All Player Data Store'!$Y$7:$Y$594,329)),"",(LARGE('All Player Data Store'!$Y$7:$Y$594,329)))),"",(IF(ISERROR(LARGE('All Player Data Store'!$Y$7:$Y$594,329)),"",(LARGE('All Player Data Store'!$Y$7:$Y$594,329)))))</f>
        <v/>
      </c>
      <c r="AD336" s="106">
        <f t="shared" si="16"/>
        <v>1</v>
      </c>
      <c r="AE336" s="107" t="str">
        <f t="array" ref="AE336">IF(ISNUMBER(AC336),INDEX('All Player Data Store'!$J$8:$J$594,SMALL(IF('All Player Data Store'!$Y$7:$Y$594=AC336,ROW('All Player Data Store'!$Y$7:$Y$594)-ROW('All Player Data Store'!$Y$7)+1),COUNTIF($AC$8:AC336,AC336))),"")</f>
        <v/>
      </c>
      <c r="AF336" s="108" t="str">
        <f t="shared" si="19"/>
        <v/>
      </c>
      <c r="AG336" s="108" t="str">
        <f t="array" ref="AG336">IF(ISNUMBER(AC336),INDEX('All Player Data Store'!$K$8:$K$594,SMALL(IF('All Player Data Store'!$Y$7:$Y$594=AC336,ROW('All Player Data Store'!$Y$7:$Y$594)-ROW('All Player Data Store'!$Y$7)+1),COUNTIF($AC$8:AC336,AC336))),"")</f>
        <v/>
      </c>
      <c r="AH336" s="108" t="str">
        <f t="shared" si="20"/>
        <v/>
      </c>
      <c r="AI336" s="108" t="str">
        <f t="array" ref="AI336">IF(ISNUMBER(AC336),INDEX('All Player Data Store'!$L$8:$L$594,SMALL(IF('All Player Data Store'!$Y$7:$Y$594=AC336,ROW('All Player Data Store'!$Y$7:$Y$594)-ROW('All Player Data Store'!$Y$7)+1),COUNTIF($AC$8:AC336,AC336))),"")</f>
        <v/>
      </c>
      <c r="AJ336" s="108" t="str">
        <f t="shared" si="21"/>
        <v/>
      </c>
      <c r="AK336" s="108" t="str">
        <f t="array" ref="AK336">IF(ISNUMBER(AC336),INDEX('All Player Data Store'!$M$8:$M$594,SMALL(IF('All Player Data Store'!$Y$7:$Y$594=AC336,ROW('All Player Data Store'!$Y$7:$Y$594)-ROW('All Player Data Store'!$Y$7)+1),COUNTIF($AC$8:AC336,AC336))),"")</f>
        <v/>
      </c>
      <c r="AL336" s="108" t="str">
        <f t="shared" si="22"/>
        <v/>
      </c>
      <c r="AM336" s="108" t="str">
        <f t="array" ref="AM336">IF(ISNUMBER(AC336),INDEX('All Player Data Store'!$N$8:$N$594,SMALL(IF('All Player Data Store'!$Y$7:$Y$594=AC336,ROW('All Player Data Store'!$Y$7:$Y$594)-ROW('All Player Data Store'!$Y$7)+1),COUNTIF($AC$8:AC336,AC336))),"")</f>
        <v/>
      </c>
      <c r="AN336" s="108" t="str">
        <f t="shared" si="23"/>
        <v/>
      </c>
      <c r="AO336" s="108" t="str">
        <f t="array" ref="AO336">IF(ISNUMBER(AC336),INDEX('All Player Data Store'!$O$8:$O$594,SMALL(IF('All Player Data Store'!$Y$7:$Y$594=AC336,ROW('All Player Data Store'!$Y$7:$Y$594)-ROW('All Player Data Store'!$Y$7)+1),COUNTIF($AC$8:AC336,AC336))),"")</f>
        <v/>
      </c>
      <c r="AP336" s="108" t="str">
        <f t="shared" si="24"/>
        <v/>
      </c>
      <c r="AQ336" s="108" t="str">
        <f t="array" ref="AQ336">IF(ISNUMBER(AC336),INDEX('All Player Data Store'!$P$8:$P$594,SMALL(IF('All Player Data Store'!$Y$7:$Y$594=AC336,ROW('All Player Data Store'!$Y$7:$Y$594)-ROW('All Player Data Store'!$Y$7)+1),COUNTIF($AC$8:AC336,AC336))),"")</f>
        <v/>
      </c>
      <c r="AR336" s="108" t="str">
        <f t="shared" si="25"/>
        <v/>
      </c>
      <c r="AS336" s="108" t="str">
        <f t="array" ref="AS336">IF(ISNUMBER(AC336),INDEX('All Player Data Store'!$Q$8:$Q$594,SMALL(IF('All Player Data Store'!$Y$7:$Y$594=AC336,ROW('All Player Data Store'!$Y$7:$Y$594)-ROW('All Player Data Store'!$Y$7)+1),COUNTIF($AC$8:AC336,AC336))),"")</f>
        <v/>
      </c>
      <c r="AT336" s="108" t="str">
        <f t="shared" si="26"/>
        <v/>
      </c>
      <c r="AU336" s="108" t="str">
        <f t="array" ref="AU336">IF(ISNUMBER(AC336),INDEX('All Player Data Store'!$R$8:$R$594,SMALL(IF('All Player Data Store'!$Y$7:$Y$594=AC336,ROW('All Player Data Store'!$Y$7:$Y$594)-ROW('All Player Data Store'!$Y$7)+1),COUNTIF($AC$8:AC336,AC336))),"")</f>
        <v/>
      </c>
      <c r="AV336" s="108" t="str">
        <f t="shared" si="27"/>
        <v/>
      </c>
      <c r="AW336" s="108" t="str">
        <f t="array" ref="AW336">IF(ISNUMBER(AC336),INDEX('All Player Data Store'!$S$8:$S$594,SMALL(IF('All Player Data Store'!$Y$7:$Y$594=AC336,ROW('All Player Data Store'!$Y$7:$Y$594)-ROW('All Player Data Store'!$Y$7)+1),COUNTIF($AC$8:AC336,AC336))),"")</f>
        <v/>
      </c>
      <c r="AX336" s="108" t="str">
        <f t="shared" si="28"/>
        <v/>
      </c>
      <c r="AY336" s="108" t="str">
        <f t="array" ref="AY336">IF(ISNUMBER(AC336),INDEX('All Player Data Store'!$T$8:$T$594,SMALL(IF('All Player Data Store'!$Y$7:$Y$594=AC336,ROW('All Player Data Store'!$Y$7:$Y$594)-ROW('All Player Data Store'!$Y$7)+1),COUNTIF($AC$8:AC336,AC336))),"")</f>
        <v/>
      </c>
      <c r="AZ336" s="108" t="str">
        <f t="shared" si="29"/>
        <v/>
      </c>
      <c r="BA336" s="108" t="str">
        <f t="array" ref="BA336">IF(ISNUMBER(AC336),INDEX('All Player Data Store'!$U$8:$U$594,SMALL(IF('All Player Data Store'!$Y$7:$Y$594=AC336,ROW('All Player Data Store'!$Y$7:$Y$594)-ROW('All Player Data Store'!$Y$7)+1),COUNTIF($AC$8:AC336,AC336))),"")</f>
        <v/>
      </c>
      <c r="BB336" s="108" t="str">
        <f t="shared" si="30"/>
        <v/>
      </c>
      <c r="BC336" s="108" t="str">
        <f t="array" ref="BC336">IF(ISNUMBER(AC336),INDEX('All Player Data Store'!$V$8:$V$594,SMALL(IF('All Player Data Store'!$Y$7:$Y$594=AC336,ROW('All Player Data Store'!$Y$7:$Y$594)-ROW('All Player Data Store'!$Y$7)+1),COUNTIF($AC$8:AC336,AC336))),"")</f>
        <v/>
      </c>
      <c r="BD336" s="108" t="str">
        <f t="shared" si="31"/>
        <v/>
      </c>
      <c r="BE336" s="1"/>
    </row>
    <row r="337" spans="2:57" ht="12" customHeight="1" x14ac:dyDescent="0.2">
      <c r="B337" s="118" t="str">
        <f t="shared" si="17"/>
        <v/>
      </c>
      <c r="C337" s="1"/>
      <c r="D337" s="68" t="str">
        <f t="shared" si="18"/>
        <v/>
      </c>
      <c r="E337" s="2"/>
      <c r="F337" s="78">
        <v>330</v>
      </c>
      <c r="G337" s="110" t="str">
        <f t="array" ref="G337">IF(ISNUMBER(AC337),INDEX('All Player Data Store'!$C$7:$C$594,SMALL(IF('All Player Data Store'!$Y$7:$Y$594=AC337,ROW('All Player Data Store'!$Y$7:$Y$594)-ROW('All Player Data Store'!$Y$7)+1),COUNTIF($AC$8:AC337,AC337))),"")</f>
        <v/>
      </c>
      <c r="H337" s="68" t="str">
        <f t="array" ref="H337">IF(ISNUMBER(AC337),INDEX('All Player Data Store'!$D$7:$D$594,SMALL(IF('All Player Data Store'!$Y$7:$Y$594=AC337,ROW('All Player Data Store'!$Y$7:$Y$594)-ROW('All Player Data Store'!$Y$7)+1),COUNTIF($AC$8:AC337,AC337))),"")</f>
        <v/>
      </c>
      <c r="I337" s="69" t="str">
        <f t="array" ref="I337">IF(ISNUMBER(AC337),INDEX('All Player Data Store'!$E$7:$E$594,SMALL(IF('All Player Data Store'!$Y$7:$Y$594=AC337,ROW('All Player Data Store'!$Y$7:$Y$594)-ROW('All Player Data Store'!$Y$7)+1),COUNTIF($AC$8:AC337,AC337))),"")</f>
        <v/>
      </c>
      <c r="J337" s="70" t="str">
        <f t="array" ref="J337">IF(ISNUMBER(AC337),INDEX('All Player Data Store'!$F$7:$F$594,SMALL(IF('All Player Data Store'!$Y$7:$Y$594=AC337,ROW('All Player Data Store'!$Y$7:$Y$594)-ROW('All Player Data Store'!$Y$7)+1),COUNTIF($AC$8:AC337,AC337))),"")</f>
        <v/>
      </c>
      <c r="K337" s="70" t="str">
        <f t="array" ref="K337">IF(ISNUMBER(AC337),INDEX('All Player Data Store'!$G$7:$G$594,SMALL(IF('All Player Data Store'!$Y$7:$Y$594=AC337,ROW('All Player Data Store'!$Y$7:$Y$594)-ROW('All Player Data Store'!$Y$7)+1),COUNTIF($AC$8:AC337,AC337))),"")</f>
        <v/>
      </c>
      <c r="L337" s="70" t="str">
        <f t="array" ref="L337">IF(ISNUMBER(AC337),INDEX('All Player Data Store'!$H$7:$H$594,SMALL(IF('All Player Data Store'!$Y$7:$Y$594=AC337,ROW('All Player Data Store'!$Y$7:$Y$594)-ROW('All Player Data Store'!$Y$7)+1),COUNTIF($AC$8:AC337,AC337))),"")</f>
        <v/>
      </c>
      <c r="M337" s="72" t="str">
        <f t="array" ref="M337">IF(ISNUMBER(AC337),INDEX('All Player Data Store'!$I$7:$I$594,SMALL(IF('All Player Data Store'!$Y$7:$Y$594=AC337,ROW('All Player Data Store'!$Y$7:$Y$594)-ROW('All Player Data Store'!$Y$7)+1),COUNTIF($AC$8:AC337,AC337))),"")</f>
        <v/>
      </c>
      <c r="N337" s="114" t="str">
        <f t="array" ref="N337">IF(ISNUMBER(AC337),INDEX('All Player Data Store'!$J$7:$J$594,SMALL(IF('All Player Data Store'!$Y$7:$Y$594=AC337,ROW('All Player Data Store'!$Y$7:$Y$594)-ROW('All Player Data Store'!$Y$7)+1),COUNTIF($AC$8:AC337,AC337))),"")</f>
        <v/>
      </c>
      <c r="O337" s="108" t="str">
        <f t="array" ref="O337">IF(ISNUMBER(AC337),INDEX('All Player Data Store'!$K$7:$K$594,SMALL(IF('All Player Data Store'!$Y$7:$Y$594=AC337,ROW('All Player Data Store'!$Y$7:$Y$594)-ROW('All Player Data Store'!$Y$7)+1),COUNTIF($AC$8:AC337,AC337))),"")</f>
        <v/>
      </c>
      <c r="P337" s="108" t="str">
        <f t="array" ref="P337">IF(ISNUMBER(AC337),INDEX('All Player Data Store'!$L$7:$L$594,SMALL(IF('All Player Data Store'!$Y$7:$Y$594=AC337,ROW('All Player Data Store'!$Y$7:$Y$594)-ROW('All Player Data Store'!$Y$7)+1),COUNTIF($AC$8:AC337,AC337))),"")</f>
        <v/>
      </c>
      <c r="Q337" s="108" t="str">
        <f t="array" ref="Q337">IF(ISNUMBER(AC337),INDEX('All Player Data Store'!$M$7:$M$594,SMALL(IF('All Player Data Store'!$Y$7:$Y$594=AC337,ROW('All Player Data Store'!$Y$7:$Y$594)-ROW('All Player Data Store'!$Y$7)+1),COUNTIF($AC$8:AC337,AC337))),"")</f>
        <v/>
      </c>
      <c r="R337" s="108" t="str">
        <f t="array" ref="R337">IF(ISNUMBER(AC337),INDEX('All Player Data Store'!$N$7:$N$594,SMALL(IF('All Player Data Store'!$Y$7:$Y$594=AC337,ROW('All Player Data Store'!$Y$7:$Y$594)-ROW('All Player Data Store'!$Y$7)+1),COUNTIF($AC$8:AC337,AC337))),"")</f>
        <v/>
      </c>
      <c r="S337" s="108" t="str">
        <f t="array" ref="S337">IF(ISNUMBER(AC337),INDEX('All Player Data Store'!$O$7:$O$594,SMALL(IF('All Player Data Store'!$Y$7:$Y$594=AC337,ROW('All Player Data Store'!$Y$7:$Y$594)-ROW('All Player Data Store'!$Y$7)+1),COUNTIF($AC$8:AC337,AC337))),"")</f>
        <v/>
      </c>
      <c r="T337" s="108" t="str">
        <f t="array" ref="T337">IF(ISNUMBER(AC337),INDEX('All Player Data Store'!$P$7:$P$594,SMALL(IF('All Player Data Store'!$Y$7:$Y$594=AC337,ROW('All Player Data Store'!$Y$7:$Y$594)-ROW('All Player Data Store'!$Y$7)+1),COUNTIF($AC$8:AC337,AC337))),"")</f>
        <v/>
      </c>
      <c r="U337" s="108" t="str">
        <f t="array" ref="U337">IF(ISNUMBER(AC337),INDEX('All Player Data Store'!$Q$7:$Q$594,SMALL(IF('All Player Data Store'!$Y$7:$Y$594=AC337,ROW('All Player Data Store'!$Y$7:$Y$594)-ROW('All Player Data Store'!$Y$7)+1),COUNTIF($AC$8:AC337,AC337))),"")</f>
        <v/>
      </c>
      <c r="V337" s="108" t="str">
        <f t="array" ref="V337">IF(ISNUMBER(AC337),INDEX('All Player Data Store'!$R$7:$R$594,SMALL(IF('All Player Data Store'!$Y$7:$Y$594=AC337,ROW('All Player Data Store'!$Y$7:$Y$594)-ROW('All Player Data Store'!$Y$7)+1),COUNTIF($AC$8:AC337,AC337))),"")</f>
        <v/>
      </c>
      <c r="W337" s="108" t="str">
        <f t="array" ref="W337">IF(ISNUMBER(AC337),INDEX('All Player Data Store'!$S$7:$S$594,SMALL(IF('All Player Data Store'!$Y$7:$Y$594=AC337,ROW('All Player Data Store'!$Y$7:$Y$594)-ROW('All Player Data Store'!$Y$7)+1),COUNTIF($AC$8:AC337,AC337))),"")</f>
        <v/>
      </c>
      <c r="X337" s="108" t="str">
        <f t="array" ref="X337">IF(ISNUMBER(AC337),INDEX('All Player Data Store'!$T$7:$T$594,SMALL(IF('All Player Data Store'!$Y$7:$Y$594=AC337,ROW('All Player Data Store'!$Y$7:$Y$594)-ROW('All Player Data Store'!$Y$7)+1),COUNTIF($AC$8:AC337,AC337))),"")</f>
        <v/>
      </c>
      <c r="Y337" s="108" t="str">
        <f t="array" ref="Y337">IF(ISNUMBER(AC337),INDEX('All Player Data Store'!$U$7:$U$594,SMALL(IF('All Player Data Store'!$Y$7:$Y$594=AC337,ROW('All Player Data Store'!$Y$7:$Y$594)-ROW('All Player Data Store'!$Y$7)+1),COUNTIF($AC$8:AC337,AC337))),"")</f>
        <v/>
      </c>
      <c r="Z337" s="108" t="str">
        <f t="array" ref="Z337">IF(ISNUMBER(AC337),INDEX('All Player Data Store'!$V$7:$V$594,SMALL(IF('All Player Data Store'!$Y$7:$Y$594=AC337,ROW('All Player Data Store'!$Y$7:$Y$594)-ROW('All Player Data Store'!$Y$7)+1),COUNTIF($AC$8:AC337,AC337))),"")</f>
        <v/>
      </c>
      <c r="AA337" s="112" t="str">
        <f t="array" ref="AA337">IF(ISNUMBER(AC337),INDEX('All Player Data Store'!$W$7:$W$594,SMALL(IF('All Player Data Store'!$Y$7:$Y$594=AC337,ROW('All Player Data Store'!$Y$7:$Y$594)-ROW('All Player Data Store'!$Y$7)+1),COUNTIF($AC$8:AC337,AC337))),"")</f>
        <v/>
      </c>
      <c r="AB337" s="108" t="str">
        <f t="array" ref="AB337">IF(ISNUMBER(AC337),INDEX('All Player Data Store'!$X$7:$X$594,SMALL(IF('All Player Data Store'!$Y$7:$Y$594=AC337,ROW('All Player Data Store'!$Y$7:$Y$594)-ROW('All Player Data Store'!$Y$7)+1),COUNTIF($AC$8:AC337,AC337))),"")</f>
        <v/>
      </c>
      <c r="AC337" s="115" t="str">
        <f>IF(ISERROR(IF(ISERROR(LARGE('All Player Data Store'!$Y$7:$Y$594,330)),"",(LARGE('All Player Data Store'!$Y$7:$Y$594,330)))),"",(IF(ISERROR(LARGE('All Player Data Store'!$Y$7:$Y$594,330)),"",(LARGE('All Player Data Store'!$Y$7:$Y$594,330)))))</f>
        <v/>
      </c>
      <c r="AD337" s="106">
        <f t="shared" si="16"/>
        <v>1</v>
      </c>
      <c r="AE337" s="107" t="str">
        <f t="array" ref="AE337">IF(ISNUMBER(AC337),INDEX('All Player Data Store'!$J$8:$J$594,SMALL(IF('All Player Data Store'!$Y$7:$Y$594=AC337,ROW('All Player Data Store'!$Y$7:$Y$594)-ROW('All Player Data Store'!$Y$7)+1),COUNTIF($AC$8:AC337,AC337))),"")</f>
        <v/>
      </c>
      <c r="AF337" s="108" t="str">
        <f t="shared" si="19"/>
        <v/>
      </c>
      <c r="AG337" s="108" t="str">
        <f t="array" ref="AG337">IF(ISNUMBER(AC337),INDEX('All Player Data Store'!$K$8:$K$594,SMALL(IF('All Player Data Store'!$Y$7:$Y$594=AC337,ROW('All Player Data Store'!$Y$7:$Y$594)-ROW('All Player Data Store'!$Y$7)+1),COUNTIF($AC$8:AC337,AC337))),"")</f>
        <v/>
      </c>
      <c r="AH337" s="108" t="str">
        <f t="shared" si="20"/>
        <v/>
      </c>
      <c r="AI337" s="108" t="str">
        <f t="array" ref="AI337">IF(ISNUMBER(AC337),INDEX('All Player Data Store'!$L$8:$L$594,SMALL(IF('All Player Data Store'!$Y$7:$Y$594=AC337,ROW('All Player Data Store'!$Y$7:$Y$594)-ROW('All Player Data Store'!$Y$7)+1),COUNTIF($AC$8:AC337,AC337))),"")</f>
        <v/>
      </c>
      <c r="AJ337" s="108" t="str">
        <f t="shared" si="21"/>
        <v/>
      </c>
      <c r="AK337" s="108" t="str">
        <f t="array" ref="AK337">IF(ISNUMBER(AC337),INDEX('All Player Data Store'!$M$8:$M$594,SMALL(IF('All Player Data Store'!$Y$7:$Y$594=AC337,ROW('All Player Data Store'!$Y$7:$Y$594)-ROW('All Player Data Store'!$Y$7)+1),COUNTIF($AC$8:AC337,AC337))),"")</f>
        <v/>
      </c>
      <c r="AL337" s="108" t="str">
        <f t="shared" si="22"/>
        <v/>
      </c>
      <c r="AM337" s="108" t="str">
        <f t="array" ref="AM337">IF(ISNUMBER(AC337),INDEX('All Player Data Store'!$N$8:$N$594,SMALL(IF('All Player Data Store'!$Y$7:$Y$594=AC337,ROW('All Player Data Store'!$Y$7:$Y$594)-ROW('All Player Data Store'!$Y$7)+1),COUNTIF($AC$8:AC337,AC337))),"")</f>
        <v/>
      </c>
      <c r="AN337" s="108" t="str">
        <f t="shared" si="23"/>
        <v/>
      </c>
      <c r="AO337" s="108" t="str">
        <f t="array" ref="AO337">IF(ISNUMBER(AC337),INDEX('All Player Data Store'!$O$8:$O$594,SMALL(IF('All Player Data Store'!$Y$7:$Y$594=AC337,ROW('All Player Data Store'!$Y$7:$Y$594)-ROW('All Player Data Store'!$Y$7)+1),COUNTIF($AC$8:AC337,AC337))),"")</f>
        <v/>
      </c>
      <c r="AP337" s="108" t="str">
        <f t="shared" si="24"/>
        <v/>
      </c>
      <c r="AQ337" s="108" t="str">
        <f t="array" ref="AQ337">IF(ISNUMBER(AC337),INDEX('All Player Data Store'!$P$8:$P$594,SMALL(IF('All Player Data Store'!$Y$7:$Y$594=AC337,ROW('All Player Data Store'!$Y$7:$Y$594)-ROW('All Player Data Store'!$Y$7)+1),COUNTIF($AC$8:AC337,AC337))),"")</f>
        <v/>
      </c>
      <c r="AR337" s="108" t="str">
        <f t="shared" si="25"/>
        <v/>
      </c>
      <c r="AS337" s="108" t="str">
        <f t="array" ref="AS337">IF(ISNUMBER(AC337),INDEX('All Player Data Store'!$Q$8:$Q$594,SMALL(IF('All Player Data Store'!$Y$7:$Y$594=AC337,ROW('All Player Data Store'!$Y$7:$Y$594)-ROW('All Player Data Store'!$Y$7)+1),COUNTIF($AC$8:AC337,AC337))),"")</f>
        <v/>
      </c>
      <c r="AT337" s="108" t="str">
        <f t="shared" si="26"/>
        <v/>
      </c>
      <c r="AU337" s="108" t="str">
        <f t="array" ref="AU337">IF(ISNUMBER(AC337),INDEX('All Player Data Store'!$R$8:$R$594,SMALL(IF('All Player Data Store'!$Y$7:$Y$594=AC337,ROW('All Player Data Store'!$Y$7:$Y$594)-ROW('All Player Data Store'!$Y$7)+1),COUNTIF($AC$8:AC337,AC337))),"")</f>
        <v/>
      </c>
      <c r="AV337" s="108" t="str">
        <f t="shared" si="27"/>
        <v/>
      </c>
      <c r="AW337" s="108" t="str">
        <f t="array" ref="AW337">IF(ISNUMBER(AC337),INDEX('All Player Data Store'!$S$8:$S$594,SMALL(IF('All Player Data Store'!$Y$7:$Y$594=AC337,ROW('All Player Data Store'!$Y$7:$Y$594)-ROW('All Player Data Store'!$Y$7)+1),COUNTIF($AC$8:AC337,AC337))),"")</f>
        <v/>
      </c>
      <c r="AX337" s="108" t="str">
        <f t="shared" si="28"/>
        <v/>
      </c>
      <c r="AY337" s="108" t="str">
        <f t="array" ref="AY337">IF(ISNUMBER(AC337),INDEX('All Player Data Store'!$T$8:$T$594,SMALL(IF('All Player Data Store'!$Y$7:$Y$594=AC337,ROW('All Player Data Store'!$Y$7:$Y$594)-ROW('All Player Data Store'!$Y$7)+1),COUNTIF($AC$8:AC337,AC337))),"")</f>
        <v/>
      </c>
      <c r="AZ337" s="108" t="str">
        <f t="shared" si="29"/>
        <v/>
      </c>
      <c r="BA337" s="108" t="str">
        <f t="array" ref="BA337">IF(ISNUMBER(AC337),INDEX('All Player Data Store'!$U$8:$U$594,SMALL(IF('All Player Data Store'!$Y$7:$Y$594=AC337,ROW('All Player Data Store'!$Y$7:$Y$594)-ROW('All Player Data Store'!$Y$7)+1),COUNTIF($AC$8:AC337,AC337))),"")</f>
        <v/>
      </c>
      <c r="BB337" s="108" t="str">
        <f t="shared" si="30"/>
        <v/>
      </c>
      <c r="BC337" s="108" t="str">
        <f t="array" ref="BC337">IF(ISNUMBER(AC337),INDEX('All Player Data Store'!$V$8:$V$594,SMALL(IF('All Player Data Store'!$Y$7:$Y$594=AC337,ROW('All Player Data Store'!$Y$7:$Y$594)-ROW('All Player Data Store'!$Y$7)+1),COUNTIF($AC$8:AC337,AC337))),"")</f>
        <v/>
      </c>
      <c r="BD337" s="108" t="str">
        <f t="shared" si="31"/>
        <v/>
      </c>
      <c r="BE337" s="1"/>
    </row>
    <row r="338" spans="2:57" ht="12" customHeight="1" x14ac:dyDescent="0.2">
      <c r="B338" s="118" t="str">
        <f t="shared" si="17"/>
        <v/>
      </c>
      <c r="C338" s="1"/>
      <c r="D338" s="68" t="str">
        <f t="shared" si="18"/>
        <v/>
      </c>
      <c r="E338" s="2"/>
      <c r="F338" s="78">
        <v>331</v>
      </c>
      <c r="G338" s="110" t="str">
        <f t="array" ref="G338">IF(ISNUMBER(AC338),INDEX('All Player Data Store'!$C$7:$C$594,SMALL(IF('All Player Data Store'!$Y$7:$Y$594=AC338,ROW('All Player Data Store'!$Y$7:$Y$594)-ROW('All Player Data Store'!$Y$7)+1),COUNTIF($AC$8:AC338,AC338))),"")</f>
        <v/>
      </c>
      <c r="H338" s="68" t="str">
        <f t="array" ref="H338">IF(ISNUMBER(AC338),INDEX('All Player Data Store'!$D$7:$D$594,SMALL(IF('All Player Data Store'!$Y$7:$Y$594=AC338,ROW('All Player Data Store'!$Y$7:$Y$594)-ROW('All Player Data Store'!$Y$7)+1),COUNTIF($AC$8:AC338,AC338))),"")</f>
        <v/>
      </c>
      <c r="I338" s="69" t="str">
        <f t="array" ref="I338">IF(ISNUMBER(AC338),INDEX('All Player Data Store'!$E$7:$E$594,SMALL(IF('All Player Data Store'!$Y$7:$Y$594=AC338,ROW('All Player Data Store'!$Y$7:$Y$594)-ROW('All Player Data Store'!$Y$7)+1),COUNTIF($AC$8:AC338,AC338))),"")</f>
        <v/>
      </c>
      <c r="J338" s="70" t="str">
        <f t="array" ref="J338">IF(ISNUMBER(AC338),INDEX('All Player Data Store'!$F$7:$F$594,SMALL(IF('All Player Data Store'!$Y$7:$Y$594=AC338,ROW('All Player Data Store'!$Y$7:$Y$594)-ROW('All Player Data Store'!$Y$7)+1),COUNTIF($AC$8:AC338,AC338))),"")</f>
        <v/>
      </c>
      <c r="K338" s="70" t="str">
        <f t="array" ref="K338">IF(ISNUMBER(AC338),INDEX('All Player Data Store'!$G$7:$G$594,SMALL(IF('All Player Data Store'!$Y$7:$Y$594=AC338,ROW('All Player Data Store'!$Y$7:$Y$594)-ROW('All Player Data Store'!$Y$7)+1),COUNTIF($AC$8:AC338,AC338))),"")</f>
        <v/>
      </c>
      <c r="L338" s="70" t="str">
        <f t="array" ref="L338">IF(ISNUMBER(AC338),INDEX('All Player Data Store'!$H$7:$H$594,SMALL(IF('All Player Data Store'!$Y$7:$Y$594=AC338,ROW('All Player Data Store'!$Y$7:$Y$594)-ROW('All Player Data Store'!$Y$7)+1),COUNTIF($AC$8:AC338,AC338))),"")</f>
        <v/>
      </c>
      <c r="M338" s="72" t="str">
        <f t="array" ref="M338">IF(ISNUMBER(AC338),INDEX('All Player Data Store'!$I$7:$I$594,SMALL(IF('All Player Data Store'!$Y$7:$Y$594=AC338,ROW('All Player Data Store'!$Y$7:$Y$594)-ROW('All Player Data Store'!$Y$7)+1),COUNTIF($AC$8:AC338,AC338))),"")</f>
        <v/>
      </c>
      <c r="N338" s="114" t="str">
        <f t="array" ref="N338">IF(ISNUMBER(AC338),INDEX('All Player Data Store'!$J$7:$J$594,SMALL(IF('All Player Data Store'!$Y$7:$Y$594=AC338,ROW('All Player Data Store'!$Y$7:$Y$594)-ROW('All Player Data Store'!$Y$7)+1),COUNTIF($AC$8:AC338,AC338))),"")</f>
        <v/>
      </c>
      <c r="O338" s="108" t="str">
        <f t="array" ref="O338">IF(ISNUMBER(AC338),INDEX('All Player Data Store'!$K$7:$K$594,SMALL(IF('All Player Data Store'!$Y$7:$Y$594=AC338,ROW('All Player Data Store'!$Y$7:$Y$594)-ROW('All Player Data Store'!$Y$7)+1),COUNTIF($AC$8:AC338,AC338))),"")</f>
        <v/>
      </c>
      <c r="P338" s="108" t="str">
        <f t="array" ref="P338">IF(ISNUMBER(AC338),INDEX('All Player Data Store'!$L$7:$L$594,SMALL(IF('All Player Data Store'!$Y$7:$Y$594=AC338,ROW('All Player Data Store'!$Y$7:$Y$594)-ROW('All Player Data Store'!$Y$7)+1),COUNTIF($AC$8:AC338,AC338))),"")</f>
        <v/>
      </c>
      <c r="Q338" s="108" t="str">
        <f t="array" ref="Q338">IF(ISNUMBER(AC338),INDEX('All Player Data Store'!$M$7:$M$594,SMALL(IF('All Player Data Store'!$Y$7:$Y$594=AC338,ROW('All Player Data Store'!$Y$7:$Y$594)-ROW('All Player Data Store'!$Y$7)+1),COUNTIF($AC$8:AC338,AC338))),"")</f>
        <v/>
      </c>
      <c r="R338" s="108" t="str">
        <f t="array" ref="R338">IF(ISNUMBER(AC338),INDEX('All Player Data Store'!$N$7:$N$594,SMALL(IF('All Player Data Store'!$Y$7:$Y$594=AC338,ROW('All Player Data Store'!$Y$7:$Y$594)-ROW('All Player Data Store'!$Y$7)+1),COUNTIF($AC$8:AC338,AC338))),"")</f>
        <v/>
      </c>
      <c r="S338" s="108" t="str">
        <f t="array" ref="S338">IF(ISNUMBER(AC338),INDEX('All Player Data Store'!$O$7:$O$594,SMALL(IF('All Player Data Store'!$Y$7:$Y$594=AC338,ROW('All Player Data Store'!$Y$7:$Y$594)-ROW('All Player Data Store'!$Y$7)+1),COUNTIF($AC$8:AC338,AC338))),"")</f>
        <v/>
      </c>
      <c r="T338" s="108" t="str">
        <f t="array" ref="T338">IF(ISNUMBER(AC338),INDEX('All Player Data Store'!$P$7:$P$594,SMALL(IF('All Player Data Store'!$Y$7:$Y$594=AC338,ROW('All Player Data Store'!$Y$7:$Y$594)-ROW('All Player Data Store'!$Y$7)+1),COUNTIF($AC$8:AC338,AC338))),"")</f>
        <v/>
      </c>
      <c r="U338" s="108" t="str">
        <f t="array" ref="U338">IF(ISNUMBER(AC338),INDEX('All Player Data Store'!$Q$7:$Q$594,SMALL(IF('All Player Data Store'!$Y$7:$Y$594=AC338,ROW('All Player Data Store'!$Y$7:$Y$594)-ROW('All Player Data Store'!$Y$7)+1),COUNTIF($AC$8:AC338,AC338))),"")</f>
        <v/>
      </c>
      <c r="V338" s="108" t="str">
        <f t="array" ref="V338">IF(ISNUMBER(AC338),INDEX('All Player Data Store'!$R$7:$R$594,SMALL(IF('All Player Data Store'!$Y$7:$Y$594=AC338,ROW('All Player Data Store'!$Y$7:$Y$594)-ROW('All Player Data Store'!$Y$7)+1),COUNTIF($AC$8:AC338,AC338))),"")</f>
        <v/>
      </c>
      <c r="W338" s="108" t="str">
        <f t="array" ref="W338">IF(ISNUMBER(AC338),INDEX('All Player Data Store'!$S$7:$S$594,SMALL(IF('All Player Data Store'!$Y$7:$Y$594=AC338,ROW('All Player Data Store'!$Y$7:$Y$594)-ROW('All Player Data Store'!$Y$7)+1),COUNTIF($AC$8:AC338,AC338))),"")</f>
        <v/>
      </c>
      <c r="X338" s="108" t="str">
        <f t="array" ref="X338">IF(ISNUMBER(AC338),INDEX('All Player Data Store'!$T$7:$T$594,SMALL(IF('All Player Data Store'!$Y$7:$Y$594=AC338,ROW('All Player Data Store'!$Y$7:$Y$594)-ROW('All Player Data Store'!$Y$7)+1),COUNTIF($AC$8:AC338,AC338))),"")</f>
        <v/>
      </c>
      <c r="Y338" s="108" t="str">
        <f t="array" ref="Y338">IF(ISNUMBER(AC338),INDEX('All Player Data Store'!$U$7:$U$594,SMALL(IF('All Player Data Store'!$Y$7:$Y$594=AC338,ROW('All Player Data Store'!$Y$7:$Y$594)-ROW('All Player Data Store'!$Y$7)+1),COUNTIF($AC$8:AC338,AC338))),"")</f>
        <v/>
      </c>
      <c r="Z338" s="108" t="str">
        <f t="array" ref="Z338">IF(ISNUMBER(AC338),INDEX('All Player Data Store'!$V$7:$V$594,SMALL(IF('All Player Data Store'!$Y$7:$Y$594=AC338,ROW('All Player Data Store'!$Y$7:$Y$594)-ROW('All Player Data Store'!$Y$7)+1),COUNTIF($AC$8:AC338,AC338))),"")</f>
        <v/>
      </c>
      <c r="AA338" s="112" t="str">
        <f t="array" ref="AA338">IF(ISNUMBER(AC338),INDEX('All Player Data Store'!$W$7:$W$594,SMALL(IF('All Player Data Store'!$Y$7:$Y$594=AC338,ROW('All Player Data Store'!$Y$7:$Y$594)-ROW('All Player Data Store'!$Y$7)+1),COUNTIF($AC$8:AC338,AC338))),"")</f>
        <v/>
      </c>
      <c r="AB338" s="108" t="str">
        <f t="array" ref="AB338">IF(ISNUMBER(AC338),INDEX('All Player Data Store'!$X$7:$X$594,SMALL(IF('All Player Data Store'!$Y$7:$Y$594=AC338,ROW('All Player Data Store'!$Y$7:$Y$594)-ROW('All Player Data Store'!$Y$7)+1),COUNTIF($AC$8:AC338,AC338))),"")</f>
        <v/>
      </c>
      <c r="AC338" s="115" t="str">
        <f>IF(ISERROR(IF(ISERROR(LARGE('All Player Data Store'!$Y$7:$Y$594,331)),"",(LARGE('All Player Data Store'!$Y$7:$Y$594,331)))),"",(IF(ISERROR(LARGE('All Player Data Store'!$Y$7:$Y$594,331)),"",(LARGE('All Player Data Store'!$Y$7:$Y$594,331)))))</f>
        <v/>
      </c>
      <c r="AD338" s="106">
        <f t="shared" si="16"/>
        <v>1</v>
      </c>
      <c r="AE338" s="107" t="str">
        <f t="array" ref="AE338">IF(ISNUMBER(AC338),INDEX('All Player Data Store'!$J$8:$J$594,SMALL(IF('All Player Data Store'!$Y$7:$Y$594=AC338,ROW('All Player Data Store'!$Y$7:$Y$594)-ROW('All Player Data Store'!$Y$7)+1),COUNTIF($AC$8:AC338,AC338))),"")</f>
        <v/>
      </c>
      <c r="AF338" s="108" t="str">
        <f t="shared" si="19"/>
        <v/>
      </c>
      <c r="AG338" s="108" t="str">
        <f t="array" ref="AG338">IF(ISNUMBER(AC338),INDEX('All Player Data Store'!$K$8:$K$594,SMALL(IF('All Player Data Store'!$Y$7:$Y$594=AC338,ROW('All Player Data Store'!$Y$7:$Y$594)-ROW('All Player Data Store'!$Y$7)+1),COUNTIF($AC$8:AC338,AC338))),"")</f>
        <v/>
      </c>
      <c r="AH338" s="108" t="str">
        <f t="shared" si="20"/>
        <v/>
      </c>
      <c r="AI338" s="108" t="str">
        <f t="array" ref="AI338">IF(ISNUMBER(AC338),INDEX('All Player Data Store'!$L$8:$L$594,SMALL(IF('All Player Data Store'!$Y$7:$Y$594=AC338,ROW('All Player Data Store'!$Y$7:$Y$594)-ROW('All Player Data Store'!$Y$7)+1),COUNTIF($AC$8:AC338,AC338))),"")</f>
        <v/>
      </c>
      <c r="AJ338" s="108" t="str">
        <f t="shared" si="21"/>
        <v/>
      </c>
      <c r="AK338" s="108" t="str">
        <f t="array" ref="AK338">IF(ISNUMBER(AC338),INDEX('All Player Data Store'!$M$8:$M$594,SMALL(IF('All Player Data Store'!$Y$7:$Y$594=AC338,ROW('All Player Data Store'!$Y$7:$Y$594)-ROW('All Player Data Store'!$Y$7)+1),COUNTIF($AC$8:AC338,AC338))),"")</f>
        <v/>
      </c>
      <c r="AL338" s="108" t="str">
        <f t="shared" si="22"/>
        <v/>
      </c>
      <c r="AM338" s="108" t="str">
        <f t="array" ref="AM338">IF(ISNUMBER(AC338),INDEX('All Player Data Store'!$N$8:$N$594,SMALL(IF('All Player Data Store'!$Y$7:$Y$594=AC338,ROW('All Player Data Store'!$Y$7:$Y$594)-ROW('All Player Data Store'!$Y$7)+1),COUNTIF($AC$8:AC338,AC338))),"")</f>
        <v/>
      </c>
      <c r="AN338" s="108" t="str">
        <f t="shared" si="23"/>
        <v/>
      </c>
      <c r="AO338" s="108" t="str">
        <f t="array" ref="AO338">IF(ISNUMBER(AC338),INDEX('All Player Data Store'!$O$8:$O$594,SMALL(IF('All Player Data Store'!$Y$7:$Y$594=AC338,ROW('All Player Data Store'!$Y$7:$Y$594)-ROW('All Player Data Store'!$Y$7)+1),COUNTIF($AC$8:AC338,AC338))),"")</f>
        <v/>
      </c>
      <c r="AP338" s="108" t="str">
        <f t="shared" si="24"/>
        <v/>
      </c>
      <c r="AQ338" s="108" t="str">
        <f t="array" ref="AQ338">IF(ISNUMBER(AC338),INDEX('All Player Data Store'!$P$8:$P$594,SMALL(IF('All Player Data Store'!$Y$7:$Y$594=AC338,ROW('All Player Data Store'!$Y$7:$Y$594)-ROW('All Player Data Store'!$Y$7)+1),COUNTIF($AC$8:AC338,AC338))),"")</f>
        <v/>
      </c>
      <c r="AR338" s="108" t="str">
        <f t="shared" si="25"/>
        <v/>
      </c>
      <c r="AS338" s="108" t="str">
        <f t="array" ref="AS338">IF(ISNUMBER(AC338),INDEX('All Player Data Store'!$Q$8:$Q$594,SMALL(IF('All Player Data Store'!$Y$7:$Y$594=AC338,ROW('All Player Data Store'!$Y$7:$Y$594)-ROW('All Player Data Store'!$Y$7)+1),COUNTIF($AC$8:AC338,AC338))),"")</f>
        <v/>
      </c>
      <c r="AT338" s="108" t="str">
        <f t="shared" si="26"/>
        <v/>
      </c>
      <c r="AU338" s="108" t="str">
        <f t="array" ref="AU338">IF(ISNUMBER(AC338),INDEX('All Player Data Store'!$R$8:$R$594,SMALL(IF('All Player Data Store'!$Y$7:$Y$594=AC338,ROW('All Player Data Store'!$Y$7:$Y$594)-ROW('All Player Data Store'!$Y$7)+1),COUNTIF($AC$8:AC338,AC338))),"")</f>
        <v/>
      </c>
      <c r="AV338" s="108" t="str">
        <f t="shared" si="27"/>
        <v/>
      </c>
      <c r="AW338" s="108" t="str">
        <f t="array" ref="AW338">IF(ISNUMBER(AC338),INDEX('All Player Data Store'!$S$8:$S$594,SMALL(IF('All Player Data Store'!$Y$7:$Y$594=AC338,ROW('All Player Data Store'!$Y$7:$Y$594)-ROW('All Player Data Store'!$Y$7)+1),COUNTIF($AC$8:AC338,AC338))),"")</f>
        <v/>
      </c>
      <c r="AX338" s="108" t="str">
        <f t="shared" si="28"/>
        <v/>
      </c>
      <c r="AY338" s="108" t="str">
        <f t="array" ref="AY338">IF(ISNUMBER(AC338),INDEX('All Player Data Store'!$T$8:$T$594,SMALL(IF('All Player Data Store'!$Y$7:$Y$594=AC338,ROW('All Player Data Store'!$Y$7:$Y$594)-ROW('All Player Data Store'!$Y$7)+1),COUNTIF($AC$8:AC338,AC338))),"")</f>
        <v/>
      </c>
      <c r="AZ338" s="108" t="str">
        <f t="shared" si="29"/>
        <v/>
      </c>
      <c r="BA338" s="108" t="str">
        <f t="array" ref="BA338">IF(ISNUMBER(AC338),INDEX('All Player Data Store'!$U$8:$U$594,SMALL(IF('All Player Data Store'!$Y$7:$Y$594=AC338,ROW('All Player Data Store'!$Y$7:$Y$594)-ROW('All Player Data Store'!$Y$7)+1),COUNTIF($AC$8:AC338,AC338))),"")</f>
        <v/>
      </c>
      <c r="BB338" s="108" t="str">
        <f t="shared" si="30"/>
        <v/>
      </c>
      <c r="BC338" s="108" t="str">
        <f t="array" ref="BC338">IF(ISNUMBER(AC338),INDEX('All Player Data Store'!$V$8:$V$594,SMALL(IF('All Player Data Store'!$Y$7:$Y$594=AC338,ROW('All Player Data Store'!$Y$7:$Y$594)-ROW('All Player Data Store'!$Y$7)+1),COUNTIF($AC$8:AC338,AC338))),"")</f>
        <v/>
      </c>
      <c r="BD338" s="108" t="str">
        <f t="shared" si="31"/>
        <v/>
      </c>
      <c r="BE338" s="1"/>
    </row>
    <row r="339" spans="2:57" ht="12" customHeight="1" x14ac:dyDescent="0.2">
      <c r="B339" s="118" t="str">
        <f t="shared" si="17"/>
        <v/>
      </c>
      <c r="C339" s="1"/>
      <c r="D339" s="68" t="str">
        <f t="shared" si="18"/>
        <v/>
      </c>
      <c r="E339" s="2"/>
      <c r="F339" s="78">
        <v>332</v>
      </c>
      <c r="G339" s="110" t="str">
        <f t="array" ref="G339">IF(ISNUMBER(AC339),INDEX('All Player Data Store'!$C$7:$C$594,SMALL(IF('All Player Data Store'!$Y$7:$Y$594=AC339,ROW('All Player Data Store'!$Y$7:$Y$594)-ROW('All Player Data Store'!$Y$7)+1),COUNTIF($AC$8:AC339,AC339))),"")</f>
        <v/>
      </c>
      <c r="H339" s="68" t="str">
        <f t="array" ref="H339">IF(ISNUMBER(AC339),INDEX('All Player Data Store'!$D$7:$D$594,SMALL(IF('All Player Data Store'!$Y$7:$Y$594=AC339,ROW('All Player Data Store'!$Y$7:$Y$594)-ROW('All Player Data Store'!$Y$7)+1),COUNTIF($AC$8:AC339,AC339))),"")</f>
        <v/>
      </c>
      <c r="I339" s="69" t="str">
        <f t="array" ref="I339">IF(ISNUMBER(AC339),INDEX('All Player Data Store'!$E$7:$E$594,SMALL(IF('All Player Data Store'!$Y$7:$Y$594=AC339,ROW('All Player Data Store'!$Y$7:$Y$594)-ROW('All Player Data Store'!$Y$7)+1),COUNTIF($AC$8:AC339,AC339))),"")</f>
        <v/>
      </c>
      <c r="J339" s="70" t="str">
        <f t="array" ref="J339">IF(ISNUMBER(AC339),INDEX('All Player Data Store'!$F$7:$F$594,SMALL(IF('All Player Data Store'!$Y$7:$Y$594=AC339,ROW('All Player Data Store'!$Y$7:$Y$594)-ROW('All Player Data Store'!$Y$7)+1),COUNTIF($AC$8:AC339,AC339))),"")</f>
        <v/>
      </c>
      <c r="K339" s="70" t="str">
        <f t="array" ref="K339">IF(ISNUMBER(AC339),INDEX('All Player Data Store'!$G$7:$G$594,SMALL(IF('All Player Data Store'!$Y$7:$Y$594=AC339,ROW('All Player Data Store'!$Y$7:$Y$594)-ROW('All Player Data Store'!$Y$7)+1),COUNTIF($AC$8:AC339,AC339))),"")</f>
        <v/>
      </c>
      <c r="L339" s="70" t="str">
        <f t="array" ref="L339">IF(ISNUMBER(AC339),INDEX('All Player Data Store'!$H$7:$H$594,SMALL(IF('All Player Data Store'!$Y$7:$Y$594=AC339,ROW('All Player Data Store'!$Y$7:$Y$594)-ROW('All Player Data Store'!$Y$7)+1),COUNTIF($AC$8:AC339,AC339))),"")</f>
        <v/>
      </c>
      <c r="M339" s="72" t="str">
        <f t="array" ref="M339">IF(ISNUMBER(AC339),INDEX('All Player Data Store'!$I$7:$I$594,SMALL(IF('All Player Data Store'!$Y$7:$Y$594=AC339,ROW('All Player Data Store'!$Y$7:$Y$594)-ROW('All Player Data Store'!$Y$7)+1),COUNTIF($AC$8:AC339,AC339))),"")</f>
        <v/>
      </c>
      <c r="N339" s="114" t="str">
        <f t="array" ref="N339">IF(ISNUMBER(AC339),INDEX('All Player Data Store'!$J$7:$J$594,SMALL(IF('All Player Data Store'!$Y$7:$Y$594=AC339,ROW('All Player Data Store'!$Y$7:$Y$594)-ROW('All Player Data Store'!$Y$7)+1),COUNTIF($AC$8:AC339,AC339))),"")</f>
        <v/>
      </c>
      <c r="O339" s="108" t="str">
        <f t="array" ref="O339">IF(ISNUMBER(AC339),INDEX('All Player Data Store'!$K$7:$K$594,SMALL(IF('All Player Data Store'!$Y$7:$Y$594=AC339,ROW('All Player Data Store'!$Y$7:$Y$594)-ROW('All Player Data Store'!$Y$7)+1),COUNTIF($AC$8:AC339,AC339))),"")</f>
        <v/>
      </c>
      <c r="P339" s="108" t="str">
        <f t="array" ref="P339">IF(ISNUMBER(AC339),INDEX('All Player Data Store'!$L$7:$L$594,SMALL(IF('All Player Data Store'!$Y$7:$Y$594=AC339,ROW('All Player Data Store'!$Y$7:$Y$594)-ROW('All Player Data Store'!$Y$7)+1),COUNTIF($AC$8:AC339,AC339))),"")</f>
        <v/>
      </c>
      <c r="Q339" s="108" t="str">
        <f t="array" ref="Q339">IF(ISNUMBER(AC339),INDEX('All Player Data Store'!$M$7:$M$594,SMALL(IF('All Player Data Store'!$Y$7:$Y$594=AC339,ROW('All Player Data Store'!$Y$7:$Y$594)-ROW('All Player Data Store'!$Y$7)+1),COUNTIF($AC$8:AC339,AC339))),"")</f>
        <v/>
      </c>
      <c r="R339" s="108" t="str">
        <f t="array" ref="R339">IF(ISNUMBER(AC339),INDEX('All Player Data Store'!$N$7:$N$594,SMALL(IF('All Player Data Store'!$Y$7:$Y$594=AC339,ROW('All Player Data Store'!$Y$7:$Y$594)-ROW('All Player Data Store'!$Y$7)+1),COUNTIF($AC$8:AC339,AC339))),"")</f>
        <v/>
      </c>
      <c r="S339" s="108" t="str">
        <f t="array" ref="S339">IF(ISNUMBER(AC339),INDEX('All Player Data Store'!$O$7:$O$594,SMALL(IF('All Player Data Store'!$Y$7:$Y$594=AC339,ROW('All Player Data Store'!$Y$7:$Y$594)-ROW('All Player Data Store'!$Y$7)+1),COUNTIF($AC$8:AC339,AC339))),"")</f>
        <v/>
      </c>
      <c r="T339" s="108" t="str">
        <f t="array" ref="T339">IF(ISNUMBER(AC339),INDEX('All Player Data Store'!$P$7:$P$594,SMALL(IF('All Player Data Store'!$Y$7:$Y$594=AC339,ROW('All Player Data Store'!$Y$7:$Y$594)-ROW('All Player Data Store'!$Y$7)+1),COUNTIF($AC$8:AC339,AC339))),"")</f>
        <v/>
      </c>
      <c r="U339" s="108" t="str">
        <f t="array" ref="U339">IF(ISNUMBER(AC339),INDEX('All Player Data Store'!$Q$7:$Q$594,SMALL(IF('All Player Data Store'!$Y$7:$Y$594=AC339,ROW('All Player Data Store'!$Y$7:$Y$594)-ROW('All Player Data Store'!$Y$7)+1),COUNTIF($AC$8:AC339,AC339))),"")</f>
        <v/>
      </c>
      <c r="V339" s="108" t="str">
        <f t="array" ref="V339">IF(ISNUMBER(AC339),INDEX('All Player Data Store'!$R$7:$R$594,SMALL(IF('All Player Data Store'!$Y$7:$Y$594=AC339,ROW('All Player Data Store'!$Y$7:$Y$594)-ROW('All Player Data Store'!$Y$7)+1),COUNTIF($AC$8:AC339,AC339))),"")</f>
        <v/>
      </c>
      <c r="W339" s="108" t="str">
        <f t="array" ref="W339">IF(ISNUMBER(AC339),INDEX('All Player Data Store'!$S$7:$S$594,SMALL(IF('All Player Data Store'!$Y$7:$Y$594=AC339,ROW('All Player Data Store'!$Y$7:$Y$594)-ROW('All Player Data Store'!$Y$7)+1),COUNTIF($AC$8:AC339,AC339))),"")</f>
        <v/>
      </c>
      <c r="X339" s="108" t="str">
        <f t="array" ref="X339">IF(ISNUMBER(AC339),INDEX('All Player Data Store'!$T$7:$T$594,SMALL(IF('All Player Data Store'!$Y$7:$Y$594=AC339,ROW('All Player Data Store'!$Y$7:$Y$594)-ROW('All Player Data Store'!$Y$7)+1),COUNTIF($AC$8:AC339,AC339))),"")</f>
        <v/>
      </c>
      <c r="Y339" s="108" t="str">
        <f t="array" ref="Y339">IF(ISNUMBER(AC339),INDEX('All Player Data Store'!$U$7:$U$594,SMALL(IF('All Player Data Store'!$Y$7:$Y$594=AC339,ROW('All Player Data Store'!$Y$7:$Y$594)-ROW('All Player Data Store'!$Y$7)+1),COUNTIF($AC$8:AC339,AC339))),"")</f>
        <v/>
      </c>
      <c r="Z339" s="108" t="str">
        <f t="array" ref="Z339">IF(ISNUMBER(AC339),INDEX('All Player Data Store'!$V$7:$V$594,SMALL(IF('All Player Data Store'!$Y$7:$Y$594=AC339,ROW('All Player Data Store'!$Y$7:$Y$594)-ROW('All Player Data Store'!$Y$7)+1),COUNTIF($AC$8:AC339,AC339))),"")</f>
        <v/>
      </c>
      <c r="AA339" s="112" t="str">
        <f t="array" ref="AA339">IF(ISNUMBER(AC339),INDEX('All Player Data Store'!$W$7:$W$594,SMALL(IF('All Player Data Store'!$Y$7:$Y$594=AC339,ROW('All Player Data Store'!$Y$7:$Y$594)-ROW('All Player Data Store'!$Y$7)+1),COUNTIF($AC$8:AC339,AC339))),"")</f>
        <v/>
      </c>
      <c r="AB339" s="108" t="str">
        <f t="array" ref="AB339">IF(ISNUMBER(AC339),INDEX('All Player Data Store'!$X$7:$X$594,SMALL(IF('All Player Data Store'!$Y$7:$Y$594=AC339,ROW('All Player Data Store'!$Y$7:$Y$594)-ROW('All Player Data Store'!$Y$7)+1),COUNTIF($AC$8:AC339,AC339))),"")</f>
        <v/>
      </c>
      <c r="AC339" s="115" t="str">
        <f>IF(ISERROR(IF(ISERROR(LARGE('All Player Data Store'!$Y$7:$Y$594,332)),"",(LARGE('All Player Data Store'!$Y$7:$Y$594,332)))),"",(IF(ISERROR(LARGE('All Player Data Store'!$Y$7:$Y$594,332)),"",(LARGE('All Player Data Store'!$Y$7:$Y$594,332)))))</f>
        <v/>
      </c>
      <c r="AD339" s="106">
        <f t="shared" si="16"/>
        <v>1</v>
      </c>
      <c r="AE339" s="107" t="str">
        <f t="array" ref="AE339">IF(ISNUMBER(AC339),INDEX('All Player Data Store'!$J$8:$J$594,SMALL(IF('All Player Data Store'!$Y$7:$Y$594=AC339,ROW('All Player Data Store'!$Y$7:$Y$594)-ROW('All Player Data Store'!$Y$7)+1),COUNTIF($AC$8:AC339,AC339))),"")</f>
        <v/>
      </c>
      <c r="AF339" s="108" t="str">
        <f t="shared" si="19"/>
        <v/>
      </c>
      <c r="AG339" s="108" t="str">
        <f t="array" ref="AG339">IF(ISNUMBER(AC339),INDEX('All Player Data Store'!$K$8:$K$594,SMALL(IF('All Player Data Store'!$Y$7:$Y$594=AC339,ROW('All Player Data Store'!$Y$7:$Y$594)-ROW('All Player Data Store'!$Y$7)+1),COUNTIF($AC$8:AC339,AC339))),"")</f>
        <v/>
      </c>
      <c r="AH339" s="108" t="str">
        <f t="shared" si="20"/>
        <v/>
      </c>
      <c r="AI339" s="108" t="str">
        <f t="array" ref="AI339">IF(ISNUMBER(AC339),INDEX('All Player Data Store'!$L$8:$L$594,SMALL(IF('All Player Data Store'!$Y$7:$Y$594=AC339,ROW('All Player Data Store'!$Y$7:$Y$594)-ROW('All Player Data Store'!$Y$7)+1),COUNTIF($AC$8:AC339,AC339))),"")</f>
        <v/>
      </c>
      <c r="AJ339" s="108" t="str">
        <f t="shared" si="21"/>
        <v/>
      </c>
      <c r="AK339" s="108" t="str">
        <f t="array" ref="AK339">IF(ISNUMBER(AC339),INDEX('All Player Data Store'!$M$8:$M$594,SMALL(IF('All Player Data Store'!$Y$7:$Y$594=AC339,ROW('All Player Data Store'!$Y$7:$Y$594)-ROW('All Player Data Store'!$Y$7)+1),COUNTIF($AC$8:AC339,AC339))),"")</f>
        <v/>
      </c>
      <c r="AL339" s="108" t="str">
        <f t="shared" si="22"/>
        <v/>
      </c>
      <c r="AM339" s="108" t="str">
        <f t="array" ref="AM339">IF(ISNUMBER(AC339),INDEX('All Player Data Store'!$N$8:$N$594,SMALL(IF('All Player Data Store'!$Y$7:$Y$594=AC339,ROW('All Player Data Store'!$Y$7:$Y$594)-ROW('All Player Data Store'!$Y$7)+1),COUNTIF($AC$8:AC339,AC339))),"")</f>
        <v/>
      </c>
      <c r="AN339" s="108" t="str">
        <f t="shared" si="23"/>
        <v/>
      </c>
      <c r="AO339" s="108" t="str">
        <f t="array" ref="AO339">IF(ISNUMBER(AC339),INDEX('All Player Data Store'!$O$8:$O$594,SMALL(IF('All Player Data Store'!$Y$7:$Y$594=AC339,ROW('All Player Data Store'!$Y$7:$Y$594)-ROW('All Player Data Store'!$Y$7)+1),COUNTIF($AC$8:AC339,AC339))),"")</f>
        <v/>
      </c>
      <c r="AP339" s="108" t="str">
        <f t="shared" si="24"/>
        <v/>
      </c>
      <c r="AQ339" s="108" t="str">
        <f t="array" ref="AQ339">IF(ISNUMBER(AC339),INDEX('All Player Data Store'!$P$8:$P$594,SMALL(IF('All Player Data Store'!$Y$7:$Y$594=AC339,ROW('All Player Data Store'!$Y$7:$Y$594)-ROW('All Player Data Store'!$Y$7)+1),COUNTIF($AC$8:AC339,AC339))),"")</f>
        <v/>
      </c>
      <c r="AR339" s="108" t="str">
        <f t="shared" si="25"/>
        <v/>
      </c>
      <c r="AS339" s="108" t="str">
        <f t="array" ref="AS339">IF(ISNUMBER(AC339),INDEX('All Player Data Store'!$Q$8:$Q$594,SMALL(IF('All Player Data Store'!$Y$7:$Y$594=AC339,ROW('All Player Data Store'!$Y$7:$Y$594)-ROW('All Player Data Store'!$Y$7)+1),COUNTIF($AC$8:AC339,AC339))),"")</f>
        <v/>
      </c>
      <c r="AT339" s="108" t="str">
        <f t="shared" si="26"/>
        <v/>
      </c>
      <c r="AU339" s="108" t="str">
        <f t="array" ref="AU339">IF(ISNUMBER(AC339),INDEX('All Player Data Store'!$R$8:$R$594,SMALL(IF('All Player Data Store'!$Y$7:$Y$594=AC339,ROW('All Player Data Store'!$Y$7:$Y$594)-ROW('All Player Data Store'!$Y$7)+1),COUNTIF($AC$8:AC339,AC339))),"")</f>
        <v/>
      </c>
      <c r="AV339" s="108" t="str">
        <f t="shared" si="27"/>
        <v/>
      </c>
      <c r="AW339" s="108" t="str">
        <f t="array" ref="AW339">IF(ISNUMBER(AC339),INDEX('All Player Data Store'!$S$8:$S$594,SMALL(IF('All Player Data Store'!$Y$7:$Y$594=AC339,ROW('All Player Data Store'!$Y$7:$Y$594)-ROW('All Player Data Store'!$Y$7)+1),COUNTIF($AC$8:AC339,AC339))),"")</f>
        <v/>
      </c>
      <c r="AX339" s="108" t="str">
        <f t="shared" si="28"/>
        <v/>
      </c>
      <c r="AY339" s="108" t="str">
        <f t="array" ref="AY339">IF(ISNUMBER(AC339),INDEX('All Player Data Store'!$T$8:$T$594,SMALL(IF('All Player Data Store'!$Y$7:$Y$594=AC339,ROW('All Player Data Store'!$Y$7:$Y$594)-ROW('All Player Data Store'!$Y$7)+1),COUNTIF($AC$8:AC339,AC339))),"")</f>
        <v/>
      </c>
      <c r="AZ339" s="108" t="str">
        <f t="shared" si="29"/>
        <v/>
      </c>
      <c r="BA339" s="108" t="str">
        <f t="array" ref="BA339">IF(ISNUMBER(AC339),INDEX('All Player Data Store'!$U$8:$U$594,SMALL(IF('All Player Data Store'!$Y$7:$Y$594=AC339,ROW('All Player Data Store'!$Y$7:$Y$594)-ROW('All Player Data Store'!$Y$7)+1),COUNTIF($AC$8:AC339,AC339))),"")</f>
        <v/>
      </c>
      <c r="BB339" s="108" t="str">
        <f t="shared" si="30"/>
        <v/>
      </c>
      <c r="BC339" s="108" t="str">
        <f t="array" ref="BC339">IF(ISNUMBER(AC339),INDEX('All Player Data Store'!$V$8:$V$594,SMALL(IF('All Player Data Store'!$Y$7:$Y$594=AC339,ROW('All Player Data Store'!$Y$7:$Y$594)-ROW('All Player Data Store'!$Y$7)+1),COUNTIF($AC$8:AC339,AC339))),"")</f>
        <v/>
      </c>
      <c r="BD339" s="108" t="str">
        <f t="shared" si="31"/>
        <v/>
      </c>
      <c r="BE339" s="1"/>
    </row>
    <row r="340" spans="2:57" ht="12" customHeight="1" x14ac:dyDescent="0.2">
      <c r="B340" s="118" t="str">
        <f t="shared" si="17"/>
        <v/>
      </c>
      <c r="C340" s="1"/>
      <c r="D340" s="68" t="str">
        <f t="shared" si="18"/>
        <v/>
      </c>
      <c r="E340" s="2"/>
      <c r="F340" s="78">
        <v>333</v>
      </c>
      <c r="G340" s="110" t="str">
        <f t="array" ref="G340">IF(ISNUMBER(AC340),INDEX('All Player Data Store'!$C$7:$C$594,SMALL(IF('All Player Data Store'!$Y$7:$Y$594=AC340,ROW('All Player Data Store'!$Y$7:$Y$594)-ROW('All Player Data Store'!$Y$7)+1),COUNTIF($AC$8:AC340,AC340))),"")</f>
        <v/>
      </c>
      <c r="H340" s="68" t="str">
        <f t="array" ref="H340">IF(ISNUMBER(AC340),INDEX('All Player Data Store'!$D$7:$D$594,SMALL(IF('All Player Data Store'!$Y$7:$Y$594=AC340,ROW('All Player Data Store'!$Y$7:$Y$594)-ROW('All Player Data Store'!$Y$7)+1),COUNTIF($AC$8:AC340,AC340))),"")</f>
        <v/>
      </c>
      <c r="I340" s="69" t="str">
        <f t="array" ref="I340">IF(ISNUMBER(AC340),INDEX('All Player Data Store'!$E$7:$E$594,SMALL(IF('All Player Data Store'!$Y$7:$Y$594=AC340,ROW('All Player Data Store'!$Y$7:$Y$594)-ROW('All Player Data Store'!$Y$7)+1),COUNTIF($AC$8:AC340,AC340))),"")</f>
        <v/>
      </c>
      <c r="J340" s="70" t="str">
        <f t="array" ref="J340">IF(ISNUMBER(AC340),INDEX('All Player Data Store'!$F$7:$F$594,SMALL(IF('All Player Data Store'!$Y$7:$Y$594=AC340,ROW('All Player Data Store'!$Y$7:$Y$594)-ROW('All Player Data Store'!$Y$7)+1),COUNTIF($AC$8:AC340,AC340))),"")</f>
        <v/>
      </c>
      <c r="K340" s="70" t="str">
        <f t="array" ref="K340">IF(ISNUMBER(AC340),INDEX('All Player Data Store'!$G$7:$G$594,SMALL(IF('All Player Data Store'!$Y$7:$Y$594=AC340,ROW('All Player Data Store'!$Y$7:$Y$594)-ROW('All Player Data Store'!$Y$7)+1),COUNTIF($AC$8:AC340,AC340))),"")</f>
        <v/>
      </c>
      <c r="L340" s="70" t="str">
        <f t="array" ref="L340">IF(ISNUMBER(AC340),INDEX('All Player Data Store'!$H$7:$H$594,SMALL(IF('All Player Data Store'!$Y$7:$Y$594=AC340,ROW('All Player Data Store'!$Y$7:$Y$594)-ROW('All Player Data Store'!$Y$7)+1),COUNTIF($AC$8:AC340,AC340))),"")</f>
        <v/>
      </c>
      <c r="M340" s="72" t="str">
        <f t="array" ref="M340">IF(ISNUMBER(AC340),INDEX('All Player Data Store'!$I$7:$I$594,SMALL(IF('All Player Data Store'!$Y$7:$Y$594=AC340,ROW('All Player Data Store'!$Y$7:$Y$594)-ROW('All Player Data Store'!$Y$7)+1),COUNTIF($AC$8:AC340,AC340))),"")</f>
        <v/>
      </c>
      <c r="N340" s="114" t="str">
        <f t="array" ref="N340">IF(ISNUMBER(AC340),INDEX('All Player Data Store'!$J$7:$J$594,SMALL(IF('All Player Data Store'!$Y$7:$Y$594=AC340,ROW('All Player Data Store'!$Y$7:$Y$594)-ROW('All Player Data Store'!$Y$7)+1),COUNTIF($AC$8:AC340,AC340))),"")</f>
        <v/>
      </c>
      <c r="O340" s="108" t="str">
        <f t="array" ref="O340">IF(ISNUMBER(AC340),INDEX('All Player Data Store'!$K$7:$K$594,SMALL(IF('All Player Data Store'!$Y$7:$Y$594=AC340,ROW('All Player Data Store'!$Y$7:$Y$594)-ROW('All Player Data Store'!$Y$7)+1),COUNTIF($AC$8:AC340,AC340))),"")</f>
        <v/>
      </c>
      <c r="P340" s="108" t="str">
        <f t="array" ref="P340">IF(ISNUMBER(AC340),INDEX('All Player Data Store'!$L$7:$L$594,SMALL(IF('All Player Data Store'!$Y$7:$Y$594=AC340,ROW('All Player Data Store'!$Y$7:$Y$594)-ROW('All Player Data Store'!$Y$7)+1),COUNTIF($AC$8:AC340,AC340))),"")</f>
        <v/>
      </c>
      <c r="Q340" s="108" t="str">
        <f t="array" ref="Q340">IF(ISNUMBER(AC340),INDEX('All Player Data Store'!$M$7:$M$594,SMALL(IF('All Player Data Store'!$Y$7:$Y$594=AC340,ROW('All Player Data Store'!$Y$7:$Y$594)-ROW('All Player Data Store'!$Y$7)+1),COUNTIF($AC$8:AC340,AC340))),"")</f>
        <v/>
      </c>
      <c r="R340" s="108" t="str">
        <f t="array" ref="R340">IF(ISNUMBER(AC340),INDEX('All Player Data Store'!$N$7:$N$594,SMALL(IF('All Player Data Store'!$Y$7:$Y$594=AC340,ROW('All Player Data Store'!$Y$7:$Y$594)-ROW('All Player Data Store'!$Y$7)+1),COUNTIF($AC$8:AC340,AC340))),"")</f>
        <v/>
      </c>
      <c r="S340" s="108" t="str">
        <f t="array" ref="S340">IF(ISNUMBER(AC340),INDEX('All Player Data Store'!$O$7:$O$594,SMALL(IF('All Player Data Store'!$Y$7:$Y$594=AC340,ROW('All Player Data Store'!$Y$7:$Y$594)-ROW('All Player Data Store'!$Y$7)+1),COUNTIF($AC$8:AC340,AC340))),"")</f>
        <v/>
      </c>
      <c r="T340" s="108" t="str">
        <f t="array" ref="T340">IF(ISNUMBER(AC340),INDEX('All Player Data Store'!$P$7:$P$594,SMALL(IF('All Player Data Store'!$Y$7:$Y$594=AC340,ROW('All Player Data Store'!$Y$7:$Y$594)-ROW('All Player Data Store'!$Y$7)+1),COUNTIF($AC$8:AC340,AC340))),"")</f>
        <v/>
      </c>
      <c r="U340" s="108" t="str">
        <f t="array" ref="U340">IF(ISNUMBER(AC340),INDEX('All Player Data Store'!$Q$7:$Q$594,SMALL(IF('All Player Data Store'!$Y$7:$Y$594=AC340,ROW('All Player Data Store'!$Y$7:$Y$594)-ROW('All Player Data Store'!$Y$7)+1),COUNTIF($AC$8:AC340,AC340))),"")</f>
        <v/>
      </c>
      <c r="V340" s="108" t="str">
        <f t="array" ref="V340">IF(ISNUMBER(AC340),INDEX('All Player Data Store'!$R$7:$R$594,SMALL(IF('All Player Data Store'!$Y$7:$Y$594=AC340,ROW('All Player Data Store'!$Y$7:$Y$594)-ROW('All Player Data Store'!$Y$7)+1),COUNTIF($AC$8:AC340,AC340))),"")</f>
        <v/>
      </c>
      <c r="W340" s="108" t="str">
        <f t="array" ref="W340">IF(ISNUMBER(AC340),INDEX('All Player Data Store'!$S$7:$S$594,SMALL(IF('All Player Data Store'!$Y$7:$Y$594=AC340,ROW('All Player Data Store'!$Y$7:$Y$594)-ROW('All Player Data Store'!$Y$7)+1),COUNTIF($AC$8:AC340,AC340))),"")</f>
        <v/>
      </c>
      <c r="X340" s="108" t="str">
        <f t="array" ref="X340">IF(ISNUMBER(AC340),INDEX('All Player Data Store'!$T$7:$T$594,SMALL(IF('All Player Data Store'!$Y$7:$Y$594=AC340,ROW('All Player Data Store'!$Y$7:$Y$594)-ROW('All Player Data Store'!$Y$7)+1),COUNTIF($AC$8:AC340,AC340))),"")</f>
        <v/>
      </c>
      <c r="Y340" s="108" t="str">
        <f t="array" ref="Y340">IF(ISNUMBER(AC340),INDEX('All Player Data Store'!$U$7:$U$594,SMALL(IF('All Player Data Store'!$Y$7:$Y$594=AC340,ROW('All Player Data Store'!$Y$7:$Y$594)-ROW('All Player Data Store'!$Y$7)+1),COUNTIF($AC$8:AC340,AC340))),"")</f>
        <v/>
      </c>
      <c r="Z340" s="108" t="str">
        <f t="array" ref="Z340">IF(ISNUMBER(AC340),INDEX('All Player Data Store'!$V$7:$V$594,SMALL(IF('All Player Data Store'!$Y$7:$Y$594=AC340,ROW('All Player Data Store'!$Y$7:$Y$594)-ROW('All Player Data Store'!$Y$7)+1),COUNTIF($AC$8:AC340,AC340))),"")</f>
        <v/>
      </c>
      <c r="AA340" s="112" t="str">
        <f t="array" ref="AA340">IF(ISNUMBER(AC340),INDEX('All Player Data Store'!$W$7:$W$594,SMALL(IF('All Player Data Store'!$Y$7:$Y$594=AC340,ROW('All Player Data Store'!$Y$7:$Y$594)-ROW('All Player Data Store'!$Y$7)+1),COUNTIF($AC$8:AC340,AC340))),"")</f>
        <v/>
      </c>
      <c r="AB340" s="108" t="str">
        <f t="array" ref="AB340">IF(ISNUMBER(AC340),INDEX('All Player Data Store'!$X$7:$X$594,SMALL(IF('All Player Data Store'!$Y$7:$Y$594=AC340,ROW('All Player Data Store'!$Y$7:$Y$594)-ROW('All Player Data Store'!$Y$7)+1),COUNTIF($AC$8:AC340,AC340))),"")</f>
        <v/>
      </c>
      <c r="AC340" s="115" t="str">
        <f>IF(ISERROR(IF(ISERROR(LARGE('All Player Data Store'!$Y$7:$Y$594,333)),"",(LARGE('All Player Data Store'!$Y$7:$Y$594,333)))),"",(IF(ISERROR(LARGE('All Player Data Store'!$Y$7:$Y$594,333)),"",(LARGE('All Player Data Store'!$Y$7:$Y$594,333)))))</f>
        <v/>
      </c>
      <c r="AD340" s="106">
        <f t="shared" si="16"/>
        <v>1</v>
      </c>
      <c r="AE340" s="107" t="str">
        <f t="array" ref="AE340">IF(ISNUMBER(AC340),INDEX('All Player Data Store'!$J$8:$J$594,SMALL(IF('All Player Data Store'!$Y$7:$Y$594=AC340,ROW('All Player Data Store'!$Y$7:$Y$594)-ROW('All Player Data Store'!$Y$7)+1),COUNTIF($AC$8:AC340,AC340))),"")</f>
        <v/>
      </c>
      <c r="AF340" s="108" t="str">
        <f t="shared" si="19"/>
        <v/>
      </c>
      <c r="AG340" s="108" t="str">
        <f t="array" ref="AG340">IF(ISNUMBER(AC340),INDEX('All Player Data Store'!$K$8:$K$594,SMALL(IF('All Player Data Store'!$Y$7:$Y$594=AC340,ROW('All Player Data Store'!$Y$7:$Y$594)-ROW('All Player Data Store'!$Y$7)+1),COUNTIF($AC$8:AC340,AC340))),"")</f>
        <v/>
      </c>
      <c r="AH340" s="108" t="str">
        <f t="shared" si="20"/>
        <v/>
      </c>
      <c r="AI340" s="108" t="str">
        <f t="array" ref="AI340">IF(ISNUMBER(AC340),INDEX('All Player Data Store'!$L$8:$L$594,SMALL(IF('All Player Data Store'!$Y$7:$Y$594=AC340,ROW('All Player Data Store'!$Y$7:$Y$594)-ROW('All Player Data Store'!$Y$7)+1),COUNTIF($AC$8:AC340,AC340))),"")</f>
        <v/>
      </c>
      <c r="AJ340" s="108" t="str">
        <f t="shared" si="21"/>
        <v/>
      </c>
      <c r="AK340" s="108" t="str">
        <f t="array" ref="AK340">IF(ISNUMBER(AC340),INDEX('All Player Data Store'!$M$8:$M$594,SMALL(IF('All Player Data Store'!$Y$7:$Y$594=AC340,ROW('All Player Data Store'!$Y$7:$Y$594)-ROW('All Player Data Store'!$Y$7)+1),COUNTIF($AC$8:AC340,AC340))),"")</f>
        <v/>
      </c>
      <c r="AL340" s="108" t="str">
        <f t="shared" si="22"/>
        <v/>
      </c>
      <c r="AM340" s="108" t="str">
        <f t="array" ref="AM340">IF(ISNUMBER(AC340),INDEX('All Player Data Store'!$N$8:$N$594,SMALL(IF('All Player Data Store'!$Y$7:$Y$594=AC340,ROW('All Player Data Store'!$Y$7:$Y$594)-ROW('All Player Data Store'!$Y$7)+1),COUNTIF($AC$8:AC340,AC340))),"")</f>
        <v/>
      </c>
      <c r="AN340" s="108" t="str">
        <f t="shared" si="23"/>
        <v/>
      </c>
      <c r="AO340" s="108" t="str">
        <f t="array" ref="AO340">IF(ISNUMBER(AC340),INDEX('All Player Data Store'!$O$8:$O$594,SMALL(IF('All Player Data Store'!$Y$7:$Y$594=AC340,ROW('All Player Data Store'!$Y$7:$Y$594)-ROW('All Player Data Store'!$Y$7)+1),COUNTIF($AC$8:AC340,AC340))),"")</f>
        <v/>
      </c>
      <c r="AP340" s="108" t="str">
        <f t="shared" si="24"/>
        <v/>
      </c>
      <c r="AQ340" s="108" t="str">
        <f t="array" ref="AQ340">IF(ISNUMBER(AC340),INDEX('All Player Data Store'!$P$8:$P$594,SMALL(IF('All Player Data Store'!$Y$7:$Y$594=AC340,ROW('All Player Data Store'!$Y$7:$Y$594)-ROW('All Player Data Store'!$Y$7)+1),COUNTIF($AC$8:AC340,AC340))),"")</f>
        <v/>
      </c>
      <c r="AR340" s="108" t="str">
        <f t="shared" si="25"/>
        <v/>
      </c>
      <c r="AS340" s="108" t="str">
        <f t="array" ref="AS340">IF(ISNUMBER(AC340),INDEX('All Player Data Store'!$Q$8:$Q$594,SMALL(IF('All Player Data Store'!$Y$7:$Y$594=AC340,ROW('All Player Data Store'!$Y$7:$Y$594)-ROW('All Player Data Store'!$Y$7)+1),COUNTIF($AC$8:AC340,AC340))),"")</f>
        <v/>
      </c>
      <c r="AT340" s="108" t="str">
        <f t="shared" si="26"/>
        <v/>
      </c>
      <c r="AU340" s="108" t="str">
        <f t="array" ref="AU340">IF(ISNUMBER(AC340),INDEX('All Player Data Store'!$R$8:$R$594,SMALL(IF('All Player Data Store'!$Y$7:$Y$594=AC340,ROW('All Player Data Store'!$Y$7:$Y$594)-ROW('All Player Data Store'!$Y$7)+1),COUNTIF($AC$8:AC340,AC340))),"")</f>
        <v/>
      </c>
      <c r="AV340" s="108" t="str">
        <f t="shared" si="27"/>
        <v/>
      </c>
      <c r="AW340" s="108" t="str">
        <f t="array" ref="AW340">IF(ISNUMBER(AC340),INDEX('All Player Data Store'!$S$8:$S$594,SMALL(IF('All Player Data Store'!$Y$7:$Y$594=AC340,ROW('All Player Data Store'!$Y$7:$Y$594)-ROW('All Player Data Store'!$Y$7)+1),COUNTIF($AC$8:AC340,AC340))),"")</f>
        <v/>
      </c>
      <c r="AX340" s="108" t="str">
        <f t="shared" si="28"/>
        <v/>
      </c>
      <c r="AY340" s="108" t="str">
        <f t="array" ref="AY340">IF(ISNUMBER(AC340),INDEX('All Player Data Store'!$T$8:$T$594,SMALL(IF('All Player Data Store'!$Y$7:$Y$594=AC340,ROW('All Player Data Store'!$Y$7:$Y$594)-ROW('All Player Data Store'!$Y$7)+1),COUNTIF($AC$8:AC340,AC340))),"")</f>
        <v/>
      </c>
      <c r="AZ340" s="108" t="str">
        <f t="shared" si="29"/>
        <v/>
      </c>
      <c r="BA340" s="108" t="str">
        <f t="array" ref="BA340">IF(ISNUMBER(AC340),INDEX('All Player Data Store'!$U$8:$U$594,SMALL(IF('All Player Data Store'!$Y$7:$Y$594=AC340,ROW('All Player Data Store'!$Y$7:$Y$594)-ROW('All Player Data Store'!$Y$7)+1),COUNTIF($AC$8:AC340,AC340))),"")</f>
        <v/>
      </c>
      <c r="BB340" s="108" t="str">
        <f t="shared" si="30"/>
        <v/>
      </c>
      <c r="BC340" s="108" t="str">
        <f t="array" ref="BC340">IF(ISNUMBER(AC340),INDEX('All Player Data Store'!$V$8:$V$594,SMALL(IF('All Player Data Store'!$Y$7:$Y$594=AC340,ROW('All Player Data Store'!$Y$7:$Y$594)-ROW('All Player Data Store'!$Y$7)+1),COUNTIF($AC$8:AC340,AC340))),"")</f>
        <v/>
      </c>
      <c r="BD340" s="108" t="str">
        <f t="shared" si="31"/>
        <v/>
      </c>
      <c r="BE340" s="1"/>
    </row>
    <row r="341" spans="2:57" ht="12" customHeight="1" x14ac:dyDescent="0.2">
      <c r="B341" s="118" t="str">
        <f t="shared" si="17"/>
        <v/>
      </c>
      <c r="C341" s="1"/>
      <c r="D341" s="68" t="str">
        <f t="shared" si="18"/>
        <v/>
      </c>
      <c r="E341" s="2"/>
      <c r="F341" s="78">
        <v>334</v>
      </c>
      <c r="G341" s="110" t="str">
        <f t="array" ref="G341">IF(ISNUMBER(AC341),INDEX('All Player Data Store'!$C$7:$C$594,SMALL(IF('All Player Data Store'!$Y$7:$Y$594=AC341,ROW('All Player Data Store'!$Y$7:$Y$594)-ROW('All Player Data Store'!$Y$7)+1),COUNTIF($AC$8:AC341,AC341))),"")</f>
        <v/>
      </c>
      <c r="H341" s="68" t="str">
        <f t="array" ref="H341">IF(ISNUMBER(AC341),INDEX('All Player Data Store'!$D$7:$D$594,SMALL(IF('All Player Data Store'!$Y$7:$Y$594=AC341,ROW('All Player Data Store'!$Y$7:$Y$594)-ROW('All Player Data Store'!$Y$7)+1),COUNTIF($AC$8:AC341,AC341))),"")</f>
        <v/>
      </c>
      <c r="I341" s="69" t="str">
        <f t="array" ref="I341">IF(ISNUMBER(AC341),INDEX('All Player Data Store'!$E$7:$E$594,SMALL(IF('All Player Data Store'!$Y$7:$Y$594=AC341,ROW('All Player Data Store'!$Y$7:$Y$594)-ROW('All Player Data Store'!$Y$7)+1),COUNTIF($AC$8:AC341,AC341))),"")</f>
        <v/>
      </c>
      <c r="J341" s="70" t="str">
        <f t="array" ref="J341">IF(ISNUMBER(AC341),INDEX('All Player Data Store'!$F$7:$F$594,SMALL(IF('All Player Data Store'!$Y$7:$Y$594=AC341,ROW('All Player Data Store'!$Y$7:$Y$594)-ROW('All Player Data Store'!$Y$7)+1),COUNTIF($AC$8:AC341,AC341))),"")</f>
        <v/>
      </c>
      <c r="K341" s="70" t="str">
        <f t="array" ref="K341">IF(ISNUMBER(AC341),INDEX('All Player Data Store'!$G$7:$G$594,SMALL(IF('All Player Data Store'!$Y$7:$Y$594=AC341,ROW('All Player Data Store'!$Y$7:$Y$594)-ROW('All Player Data Store'!$Y$7)+1),COUNTIF($AC$8:AC341,AC341))),"")</f>
        <v/>
      </c>
      <c r="L341" s="70" t="str">
        <f t="array" ref="L341">IF(ISNUMBER(AC341),INDEX('All Player Data Store'!$H$7:$H$594,SMALL(IF('All Player Data Store'!$Y$7:$Y$594=AC341,ROW('All Player Data Store'!$Y$7:$Y$594)-ROW('All Player Data Store'!$Y$7)+1),COUNTIF($AC$8:AC341,AC341))),"")</f>
        <v/>
      </c>
      <c r="M341" s="72" t="str">
        <f t="array" ref="M341">IF(ISNUMBER(AC341),INDEX('All Player Data Store'!$I$7:$I$594,SMALL(IF('All Player Data Store'!$Y$7:$Y$594=AC341,ROW('All Player Data Store'!$Y$7:$Y$594)-ROW('All Player Data Store'!$Y$7)+1),COUNTIF($AC$8:AC341,AC341))),"")</f>
        <v/>
      </c>
      <c r="N341" s="114" t="str">
        <f t="array" ref="N341">IF(ISNUMBER(AC341),INDEX('All Player Data Store'!$J$7:$J$594,SMALL(IF('All Player Data Store'!$Y$7:$Y$594=AC341,ROW('All Player Data Store'!$Y$7:$Y$594)-ROW('All Player Data Store'!$Y$7)+1),COUNTIF($AC$8:AC341,AC341))),"")</f>
        <v/>
      </c>
      <c r="O341" s="108" t="str">
        <f t="array" ref="O341">IF(ISNUMBER(AC341),INDEX('All Player Data Store'!$K$7:$K$594,SMALL(IF('All Player Data Store'!$Y$7:$Y$594=AC341,ROW('All Player Data Store'!$Y$7:$Y$594)-ROW('All Player Data Store'!$Y$7)+1),COUNTIF($AC$8:AC341,AC341))),"")</f>
        <v/>
      </c>
      <c r="P341" s="108" t="str">
        <f t="array" ref="P341">IF(ISNUMBER(AC341),INDEX('All Player Data Store'!$L$7:$L$594,SMALL(IF('All Player Data Store'!$Y$7:$Y$594=AC341,ROW('All Player Data Store'!$Y$7:$Y$594)-ROW('All Player Data Store'!$Y$7)+1),COUNTIF($AC$8:AC341,AC341))),"")</f>
        <v/>
      </c>
      <c r="Q341" s="108" t="str">
        <f t="array" ref="Q341">IF(ISNUMBER(AC341),INDEX('All Player Data Store'!$M$7:$M$594,SMALL(IF('All Player Data Store'!$Y$7:$Y$594=AC341,ROW('All Player Data Store'!$Y$7:$Y$594)-ROW('All Player Data Store'!$Y$7)+1),COUNTIF($AC$8:AC341,AC341))),"")</f>
        <v/>
      </c>
      <c r="R341" s="108" t="str">
        <f t="array" ref="R341">IF(ISNUMBER(AC341),INDEX('All Player Data Store'!$N$7:$N$594,SMALL(IF('All Player Data Store'!$Y$7:$Y$594=AC341,ROW('All Player Data Store'!$Y$7:$Y$594)-ROW('All Player Data Store'!$Y$7)+1),COUNTIF($AC$8:AC341,AC341))),"")</f>
        <v/>
      </c>
      <c r="S341" s="108" t="str">
        <f t="array" ref="S341">IF(ISNUMBER(AC341),INDEX('All Player Data Store'!$O$7:$O$594,SMALL(IF('All Player Data Store'!$Y$7:$Y$594=AC341,ROW('All Player Data Store'!$Y$7:$Y$594)-ROW('All Player Data Store'!$Y$7)+1),COUNTIF($AC$8:AC341,AC341))),"")</f>
        <v/>
      </c>
      <c r="T341" s="108" t="str">
        <f t="array" ref="T341">IF(ISNUMBER(AC341),INDEX('All Player Data Store'!$P$7:$P$594,SMALL(IF('All Player Data Store'!$Y$7:$Y$594=AC341,ROW('All Player Data Store'!$Y$7:$Y$594)-ROW('All Player Data Store'!$Y$7)+1),COUNTIF($AC$8:AC341,AC341))),"")</f>
        <v/>
      </c>
      <c r="U341" s="108" t="str">
        <f t="array" ref="U341">IF(ISNUMBER(AC341),INDEX('All Player Data Store'!$Q$7:$Q$594,SMALL(IF('All Player Data Store'!$Y$7:$Y$594=AC341,ROW('All Player Data Store'!$Y$7:$Y$594)-ROW('All Player Data Store'!$Y$7)+1),COUNTIF($AC$8:AC341,AC341))),"")</f>
        <v/>
      </c>
      <c r="V341" s="108" t="str">
        <f t="array" ref="V341">IF(ISNUMBER(AC341),INDEX('All Player Data Store'!$R$7:$R$594,SMALL(IF('All Player Data Store'!$Y$7:$Y$594=AC341,ROW('All Player Data Store'!$Y$7:$Y$594)-ROW('All Player Data Store'!$Y$7)+1),COUNTIF($AC$8:AC341,AC341))),"")</f>
        <v/>
      </c>
      <c r="W341" s="108" t="str">
        <f t="array" ref="W341">IF(ISNUMBER(AC341),INDEX('All Player Data Store'!$S$7:$S$594,SMALL(IF('All Player Data Store'!$Y$7:$Y$594=AC341,ROW('All Player Data Store'!$Y$7:$Y$594)-ROW('All Player Data Store'!$Y$7)+1),COUNTIF($AC$8:AC341,AC341))),"")</f>
        <v/>
      </c>
      <c r="X341" s="108" t="str">
        <f t="array" ref="X341">IF(ISNUMBER(AC341),INDEX('All Player Data Store'!$T$7:$T$594,SMALL(IF('All Player Data Store'!$Y$7:$Y$594=AC341,ROW('All Player Data Store'!$Y$7:$Y$594)-ROW('All Player Data Store'!$Y$7)+1),COUNTIF($AC$8:AC341,AC341))),"")</f>
        <v/>
      </c>
      <c r="Y341" s="108" t="str">
        <f t="array" ref="Y341">IF(ISNUMBER(AC341),INDEX('All Player Data Store'!$U$7:$U$594,SMALL(IF('All Player Data Store'!$Y$7:$Y$594=AC341,ROW('All Player Data Store'!$Y$7:$Y$594)-ROW('All Player Data Store'!$Y$7)+1),COUNTIF($AC$8:AC341,AC341))),"")</f>
        <v/>
      </c>
      <c r="Z341" s="108" t="str">
        <f t="array" ref="Z341">IF(ISNUMBER(AC341),INDEX('All Player Data Store'!$V$7:$V$594,SMALL(IF('All Player Data Store'!$Y$7:$Y$594=AC341,ROW('All Player Data Store'!$Y$7:$Y$594)-ROW('All Player Data Store'!$Y$7)+1),COUNTIF($AC$8:AC341,AC341))),"")</f>
        <v/>
      </c>
      <c r="AA341" s="112" t="str">
        <f t="array" ref="AA341">IF(ISNUMBER(AC341),INDEX('All Player Data Store'!$W$7:$W$594,SMALL(IF('All Player Data Store'!$Y$7:$Y$594=AC341,ROW('All Player Data Store'!$Y$7:$Y$594)-ROW('All Player Data Store'!$Y$7)+1),COUNTIF($AC$8:AC341,AC341))),"")</f>
        <v/>
      </c>
      <c r="AB341" s="108" t="str">
        <f t="array" ref="AB341">IF(ISNUMBER(AC341),INDEX('All Player Data Store'!$X$7:$X$594,SMALL(IF('All Player Data Store'!$Y$7:$Y$594=AC341,ROW('All Player Data Store'!$Y$7:$Y$594)-ROW('All Player Data Store'!$Y$7)+1),COUNTIF($AC$8:AC341,AC341))),"")</f>
        <v/>
      </c>
      <c r="AC341" s="115" t="str">
        <f>IF(ISERROR(IF(ISERROR(LARGE('All Player Data Store'!$Y$7:$Y$594,334)),"",(LARGE('All Player Data Store'!$Y$7:$Y$594,334)))),"",(IF(ISERROR(LARGE('All Player Data Store'!$Y$7:$Y$594,334)),"",(LARGE('All Player Data Store'!$Y$7:$Y$594,334)))))</f>
        <v/>
      </c>
      <c r="AD341" s="106">
        <f t="shared" si="16"/>
        <v>1</v>
      </c>
      <c r="AE341" s="107" t="str">
        <f t="array" ref="AE341">IF(ISNUMBER(AC341),INDEX('All Player Data Store'!$J$8:$J$594,SMALL(IF('All Player Data Store'!$Y$7:$Y$594=AC341,ROW('All Player Data Store'!$Y$7:$Y$594)-ROW('All Player Data Store'!$Y$7)+1),COUNTIF($AC$8:AC341,AC341))),"")</f>
        <v/>
      </c>
      <c r="AF341" s="108" t="str">
        <f t="shared" si="19"/>
        <v/>
      </c>
      <c r="AG341" s="108" t="str">
        <f t="array" ref="AG341">IF(ISNUMBER(AC341),INDEX('All Player Data Store'!$K$8:$K$594,SMALL(IF('All Player Data Store'!$Y$7:$Y$594=AC341,ROW('All Player Data Store'!$Y$7:$Y$594)-ROW('All Player Data Store'!$Y$7)+1),COUNTIF($AC$8:AC341,AC341))),"")</f>
        <v/>
      </c>
      <c r="AH341" s="108" t="str">
        <f t="shared" si="20"/>
        <v/>
      </c>
      <c r="AI341" s="108" t="str">
        <f t="array" ref="AI341">IF(ISNUMBER(AC341),INDEX('All Player Data Store'!$L$8:$L$594,SMALL(IF('All Player Data Store'!$Y$7:$Y$594=AC341,ROW('All Player Data Store'!$Y$7:$Y$594)-ROW('All Player Data Store'!$Y$7)+1),COUNTIF($AC$8:AC341,AC341))),"")</f>
        <v/>
      </c>
      <c r="AJ341" s="108" t="str">
        <f t="shared" si="21"/>
        <v/>
      </c>
      <c r="AK341" s="108" t="str">
        <f t="array" ref="AK341">IF(ISNUMBER(AC341),INDEX('All Player Data Store'!$M$8:$M$594,SMALL(IF('All Player Data Store'!$Y$7:$Y$594=AC341,ROW('All Player Data Store'!$Y$7:$Y$594)-ROW('All Player Data Store'!$Y$7)+1),COUNTIF($AC$8:AC341,AC341))),"")</f>
        <v/>
      </c>
      <c r="AL341" s="108" t="str">
        <f t="shared" si="22"/>
        <v/>
      </c>
      <c r="AM341" s="108" t="str">
        <f t="array" ref="AM341">IF(ISNUMBER(AC341),INDEX('All Player Data Store'!$N$8:$N$594,SMALL(IF('All Player Data Store'!$Y$7:$Y$594=AC341,ROW('All Player Data Store'!$Y$7:$Y$594)-ROW('All Player Data Store'!$Y$7)+1),COUNTIF($AC$8:AC341,AC341))),"")</f>
        <v/>
      </c>
      <c r="AN341" s="108" t="str">
        <f t="shared" si="23"/>
        <v/>
      </c>
      <c r="AO341" s="108" t="str">
        <f t="array" ref="AO341">IF(ISNUMBER(AC341),INDEX('All Player Data Store'!$O$8:$O$594,SMALL(IF('All Player Data Store'!$Y$7:$Y$594=AC341,ROW('All Player Data Store'!$Y$7:$Y$594)-ROW('All Player Data Store'!$Y$7)+1),COUNTIF($AC$8:AC341,AC341))),"")</f>
        <v/>
      </c>
      <c r="AP341" s="108" t="str">
        <f t="shared" si="24"/>
        <v/>
      </c>
      <c r="AQ341" s="108" t="str">
        <f t="array" ref="AQ341">IF(ISNUMBER(AC341),INDEX('All Player Data Store'!$P$8:$P$594,SMALL(IF('All Player Data Store'!$Y$7:$Y$594=AC341,ROW('All Player Data Store'!$Y$7:$Y$594)-ROW('All Player Data Store'!$Y$7)+1),COUNTIF($AC$8:AC341,AC341))),"")</f>
        <v/>
      </c>
      <c r="AR341" s="108" t="str">
        <f t="shared" si="25"/>
        <v/>
      </c>
      <c r="AS341" s="108" t="str">
        <f t="array" ref="AS341">IF(ISNUMBER(AC341),INDEX('All Player Data Store'!$Q$8:$Q$594,SMALL(IF('All Player Data Store'!$Y$7:$Y$594=AC341,ROW('All Player Data Store'!$Y$7:$Y$594)-ROW('All Player Data Store'!$Y$7)+1),COUNTIF($AC$8:AC341,AC341))),"")</f>
        <v/>
      </c>
      <c r="AT341" s="108" t="str">
        <f t="shared" si="26"/>
        <v/>
      </c>
      <c r="AU341" s="108" t="str">
        <f t="array" ref="AU341">IF(ISNUMBER(AC341),INDEX('All Player Data Store'!$R$8:$R$594,SMALL(IF('All Player Data Store'!$Y$7:$Y$594=AC341,ROW('All Player Data Store'!$Y$7:$Y$594)-ROW('All Player Data Store'!$Y$7)+1),COUNTIF($AC$8:AC341,AC341))),"")</f>
        <v/>
      </c>
      <c r="AV341" s="108" t="str">
        <f t="shared" si="27"/>
        <v/>
      </c>
      <c r="AW341" s="108" t="str">
        <f t="array" ref="AW341">IF(ISNUMBER(AC341),INDEX('All Player Data Store'!$S$8:$S$594,SMALL(IF('All Player Data Store'!$Y$7:$Y$594=AC341,ROW('All Player Data Store'!$Y$7:$Y$594)-ROW('All Player Data Store'!$Y$7)+1),COUNTIF($AC$8:AC341,AC341))),"")</f>
        <v/>
      </c>
      <c r="AX341" s="108" t="str">
        <f t="shared" si="28"/>
        <v/>
      </c>
      <c r="AY341" s="108" t="str">
        <f t="array" ref="AY341">IF(ISNUMBER(AC341),INDEX('All Player Data Store'!$T$8:$T$594,SMALL(IF('All Player Data Store'!$Y$7:$Y$594=AC341,ROW('All Player Data Store'!$Y$7:$Y$594)-ROW('All Player Data Store'!$Y$7)+1),COUNTIF($AC$8:AC341,AC341))),"")</f>
        <v/>
      </c>
      <c r="AZ341" s="108" t="str">
        <f t="shared" si="29"/>
        <v/>
      </c>
      <c r="BA341" s="108" t="str">
        <f t="array" ref="BA341">IF(ISNUMBER(AC341),INDEX('All Player Data Store'!$U$8:$U$594,SMALL(IF('All Player Data Store'!$Y$7:$Y$594=AC341,ROW('All Player Data Store'!$Y$7:$Y$594)-ROW('All Player Data Store'!$Y$7)+1),COUNTIF($AC$8:AC341,AC341))),"")</f>
        <v/>
      </c>
      <c r="BB341" s="108" t="str">
        <f t="shared" si="30"/>
        <v/>
      </c>
      <c r="BC341" s="108" t="str">
        <f t="array" ref="BC341">IF(ISNUMBER(AC341),INDEX('All Player Data Store'!$V$8:$V$594,SMALL(IF('All Player Data Store'!$Y$7:$Y$594=AC341,ROW('All Player Data Store'!$Y$7:$Y$594)-ROW('All Player Data Store'!$Y$7)+1),COUNTIF($AC$8:AC341,AC341))),"")</f>
        <v/>
      </c>
      <c r="BD341" s="108" t="str">
        <f t="shared" si="31"/>
        <v/>
      </c>
      <c r="BE341" s="1"/>
    </row>
    <row r="342" spans="2:57" ht="12" customHeight="1" x14ac:dyDescent="0.2">
      <c r="B342" s="118" t="str">
        <f t="shared" si="17"/>
        <v/>
      </c>
      <c r="C342" s="1"/>
      <c r="D342" s="68" t="str">
        <f t="shared" si="18"/>
        <v/>
      </c>
      <c r="E342" s="2"/>
      <c r="F342" s="78">
        <v>335</v>
      </c>
      <c r="G342" s="110" t="str">
        <f t="array" ref="G342">IF(ISNUMBER(AC342),INDEX('All Player Data Store'!$C$7:$C$594,SMALL(IF('All Player Data Store'!$Y$7:$Y$594=AC342,ROW('All Player Data Store'!$Y$7:$Y$594)-ROW('All Player Data Store'!$Y$7)+1),COUNTIF($AC$8:AC342,AC342))),"")</f>
        <v/>
      </c>
      <c r="H342" s="68" t="str">
        <f t="array" ref="H342">IF(ISNUMBER(AC342),INDEX('All Player Data Store'!$D$7:$D$594,SMALL(IF('All Player Data Store'!$Y$7:$Y$594=AC342,ROW('All Player Data Store'!$Y$7:$Y$594)-ROW('All Player Data Store'!$Y$7)+1),COUNTIF($AC$8:AC342,AC342))),"")</f>
        <v/>
      </c>
      <c r="I342" s="69" t="str">
        <f t="array" ref="I342">IF(ISNUMBER(AC342),INDEX('All Player Data Store'!$E$7:$E$594,SMALL(IF('All Player Data Store'!$Y$7:$Y$594=AC342,ROW('All Player Data Store'!$Y$7:$Y$594)-ROW('All Player Data Store'!$Y$7)+1),COUNTIF($AC$8:AC342,AC342))),"")</f>
        <v/>
      </c>
      <c r="J342" s="70" t="str">
        <f t="array" ref="J342">IF(ISNUMBER(AC342),INDEX('All Player Data Store'!$F$7:$F$594,SMALL(IF('All Player Data Store'!$Y$7:$Y$594=AC342,ROW('All Player Data Store'!$Y$7:$Y$594)-ROW('All Player Data Store'!$Y$7)+1),COUNTIF($AC$8:AC342,AC342))),"")</f>
        <v/>
      </c>
      <c r="K342" s="70" t="str">
        <f t="array" ref="K342">IF(ISNUMBER(AC342),INDEX('All Player Data Store'!$G$7:$G$594,SMALL(IF('All Player Data Store'!$Y$7:$Y$594=AC342,ROW('All Player Data Store'!$Y$7:$Y$594)-ROW('All Player Data Store'!$Y$7)+1),COUNTIF($AC$8:AC342,AC342))),"")</f>
        <v/>
      </c>
      <c r="L342" s="70" t="str">
        <f t="array" ref="L342">IF(ISNUMBER(AC342),INDEX('All Player Data Store'!$H$7:$H$594,SMALL(IF('All Player Data Store'!$Y$7:$Y$594=AC342,ROW('All Player Data Store'!$Y$7:$Y$594)-ROW('All Player Data Store'!$Y$7)+1),COUNTIF($AC$8:AC342,AC342))),"")</f>
        <v/>
      </c>
      <c r="M342" s="72" t="str">
        <f t="array" ref="M342">IF(ISNUMBER(AC342),INDEX('All Player Data Store'!$I$7:$I$594,SMALL(IF('All Player Data Store'!$Y$7:$Y$594=AC342,ROW('All Player Data Store'!$Y$7:$Y$594)-ROW('All Player Data Store'!$Y$7)+1),COUNTIF($AC$8:AC342,AC342))),"")</f>
        <v/>
      </c>
      <c r="N342" s="114" t="str">
        <f t="array" ref="N342">IF(ISNUMBER(AC342),INDEX('All Player Data Store'!$J$7:$J$594,SMALL(IF('All Player Data Store'!$Y$7:$Y$594=AC342,ROW('All Player Data Store'!$Y$7:$Y$594)-ROW('All Player Data Store'!$Y$7)+1),COUNTIF($AC$8:AC342,AC342))),"")</f>
        <v/>
      </c>
      <c r="O342" s="108" t="str">
        <f t="array" ref="O342">IF(ISNUMBER(AC342),INDEX('All Player Data Store'!$K$7:$K$594,SMALL(IF('All Player Data Store'!$Y$7:$Y$594=AC342,ROW('All Player Data Store'!$Y$7:$Y$594)-ROW('All Player Data Store'!$Y$7)+1),COUNTIF($AC$8:AC342,AC342))),"")</f>
        <v/>
      </c>
      <c r="P342" s="108" t="str">
        <f t="array" ref="P342">IF(ISNUMBER(AC342),INDEX('All Player Data Store'!$L$7:$L$594,SMALL(IF('All Player Data Store'!$Y$7:$Y$594=AC342,ROW('All Player Data Store'!$Y$7:$Y$594)-ROW('All Player Data Store'!$Y$7)+1),COUNTIF($AC$8:AC342,AC342))),"")</f>
        <v/>
      </c>
      <c r="Q342" s="108" t="str">
        <f t="array" ref="Q342">IF(ISNUMBER(AC342),INDEX('All Player Data Store'!$M$7:$M$594,SMALL(IF('All Player Data Store'!$Y$7:$Y$594=AC342,ROW('All Player Data Store'!$Y$7:$Y$594)-ROW('All Player Data Store'!$Y$7)+1),COUNTIF($AC$8:AC342,AC342))),"")</f>
        <v/>
      </c>
      <c r="R342" s="108" t="str">
        <f t="array" ref="R342">IF(ISNUMBER(AC342),INDEX('All Player Data Store'!$N$7:$N$594,SMALL(IF('All Player Data Store'!$Y$7:$Y$594=AC342,ROW('All Player Data Store'!$Y$7:$Y$594)-ROW('All Player Data Store'!$Y$7)+1),COUNTIF($AC$8:AC342,AC342))),"")</f>
        <v/>
      </c>
      <c r="S342" s="108" t="str">
        <f t="array" ref="S342">IF(ISNUMBER(AC342),INDEX('All Player Data Store'!$O$7:$O$594,SMALL(IF('All Player Data Store'!$Y$7:$Y$594=AC342,ROW('All Player Data Store'!$Y$7:$Y$594)-ROW('All Player Data Store'!$Y$7)+1),COUNTIF($AC$8:AC342,AC342))),"")</f>
        <v/>
      </c>
      <c r="T342" s="108" t="str">
        <f t="array" ref="T342">IF(ISNUMBER(AC342),INDEX('All Player Data Store'!$P$7:$P$594,SMALL(IF('All Player Data Store'!$Y$7:$Y$594=AC342,ROW('All Player Data Store'!$Y$7:$Y$594)-ROW('All Player Data Store'!$Y$7)+1),COUNTIF($AC$8:AC342,AC342))),"")</f>
        <v/>
      </c>
      <c r="U342" s="108" t="str">
        <f t="array" ref="U342">IF(ISNUMBER(AC342),INDEX('All Player Data Store'!$Q$7:$Q$594,SMALL(IF('All Player Data Store'!$Y$7:$Y$594=AC342,ROW('All Player Data Store'!$Y$7:$Y$594)-ROW('All Player Data Store'!$Y$7)+1),COUNTIF($AC$8:AC342,AC342))),"")</f>
        <v/>
      </c>
      <c r="V342" s="108" t="str">
        <f t="array" ref="V342">IF(ISNUMBER(AC342),INDEX('All Player Data Store'!$R$7:$R$594,SMALL(IF('All Player Data Store'!$Y$7:$Y$594=AC342,ROW('All Player Data Store'!$Y$7:$Y$594)-ROW('All Player Data Store'!$Y$7)+1),COUNTIF($AC$8:AC342,AC342))),"")</f>
        <v/>
      </c>
      <c r="W342" s="108" t="str">
        <f t="array" ref="W342">IF(ISNUMBER(AC342),INDEX('All Player Data Store'!$S$7:$S$594,SMALL(IF('All Player Data Store'!$Y$7:$Y$594=AC342,ROW('All Player Data Store'!$Y$7:$Y$594)-ROW('All Player Data Store'!$Y$7)+1),COUNTIF($AC$8:AC342,AC342))),"")</f>
        <v/>
      </c>
      <c r="X342" s="108" t="str">
        <f t="array" ref="X342">IF(ISNUMBER(AC342),INDEX('All Player Data Store'!$T$7:$T$594,SMALL(IF('All Player Data Store'!$Y$7:$Y$594=AC342,ROW('All Player Data Store'!$Y$7:$Y$594)-ROW('All Player Data Store'!$Y$7)+1),COUNTIF($AC$8:AC342,AC342))),"")</f>
        <v/>
      </c>
      <c r="Y342" s="108" t="str">
        <f t="array" ref="Y342">IF(ISNUMBER(AC342),INDEX('All Player Data Store'!$U$7:$U$594,SMALL(IF('All Player Data Store'!$Y$7:$Y$594=AC342,ROW('All Player Data Store'!$Y$7:$Y$594)-ROW('All Player Data Store'!$Y$7)+1),COUNTIF($AC$8:AC342,AC342))),"")</f>
        <v/>
      </c>
      <c r="Z342" s="108" t="str">
        <f t="array" ref="Z342">IF(ISNUMBER(AC342),INDEX('All Player Data Store'!$V$7:$V$594,SMALL(IF('All Player Data Store'!$Y$7:$Y$594=AC342,ROW('All Player Data Store'!$Y$7:$Y$594)-ROW('All Player Data Store'!$Y$7)+1),COUNTIF($AC$8:AC342,AC342))),"")</f>
        <v/>
      </c>
      <c r="AA342" s="112" t="str">
        <f t="array" ref="AA342">IF(ISNUMBER(AC342),INDEX('All Player Data Store'!$W$7:$W$594,SMALL(IF('All Player Data Store'!$Y$7:$Y$594=AC342,ROW('All Player Data Store'!$Y$7:$Y$594)-ROW('All Player Data Store'!$Y$7)+1),COUNTIF($AC$8:AC342,AC342))),"")</f>
        <v/>
      </c>
      <c r="AB342" s="108" t="str">
        <f t="array" ref="AB342">IF(ISNUMBER(AC342),INDEX('All Player Data Store'!$X$7:$X$594,SMALL(IF('All Player Data Store'!$Y$7:$Y$594=AC342,ROW('All Player Data Store'!$Y$7:$Y$594)-ROW('All Player Data Store'!$Y$7)+1),COUNTIF($AC$8:AC342,AC342))),"")</f>
        <v/>
      </c>
      <c r="AC342" s="115" t="str">
        <f>IF(ISERROR(IF(ISERROR(LARGE('All Player Data Store'!$Y$7:$Y$594,335)),"",(LARGE('All Player Data Store'!$Y$7:$Y$594,335)))),"",(IF(ISERROR(LARGE('All Player Data Store'!$Y$7:$Y$594,335)),"",(LARGE('All Player Data Store'!$Y$7:$Y$594,335)))))</f>
        <v/>
      </c>
      <c r="AD342" s="106">
        <f t="shared" si="16"/>
        <v>1</v>
      </c>
      <c r="AE342" s="107" t="str">
        <f t="array" ref="AE342">IF(ISNUMBER(AC342),INDEX('All Player Data Store'!$J$8:$J$594,SMALL(IF('All Player Data Store'!$Y$7:$Y$594=AC342,ROW('All Player Data Store'!$Y$7:$Y$594)-ROW('All Player Data Store'!$Y$7)+1),COUNTIF($AC$8:AC342,AC342))),"")</f>
        <v/>
      </c>
      <c r="AF342" s="108" t="str">
        <f t="shared" si="19"/>
        <v/>
      </c>
      <c r="AG342" s="108" t="str">
        <f t="array" ref="AG342">IF(ISNUMBER(AC342),INDEX('All Player Data Store'!$K$8:$K$594,SMALL(IF('All Player Data Store'!$Y$7:$Y$594=AC342,ROW('All Player Data Store'!$Y$7:$Y$594)-ROW('All Player Data Store'!$Y$7)+1),COUNTIF($AC$8:AC342,AC342))),"")</f>
        <v/>
      </c>
      <c r="AH342" s="108" t="str">
        <f t="shared" si="20"/>
        <v/>
      </c>
      <c r="AI342" s="108" t="str">
        <f t="array" ref="AI342">IF(ISNUMBER(AC342),INDEX('All Player Data Store'!$L$8:$L$594,SMALL(IF('All Player Data Store'!$Y$7:$Y$594=AC342,ROW('All Player Data Store'!$Y$7:$Y$594)-ROW('All Player Data Store'!$Y$7)+1),COUNTIF($AC$8:AC342,AC342))),"")</f>
        <v/>
      </c>
      <c r="AJ342" s="108" t="str">
        <f t="shared" si="21"/>
        <v/>
      </c>
      <c r="AK342" s="108" t="str">
        <f t="array" ref="AK342">IF(ISNUMBER(AC342),INDEX('All Player Data Store'!$M$8:$M$594,SMALL(IF('All Player Data Store'!$Y$7:$Y$594=AC342,ROW('All Player Data Store'!$Y$7:$Y$594)-ROW('All Player Data Store'!$Y$7)+1),COUNTIF($AC$8:AC342,AC342))),"")</f>
        <v/>
      </c>
      <c r="AL342" s="108" t="str">
        <f t="shared" si="22"/>
        <v/>
      </c>
      <c r="AM342" s="108" t="str">
        <f t="array" ref="AM342">IF(ISNUMBER(AC342),INDEX('All Player Data Store'!$N$8:$N$594,SMALL(IF('All Player Data Store'!$Y$7:$Y$594=AC342,ROW('All Player Data Store'!$Y$7:$Y$594)-ROW('All Player Data Store'!$Y$7)+1),COUNTIF($AC$8:AC342,AC342))),"")</f>
        <v/>
      </c>
      <c r="AN342" s="108" t="str">
        <f t="shared" si="23"/>
        <v/>
      </c>
      <c r="AO342" s="108" t="str">
        <f t="array" ref="AO342">IF(ISNUMBER(AC342),INDEX('All Player Data Store'!$O$8:$O$594,SMALL(IF('All Player Data Store'!$Y$7:$Y$594=AC342,ROW('All Player Data Store'!$Y$7:$Y$594)-ROW('All Player Data Store'!$Y$7)+1),COUNTIF($AC$8:AC342,AC342))),"")</f>
        <v/>
      </c>
      <c r="AP342" s="108" t="str">
        <f t="shared" si="24"/>
        <v/>
      </c>
      <c r="AQ342" s="108" t="str">
        <f t="array" ref="AQ342">IF(ISNUMBER(AC342),INDEX('All Player Data Store'!$P$8:$P$594,SMALL(IF('All Player Data Store'!$Y$7:$Y$594=AC342,ROW('All Player Data Store'!$Y$7:$Y$594)-ROW('All Player Data Store'!$Y$7)+1),COUNTIF($AC$8:AC342,AC342))),"")</f>
        <v/>
      </c>
      <c r="AR342" s="108" t="str">
        <f t="shared" si="25"/>
        <v/>
      </c>
      <c r="AS342" s="108" t="str">
        <f t="array" ref="AS342">IF(ISNUMBER(AC342),INDEX('All Player Data Store'!$Q$8:$Q$594,SMALL(IF('All Player Data Store'!$Y$7:$Y$594=AC342,ROW('All Player Data Store'!$Y$7:$Y$594)-ROW('All Player Data Store'!$Y$7)+1),COUNTIF($AC$8:AC342,AC342))),"")</f>
        <v/>
      </c>
      <c r="AT342" s="108" t="str">
        <f t="shared" si="26"/>
        <v/>
      </c>
      <c r="AU342" s="108" t="str">
        <f t="array" ref="AU342">IF(ISNUMBER(AC342),INDEX('All Player Data Store'!$R$8:$R$594,SMALL(IF('All Player Data Store'!$Y$7:$Y$594=AC342,ROW('All Player Data Store'!$Y$7:$Y$594)-ROW('All Player Data Store'!$Y$7)+1),COUNTIF($AC$8:AC342,AC342))),"")</f>
        <v/>
      </c>
      <c r="AV342" s="108" t="str">
        <f t="shared" si="27"/>
        <v/>
      </c>
      <c r="AW342" s="108" t="str">
        <f t="array" ref="AW342">IF(ISNUMBER(AC342),INDEX('All Player Data Store'!$S$8:$S$594,SMALL(IF('All Player Data Store'!$Y$7:$Y$594=AC342,ROW('All Player Data Store'!$Y$7:$Y$594)-ROW('All Player Data Store'!$Y$7)+1),COUNTIF($AC$8:AC342,AC342))),"")</f>
        <v/>
      </c>
      <c r="AX342" s="108" t="str">
        <f t="shared" si="28"/>
        <v/>
      </c>
      <c r="AY342" s="108" t="str">
        <f t="array" ref="AY342">IF(ISNUMBER(AC342),INDEX('All Player Data Store'!$T$8:$T$594,SMALL(IF('All Player Data Store'!$Y$7:$Y$594=AC342,ROW('All Player Data Store'!$Y$7:$Y$594)-ROW('All Player Data Store'!$Y$7)+1),COUNTIF($AC$8:AC342,AC342))),"")</f>
        <v/>
      </c>
      <c r="AZ342" s="108" t="str">
        <f t="shared" si="29"/>
        <v/>
      </c>
      <c r="BA342" s="108" t="str">
        <f t="array" ref="BA342">IF(ISNUMBER(AC342),INDEX('All Player Data Store'!$U$8:$U$594,SMALL(IF('All Player Data Store'!$Y$7:$Y$594=AC342,ROW('All Player Data Store'!$Y$7:$Y$594)-ROW('All Player Data Store'!$Y$7)+1),COUNTIF($AC$8:AC342,AC342))),"")</f>
        <v/>
      </c>
      <c r="BB342" s="108" t="str">
        <f t="shared" si="30"/>
        <v/>
      </c>
      <c r="BC342" s="108" t="str">
        <f t="array" ref="BC342">IF(ISNUMBER(AC342),INDEX('All Player Data Store'!$V$8:$V$594,SMALL(IF('All Player Data Store'!$Y$7:$Y$594=AC342,ROW('All Player Data Store'!$Y$7:$Y$594)-ROW('All Player Data Store'!$Y$7)+1),COUNTIF($AC$8:AC342,AC342))),"")</f>
        <v/>
      </c>
      <c r="BD342" s="108" t="str">
        <f t="shared" si="31"/>
        <v/>
      </c>
      <c r="BE342" s="1"/>
    </row>
    <row r="343" spans="2:57" ht="12.75" customHeight="1" x14ac:dyDescent="0.2">
      <c r="B343" s="119" t="str">
        <f t="shared" si="17"/>
        <v/>
      </c>
      <c r="C343" s="1"/>
      <c r="D343" s="73" t="str">
        <f t="shared" si="18"/>
        <v/>
      </c>
      <c r="E343" s="2"/>
      <c r="F343" s="78">
        <v>336</v>
      </c>
      <c r="G343" s="120" t="str">
        <f t="array" ref="G343">IF(ISNUMBER(AC343),INDEX('All Player Data Store'!$C$7:$C$594,SMALL(IF('All Player Data Store'!$Y$7:$Y$594=AC343,ROW('All Player Data Store'!$Y$7:$Y$594)-ROW('All Player Data Store'!$Y$7)+1),COUNTIF($AC$8:AC343,AC343))),"")</f>
        <v/>
      </c>
      <c r="H343" s="73" t="str">
        <f t="array" ref="H343">IF(ISNUMBER(AC343),INDEX('All Player Data Store'!$D$7:$D$594,SMALL(IF('All Player Data Store'!$Y$7:$Y$594=AC343,ROW('All Player Data Store'!$Y$7:$Y$594)-ROW('All Player Data Store'!$Y$7)+1),COUNTIF($AC$8:AC343,AC343))),"")</f>
        <v/>
      </c>
      <c r="I343" s="74" t="str">
        <f t="array" ref="I343">IF(ISNUMBER(AC343),INDEX('All Player Data Store'!$E$7:$E$594,SMALL(IF('All Player Data Store'!$Y$7:$Y$594=AC343,ROW('All Player Data Store'!$Y$7:$Y$594)-ROW('All Player Data Store'!$Y$7)+1),COUNTIF($AC$8:AC343,AC343))),"")</f>
        <v/>
      </c>
      <c r="J343" s="75" t="str">
        <f t="array" ref="J343">IF(ISNUMBER(AC343),INDEX('All Player Data Store'!$F$7:$F$594,SMALL(IF('All Player Data Store'!$Y$7:$Y$594=AC343,ROW('All Player Data Store'!$Y$7:$Y$594)-ROW('All Player Data Store'!$Y$7)+1),COUNTIF($AC$8:AC343,AC343))),"")</f>
        <v/>
      </c>
      <c r="K343" s="75" t="str">
        <f t="array" ref="K343">IF(ISNUMBER(AC343),INDEX('All Player Data Store'!$G$7:$G$594,SMALL(IF('All Player Data Store'!$Y$7:$Y$594=AC343,ROW('All Player Data Store'!$Y$7:$Y$594)-ROW('All Player Data Store'!$Y$7)+1),COUNTIF($AC$8:AC343,AC343))),"")</f>
        <v/>
      </c>
      <c r="L343" s="75" t="str">
        <f t="array" ref="L343">IF(ISNUMBER(AC343),INDEX('All Player Data Store'!$H$7:$H$594,SMALL(IF('All Player Data Store'!$Y$7:$Y$594=AC343,ROW('All Player Data Store'!$Y$7:$Y$594)-ROW('All Player Data Store'!$Y$7)+1),COUNTIF($AC$8:AC343,AC343))),"")</f>
        <v/>
      </c>
      <c r="M343" s="77" t="str">
        <f t="array" ref="M343">IF(ISNUMBER(AC343),INDEX('All Player Data Store'!$I$7:$I$594,SMALL(IF('All Player Data Store'!$Y$7:$Y$594=AC343,ROW('All Player Data Store'!$Y$7:$Y$594)-ROW('All Player Data Store'!$Y$7)+1),COUNTIF($AC$8:AC343,AC343))),"")</f>
        <v/>
      </c>
      <c r="N343" s="121" t="str">
        <f t="array" ref="N343">IF(ISNUMBER(AC343),INDEX('All Player Data Store'!$J$7:$J$594,SMALL(IF('All Player Data Store'!$Y$7:$Y$594=AC343,ROW('All Player Data Store'!$Y$7:$Y$594)-ROW('All Player Data Store'!$Y$7)+1),COUNTIF($AC$8:AC343,AC343))),"")</f>
        <v/>
      </c>
      <c r="O343" s="122" t="str">
        <f t="array" ref="O343">IF(ISNUMBER(AC343),INDEX('All Player Data Store'!$K$7:$K$594,SMALL(IF('All Player Data Store'!$Y$7:$Y$594=AC343,ROW('All Player Data Store'!$Y$7:$Y$594)-ROW('All Player Data Store'!$Y$7)+1),COUNTIF($AC$8:AC343,AC343))),"")</f>
        <v/>
      </c>
      <c r="P343" s="122" t="str">
        <f t="array" ref="P343">IF(ISNUMBER(AC343),INDEX('All Player Data Store'!$L$7:$L$594,SMALL(IF('All Player Data Store'!$Y$7:$Y$594=AC343,ROW('All Player Data Store'!$Y$7:$Y$594)-ROW('All Player Data Store'!$Y$7)+1),COUNTIF($AC$8:AC343,AC343))),"")</f>
        <v/>
      </c>
      <c r="Q343" s="122" t="str">
        <f t="array" ref="Q343">IF(ISNUMBER(AC343),INDEX('All Player Data Store'!$M$7:$M$594,SMALL(IF('All Player Data Store'!$Y$7:$Y$594=AC343,ROW('All Player Data Store'!$Y$7:$Y$594)-ROW('All Player Data Store'!$Y$7)+1),COUNTIF($AC$8:AC343,AC343))),"")</f>
        <v/>
      </c>
      <c r="R343" s="122" t="str">
        <f t="array" ref="R343">IF(ISNUMBER(AC343),INDEX('All Player Data Store'!$N$7:$N$594,SMALL(IF('All Player Data Store'!$Y$7:$Y$594=AC343,ROW('All Player Data Store'!$Y$7:$Y$594)-ROW('All Player Data Store'!$Y$7)+1),COUNTIF($AC$8:AC343,AC343))),"")</f>
        <v/>
      </c>
      <c r="S343" s="122" t="str">
        <f t="array" ref="S343">IF(ISNUMBER(AC343),INDEX('All Player Data Store'!$O$7:$O$594,SMALL(IF('All Player Data Store'!$Y$7:$Y$594=AC343,ROW('All Player Data Store'!$Y$7:$Y$594)-ROW('All Player Data Store'!$Y$7)+1),COUNTIF($AC$8:AC343,AC343))),"")</f>
        <v/>
      </c>
      <c r="T343" s="122" t="str">
        <f t="array" ref="T343">IF(ISNUMBER(AC343),INDEX('All Player Data Store'!$P$7:$P$594,SMALL(IF('All Player Data Store'!$Y$7:$Y$594=AC343,ROW('All Player Data Store'!$Y$7:$Y$594)-ROW('All Player Data Store'!$Y$7)+1),COUNTIF($AC$8:AC343,AC343))),"")</f>
        <v/>
      </c>
      <c r="U343" s="122" t="str">
        <f t="array" ref="U343">IF(ISNUMBER(AC343),INDEX('All Player Data Store'!$Q$7:$Q$594,SMALL(IF('All Player Data Store'!$Y$7:$Y$594=AC343,ROW('All Player Data Store'!$Y$7:$Y$594)-ROW('All Player Data Store'!$Y$7)+1),COUNTIF($AC$8:AC343,AC343))),"")</f>
        <v/>
      </c>
      <c r="V343" s="122" t="str">
        <f t="array" ref="V343">IF(ISNUMBER(AC343),INDEX('All Player Data Store'!$R$7:$R$594,SMALL(IF('All Player Data Store'!$Y$7:$Y$594=AC343,ROW('All Player Data Store'!$Y$7:$Y$594)-ROW('All Player Data Store'!$Y$7)+1),COUNTIF($AC$8:AC343,AC343))),"")</f>
        <v/>
      </c>
      <c r="W343" s="122" t="str">
        <f t="array" ref="W343">IF(ISNUMBER(AC343),INDEX('All Player Data Store'!$S$7:$S$594,SMALL(IF('All Player Data Store'!$Y$7:$Y$594=AC343,ROW('All Player Data Store'!$Y$7:$Y$594)-ROW('All Player Data Store'!$Y$7)+1),COUNTIF($AC$8:AC343,AC343))),"")</f>
        <v/>
      </c>
      <c r="X343" s="122" t="str">
        <f t="array" ref="X343">IF(ISNUMBER(AC343),INDEX('All Player Data Store'!$T$7:$T$594,SMALL(IF('All Player Data Store'!$Y$7:$Y$594=AC343,ROW('All Player Data Store'!$Y$7:$Y$594)-ROW('All Player Data Store'!$Y$7)+1),COUNTIF($AC$8:AC343,AC343))),"")</f>
        <v/>
      </c>
      <c r="Y343" s="122" t="str">
        <f t="array" ref="Y343">IF(ISNUMBER(AC343),INDEX('All Player Data Store'!$U$7:$U$594,SMALL(IF('All Player Data Store'!$Y$7:$Y$594=AC343,ROW('All Player Data Store'!$Y$7:$Y$594)-ROW('All Player Data Store'!$Y$7)+1),COUNTIF($AC$8:AC343,AC343))),"")</f>
        <v/>
      </c>
      <c r="Z343" s="122" t="str">
        <f t="array" ref="Z343">IF(ISNUMBER(AC343),INDEX('All Player Data Store'!$V$7:$V$594,SMALL(IF('All Player Data Store'!$Y$7:$Y$594=AC343,ROW('All Player Data Store'!$Y$7:$Y$594)-ROW('All Player Data Store'!$Y$7)+1),COUNTIF($AC$8:AC343,AC343))),"")</f>
        <v/>
      </c>
      <c r="AA343" s="123" t="str">
        <f t="array" ref="AA343">IF(ISNUMBER(AC343),INDEX('All Player Data Store'!$W$7:$W$594,SMALL(IF('All Player Data Store'!$Y$7:$Y$594=AC343,ROW('All Player Data Store'!$Y$7:$Y$594)-ROW('All Player Data Store'!$Y$7)+1),COUNTIF($AC$8:AC343,AC343))),"")</f>
        <v/>
      </c>
      <c r="AB343" s="122" t="str">
        <f t="array" ref="AB343">IF(ISNUMBER(AC343),INDEX('All Player Data Store'!$X$7:$X$594,SMALL(IF('All Player Data Store'!$Y$7:$Y$594=AC343,ROW('All Player Data Store'!$Y$7:$Y$594)-ROW('All Player Data Store'!$Y$7)+1),COUNTIF($AC$8:AC343,AC343))),"")</f>
        <v/>
      </c>
      <c r="AC343" s="124" t="str">
        <f>IF(ISERROR(IF(ISERROR(LARGE('All Player Data Store'!$Y$7:$Y$594,336)),"",(LARGE('All Player Data Store'!$Y$7:$Y$594,336)))),"",(IF(ISERROR(LARGE('All Player Data Store'!$Y$7:$Y$594,336)),"",(LARGE('All Player Data Store'!$Y$7:$Y$594,336)))))</f>
        <v/>
      </c>
      <c r="AD343" s="106">
        <f t="shared" si="16"/>
        <v>1</v>
      </c>
      <c r="AE343" s="125" t="str">
        <f t="array" ref="AE343">IF(ISNUMBER(AC343),INDEX('All Player Data Store'!$J$8:$J$594,SMALL(IF('All Player Data Store'!$Y$7:$Y$594=AC343,ROW('All Player Data Store'!$Y$7:$Y$594)-ROW('All Player Data Store'!$Y$7)+1),COUNTIF($AC$8:AC343,AC343))),"")</f>
        <v/>
      </c>
      <c r="AF343" s="122" t="str">
        <f t="shared" si="19"/>
        <v/>
      </c>
      <c r="AG343" s="122" t="str">
        <f t="array" ref="AG343">IF(ISNUMBER(AC343),INDEX('All Player Data Store'!$K$8:$K$594,SMALL(IF('All Player Data Store'!$Y$7:$Y$594=AC343,ROW('All Player Data Store'!$Y$7:$Y$594)-ROW('All Player Data Store'!$Y$7)+1),COUNTIF($AC$8:AC343,AC343))),"")</f>
        <v/>
      </c>
      <c r="AH343" s="122" t="str">
        <f t="shared" si="20"/>
        <v/>
      </c>
      <c r="AI343" s="122" t="str">
        <f t="array" ref="AI343">IF(ISNUMBER(AC343),INDEX('All Player Data Store'!$L$8:$L$594,SMALL(IF('All Player Data Store'!$Y$7:$Y$594=AC343,ROW('All Player Data Store'!$Y$7:$Y$594)-ROW('All Player Data Store'!$Y$7)+1),COUNTIF($AC$8:AC343,AC343))),"")</f>
        <v/>
      </c>
      <c r="AJ343" s="122" t="str">
        <f t="shared" si="21"/>
        <v/>
      </c>
      <c r="AK343" s="122" t="str">
        <f t="array" ref="AK343">IF(ISNUMBER(AC343),INDEX('All Player Data Store'!$M$8:$M$594,SMALL(IF('All Player Data Store'!$Y$7:$Y$594=AC343,ROW('All Player Data Store'!$Y$7:$Y$594)-ROW('All Player Data Store'!$Y$7)+1),COUNTIF($AC$8:AC343,AC343))),"")</f>
        <v/>
      </c>
      <c r="AL343" s="122" t="str">
        <f t="shared" si="22"/>
        <v/>
      </c>
      <c r="AM343" s="122" t="str">
        <f t="array" ref="AM343">IF(ISNUMBER(AC343),INDEX('All Player Data Store'!$N$8:$N$594,SMALL(IF('All Player Data Store'!$Y$7:$Y$594=AC343,ROW('All Player Data Store'!$Y$7:$Y$594)-ROW('All Player Data Store'!$Y$7)+1),COUNTIF($AC$8:AC343,AC343))),"")</f>
        <v/>
      </c>
      <c r="AN343" s="122" t="str">
        <f t="shared" si="23"/>
        <v/>
      </c>
      <c r="AO343" s="122" t="str">
        <f t="array" ref="AO343">IF(ISNUMBER(AC343),INDEX('All Player Data Store'!$O$8:$O$594,SMALL(IF('All Player Data Store'!$Y$7:$Y$594=AC343,ROW('All Player Data Store'!$Y$7:$Y$594)-ROW('All Player Data Store'!$Y$7)+1),COUNTIF($AC$8:AC343,AC343))),"")</f>
        <v/>
      </c>
      <c r="AP343" s="122" t="str">
        <f t="shared" si="24"/>
        <v/>
      </c>
      <c r="AQ343" s="122" t="str">
        <f t="array" ref="AQ343">IF(ISNUMBER(AC343),INDEX('All Player Data Store'!$P$8:$P$594,SMALL(IF('All Player Data Store'!$Y$7:$Y$594=AC343,ROW('All Player Data Store'!$Y$7:$Y$594)-ROW('All Player Data Store'!$Y$7)+1),COUNTIF($AC$8:AC343,AC343))),"")</f>
        <v/>
      </c>
      <c r="AR343" s="122" t="str">
        <f t="shared" si="25"/>
        <v/>
      </c>
      <c r="AS343" s="122" t="str">
        <f t="array" ref="AS343">IF(ISNUMBER(AC343),INDEX('All Player Data Store'!$Q$8:$Q$594,SMALL(IF('All Player Data Store'!$Y$7:$Y$594=AC343,ROW('All Player Data Store'!$Y$7:$Y$594)-ROW('All Player Data Store'!$Y$7)+1),COUNTIF($AC$8:AC343,AC343))),"")</f>
        <v/>
      </c>
      <c r="AT343" s="122" t="str">
        <f t="shared" si="26"/>
        <v/>
      </c>
      <c r="AU343" s="122" t="str">
        <f t="array" ref="AU343">IF(ISNUMBER(AC343),INDEX('All Player Data Store'!$R$8:$R$594,SMALL(IF('All Player Data Store'!$Y$7:$Y$594=AC343,ROW('All Player Data Store'!$Y$7:$Y$594)-ROW('All Player Data Store'!$Y$7)+1),COUNTIF($AC$8:AC343,AC343))),"")</f>
        <v/>
      </c>
      <c r="AV343" s="122" t="str">
        <f t="shared" si="27"/>
        <v/>
      </c>
      <c r="AW343" s="122" t="str">
        <f t="array" ref="AW343">IF(ISNUMBER(AC343),INDEX('All Player Data Store'!$S$8:$S$594,SMALL(IF('All Player Data Store'!$Y$7:$Y$594=AC343,ROW('All Player Data Store'!$Y$7:$Y$594)-ROW('All Player Data Store'!$Y$7)+1),COUNTIF($AC$8:AC343,AC343))),"")</f>
        <v/>
      </c>
      <c r="AX343" s="122" t="str">
        <f t="shared" si="28"/>
        <v/>
      </c>
      <c r="AY343" s="122" t="str">
        <f t="array" ref="AY343">IF(ISNUMBER(AC343),INDEX('All Player Data Store'!$T$8:$T$594,SMALL(IF('All Player Data Store'!$Y$7:$Y$594=AC343,ROW('All Player Data Store'!$Y$7:$Y$594)-ROW('All Player Data Store'!$Y$7)+1),COUNTIF($AC$8:AC343,AC343))),"")</f>
        <v/>
      </c>
      <c r="AZ343" s="122" t="str">
        <f t="shared" si="29"/>
        <v/>
      </c>
      <c r="BA343" s="122" t="str">
        <f t="array" ref="BA343">IF(ISNUMBER(AC343),INDEX('All Player Data Store'!$U$8:$U$594,SMALL(IF('All Player Data Store'!$Y$7:$Y$594=AC343,ROW('All Player Data Store'!$Y$7:$Y$594)-ROW('All Player Data Store'!$Y$7)+1),COUNTIF($AC$8:AC343,AC343))),"")</f>
        <v/>
      </c>
      <c r="BB343" s="122" t="str">
        <f t="shared" si="30"/>
        <v/>
      </c>
      <c r="BC343" s="122" t="str">
        <f t="array" ref="BC343">IF(ISNUMBER(AC343),INDEX('All Player Data Store'!$V$8:$V$594,SMALL(IF('All Player Data Store'!$Y$7:$Y$594=AC343,ROW('All Player Data Store'!$Y$7:$Y$594)-ROW('All Player Data Store'!$Y$7)+1),COUNTIF($AC$8:AC343,AC343))),"")</f>
        <v/>
      </c>
      <c r="BD343" s="122" t="str">
        <f t="shared" si="31"/>
        <v/>
      </c>
      <c r="BE343" s="1"/>
    </row>
    <row r="344" spans="2:57" ht="12.75" customHeight="1" x14ac:dyDescent="0.2">
      <c r="C344" s="1"/>
      <c r="D344" s="2"/>
      <c r="E344" s="2"/>
      <c r="F344" s="7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79"/>
      <c r="AC344" s="79"/>
      <c r="AD344" s="80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1"/>
    </row>
    <row r="345" spans="2:57" ht="12" customHeight="1" x14ac:dyDescent="0.2">
      <c r="C345" s="1"/>
      <c r="D345" s="2"/>
      <c r="E345" s="2"/>
      <c r="F345" s="7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79"/>
      <c r="AC345" s="79"/>
      <c r="AD345" s="80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1"/>
    </row>
    <row r="346" spans="2:57" ht="12" customHeight="1" x14ac:dyDescent="0.2">
      <c r="C346" s="1"/>
      <c r="D346" s="2"/>
      <c r="E346" s="2"/>
      <c r="F346" s="7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79"/>
      <c r="AC346" s="79"/>
      <c r="AD346" s="80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1"/>
    </row>
    <row r="347" spans="2:57" ht="12" customHeight="1" x14ac:dyDescent="0.2">
      <c r="C347" s="1"/>
      <c r="D347" s="2"/>
      <c r="E347" s="2"/>
      <c r="F347" s="7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79"/>
      <c r="AC347" s="79"/>
      <c r="AD347" s="80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1"/>
    </row>
    <row r="348" spans="2:57" ht="12" customHeight="1" x14ac:dyDescent="0.2">
      <c r="C348" s="1"/>
      <c r="D348" s="2"/>
      <c r="E348" s="2"/>
      <c r="F348" s="7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79"/>
      <c r="AC348" s="79"/>
      <c r="AD348" s="80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1"/>
    </row>
    <row r="349" spans="2:57" ht="12" customHeight="1" x14ac:dyDescent="0.2">
      <c r="C349" s="1"/>
      <c r="D349" s="2"/>
      <c r="E349" s="2"/>
      <c r="F349" s="7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79"/>
      <c r="AC349" s="79"/>
      <c r="AD349" s="80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1"/>
    </row>
    <row r="350" spans="2:57" ht="12" customHeight="1" x14ac:dyDescent="0.2">
      <c r="C350" s="1"/>
      <c r="D350" s="2"/>
      <c r="E350" s="2"/>
      <c r="F350" s="7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79"/>
      <c r="AC350" s="79"/>
      <c r="AD350" s="80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1"/>
    </row>
    <row r="351" spans="2:57" ht="12" customHeight="1" x14ac:dyDescent="0.2">
      <c r="C351" s="1"/>
      <c r="D351" s="2"/>
      <c r="E351" s="2"/>
      <c r="F351" s="7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79"/>
      <c r="AC351" s="79"/>
      <c r="AD351" s="80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1"/>
    </row>
    <row r="352" spans="2:57" ht="12" customHeight="1" x14ac:dyDescent="0.2">
      <c r="C352" s="1"/>
      <c r="D352" s="2"/>
      <c r="E352" s="2"/>
      <c r="F352" s="7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79"/>
      <c r="AC352" s="79"/>
      <c r="AD352" s="80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1"/>
    </row>
    <row r="353" spans="3:57" ht="12" customHeight="1" x14ac:dyDescent="0.2">
      <c r="C353" s="1"/>
      <c r="D353" s="2"/>
      <c r="E353" s="2"/>
      <c r="F353" s="7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79"/>
      <c r="AC353" s="79"/>
      <c r="AD353" s="80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1"/>
    </row>
    <row r="354" spans="3:57" ht="12" customHeight="1" x14ac:dyDescent="0.2">
      <c r="C354" s="1"/>
      <c r="D354" s="2"/>
      <c r="E354" s="2"/>
      <c r="F354" s="7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79"/>
      <c r="AC354" s="79"/>
      <c r="AD354" s="80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1"/>
    </row>
    <row r="355" spans="3:57" ht="12" customHeight="1" x14ac:dyDescent="0.2">
      <c r="C355" s="1"/>
      <c r="D355" s="2"/>
      <c r="E355" s="2"/>
      <c r="F355" s="7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79"/>
      <c r="AC355" s="79"/>
      <c r="AD355" s="80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1"/>
    </row>
    <row r="356" spans="3:57" ht="12" customHeight="1" x14ac:dyDescent="0.2">
      <c r="C356" s="1"/>
      <c r="D356" s="2"/>
      <c r="E356" s="2"/>
      <c r="F356" s="7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79"/>
      <c r="AC356" s="79"/>
      <c r="AD356" s="80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1"/>
    </row>
    <row r="357" spans="3:57" ht="12" customHeight="1" x14ac:dyDescent="0.2">
      <c r="C357" s="1"/>
      <c r="D357" s="2"/>
      <c r="E357" s="2"/>
      <c r="F357" s="7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79"/>
      <c r="AC357" s="79"/>
      <c r="AD357" s="80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1"/>
    </row>
    <row r="358" spans="3:57" ht="12" customHeight="1" x14ac:dyDescent="0.2">
      <c r="C358" s="1"/>
      <c r="D358" s="2"/>
      <c r="E358" s="2"/>
      <c r="F358" s="7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79"/>
      <c r="AC358" s="79"/>
      <c r="AD358" s="80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1"/>
    </row>
    <row r="359" spans="3:57" ht="12" customHeight="1" x14ac:dyDescent="0.2">
      <c r="C359" s="1"/>
      <c r="D359" s="2"/>
      <c r="E359" s="2"/>
      <c r="F359" s="7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79"/>
      <c r="AC359" s="79"/>
      <c r="AD359" s="80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1"/>
    </row>
    <row r="360" spans="3:57" ht="12" customHeight="1" x14ac:dyDescent="0.2">
      <c r="C360" s="1"/>
      <c r="D360" s="2"/>
      <c r="E360" s="2"/>
      <c r="F360" s="7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79"/>
      <c r="AC360" s="79"/>
      <c r="AD360" s="80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1"/>
    </row>
    <row r="361" spans="3:57" ht="12" customHeight="1" x14ac:dyDescent="0.2">
      <c r="C361" s="1"/>
      <c r="D361" s="2"/>
      <c r="E361" s="2"/>
      <c r="F361" s="7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79"/>
      <c r="AC361" s="79"/>
      <c r="AD361" s="80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1"/>
    </row>
    <row r="362" spans="3:57" ht="12" customHeight="1" x14ac:dyDescent="0.2">
      <c r="C362" s="1"/>
      <c r="D362" s="2"/>
      <c r="E362" s="2"/>
      <c r="F362" s="7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79"/>
      <c r="AC362" s="79"/>
      <c r="AD362" s="80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1"/>
    </row>
    <row r="363" spans="3:57" ht="12" customHeight="1" x14ac:dyDescent="0.2">
      <c r="C363" s="1"/>
      <c r="D363" s="2"/>
      <c r="E363" s="2"/>
      <c r="F363" s="7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79"/>
      <c r="AC363" s="79"/>
      <c r="AD363" s="80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1"/>
    </row>
    <row r="364" spans="3:57" ht="12" customHeight="1" x14ac:dyDescent="0.2">
      <c r="C364" s="1"/>
      <c r="D364" s="2"/>
      <c r="E364" s="2"/>
      <c r="F364" s="7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79"/>
      <c r="AC364" s="79"/>
      <c r="AD364" s="80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1"/>
    </row>
    <row r="365" spans="3:57" ht="12" customHeight="1" x14ac:dyDescent="0.2">
      <c r="C365" s="1"/>
      <c r="D365" s="2"/>
      <c r="E365" s="2"/>
      <c r="F365" s="7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79"/>
      <c r="AC365" s="79"/>
      <c r="AD365" s="80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1"/>
    </row>
    <row r="366" spans="3:57" ht="12" customHeight="1" x14ac:dyDescent="0.2">
      <c r="C366" s="1"/>
      <c r="D366" s="2"/>
      <c r="E366" s="2"/>
      <c r="F366" s="7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79"/>
      <c r="AC366" s="79"/>
      <c r="AD366" s="80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1"/>
    </row>
    <row r="367" spans="3:57" ht="12" customHeight="1" x14ac:dyDescent="0.2">
      <c r="C367" s="1"/>
      <c r="D367" s="2"/>
      <c r="E367" s="2"/>
      <c r="F367" s="7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79"/>
      <c r="AC367" s="79"/>
      <c r="AD367" s="80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1"/>
    </row>
    <row r="368" spans="3:57" ht="12" customHeight="1" x14ac:dyDescent="0.2">
      <c r="C368" s="1"/>
      <c r="D368" s="2"/>
      <c r="E368" s="2"/>
      <c r="F368" s="7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79"/>
      <c r="AC368" s="79"/>
      <c r="AD368" s="80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1"/>
    </row>
    <row r="369" spans="3:57" ht="12" customHeight="1" x14ac:dyDescent="0.2">
      <c r="C369" s="1"/>
      <c r="D369" s="2"/>
      <c r="E369" s="2"/>
      <c r="F369" s="7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79"/>
      <c r="AC369" s="79"/>
      <c r="AD369" s="80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1"/>
    </row>
    <row r="370" spans="3:57" ht="12" customHeight="1" x14ac:dyDescent="0.2">
      <c r="C370" s="1"/>
      <c r="D370" s="2"/>
      <c r="E370" s="2"/>
      <c r="F370" s="7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79"/>
      <c r="AC370" s="79"/>
      <c r="AD370" s="80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1"/>
    </row>
    <row r="371" spans="3:57" ht="12" customHeight="1" x14ac:dyDescent="0.2">
      <c r="C371" s="1"/>
      <c r="D371" s="2"/>
      <c r="E371" s="2"/>
      <c r="F371" s="7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79"/>
      <c r="AC371" s="79"/>
      <c r="AD371" s="80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1"/>
    </row>
    <row r="372" spans="3:57" ht="12" customHeight="1" x14ac:dyDescent="0.2">
      <c r="C372" s="1"/>
      <c r="D372" s="2"/>
      <c r="E372" s="2"/>
      <c r="F372" s="7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79"/>
      <c r="AC372" s="79"/>
      <c r="AD372" s="80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1"/>
    </row>
    <row r="373" spans="3:57" ht="12" customHeight="1" x14ac:dyDescent="0.2">
      <c r="C373" s="1"/>
      <c r="D373" s="2"/>
      <c r="E373" s="2"/>
      <c r="F373" s="7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79"/>
      <c r="AC373" s="79"/>
      <c r="AD373" s="80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1"/>
    </row>
    <row r="374" spans="3:57" ht="12" customHeight="1" x14ac:dyDescent="0.2">
      <c r="C374" s="1"/>
      <c r="D374" s="2"/>
      <c r="E374" s="2"/>
      <c r="F374" s="7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79"/>
      <c r="AC374" s="79"/>
      <c r="AD374" s="80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1"/>
    </row>
    <row r="375" spans="3:57" ht="12" customHeight="1" x14ac:dyDescent="0.2">
      <c r="C375" s="1"/>
      <c r="D375" s="2"/>
      <c r="E375" s="2"/>
      <c r="F375" s="7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79"/>
      <c r="AC375" s="79"/>
      <c r="AD375" s="80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1"/>
    </row>
    <row r="376" spans="3:57" ht="12" customHeight="1" x14ac:dyDescent="0.2">
      <c r="C376" s="1"/>
      <c r="D376" s="2"/>
      <c r="E376" s="2"/>
      <c r="F376" s="7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79"/>
      <c r="AC376" s="79"/>
      <c r="AD376" s="80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1"/>
    </row>
    <row r="377" spans="3:57" ht="12" customHeight="1" x14ac:dyDescent="0.2">
      <c r="C377" s="1"/>
      <c r="D377" s="2"/>
      <c r="E377" s="2"/>
      <c r="F377" s="7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79"/>
      <c r="AC377" s="79"/>
      <c r="AD377" s="80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1"/>
    </row>
    <row r="378" spans="3:57" ht="12" customHeight="1" x14ac:dyDescent="0.2">
      <c r="C378" s="1"/>
      <c r="D378" s="2"/>
      <c r="E378" s="2"/>
      <c r="F378" s="7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79"/>
      <c r="AC378" s="79"/>
      <c r="AD378" s="80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1"/>
    </row>
    <row r="379" spans="3:57" ht="12" customHeight="1" x14ac:dyDescent="0.2">
      <c r="C379" s="1"/>
      <c r="D379" s="2"/>
      <c r="E379" s="2"/>
      <c r="F379" s="7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79"/>
      <c r="AC379" s="79"/>
      <c r="AD379" s="80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1"/>
    </row>
    <row r="380" spans="3:57" ht="12" customHeight="1" x14ac:dyDescent="0.2">
      <c r="C380" s="1"/>
      <c r="D380" s="2"/>
      <c r="E380" s="2"/>
      <c r="F380" s="7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79"/>
      <c r="AC380" s="79"/>
      <c r="AD380" s="80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1"/>
    </row>
    <row r="381" spans="3:57" ht="12" customHeight="1" x14ac:dyDescent="0.2">
      <c r="C381" s="1"/>
      <c r="D381" s="2"/>
      <c r="E381" s="2"/>
      <c r="F381" s="7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79"/>
      <c r="AC381" s="79"/>
      <c r="AD381" s="80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1"/>
    </row>
    <row r="382" spans="3:57" ht="12" customHeight="1" x14ac:dyDescent="0.2">
      <c r="C382" s="1"/>
      <c r="D382" s="2"/>
      <c r="E382" s="2"/>
      <c r="F382" s="7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79"/>
      <c r="AC382" s="79"/>
      <c r="AD382" s="80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1"/>
    </row>
    <row r="383" spans="3:57" ht="12" customHeight="1" x14ac:dyDescent="0.2">
      <c r="C383" s="1"/>
      <c r="D383" s="2"/>
      <c r="E383" s="2"/>
      <c r="F383" s="7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79"/>
      <c r="AC383" s="79"/>
      <c r="AD383" s="80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1"/>
    </row>
    <row r="384" spans="3:57" ht="12" customHeight="1" x14ac:dyDescent="0.2">
      <c r="C384" s="1"/>
      <c r="D384" s="2"/>
      <c r="E384" s="2"/>
      <c r="F384" s="7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79"/>
      <c r="AC384" s="79"/>
      <c r="AD384" s="80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1"/>
    </row>
    <row r="385" spans="3:57" ht="12" customHeight="1" x14ac:dyDescent="0.2">
      <c r="C385" s="1"/>
      <c r="D385" s="2"/>
      <c r="E385" s="2"/>
      <c r="F385" s="7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79"/>
      <c r="AC385" s="79"/>
      <c r="AD385" s="80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1"/>
    </row>
    <row r="386" spans="3:57" ht="12" customHeight="1" x14ac:dyDescent="0.2">
      <c r="C386" s="1"/>
      <c r="D386" s="2"/>
      <c r="E386" s="2"/>
      <c r="F386" s="7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79"/>
      <c r="AC386" s="79"/>
      <c r="AD386" s="80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1"/>
    </row>
    <row r="387" spans="3:57" ht="12" customHeight="1" x14ac:dyDescent="0.2">
      <c r="C387" s="1"/>
      <c r="D387" s="2"/>
      <c r="E387" s="2"/>
      <c r="F387" s="7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79"/>
      <c r="AC387" s="79"/>
      <c r="AD387" s="80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1"/>
    </row>
    <row r="388" spans="3:57" ht="12" customHeight="1" x14ac:dyDescent="0.2">
      <c r="C388" s="1"/>
      <c r="D388" s="2"/>
      <c r="E388" s="2"/>
      <c r="F388" s="7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79"/>
      <c r="AC388" s="79"/>
      <c r="AD388" s="80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1"/>
    </row>
    <row r="389" spans="3:57" ht="12" customHeight="1" x14ac:dyDescent="0.2">
      <c r="C389" s="1"/>
      <c r="D389" s="2"/>
      <c r="E389" s="2"/>
      <c r="F389" s="7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79"/>
      <c r="AC389" s="79"/>
      <c r="AD389" s="80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1"/>
    </row>
    <row r="390" spans="3:57" ht="12" customHeight="1" x14ac:dyDescent="0.2">
      <c r="C390" s="1"/>
      <c r="D390" s="2"/>
      <c r="E390" s="2"/>
      <c r="F390" s="7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79"/>
      <c r="AC390" s="79"/>
      <c r="AD390" s="80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1"/>
    </row>
    <row r="391" spans="3:57" ht="12" customHeight="1" x14ac:dyDescent="0.2">
      <c r="C391" s="1"/>
      <c r="D391" s="2"/>
      <c r="E391" s="2"/>
      <c r="F391" s="7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79"/>
      <c r="AC391" s="79"/>
      <c r="AD391" s="80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1"/>
    </row>
    <row r="392" spans="3:57" ht="12" customHeight="1" x14ac:dyDescent="0.2">
      <c r="C392" s="1"/>
      <c r="D392" s="2"/>
      <c r="E392" s="2"/>
      <c r="F392" s="7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79"/>
      <c r="AC392" s="79"/>
      <c r="AD392" s="80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1"/>
    </row>
    <row r="393" spans="3:57" ht="12" customHeight="1" x14ac:dyDescent="0.2">
      <c r="C393" s="1"/>
      <c r="D393" s="2"/>
      <c r="E393" s="2"/>
      <c r="F393" s="7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79"/>
      <c r="AC393" s="79"/>
      <c r="AD393" s="80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1"/>
    </row>
    <row r="394" spans="3:57" ht="12" customHeight="1" x14ac:dyDescent="0.2">
      <c r="C394" s="1"/>
      <c r="D394" s="2"/>
      <c r="E394" s="2"/>
      <c r="F394" s="7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79"/>
      <c r="AC394" s="79"/>
      <c r="AD394" s="80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1"/>
    </row>
    <row r="395" spans="3:57" ht="12" customHeight="1" x14ac:dyDescent="0.2">
      <c r="C395" s="1"/>
      <c r="D395" s="2"/>
      <c r="E395" s="2"/>
      <c r="F395" s="7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79"/>
      <c r="AC395" s="79"/>
      <c r="AD395" s="80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1"/>
    </row>
    <row r="396" spans="3:57" ht="12" customHeight="1" x14ac:dyDescent="0.2">
      <c r="C396" s="1"/>
      <c r="D396" s="2"/>
      <c r="E396" s="2"/>
      <c r="F396" s="7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79"/>
      <c r="AC396" s="79"/>
      <c r="AD396" s="80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1"/>
    </row>
    <row r="397" spans="3:57" ht="12" customHeight="1" x14ac:dyDescent="0.2">
      <c r="C397" s="1"/>
      <c r="D397" s="2"/>
      <c r="E397" s="2"/>
      <c r="F397" s="7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79"/>
      <c r="AC397" s="79"/>
      <c r="AD397" s="80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1"/>
    </row>
    <row r="398" spans="3:57" ht="12" customHeight="1" x14ac:dyDescent="0.2">
      <c r="C398" s="1"/>
      <c r="D398" s="2"/>
      <c r="E398" s="2"/>
      <c r="F398" s="7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79"/>
      <c r="AC398" s="79"/>
      <c r="AD398" s="80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1"/>
    </row>
    <row r="399" spans="3:57" ht="12" customHeight="1" x14ac:dyDescent="0.2">
      <c r="C399" s="1"/>
      <c r="D399" s="2"/>
      <c r="E399" s="2"/>
      <c r="F399" s="7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79"/>
      <c r="AC399" s="79"/>
      <c r="AD399" s="80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1"/>
    </row>
    <row r="400" spans="3:57" ht="12" customHeight="1" x14ac:dyDescent="0.2">
      <c r="C400" s="1"/>
      <c r="D400" s="2"/>
      <c r="E400" s="2"/>
      <c r="F400" s="7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79"/>
      <c r="AC400" s="79"/>
      <c r="AD400" s="80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1"/>
    </row>
    <row r="401" spans="3:57" ht="12" customHeight="1" x14ac:dyDescent="0.2">
      <c r="C401" s="1"/>
      <c r="D401" s="2"/>
      <c r="E401" s="2"/>
      <c r="F401" s="7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79"/>
      <c r="AC401" s="79"/>
      <c r="AD401" s="80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1"/>
    </row>
    <row r="402" spans="3:57" ht="12" customHeight="1" x14ac:dyDescent="0.2">
      <c r="C402" s="1"/>
      <c r="D402" s="2"/>
      <c r="E402" s="2"/>
      <c r="F402" s="7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79"/>
      <c r="AC402" s="79"/>
      <c r="AD402" s="80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1"/>
    </row>
    <row r="403" spans="3:57" ht="12" customHeight="1" x14ac:dyDescent="0.2">
      <c r="C403" s="1"/>
      <c r="D403" s="2"/>
      <c r="E403" s="2"/>
      <c r="F403" s="7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79"/>
      <c r="AC403" s="79"/>
      <c r="AD403" s="80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1"/>
    </row>
    <row r="404" spans="3:57" ht="12" customHeight="1" x14ac:dyDescent="0.2">
      <c r="C404" s="1"/>
      <c r="D404" s="2"/>
      <c r="E404" s="2"/>
      <c r="F404" s="7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79"/>
      <c r="AC404" s="79"/>
      <c r="AD404" s="80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1"/>
    </row>
    <row r="405" spans="3:57" ht="12" customHeight="1" x14ac:dyDescent="0.2">
      <c r="C405" s="1"/>
      <c r="D405" s="2"/>
      <c r="E405" s="2"/>
      <c r="F405" s="7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79"/>
      <c r="AC405" s="79"/>
      <c r="AD405" s="80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1"/>
    </row>
    <row r="406" spans="3:57" ht="12" customHeight="1" x14ac:dyDescent="0.2">
      <c r="C406" s="1"/>
      <c r="D406" s="2"/>
      <c r="E406" s="2"/>
      <c r="F406" s="7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79"/>
      <c r="AC406" s="79"/>
      <c r="AD406" s="80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1"/>
    </row>
    <row r="407" spans="3:57" ht="12" customHeight="1" x14ac:dyDescent="0.2">
      <c r="C407" s="1"/>
      <c r="D407" s="2"/>
      <c r="E407" s="2"/>
      <c r="F407" s="7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79"/>
      <c r="AC407" s="79"/>
      <c r="AD407" s="80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1"/>
    </row>
    <row r="408" spans="3:57" ht="12" customHeight="1" x14ac:dyDescent="0.2">
      <c r="C408" s="1"/>
      <c r="D408" s="2"/>
      <c r="E408" s="2"/>
      <c r="F408" s="7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79"/>
      <c r="AC408" s="79"/>
      <c r="AD408" s="80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1"/>
    </row>
    <row r="409" spans="3:57" ht="12" customHeight="1" x14ac:dyDescent="0.2">
      <c r="C409" s="1"/>
      <c r="D409" s="2"/>
      <c r="E409" s="2"/>
      <c r="F409" s="7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79"/>
      <c r="AC409" s="79"/>
      <c r="AD409" s="80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1"/>
    </row>
    <row r="410" spans="3:57" ht="12" customHeight="1" x14ac:dyDescent="0.2">
      <c r="C410" s="1"/>
      <c r="D410" s="2"/>
      <c r="E410" s="2"/>
      <c r="F410" s="7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79"/>
      <c r="AC410" s="79"/>
      <c r="AD410" s="80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1"/>
    </row>
    <row r="411" spans="3:57" ht="12" customHeight="1" x14ac:dyDescent="0.2">
      <c r="C411" s="1"/>
      <c r="D411" s="2"/>
      <c r="E411" s="2"/>
      <c r="F411" s="7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79"/>
      <c r="AC411" s="79"/>
      <c r="AD411" s="80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1"/>
    </row>
    <row r="412" spans="3:57" ht="12" customHeight="1" x14ac:dyDescent="0.2">
      <c r="C412" s="1"/>
      <c r="D412" s="2"/>
      <c r="E412" s="2"/>
      <c r="F412" s="7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79"/>
      <c r="AC412" s="79"/>
      <c r="AD412" s="80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1"/>
    </row>
    <row r="413" spans="3:57" ht="12" customHeight="1" x14ac:dyDescent="0.2">
      <c r="C413" s="1"/>
      <c r="D413" s="2"/>
      <c r="E413" s="2"/>
      <c r="F413" s="7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79"/>
      <c r="AC413" s="79"/>
      <c r="AD413" s="80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1"/>
    </row>
    <row r="414" spans="3:57" ht="12" customHeight="1" x14ac:dyDescent="0.2">
      <c r="C414" s="1"/>
      <c r="D414" s="2"/>
      <c r="E414" s="2"/>
      <c r="F414" s="7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79"/>
      <c r="AC414" s="79"/>
      <c r="AD414" s="80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1"/>
    </row>
    <row r="415" spans="3:57" ht="12" customHeight="1" x14ac:dyDescent="0.2">
      <c r="C415" s="1"/>
      <c r="D415" s="2"/>
      <c r="E415" s="2"/>
      <c r="F415" s="7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79"/>
      <c r="AC415" s="79"/>
      <c r="AD415" s="80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1"/>
    </row>
    <row r="416" spans="3:57" ht="12" customHeight="1" x14ac:dyDescent="0.2">
      <c r="C416" s="1"/>
      <c r="D416" s="2"/>
      <c r="E416" s="2"/>
      <c r="F416" s="7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79"/>
      <c r="AC416" s="79"/>
      <c r="AD416" s="80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1"/>
    </row>
    <row r="417" spans="3:57" ht="12" customHeight="1" x14ac:dyDescent="0.2">
      <c r="C417" s="1"/>
      <c r="D417" s="2"/>
      <c r="E417" s="2"/>
      <c r="F417" s="7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79"/>
      <c r="AC417" s="79"/>
      <c r="AD417" s="80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1"/>
    </row>
    <row r="418" spans="3:57" ht="12" customHeight="1" x14ac:dyDescent="0.2">
      <c r="C418" s="1"/>
      <c r="D418" s="2"/>
      <c r="E418" s="2"/>
      <c r="F418" s="7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79"/>
      <c r="AC418" s="79"/>
      <c r="AD418" s="80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1"/>
    </row>
    <row r="419" spans="3:57" ht="12" customHeight="1" x14ac:dyDescent="0.2">
      <c r="C419" s="1"/>
      <c r="D419" s="2"/>
      <c r="E419" s="2"/>
      <c r="F419" s="7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79"/>
      <c r="AC419" s="79"/>
      <c r="AD419" s="80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1"/>
    </row>
    <row r="420" spans="3:57" ht="12" customHeight="1" x14ac:dyDescent="0.2">
      <c r="C420" s="1"/>
      <c r="D420" s="2"/>
      <c r="E420" s="2"/>
      <c r="F420" s="7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79"/>
      <c r="AC420" s="79"/>
      <c r="AD420" s="80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1"/>
    </row>
    <row r="421" spans="3:57" ht="12" customHeight="1" x14ac:dyDescent="0.2">
      <c r="C421" s="1"/>
      <c r="D421" s="2"/>
      <c r="E421" s="2"/>
      <c r="F421" s="7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79"/>
      <c r="AC421" s="79"/>
      <c r="AD421" s="80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1"/>
    </row>
    <row r="422" spans="3:57" ht="12" customHeight="1" x14ac:dyDescent="0.2">
      <c r="C422" s="1"/>
      <c r="D422" s="2"/>
      <c r="E422" s="2"/>
      <c r="F422" s="7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79"/>
      <c r="AC422" s="79"/>
      <c r="AD422" s="80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1"/>
    </row>
    <row r="423" spans="3:57" ht="12" customHeight="1" x14ac:dyDescent="0.2">
      <c r="C423" s="1"/>
      <c r="D423" s="2"/>
      <c r="E423" s="2"/>
      <c r="F423" s="7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79"/>
      <c r="AC423" s="79"/>
      <c r="AD423" s="80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1"/>
    </row>
    <row r="424" spans="3:57" ht="12" customHeight="1" x14ac:dyDescent="0.2">
      <c r="C424" s="1"/>
      <c r="D424" s="2"/>
      <c r="E424" s="2"/>
      <c r="F424" s="7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79"/>
      <c r="AC424" s="79"/>
      <c r="AD424" s="80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1"/>
    </row>
    <row r="425" spans="3:57" ht="12" customHeight="1" x14ac:dyDescent="0.2">
      <c r="C425" s="1"/>
      <c r="D425" s="2"/>
      <c r="E425" s="2"/>
      <c r="F425" s="7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79"/>
      <c r="AC425" s="79"/>
      <c r="AD425" s="80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1"/>
    </row>
    <row r="426" spans="3:57" ht="12" customHeight="1" x14ac:dyDescent="0.2">
      <c r="C426" s="1"/>
      <c r="D426" s="2"/>
      <c r="E426" s="2"/>
      <c r="F426" s="7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79"/>
      <c r="AC426" s="79"/>
      <c r="AD426" s="80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1"/>
    </row>
    <row r="427" spans="3:57" ht="12" customHeight="1" x14ac:dyDescent="0.2">
      <c r="C427" s="1"/>
      <c r="D427" s="2"/>
      <c r="E427" s="2"/>
      <c r="F427" s="7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79"/>
      <c r="AC427" s="79"/>
      <c r="AD427" s="80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1"/>
    </row>
    <row r="428" spans="3:57" ht="12" customHeight="1" x14ac:dyDescent="0.2">
      <c r="C428" s="1"/>
      <c r="D428" s="2"/>
      <c r="E428" s="2"/>
      <c r="F428" s="7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79"/>
      <c r="AC428" s="79"/>
      <c r="AD428" s="80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1"/>
    </row>
    <row r="429" spans="3:57" ht="12" customHeight="1" x14ac:dyDescent="0.2">
      <c r="C429" s="1"/>
      <c r="D429" s="2"/>
      <c r="E429" s="2"/>
      <c r="F429" s="7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79"/>
      <c r="AC429" s="79"/>
      <c r="AD429" s="80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1"/>
    </row>
    <row r="430" spans="3:57" ht="12" customHeight="1" x14ac:dyDescent="0.2">
      <c r="C430" s="1"/>
      <c r="D430" s="2"/>
      <c r="E430" s="2"/>
      <c r="F430" s="7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79"/>
      <c r="AC430" s="79"/>
      <c r="AD430" s="80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1"/>
    </row>
    <row r="431" spans="3:57" ht="12" customHeight="1" x14ac:dyDescent="0.2">
      <c r="C431" s="1"/>
      <c r="D431" s="2"/>
      <c r="E431" s="2"/>
      <c r="F431" s="7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79"/>
      <c r="AC431" s="79"/>
      <c r="AD431" s="80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1"/>
    </row>
    <row r="432" spans="3:57" ht="12" customHeight="1" x14ac:dyDescent="0.2">
      <c r="C432" s="1"/>
      <c r="D432" s="2"/>
      <c r="E432" s="2"/>
      <c r="F432" s="7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79"/>
      <c r="AC432" s="79"/>
      <c r="AD432" s="80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1"/>
    </row>
    <row r="433" spans="3:57" ht="12" customHeight="1" x14ac:dyDescent="0.2">
      <c r="C433" s="1"/>
      <c r="D433" s="2"/>
      <c r="E433" s="2"/>
      <c r="F433" s="7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79"/>
      <c r="AC433" s="79"/>
      <c r="AD433" s="80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1"/>
    </row>
    <row r="434" spans="3:57" ht="12" customHeight="1" x14ac:dyDescent="0.2">
      <c r="C434" s="1"/>
      <c r="D434" s="2"/>
      <c r="E434" s="2"/>
      <c r="F434" s="7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79"/>
      <c r="AC434" s="79"/>
      <c r="AD434" s="80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1"/>
    </row>
    <row r="435" spans="3:57" ht="12" customHeight="1" x14ac:dyDescent="0.2">
      <c r="C435" s="1"/>
      <c r="D435" s="2"/>
      <c r="E435" s="2"/>
      <c r="F435" s="7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79"/>
      <c r="AC435" s="79"/>
      <c r="AD435" s="80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1"/>
    </row>
    <row r="436" spans="3:57" ht="12" customHeight="1" x14ac:dyDescent="0.2">
      <c r="C436" s="1"/>
      <c r="D436" s="2"/>
      <c r="E436" s="2"/>
      <c r="F436" s="7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79"/>
      <c r="AC436" s="79"/>
      <c r="AD436" s="80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1"/>
    </row>
    <row r="437" spans="3:57" ht="12" customHeight="1" x14ac:dyDescent="0.2">
      <c r="C437" s="1"/>
      <c r="D437" s="2"/>
      <c r="E437" s="2"/>
      <c r="F437" s="7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79"/>
      <c r="AC437" s="79"/>
      <c r="AD437" s="80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1"/>
    </row>
    <row r="438" spans="3:57" ht="12" customHeight="1" x14ac:dyDescent="0.2">
      <c r="C438" s="1"/>
      <c r="D438" s="2"/>
      <c r="E438" s="2"/>
      <c r="F438" s="7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79"/>
      <c r="AC438" s="79"/>
      <c r="AD438" s="80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1"/>
    </row>
    <row r="439" spans="3:57" ht="12" customHeight="1" x14ac:dyDescent="0.2">
      <c r="C439" s="1"/>
      <c r="D439" s="2"/>
      <c r="E439" s="2"/>
      <c r="F439" s="7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79"/>
      <c r="AC439" s="79"/>
      <c r="AD439" s="80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1"/>
    </row>
    <row r="440" spans="3:57" ht="12" customHeight="1" x14ac:dyDescent="0.2">
      <c r="C440" s="1"/>
      <c r="D440" s="2"/>
      <c r="E440" s="2"/>
      <c r="F440" s="7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79"/>
      <c r="AC440" s="79"/>
      <c r="AD440" s="80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1"/>
    </row>
    <row r="441" spans="3:57" ht="12" customHeight="1" x14ac:dyDescent="0.2">
      <c r="C441" s="1"/>
      <c r="D441" s="2"/>
      <c r="E441" s="2"/>
      <c r="F441" s="7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79"/>
      <c r="AC441" s="79"/>
      <c r="AD441" s="80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1"/>
    </row>
    <row r="442" spans="3:57" ht="12" customHeight="1" x14ac:dyDescent="0.2">
      <c r="C442" s="1"/>
      <c r="D442" s="2"/>
      <c r="E442" s="2"/>
      <c r="F442" s="7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79"/>
      <c r="AC442" s="79"/>
      <c r="AD442" s="80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1"/>
    </row>
    <row r="443" spans="3:57" ht="12" customHeight="1" x14ac:dyDescent="0.2">
      <c r="C443" s="1"/>
      <c r="D443" s="2"/>
      <c r="E443" s="2"/>
      <c r="F443" s="7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79"/>
      <c r="AC443" s="79"/>
      <c r="AD443" s="80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1"/>
    </row>
    <row r="444" spans="3:57" ht="12" customHeight="1" x14ac:dyDescent="0.2">
      <c r="C444" s="1"/>
      <c r="D444" s="2"/>
      <c r="E444" s="2"/>
      <c r="F444" s="7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79"/>
      <c r="AC444" s="79"/>
      <c r="AD444" s="80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1"/>
    </row>
    <row r="445" spans="3:57" ht="12" customHeight="1" x14ac:dyDescent="0.2">
      <c r="C445" s="1"/>
      <c r="D445" s="2"/>
      <c r="E445" s="2"/>
      <c r="F445" s="7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79"/>
      <c r="AC445" s="79"/>
      <c r="AD445" s="80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1"/>
    </row>
    <row r="446" spans="3:57" ht="12" customHeight="1" x14ac:dyDescent="0.2">
      <c r="C446" s="1"/>
      <c r="D446" s="2"/>
      <c r="E446" s="2"/>
      <c r="F446" s="7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79"/>
      <c r="AC446" s="79"/>
      <c r="AD446" s="80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1"/>
    </row>
    <row r="447" spans="3:57" ht="12" customHeight="1" x14ac:dyDescent="0.2">
      <c r="C447" s="1"/>
      <c r="D447" s="2"/>
      <c r="E447" s="2"/>
      <c r="F447" s="7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79"/>
      <c r="AC447" s="79"/>
      <c r="AD447" s="80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1"/>
    </row>
    <row r="448" spans="3:57" ht="12" customHeight="1" x14ac:dyDescent="0.2">
      <c r="C448" s="1"/>
      <c r="D448" s="2"/>
      <c r="E448" s="2"/>
      <c r="F448" s="7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79"/>
      <c r="AC448" s="79"/>
      <c r="AD448" s="80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1"/>
    </row>
    <row r="449" spans="3:57" ht="12" customHeight="1" x14ac:dyDescent="0.2">
      <c r="C449" s="1"/>
      <c r="D449" s="2"/>
      <c r="E449" s="2"/>
      <c r="F449" s="7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79"/>
      <c r="AC449" s="79"/>
      <c r="AD449" s="80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1"/>
    </row>
    <row r="450" spans="3:57" ht="12" customHeight="1" x14ac:dyDescent="0.2">
      <c r="C450" s="1"/>
      <c r="D450" s="2"/>
      <c r="E450" s="2"/>
      <c r="F450" s="7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79"/>
      <c r="AC450" s="79"/>
      <c r="AD450" s="80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1"/>
    </row>
    <row r="451" spans="3:57" ht="12" customHeight="1" x14ac:dyDescent="0.2">
      <c r="C451" s="1"/>
      <c r="D451" s="2"/>
      <c r="E451" s="2"/>
      <c r="F451" s="7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79"/>
      <c r="AC451" s="79"/>
      <c r="AD451" s="80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1"/>
    </row>
    <row r="452" spans="3:57" ht="12" customHeight="1" x14ac:dyDescent="0.2">
      <c r="C452" s="1"/>
      <c r="D452" s="2"/>
      <c r="E452" s="2"/>
      <c r="F452" s="7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79"/>
      <c r="AC452" s="79"/>
      <c r="AD452" s="80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1"/>
    </row>
    <row r="453" spans="3:57" ht="12" customHeight="1" x14ac:dyDescent="0.2">
      <c r="C453" s="1"/>
      <c r="D453" s="2"/>
      <c r="E453" s="2"/>
      <c r="F453" s="7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79"/>
      <c r="AC453" s="79"/>
      <c r="AD453" s="80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1"/>
    </row>
    <row r="454" spans="3:57" ht="12" customHeight="1" x14ac:dyDescent="0.2">
      <c r="C454" s="1"/>
      <c r="D454" s="2"/>
      <c r="E454" s="2"/>
      <c r="F454" s="7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79"/>
      <c r="AC454" s="79"/>
      <c r="AD454" s="80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1"/>
    </row>
    <row r="455" spans="3:57" ht="12" customHeight="1" x14ac:dyDescent="0.2">
      <c r="C455" s="1"/>
      <c r="D455" s="2"/>
      <c r="E455" s="2"/>
      <c r="F455" s="7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79"/>
      <c r="AC455" s="79"/>
      <c r="AD455" s="80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1"/>
    </row>
    <row r="456" spans="3:57" ht="12" customHeight="1" x14ac:dyDescent="0.2">
      <c r="C456" s="1"/>
      <c r="D456" s="2"/>
      <c r="E456" s="2"/>
      <c r="F456" s="7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79"/>
      <c r="AC456" s="79"/>
      <c r="AD456" s="80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1"/>
    </row>
    <row r="457" spans="3:57" ht="12" customHeight="1" x14ac:dyDescent="0.2">
      <c r="C457" s="1"/>
      <c r="D457" s="2"/>
      <c r="E457" s="2"/>
      <c r="F457" s="7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79"/>
      <c r="AC457" s="79"/>
      <c r="AD457" s="80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1"/>
    </row>
    <row r="458" spans="3:57" ht="12" customHeight="1" x14ac:dyDescent="0.2">
      <c r="C458" s="1"/>
      <c r="D458" s="2"/>
      <c r="E458" s="2"/>
      <c r="F458" s="7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79"/>
      <c r="AC458" s="79"/>
      <c r="AD458" s="80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1"/>
    </row>
    <row r="459" spans="3:57" ht="12" customHeight="1" x14ac:dyDescent="0.2">
      <c r="C459" s="1"/>
      <c r="D459" s="2"/>
      <c r="E459" s="2"/>
      <c r="F459" s="7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79"/>
      <c r="AC459" s="79"/>
      <c r="AD459" s="80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1"/>
    </row>
    <row r="460" spans="3:57" ht="12" customHeight="1" x14ac:dyDescent="0.2">
      <c r="C460" s="1"/>
      <c r="D460" s="2"/>
      <c r="E460" s="2"/>
      <c r="F460" s="7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79"/>
      <c r="AC460" s="79"/>
      <c r="AD460" s="80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1"/>
    </row>
    <row r="461" spans="3:57" ht="12" customHeight="1" x14ac:dyDescent="0.2">
      <c r="C461" s="1"/>
      <c r="D461" s="2"/>
      <c r="E461" s="2"/>
      <c r="F461" s="7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79"/>
      <c r="AC461" s="79"/>
      <c r="AD461" s="80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1"/>
    </row>
    <row r="462" spans="3:57" ht="12" customHeight="1" x14ac:dyDescent="0.2">
      <c r="C462" s="1"/>
      <c r="D462" s="2"/>
      <c r="E462" s="2"/>
      <c r="F462" s="7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79"/>
      <c r="AC462" s="79"/>
      <c r="AD462" s="80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1"/>
    </row>
    <row r="463" spans="3:57" ht="12" customHeight="1" x14ac:dyDescent="0.2">
      <c r="C463" s="1"/>
      <c r="D463" s="2"/>
      <c r="E463" s="2"/>
      <c r="F463" s="7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79"/>
      <c r="AC463" s="79"/>
      <c r="AD463" s="80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1"/>
    </row>
    <row r="464" spans="3:57" ht="12" customHeight="1" x14ac:dyDescent="0.2">
      <c r="C464" s="1"/>
      <c r="D464" s="2"/>
      <c r="E464" s="2"/>
      <c r="F464" s="7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79"/>
      <c r="AC464" s="79"/>
      <c r="AD464" s="80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1"/>
    </row>
    <row r="465" spans="3:57" ht="12" customHeight="1" x14ac:dyDescent="0.2">
      <c r="C465" s="1"/>
      <c r="D465" s="2"/>
      <c r="E465" s="2"/>
      <c r="F465" s="7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79"/>
      <c r="AC465" s="79"/>
      <c r="AD465" s="80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1"/>
    </row>
    <row r="466" spans="3:57" ht="12" customHeight="1" x14ac:dyDescent="0.2">
      <c r="C466" s="1"/>
      <c r="D466" s="2"/>
      <c r="E466" s="2"/>
      <c r="F466" s="7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79"/>
      <c r="AC466" s="79"/>
      <c r="AD466" s="80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1"/>
    </row>
    <row r="467" spans="3:57" ht="12" customHeight="1" x14ac:dyDescent="0.2">
      <c r="C467" s="1"/>
      <c r="D467" s="2"/>
      <c r="E467" s="2"/>
      <c r="F467" s="7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79"/>
      <c r="AC467" s="79"/>
      <c r="AD467" s="80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1"/>
    </row>
    <row r="468" spans="3:57" ht="12" customHeight="1" x14ac:dyDescent="0.2">
      <c r="C468" s="1"/>
      <c r="D468" s="2"/>
      <c r="E468" s="2"/>
      <c r="F468" s="7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79"/>
      <c r="AC468" s="79"/>
      <c r="AD468" s="80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1"/>
    </row>
    <row r="469" spans="3:57" ht="12" customHeight="1" x14ac:dyDescent="0.2">
      <c r="C469" s="1"/>
      <c r="D469" s="2"/>
      <c r="E469" s="2"/>
      <c r="F469" s="7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79"/>
      <c r="AC469" s="79"/>
      <c r="AD469" s="80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1"/>
    </row>
    <row r="470" spans="3:57" ht="12" customHeight="1" x14ac:dyDescent="0.2">
      <c r="C470" s="1"/>
      <c r="D470" s="2"/>
      <c r="E470" s="2"/>
      <c r="F470" s="7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79"/>
      <c r="AC470" s="79"/>
      <c r="AD470" s="80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1"/>
    </row>
    <row r="471" spans="3:57" ht="12" customHeight="1" x14ac:dyDescent="0.2">
      <c r="C471" s="1"/>
      <c r="D471" s="2"/>
      <c r="E471" s="2"/>
      <c r="F471" s="7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79"/>
      <c r="AC471" s="79"/>
      <c r="AD471" s="80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1"/>
    </row>
    <row r="472" spans="3:57" ht="12" customHeight="1" x14ac:dyDescent="0.2">
      <c r="C472" s="1"/>
      <c r="D472" s="2"/>
      <c r="E472" s="2"/>
      <c r="F472" s="7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79"/>
      <c r="AC472" s="79"/>
      <c r="AD472" s="80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1"/>
    </row>
    <row r="473" spans="3:57" ht="12" customHeight="1" x14ac:dyDescent="0.2">
      <c r="C473" s="1"/>
      <c r="D473" s="2"/>
      <c r="E473" s="2"/>
      <c r="F473" s="7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79"/>
      <c r="AC473" s="79"/>
      <c r="AD473" s="80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1"/>
    </row>
    <row r="474" spans="3:57" ht="12" customHeight="1" x14ac:dyDescent="0.2">
      <c r="C474" s="1"/>
      <c r="D474" s="2"/>
      <c r="E474" s="2"/>
      <c r="F474" s="7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79"/>
      <c r="AC474" s="79"/>
      <c r="AD474" s="80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1"/>
    </row>
    <row r="475" spans="3:57" ht="12" customHeight="1" x14ac:dyDescent="0.2">
      <c r="C475" s="1"/>
      <c r="D475" s="2"/>
      <c r="E475" s="2"/>
      <c r="F475" s="7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79"/>
      <c r="AC475" s="79"/>
      <c r="AD475" s="80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1"/>
    </row>
    <row r="476" spans="3:57" ht="12" customHeight="1" x14ac:dyDescent="0.2">
      <c r="C476" s="1"/>
      <c r="D476" s="2"/>
      <c r="E476" s="2"/>
      <c r="F476" s="7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79"/>
      <c r="AC476" s="79"/>
      <c r="AD476" s="80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1"/>
    </row>
    <row r="477" spans="3:57" ht="12" customHeight="1" x14ac:dyDescent="0.2">
      <c r="C477" s="1"/>
      <c r="D477" s="2"/>
      <c r="E477" s="2"/>
      <c r="F477" s="7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79"/>
      <c r="AC477" s="79"/>
      <c r="AD477" s="80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1"/>
    </row>
    <row r="478" spans="3:57" ht="12" customHeight="1" x14ac:dyDescent="0.2">
      <c r="C478" s="1"/>
      <c r="D478" s="2"/>
      <c r="E478" s="2"/>
      <c r="F478" s="7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79"/>
      <c r="AC478" s="79"/>
      <c r="AD478" s="80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1"/>
    </row>
    <row r="479" spans="3:57" ht="12" customHeight="1" x14ac:dyDescent="0.2">
      <c r="C479" s="1"/>
      <c r="D479" s="2"/>
      <c r="E479" s="2"/>
      <c r="F479" s="7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79"/>
      <c r="AC479" s="79"/>
      <c r="AD479" s="80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1"/>
    </row>
    <row r="480" spans="3:57" ht="12" customHeight="1" x14ac:dyDescent="0.2">
      <c r="C480" s="1"/>
      <c r="D480" s="2"/>
      <c r="E480" s="2"/>
      <c r="F480" s="7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79"/>
      <c r="AC480" s="79"/>
      <c r="AD480" s="80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1"/>
    </row>
    <row r="481" spans="3:57" ht="12" customHeight="1" x14ac:dyDescent="0.2">
      <c r="C481" s="1"/>
      <c r="D481" s="2"/>
      <c r="E481" s="2"/>
      <c r="F481" s="7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79"/>
      <c r="AC481" s="79"/>
      <c r="AD481" s="80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1"/>
    </row>
    <row r="482" spans="3:57" ht="12" customHeight="1" x14ac:dyDescent="0.2">
      <c r="C482" s="1"/>
      <c r="D482" s="2"/>
      <c r="E482" s="2"/>
      <c r="F482" s="7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79"/>
      <c r="AC482" s="79"/>
      <c r="AD482" s="80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1"/>
    </row>
    <row r="483" spans="3:57" ht="12" customHeight="1" x14ac:dyDescent="0.2">
      <c r="C483" s="1"/>
      <c r="D483" s="2"/>
      <c r="E483" s="2"/>
      <c r="F483" s="7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79"/>
      <c r="AC483" s="79"/>
      <c r="AD483" s="80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1"/>
    </row>
    <row r="484" spans="3:57" ht="12" customHeight="1" x14ac:dyDescent="0.2">
      <c r="C484" s="1"/>
      <c r="D484" s="2"/>
      <c r="E484" s="2"/>
      <c r="F484" s="7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79"/>
      <c r="AC484" s="79"/>
      <c r="AD484" s="80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1"/>
    </row>
    <row r="485" spans="3:57" ht="12" customHeight="1" x14ac:dyDescent="0.2">
      <c r="C485" s="1"/>
      <c r="D485" s="2"/>
      <c r="E485" s="2"/>
      <c r="F485" s="7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79"/>
      <c r="AC485" s="79"/>
      <c r="AD485" s="80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1"/>
    </row>
    <row r="486" spans="3:57" ht="12" customHeight="1" x14ac:dyDescent="0.2">
      <c r="C486" s="1"/>
      <c r="D486" s="2"/>
      <c r="E486" s="2"/>
      <c r="F486" s="7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79"/>
      <c r="AC486" s="79"/>
      <c r="AD486" s="80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1"/>
    </row>
    <row r="487" spans="3:57" ht="12" customHeight="1" x14ac:dyDescent="0.2">
      <c r="C487" s="1"/>
      <c r="D487" s="2"/>
      <c r="E487" s="2"/>
      <c r="F487" s="7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79"/>
      <c r="AC487" s="79"/>
      <c r="AD487" s="80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1"/>
    </row>
    <row r="488" spans="3:57" ht="12" customHeight="1" x14ac:dyDescent="0.2">
      <c r="C488" s="1"/>
      <c r="D488" s="2"/>
      <c r="E488" s="2"/>
      <c r="F488" s="7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79"/>
      <c r="AC488" s="79"/>
      <c r="AD488" s="80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1"/>
    </row>
    <row r="489" spans="3:57" ht="12" customHeight="1" x14ac:dyDescent="0.2">
      <c r="C489" s="1"/>
      <c r="D489" s="2"/>
      <c r="E489" s="2"/>
      <c r="F489" s="7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79"/>
      <c r="AC489" s="79"/>
      <c r="AD489" s="80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1"/>
    </row>
    <row r="490" spans="3:57" ht="12" customHeight="1" x14ac:dyDescent="0.2">
      <c r="C490" s="1"/>
      <c r="D490" s="2"/>
      <c r="E490" s="2"/>
      <c r="F490" s="7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79"/>
      <c r="AC490" s="79"/>
      <c r="AD490" s="80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1"/>
    </row>
    <row r="491" spans="3:57" ht="12" customHeight="1" x14ac:dyDescent="0.2">
      <c r="C491" s="1"/>
      <c r="D491" s="2"/>
      <c r="E491" s="2"/>
      <c r="F491" s="7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79"/>
      <c r="AC491" s="79"/>
      <c r="AD491" s="80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1"/>
    </row>
    <row r="492" spans="3:57" ht="12" customHeight="1" x14ac:dyDescent="0.2">
      <c r="C492" s="1"/>
      <c r="D492" s="2"/>
      <c r="E492" s="2"/>
      <c r="F492" s="7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79"/>
      <c r="AC492" s="79"/>
      <c r="AD492" s="80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1"/>
    </row>
    <row r="493" spans="3:57" ht="12" customHeight="1" x14ac:dyDescent="0.2">
      <c r="C493" s="1"/>
      <c r="D493" s="2"/>
      <c r="E493" s="2"/>
      <c r="F493" s="7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79"/>
      <c r="AC493" s="79"/>
      <c r="AD493" s="80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1"/>
    </row>
    <row r="494" spans="3:57" ht="12" customHeight="1" x14ac:dyDescent="0.2">
      <c r="C494" s="1"/>
      <c r="D494" s="2"/>
      <c r="E494" s="2"/>
      <c r="F494" s="7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79"/>
      <c r="AC494" s="79"/>
      <c r="AD494" s="80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1"/>
    </row>
    <row r="495" spans="3:57" ht="12" customHeight="1" x14ac:dyDescent="0.2">
      <c r="C495" s="1"/>
      <c r="D495" s="2"/>
      <c r="E495" s="2"/>
      <c r="F495" s="7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79"/>
      <c r="AC495" s="79"/>
      <c r="AD495" s="80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1"/>
    </row>
    <row r="496" spans="3:57" ht="12" customHeight="1" x14ac:dyDescent="0.2">
      <c r="C496" s="1"/>
      <c r="D496" s="2"/>
      <c r="E496" s="2"/>
      <c r="F496" s="7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79"/>
      <c r="AC496" s="79"/>
      <c r="AD496" s="80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1"/>
    </row>
    <row r="497" spans="3:57" ht="12" customHeight="1" x14ac:dyDescent="0.2">
      <c r="C497" s="1"/>
      <c r="D497" s="2"/>
      <c r="E497" s="2"/>
      <c r="F497" s="7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79"/>
      <c r="AC497" s="79"/>
      <c r="AD497" s="80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1"/>
    </row>
    <row r="498" spans="3:57" ht="12" customHeight="1" x14ac:dyDescent="0.2">
      <c r="C498" s="1"/>
      <c r="D498" s="2"/>
      <c r="E498" s="2"/>
      <c r="F498" s="7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79"/>
      <c r="AC498" s="79"/>
      <c r="AD498" s="80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1"/>
    </row>
    <row r="499" spans="3:57" ht="12" customHeight="1" x14ac:dyDescent="0.2">
      <c r="C499" s="1"/>
      <c r="D499" s="2"/>
      <c r="E499" s="2"/>
      <c r="F499" s="7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79"/>
      <c r="AC499" s="79"/>
      <c r="AD499" s="80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1"/>
    </row>
    <row r="500" spans="3:57" ht="12" customHeight="1" x14ac:dyDescent="0.2">
      <c r="C500" s="1"/>
      <c r="D500" s="2"/>
      <c r="E500" s="2"/>
      <c r="F500" s="7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79"/>
      <c r="AC500" s="79"/>
      <c r="AD500" s="80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1"/>
    </row>
    <row r="501" spans="3:57" ht="12" customHeight="1" x14ac:dyDescent="0.2">
      <c r="C501" s="1"/>
      <c r="D501" s="2"/>
      <c r="E501" s="2"/>
      <c r="F501" s="7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79"/>
      <c r="AC501" s="79"/>
      <c r="AD501" s="80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1"/>
    </row>
    <row r="502" spans="3:57" ht="12" customHeight="1" x14ac:dyDescent="0.2">
      <c r="C502" s="1"/>
      <c r="D502" s="2"/>
      <c r="E502" s="2"/>
      <c r="F502" s="7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79"/>
      <c r="AC502" s="79"/>
      <c r="AD502" s="80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1"/>
    </row>
    <row r="503" spans="3:57" ht="12" customHeight="1" x14ac:dyDescent="0.2">
      <c r="C503" s="1"/>
      <c r="D503" s="2"/>
      <c r="E503" s="2"/>
      <c r="F503" s="7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79"/>
      <c r="AC503" s="79"/>
      <c r="AD503" s="80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1"/>
    </row>
    <row r="504" spans="3:57" ht="12" customHeight="1" x14ac:dyDescent="0.2">
      <c r="C504" s="1"/>
      <c r="D504" s="2"/>
      <c r="E504" s="2"/>
      <c r="F504" s="7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79"/>
      <c r="AC504" s="79"/>
      <c r="AD504" s="80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1"/>
    </row>
    <row r="505" spans="3:57" ht="12" customHeight="1" x14ac:dyDescent="0.2">
      <c r="C505" s="1"/>
      <c r="D505" s="2"/>
      <c r="E505" s="2"/>
      <c r="F505" s="7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79"/>
      <c r="AC505" s="79"/>
      <c r="AD505" s="80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1"/>
    </row>
    <row r="506" spans="3:57" ht="12" customHeight="1" x14ac:dyDescent="0.2">
      <c r="C506" s="1"/>
      <c r="D506" s="2"/>
      <c r="E506" s="2"/>
      <c r="F506" s="7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79"/>
      <c r="AC506" s="79"/>
      <c r="AD506" s="80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1"/>
    </row>
    <row r="507" spans="3:57" ht="12" customHeight="1" x14ac:dyDescent="0.2">
      <c r="C507" s="1"/>
      <c r="D507" s="2"/>
      <c r="E507" s="2"/>
      <c r="F507" s="7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79"/>
      <c r="AC507" s="79"/>
      <c r="AD507" s="80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1"/>
    </row>
    <row r="508" spans="3:57" ht="12" customHeight="1" x14ac:dyDescent="0.2">
      <c r="C508" s="1"/>
      <c r="D508" s="2"/>
      <c r="E508" s="2"/>
      <c r="F508" s="7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79"/>
      <c r="AC508" s="79"/>
      <c r="AD508" s="80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1"/>
    </row>
    <row r="509" spans="3:57" ht="12" customHeight="1" x14ac:dyDescent="0.2">
      <c r="C509" s="1"/>
      <c r="D509" s="2"/>
      <c r="E509" s="2"/>
      <c r="F509" s="7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79"/>
      <c r="AC509" s="79"/>
      <c r="AD509" s="80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1"/>
    </row>
    <row r="510" spans="3:57" ht="12" customHeight="1" x14ac:dyDescent="0.2">
      <c r="C510" s="1"/>
      <c r="D510" s="2"/>
      <c r="E510" s="2"/>
      <c r="F510" s="7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79"/>
      <c r="AC510" s="79"/>
      <c r="AD510" s="80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1"/>
    </row>
    <row r="511" spans="3:57" ht="12" customHeight="1" x14ac:dyDescent="0.2">
      <c r="C511" s="1"/>
      <c r="D511" s="2"/>
      <c r="E511" s="2"/>
      <c r="F511" s="7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79"/>
      <c r="AC511" s="79"/>
      <c r="AD511" s="80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1"/>
    </row>
    <row r="512" spans="3:57" ht="12" customHeight="1" x14ac:dyDescent="0.2">
      <c r="C512" s="1"/>
      <c r="D512" s="2"/>
      <c r="E512" s="2"/>
      <c r="F512" s="7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79"/>
      <c r="AC512" s="79"/>
      <c r="AD512" s="80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1"/>
    </row>
    <row r="513" spans="3:57" ht="12" customHeight="1" x14ac:dyDescent="0.2">
      <c r="C513" s="1"/>
      <c r="D513" s="2"/>
      <c r="E513" s="2"/>
      <c r="F513" s="7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79"/>
      <c r="AC513" s="79"/>
      <c r="AD513" s="80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1"/>
    </row>
    <row r="514" spans="3:57" ht="12" customHeight="1" x14ac:dyDescent="0.2">
      <c r="C514" s="1"/>
      <c r="D514" s="2"/>
      <c r="E514" s="2"/>
      <c r="F514" s="7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79"/>
      <c r="AC514" s="79"/>
      <c r="AD514" s="80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1"/>
    </row>
    <row r="515" spans="3:57" ht="12" customHeight="1" x14ac:dyDescent="0.2">
      <c r="C515" s="1"/>
      <c r="D515" s="2"/>
      <c r="E515" s="2"/>
      <c r="F515" s="7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79"/>
      <c r="AC515" s="79"/>
      <c r="AD515" s="80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1"/>
    </row>
    <row r="516" spans="3:57" ht="12" customHeight="1" x14ac:dyDescent="0.2">
      <c r="C516" s="1"/>
      <c r="D516" s="2"/>
      <c r="E516" s="2"/>
      <c r="F516" s="7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79"/>
      <c r="AC516" s="79"/>
      <c r="AD516" s="80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1"/>
    </row>
    <row r="517" spans="3:57" ht="12" customHeight="1" x14ac:dyDescent="0.2">
      <c r="C517" s="1"/>
      <c r="D517" s="2"/>
      <c r="E517" s="2"/>
      <c r="F517" s="7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79"/>
      <c r="AC517" s="79"/>
      <c r="AD517" s="80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1"/>
    </row>
    <row r="518" spans="3:57" ht="12" customHeight="1" x14ac:dyDescent="0.2">
      <c r="C518" s="1"/>
      <c r="D518" s="2"/>
      <c r="E518" s="2"/>
      <c r="F518" s="7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79"/>
      <c r="AC518" s="79"/>
      <c r="AD518" s="80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1"/>
    </row>
    <row r="519" spans="3:57" ht="12" customHeight="1" x14ac:dyDescent="0.2">
      <c r="C519" s="1"/>
      <c r="D519" s="2"/>
      <c r="E519" s="2"/>
      <c r="F519" s="7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79"/>
      <c r="AC519" s="79"/>
      <c r="AD519" s="80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1"/>
    </row>
    <row r="520" spans="3:57" ht="12" customHeight="1" x14ac:dyDescent="0.2">
      <c r="C520" s="1"/>
      <c r="D520" s="2"/>
      <c r="E520" s="2"/>
      <c r="F520" s="7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79"/>
      <c r="AC520" s="79"/>
      <c r="AD520" s="80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1"/>
    </row>
    <row r="521" spans="3:57" ht="12" customHeight="1" x14ac:dyDescent="0.2">
      <c r="C521" s="1"/>
      <c r="D521" s="2"/>
      <c r="E521" s="2"/>
      <c r="F521" s="7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79"/>
      <c r="AC521" s="79"/>
      <c r="AD521" s="80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1"/>
    </row>
    <row r="522" spans="3:57" ht="12" customHeight="1" x14ac:dyDescent="0.2">
      <c r="C522" s="1"/>
      <c r="D522" s="2"/>
      <c r="E522" s="2"/>
      <c r="F522" s="7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79"/>
      <c r="AC522" s="79"/>
      <c r="AD522" s="80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1"/>
    </row>
    <row r="523" spans="3:57" ht="12" customHeight="1" x14ac:dyDescent="0.2">
      <c r="C523" s="1"/>
      <c r="D523" s="2"/>
      <c r="E523" s="2"/>
      <c r="F523" s="7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79"/>
      <c r="AC523" s="79"/>
      <c r="AD523" s="80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1"/>
    </row>
    <row r="524" spans="3:57" ht="12" customHeight="1" x14ac:dyDescent="0.2">
      <c r="C524" s="1"/>
      <c r="D524" s="2"/>
      <c r="E524" s="2"/>
      <c r="F524" s="7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79"/>
      <c r="AC524" s="79"/>
      <c r="AD524" s="80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1"/>
    </row>
    <row r="525" spans="3:57" ht="12" customHeight="1" x14ac:dyDescent="0.2">
      <c r="C525" s="1"/>
      <c r="D525" s="2"/>
      <c r="E525" s="2"/>
      <c r="F525" s="7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79"/>
      <c r="AC525" s="79"/>
      <c r="AD525" s="80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1"/>
    </row>
    <row r="526" spans="3:57" ht="12" customHeight="1" x14ac:dyDescent="0.2">
      <c r="C526" s="1"/>
      <c r="D526" s="2"/>
      <c r="E526" s="2"/>
      <c r="F526" s="7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79"/>
      <c r="AC526" s="79"/>
      <c r="AD526" s="80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1"/>
    </row>
    <row r="527" spans="3:57" ht="12" customHeight="1" x14ac:dyDescent="0.2">
      <c r="C527" s="1"/>
      <c r="D527" s="2"/>
      <c r="E527" s="2"/>
      <c r="F527" s="7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79"/>
      <c r="AC527" s="79"/>
      <c r="AD527" s="80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1"/>
    </row>
    <row r="528" spans="3:57" ht="12" customHeight="1" x14ac:dyDescent="0.2">
      <c r="C528" s="1"/>
      <c r="D528" s="2"/>
      <c r="E528" s="2"/>
      <c r="F528" s="7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79"/>
      <c r="AC528" s="79"/>
      <c r="AD528" s="80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1"/>
    </row>
    <row r="529" spans="3:57" ht="12" customHeight="1" x14ac:dyDescent="0.2">
      <c r="C529" s="1"/>
      <c r="D529" s="2"/>
      <c r="E529" s="2"/>
      <c r="F529" s="7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79"/>
      <c r="AC529" s="79"/>
      <c r="AD529" s="80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1"/>
    </row>
    <row r="530" spans="3:57" ht="12" customHeight="1" x14ac:dyDescent="0.2">
      <c r="C530" s="1"/>
      <c r="D530" s="2"/>
      <c r="E530" s="2"/>
      <c r="F530" s="7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79"/>
      <c r="AC530" s="79"/>
      <c r="AD530" s="80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1"/>
    </row>
    <row r="531" spans="3:57" ht="12" customHeight="1" x14ac:dyDescent="0.2">
      <c r="C531" s="1"/>
      <c r="D531" s="2"/>
      <c r="E531" s="2"/>
      <c r="F531" s="7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79"/>
      <c r="AC531" s="79"/>
      <c r="AD531" s="80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1"/>
    </row>
    <row r="532" spans="3:57" ht="12" customHeight="1" x14ac:dyDescent="0.2">
      <c r="C532" s="1"/>
      <c r="D532" s="2"/>
      <c r="E532" s="2"/>
      <c r="F532" s="7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79"/>
      <c r="AC532" s="79"/>
      <c r="AD532" s="80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1"/>
    </row>
    <row r="533" spans="3:57" ht="12" customHeight="1" x14ac:dyDescent="0.2">
      <c r="C533" s="1"/>
      <c r="D533" s="2"/>
      <c r="E533" s="2"/>
      <c r="F533" s="7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79"/>
      <c r="AC533" s="79"/>
      <c r="AD533" s="80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1"/>
    </row>
    <row r="534" spans="3:57" ht="12" customHeight="1" x14ac:dyDescent="0.2">
      <c r="C534" s="1"/>
      <c r="D534" s="2"/>
      <c r="E534" s="2"/>
      <c r="F534" s="7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79"/>
      <c r="AC534" s="79"/>
      <c r="AD534" s="80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1"/>
    </row>
    <row r="535" spans="3:57" ht="12" customHeight="1" x14ac:dyDescent="0.2">
      <c r="C535" s="1"/>
      <c r="D535" s="2"/>
      <c r="E535" s="2"/>
      <c r="F535" s="7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79"/>
      <c r="AC535" s="79"/>
      <c r="AD535" s="80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1"/>
    </row>
    <row r="536" spans="3:57" ht="12" customHeight="1" x14ac:dyDescent="0.2">
      <c r="C536" s="1"/>
      <c r="D536" s="2"/>
      <c r="E536" s="2"/>
      <c r="F536" s="7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79"/>
      <c r="AC536" s="79"/>
      <c r="AD536" s="80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1"/>
    </row>
    <row r="537" spans="3:57" ht="12" customHeight="1" x14ac:dyDescent="0.2">
      <c r="C537" s="1"/>
      <c r="D537" s="2"/>
      <c r="E537" s="2"/>
      <c r="F537" s="7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79"/>
      <c r="AC537" s="79"/>
      <c r="AD537" s="80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1"/>
    </row>
    <row r="538" spans="3:57" ht="12" customHeight="1" x14ac:dyDescent="0.2">
      <c r="C538" s="1"/>
      <c r="D538" s="2"/>
      <c r="E538" s="2"/>
      <c r="F538" s="7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79"/>
      <c r="AC538" s="79"/>
      <c r="AD538" s="80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1"/>
    </row>
    <row r="539" spans="3:57" ht="12" customHeight="1" x14ac:dyDescent="0.2">
      <c r="C539" s="1"/>
      <c r="D539" s="2"/>
      <c r="E539" s="2"/>
      <c r="F539" s="7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79"/>
      <c r="AC539" s="79"/>
      <c r="AD539" s="80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1"/>
    </row>
    <row r="540" spans="3:57" ht="12" customHeight="1" x14ac:dyDescent="0.2">
      <c r="C540" s="1"/>
      <c r="D540" s="2"/>
      <c r="E540" s="2"/>
      <c r="F540" s="7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79"/>
      <c r="AC540" s="79"/>
      <c r="AD540" s="80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1"/>
    </row>
    <row r="541" spans="3:57" ht="12" customHeight="1" x14ac:dyDescent="0.2">
      <c r="C541" s="1"/>
      <c r="D541" s="2"/>
      <c r="E541" s="2"/>
      <c r="F541" s="7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79"/>
      <c r="AC541" s="79"/>
      <c r="AD541" s="80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1"/>
    </row>
    <row r="542" spans="3:57" ht="12" customHeight="1" x14ac:dyDescent="0.2">
      <c r="C542" s="1"/>
      <c r="D542" s="2"/>
      <c r="E542" s="2"/>
      <c r="F542" s="7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79"/>
      <c r="AC542" s="79"/>
      <c r="AD542" s="80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1"/>
    </row>
    <row r="543" spans="3:57" ht="12" customHeight="1" x14ac:dyDescent="0.2">
      <c r="C543" s="1"/>
      <c r="D543" s="2"/>
      <c r="E543" s="2"/>
      <c r="F543" s="7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79"/>
      <c r="AC543" s="79"/>
      <c r="AD543" s="80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1"/>
    </row>
  </sheetData>
  <autoFilter ref="B6:AC343" xr:uid="{00000000-0009-0000-0000-000011000000}"/>
  <mergeCells count="30">
    <mergeCell ref="B2:AC3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O6:AO7"/>
    <mergeCell ref="AP6:AP7"/>
    <mergeCell ref="AQ6:AQ7"/>
    <mergeCell ref="AR6:AR7"/>
    <mergeCell ref="AS6:AS7"/>
    <mergeCell ref="AT6:AT7"/>
    <mergeCell ref="AU6:AU7"/>
    <mergeCell ref="AV6:AV7"/>
    <mergeCell ref="AW6:AW7"/>
    <mergeCell ref="BE6:BE7"/>
    <mergeCell ref="BF6:BF7"/>
    <mergeCell ref="AX6:AX7"/>
    <mergeCell ref="AY6:AY7"/>
    <mergeCell ref="AZ6:AZ7"/>
    <mergeCell ref="BA6:BA7"/>
    <mergeCell ref="BB6:BB7"/>
    <mergeCell ref="BC6:BC7"/>
    <mergeCell ref="BD6:BD7"/>
  </mergeCells>
  <conditionalFormatting sqref="N8:N343">
    <cfRule type="expression" dxfId="30" priority="1">
      <formula>LEFT(AE8,1)="4"</formula>
    </cfRule>
  </conditionalFormatting>
  <conditionalFormatting sqref="Z8:Z343">
    <cfRule type="expression" dxfId="29" priority="2">
      <formula>LEFT(BC8,1)="4"</formula>
    </cfRule>
  </conditionalFormatting>
  <conditionalFormatting sqref="Y8:Y343">
    <cfRule type="expression" dxfId="28" priority="3">
      <formula>LEFT(BA8,1)="4"</formula>
    </cfRule>
  </conditionalFormatting>
  <conditionalFormatting sqref="X8:X343">
    <cfRule type="expression" dxfId="27" priority="4">
      <formula>LEFT(AY8,1)="4"</formula>
    </cfRule>
  </conditionalFormatting>
  <conditionalFormatting sqref="W8:W343">
    <cfRule type="expression" dxfId="26" priority="5">
      <formula>LEFT(AW8,1)="4"</formula>
    </cfRule>
  </conditionalFormatting>
  <conditionalFormatting sqref="V8:V343">
    <cfRule type="expression" dxfId="25" priority="6">
      <formula>LEFT(AU8,1)="4"</formula>
    </cfRule>
  </conditionalFormatting>
  <conditionalFormatting sqref="U8:U343">
    <cfRule type="expression" dxfId="24" priority="7">
      <formula>LEFT(AS8,1)="4"</formula>
    </cfRule>
  </conditionalFormatting>
  <conditionalFormatting sqref="T8:T343">
    <cfRule type="expression" dxfId="23" priority="8">
      <formula>LEFT(AQ8,1)="4"</formula>
    </cfRule>
  </conditionalFormatting>
  <conditionalFormatting sqref="S8:S343">
    <cfRule type="expression" dxfId="22" priority="9">
      <formula>LEFT(AO8,1)="4"</formula>
    </cfRule>
  </conditionalFormatting>
  <conditionalFormatting sqref="R8:R343">
    <cfRule type="expression" dxfId="21" priority="10">
      <formula>LEFT(AM8,1)="4"</formula>
    </cfRule>
  </conditionalFormatting>
  <conditionalFormatting sqref="Q8:Q343">
    <cfRule type="expression" dxfId="20" priority="11">
      <formula>LEFT(AK8,1)="4"</formula>
    </cfRule>
  </conditionalFormatting>
  <conditionalFormatting sqref="P8:P343">
    <cfRule type="expression" dxfId="19" priority="12">
      <formula>LEFT(AI8,1)="4"</formula>
    </cfRule>
  </conditionalFormatting>
  <conditionalFormatting sqref="O8:O343">
    <cfRule type="expression" dxfId="18" priority="13">
      <formula>LEFT(AG8,1)="4"</formula>
    </cfRule>
  </conditionalFormatting>
  <conditionalFormatting sqref="AA8:AA343">
    <cfRule type="expression" dxfId="17" priority="14">
      <formula>LEFT(BE8,1)="4"</formula>
    </cfRule>
  </conditionalFormatting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08000"/>
  </sheetPr>
  <dimension ref="B1:AE1000"/>
  <sheetViews>
    <sheetView showGridLines="0" topLeftCell="A4" workbookViewId="0">
      <selection activeCell="H28" sqref="H28"/>
    </sheetView>
  </sheetViews>
  <sheetFormatPr defaultColWidth="14.42578125" defaultRowHeight="15" customHeight="1" x14ac:dyDescent="0.2"/>
  <cols>
    <col min="1" max="1" width="2.5703125" customWidth="1"/>
    <col min="2" max="2" width="12.140625" customWidth="1"/>
    <col min="3" max="3" width="3.7109375" customWidth="1"/>
    <col min="4" max="4" width="2.7109375" customWidth="1"/>
    <col min="5" max="5" width="3.7109375" customWidth="1"/>
    <col min="6" max="6" width="12.140625" customWidth="1"/>
    <col min="7" max="7" width="3.5703125" customWidth="1"/>
    <col min="8" max="8" width="12.140625" customWidth="1"/>
    <col min="9" max="9" width="3.7109375" customWidth="1"/>
    <col min="10" max="10" width="2.7109375" customWidth="1"/>
    <col min="11" max="11" width="3.7109375" customWidth="1"/>
    <col min="12" max="12" width="12.140625" customWidth="1"/>
    <col min="13" max="13" width="3.5703125" customWidth="1"/>
    <col min="14" max="14" width="12.140625" customWidth="1"/>
    <col min="15" max="15" width="3.7109375" customWidth="1"/>
    <col min="16" max="16" width="2.7109375" customWidth="1"/>
    <col min="17" max="17" width="3.7109375" customWidth="1"/>
    <col min="18" max="18" width="12.140625" customWidth="1"/>
    <col min="19" max="19" width="3.5703125" customWidth="1"/>
    <col min="20" max="20" width="12.140625" customWidth="1"/>
    <col min="21" max="21" width="3.7109375" customWidth="1"/>
    <col min="22" max="22" width="2.7109375" customWidth="1"/>
    <col min="23" max="23" width="3.7109375" customWidth="1"/>
    <col min="24" max="24" width="12.140625" customWidth="1"/>
    <col min="25" max="25" width="3.5703125" customWidth="1"/>
    <col min="26" max="26" width="12.140625" customWidth="1"/>
    <col min="27" max="27" width="3.7109375" customWidth="1"/>
    <col min="28" max="28" width="2.7109375" customWidth="1"/>
    <col min="29" max="29" width="3.7109375" customWidth="1"/>
    <col min="30" max="30" width="12.140625" customWidth="1"/>
    <col min="31" max="31" width="5.140625" customWidth="1"/>
  </cols>
  <sheetData>
    <row r="1" spans="2:31" ht="12" customHeight="1" x14ac:dyDescent="0.2"/>
    <row r="2" spans="2:31" ht="12" customHeight="1" x14ac:dyDescent="0.2"/>
    <row r="3" spans="2:31" ht="12" customHeight="1" x14ac:dyDescent="0.2">
      <c r="B3" s="180" t="s">
        <v>366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8"/>
    </row>
    <row r="4" spans="2:31" ht="12" customHeight="1" x14ac:dyDescent="0.2">
      <c r="B4" s="172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4"/>
    </row>
    <row r="5" spans="2:31" ht="12" customHeight="1" x14ac:dyDescent="0.2"/>
    <row r="6" spans="2:31" ht="12" customHeight="1" x14ac:dyDescent="0.2"/>
    <row r="7" spans="2:31" ht="12" customHeight="1" x14ac:dyDescent="0.2"/>
    <row r="8" spans="2:31" ht="12.75" customHeight="1" x14ac:dyDescent="0.2">
      <c r="B8" s="220" t="s">
        <v>29</v>
      </c>
      <c r="C8" s="170"/>
      <c r="D8" s="170"/>
      <c r="E8" s="170"/>
      <c r="F8" s="170"/>
      <c r="G8" s="23"/>
      <c r="H8" s="220" t="s">
        <v>30</v>
      </c>
      <c r="I8" s="170"/>
      <c r="J8" s="170"/>
      <c r="K8" s="170"/>
      <c r="L8" s="170"/>
      <c r="M8" s="23"/>
      <c r="N8" s="220" t="s">
        <v>31</v>
      </c>
      <c r="O8" s="170"/>
      <c r="P8" s="170"/>
      <c r="Q8" s="170"/>
      <c r="R8" s="170"/>
      <c r="S8" s="23"/>
      <c r="T8" s="220" t="s">
        <v>32</v>
      </c>
      <c r="U8" s="170"/>
      <c r="V8" s="170"/>
      <c r="W8" s="170"/>
      <c r="X8" s="170"/>
      <c r="Y8" s="23"/>
      <c r="Z8" s="220" t="s">
        <v>33</v>
      </c>
      <c r="AA8" s="170"/>
      <c r="AB8" s="170"/>
      <c r="AC8" s="170"/>
      <c r="AD8" s="170"/>
      <c r="AE8" s="25"/>
    </row>
    <row r="9" spans="2:31" ht="5.25" customHeight="1" x14ac:dyDescent="0.2">
      <c r="B9" s="11"/>
      <c r="C9" s="11"/>
      <c r="D9" s="11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11"/>
      <c r="AE9" s="11"/>
    </row>
    <row r="10" spans="2:31" ht="12.75" customHeight="1" x14ac:dyDescent="0.2">
      <c r="B10" s="221" t="s">
        <v>35</v>
      </c>
      <c r="C10" s="170"/>
      <c r="D10" s="170"/>
      <c r="E10" s="170"/>
      <c r="F10" s="170"/>
      <c r="G10" s="5"/>
      <c r="H10" s="221" t="s">
        <v>36</v>
      </c>
      <c r="I10" s="170"/>
      <c r="J10" s="170"/>
      <c r="K10" s="170"/>
      <c r="L10" s="170"/>
      <c r="M10" s="5"/>
      <c r="N10" s="221" t="s">
        <v>37</v>
      </c>
      <c r="O10" s="170"/>
      <c r="P10" s="170"/>
      <c r="Q10" s="170"/>
      <c r="R10" s="170"/>
      <c r="S10" s="5"/>
      <c r="T10" s="221" t="s">
        <v>38</v>
      </c>
      <c r="U10" s="170"/>
      <c r="V10" s="170"/>
      <c r="W10" s="170"/>
      <c r="X10" s="170"/>
      <c r="Y10" s="5"/>
      <c r="Z10" s="221" t="s">
        <v>39</v>
      </c>
      <c r="AA10" s="170"/>
      <c r="AB10" s="170"/>
      <c r="AC10" s="170"/>
      <c r="AD10" s="170"/>
      <c r="AE10" s="11"/>
    </row>
    <row r="11" spans="2:31" ht="12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</row>
    <row r="12" spans="2:31" ht="12" customHeight="1" x14ac:dyDescent="0.2">
      <c r="B12" s="126" t="str">
        <f>VLOOKUP('Number Allocation'!B30,'Weekly Results'!$B$48:$C$63,2,0)</f>
        <v>Parkstone</v>
      </c>
      <c r="C12" s="127">
        <f>Parkstone!AR7</f>
        <v>2</v>
      </c>
      <c r="D12" s="128" t="s">
        <v>40</v>
      </c>
      <c r="E12" s="129">
        <f>Christchurch!AR7</f>
        <v>10</v>
      </c>
      <c r="F12" s="130" t="str">
        <f>VLOOKUP('Number Allocation'!D30,'Weekly Results'!$B$48:$C$63,2,0)</f>
        <v>Christchurch</v>
      </c>
      <c r="G12" s="11"/>
      <c r="H12" s="126" t="str">
        <f>VLOOKUP('Number Allocation'!F30,'Weekly Results'!$B$48:$C$63,2,0)</f>
        <v>Christchurch</v>
      </c>
      <c r="I12" s="127">
        <f>Christchurch!AR8</f>
        <v>8</v>
      </c>
      <c r="J12" s="128" t="s">
        <v>40</v>
      </c>
      <c r="K12" s="129">
        <f>Alderholt!AR8</f>
        <v>4</v>
      </c>
      <c r="L12" s="130" t="str">
        <f>VLOOKUP('Number Allocation'!H30,'Weekly Results'!$B$48:$C$63,2,0)</f>
        <v>Alderholt</v>
      </c>
      <c r="M12" s="11"/>
      <c r="N12" s="126" t="str">
        <f>VLOOKUP('Number Allocation'!J30,'Weekly Results'!$B$48:$C$63,2,0)</f>
        <v>Alderney</v>
      </c>
      <c r="O12" s="127">
        <f>Alderney!AR9</f>
        <v>0</v>
      </c>
      <c r="P12" s="128" t="s">
        <v>40</v>
      </c>
      <c r="Q12" s="129">
        <f>Christchurch!AR9</f>
        <v>12</v>
      </c>
      <c r="R12" s="130" t="str">
        <f>VLOOKUP('Number Allocation'!L30,'Weekly Results'!$B$48:$C$63,2,0)</f>
        <v>Christchurch</v>
      </c>
      <c r="S12" s="11"/>
      <c r="T12" s="126" t="str">
        <f>VLOOKUP('Number Allocation'!N30,'Weekly Results'!$B$48:$C$63,2,0)</f>
        <v>Christchurch</v>
      </c>
      <c r="U12" s="127">
        <v>10</v>
      </c>
      <c r="V12" s="128" t="s">
        <v>40</v>
      </c>
      <c r="W12" s="129">
        <f>Poole!AR10</f>
        <v>2</v>
      </c>
      <c r="X12" s="130" t="str">
        <f>VLOOKUP('Number Allocation'!P30,'Weekly Results'!$B$48:$C$63,2,0)</f>
        <v>Poole</v>
      </c>
      <c r="Y12" s="11"/>
      <c r="Z12" s="126" t="str">
        <f>VLOOKUP('Number Allocation'!R30,'Weekly Results'!$B$48:$C$63,2,0)</f>
        <v>Weymouth</v>
      </c>
      <c r="AA12" s="127">
        <f>Weymouth!AR11</f>
        <v>5</v>
      </c>
      <c r="AB12" s="128" t="s">
        <v>40</v>
      </c>
      <c r="AC12" s="129">
        <f>Christchurch!AR11</f>
        <v>7</v>
      </c>
      <c r="AD12" s="130" t="str">
        <f>VLOOKUP('Number Allocation'!T30,'Weekly Results'!$B$48:$C$63,2,0)</f>
        <v>Christchurch</v>
      </c>
      <c r="AE12" s="11"/>
    </row>
    <row r="13" spans="2:31" ht="12" customHeight="1" x14ac:dyDescent="0.2">
      <c r="B13" s="131" t="str">
        <f>VLOOKUP('Number Allocation'!B31,'Weekly Results'!$B$48:$C$63,2,0)</f>
        <v>Alderney</v>
      </c>
      <c r="C13" s="132">
        <f>Alderney!AR7</f>
        <v>5</v>
      </c>
      <c r="D13" s="133" t="s">
        <v>40</v>
      </c>
      <c r="E13" s="134">
        <f>Bournemouth!AR7</f>
        <v>7</v>
      </c>
      <c r="F13" s="135" t="str">
        <f>VLOOKUP('Number Allocation'!D31,'Weekly Results'!$B$48:$C$63,2,0)</f>
        <v>Bournemouth</v>
      </c>
      <c r="G13" s="11"/>
      <c r="H13" s="131" t="str">
        <f>VLOOKUP('Number Allocation'!F31,'Weekly Results'!$B$48:$C$63,2,0)</f>
        <v>Poole</v>
      </c>
      <c r="I13" s="132">
        <f>Poole!AR8</f>
        <v>8</v>
      </c>
      <c r="J13" s="133" t="s">
        <v>40</v>
      </c>
      <c r="K13" s="134">
        <f>Shaftesbury!AR8</f>
        <v>4</v>
      </c>
      <c r="L13" s="135" t="str">
        <f>VLOOKUP('Number Allocation'!H31,'Weekly Results'!$B$48:$C$63,2,0)</f>
        <v>Shaftesbury</v>
      </c>
      <c r="M13" s="11"/>
      <c r="N13" s="131" t="str">
        <f>VLOOKUP('Number Allocation'!J31,'Weekly Results'!$B$48:$C$63,2,0)</f>
        <v>Weymouth</v>
      </c>
      <c r="O13" s="132">
        <f>Weymouth!AR9</f>
        <v>6</v>
      </c>
      <c r="P13" s="133" t="s">
        <v>40</v>
      </c>
      <c r="Q13" s="134">
        <f>Parkstone!AR9</f>
        <v>6</v>
      </c>
      <c r="R13" s="135" t="str">
        <f>VLOOKUP('Number Allocation'!L31,'Weekly Results'!$B$48:$C$63,2,0)</f>
        <v>Parkstone</v>
      </c>
      <c r="S13" s="11"/>
      <c r="T13" s="131" t="str">
        <f>VLOOKUP('Number Allocation'!N31,'Weekly Results'!$B$48:$C$63,2,0)</f>
        <v>Lytchett</v>
      </c>
      <c r="U13" s="132">
        <f>Lytchett!AR10</f>
        <v>12</v>
      </c>
      <c r="V13" s="133" t="s">
        <v>40</v>
      </c>
      <c r="W13" s="134">
        <f>Alderholt!AR10</f>
        <v>0</v>
      </c>
      <c r="X13" s="135" t="str">
        <f>VLOOKUP('Number Allocation'!P31,'Weekly Results'!$B$48:$C$63,2,0)</f>
        <v>Alderholt</v>
      </c>
      <c r="Y13" s="11"/>
      <c r="Z13" s="131" t="str">
        <f>VLOOKUP('Number Allocation'!R31,'Weekly Results'!$B$48:$C$63,2,0)</f>
        <v>Dorchester</v>
      </c>
      <c r="AA13" s="132">
        <f>Dorchester!AR11</f>
        <v>10</v>
      </c>
      <c r="AB13" s="133" t="s">
        <v>40</v>
      </c>
      <c r="AC13" s="134">
        <f>Alderney!AR11</f>
        <v>2</v>
      </c>
      <c r="AD13" s="135" t="str">
        <f>VLOOKUP('Number Allocation'!T31,'Weekly Results'!$B$48:$C$63,2,0)</f>
        <v>Alderney</v>
      </c>
      <c r="AE13" s="11"/>
    </row>
    <row r="14" spans="2:31" ht="12" customHeight="1" x14ac:dyDescent="0.2">
      <c r="B14" s="131" t="str">
        <f>VLOOKUP('Number Allocation'!B32,'Weekly Results'!$B$48:$C$63,2,0)</f>
        <v>Weymouth</v>
      </c>
      <c r="C14" s="132">
        <f>Weymouth!AR7</f>
        <v>3</v>
      </c>
      <c r="D14" s="133" t="s">
        <v>40</v>
      </c>
      <c r="E14" s="134">
        <f>Swanage!AR7</f>
        <v>9</v>
      </c>
      <c r="F14" s="135" t="str">
        <f>VLOOKUP('Number Allocation'!D32,'Weekly Results'!$B$48:$C$63,2,0)</f>
        <v>Swanage</v>
      </c>
      <c r="G14" s="11"/>
      <c r="H14" s="131" t="str">
        <f>VLOOKUP('Number Allocation'!F32,'Weekly Results'!$B$48:$C$63,2,0)</f>
        <v>Lytchett</v>
      </c>
      <c r="I14" s="132">
        <f>Lytchett!AR8</f>
        <v>11</v>
      </c>
      <c r="J14" s="133" t="s">
        <v>40</v>
      </c>
      <c r="K14" s="134">
        <f>Bridport!AR8</f>
        <v>1</v>
      </c>
      <c r="L14" s="135" t="str">
        <f>VLOOKUP('Number Allocation'!H32,'Weekly Results'!$B$48:$C$63,2,0)</f>
        <v>Bridport</v>
      </c>
      <c r="M14" s="11"/>
      <c r="N14" s="131" t="str">
        <f>VLOOKUP('Number Allocation'!J32,'Weekly Results'!$B$48:$C$63,2,0)</f>
        <v>Dorchester</v>
      </c>
      <c r="O14" s="132">
        <f>Dorchester!AR9</f>
        <v>12</v>
      </c>
      <c r="P14" s="133" t="s">
        <v>40</v>
      </c>
      <c r="Q14" s="134">
        <f>Bournemouth!AR9</f>
        <v>0</v>
      </c>
      <c r="R14" s="135" t="str">
        <f>VLOOKUP('Number Allocation'!L32,'Weekly Results'!$B$48:$C$63,2,0)</f>
        <v>Bournemouth</v>
      </c>
      <c r="S14" s="11"/>
      <c r="T14" s="131" t="str">
        <f>VLOOKUP('Number Allocation'!N32,'Weekly Results'!$B$48:$C$63,2,0)</f>
        <v>Portland</v>
      </c>
      <c r="U14" s="132">
        <f>Portland!AR10</f>
        <v>5</v>
      </c>
      <c r="V14" s="133" t="s">
        <v>40</v>
      </c>
      <c r="W14" s="134">
        <f>Shaftesbury!AR10</f>
        <v>7</v>
      </c>
      <c r="X14" s="135" t="str">
        <f>VLOOKUP('Number Allocation'!P32,'Weekly Results'!$B$48:$C$63,2,0)</f>
        <v>Shaftesbury</v>
      </c>
      <c r="Y14" s="11"/>
      <c r="Z14" s="131" t="str">
        <f>VLOOKUP('Number Allocation'!R32,'Weekly Results'!$B$48:$C$63,2,0)</f>
        <v>Boscombe</v>
      </c>
      <c r="AA14" s="132">
        <f>Boscombe!AR11</f>
        <v>4</v>
      </c>
      <c r="AB14" s="133" t="s">
        <v>40</v>
      </c>
      <c r="AC14" s="134">
        <f>Parkstone!AR11</f>
        <v>8</v>
      </c>
      <c r="AD14" s="135" t="str">
        <f>VLOOKUP('Number Allocation'!T32,'Weekly Results'!$B$48:$C$63,2,0)</f>
        <v>Parkstone</v>
      </c>
      <c r="AE14" s="11"/>
    </row>
    <row r="15" spans="2:31" ht="12" customHeight="1" x14ac:dyDescent="0.2">
      <c r="B15" s="131" t="str">
        <f>VLOOKUP('Number Allocation'!B33,'Weekly Results'!$B$48:$C$63,2,0)</f>
        <v>Dorchester</v>
      </c>
      <c r="C15" s="132">
        <f>Dorchester!AR7</f>
        <v>9</v>
      </c>
      <c r="D15" s="133" t="s">
        <v>40</v>
      </c>
      <c r="E15" s="134">
        <f>Portland!AR7</f>
        <v>3</v>
      </c>
      <c r="F15" s="135" t="str">
        <f>VLOOKUP('Number Allocation'!D33,'Weekly Results'!$B$48:$C$63,2,0)</f>
        <v>Portland</v>
      </c>
      <c r="G15" s="11"/>
      <c r="H15" s="131" t="str">
        <f>VLOOKUP('Number Allocation'!F33,'Weekly Results'!$B$48:$C$63,2,0)</f>
        <v>Portland</v>
      </c>
      <c r="I15" s="132">
        <f>Portland!AR8</f>
        <v>5</v>
      </c>
      <c r="J15" s="133" t="s">
        <v>40</v>
      </c>
      <c r="K15" s="134">
        <f>Boscombe!AR8</f>
        <v>7</v>
      </c>
      <c r="L15" s="135" t="str">
        <f>VLOOKUP('Number Allocation'!H33,'Weekly Results'!$B$48:$C$63,2,0)</f>
        <v>Boscombe</v>
      </c>
      <c r="M15" s="11"/>
      <c r="N15" s="131" t="str">
        <f>VLOOKUP('Number Allocation'!J33,'Weekly Results'!$B$48:$C$63,2,0)</f>
        <v>Boscombe</v>
      </c>
      <c r="O15" s="132">
        <v>3</v>
      </c>
      <c r="P15" s="133" t="s">
        <v>40</v>
      </c>
      <c r="Q15" s="134">
        <f>Swanage!AR9</f>
        <v>9</v>
      </c>
      <c r="R15" s="135" t="str">
        <f>VLOOKUP('Number Allocation'!L33,'Weekly Results'!$B$48:$C$63,2,0)</f>
        <v>Swanage</v>
      </c>
      <c r="S15" s="11"/>
      <c r="T15" s="131" t="str">
        <f>VLOOKUP('Number Allocation'!N33,'Weekly Results'!$B$48:$C$63,2,0)</f>
        <v>Swanage</v>
      </c>
      <c r="U15" s="132">
        <f>Swanage!AR10</f>
        <v>5</v>
      </c>
      <c r="V15" s="133" t="s">
        <v>40</v>
      </c>
      <c r="W15" s="134">
        <f>Bridport!AR10</f>
        <v>7</v>
      </c>
      <c r="X15" s="135" t="str">
        <f>VLOOKUP('Number Allocation'!P33,'Weekly Results'!$B$48:$C$63,2,0)</f>
        <v>Bridport</v>
      </c>
      <c r="Y15" s="11"/>
      <c r="Z15" s="131" t="str">
        <f>VLOOKUP('Number Allocation'!R33,'Weekly Results'!$B$48:$C$63,2,0)</f>
        <v>Bridport</v>
      </c>
      <c r="AA15" s="132">
        <f>Bridport!AR11</f>
        <v>8</v>
      </c>
      <c r="AB15" s="133" t="s">
        <v>40</v>
      </c>
      <c r="AC15" s="134">
        <f>Bournemouth!AR11</f>
        <v>4</v>
      </c>
      <c r="AD15" s="135" t="str">
        <f>VLOOKUP('Number Allocation'!T33,'Weekly Results'!$B$48:$C$63,2,0)</f>
        <v>Bournemouth</v>
      </c>
      <c r="AE15" s="11"/>
    </row>
    <row r="16" spans="2:31" ht="12" customHeight="1" x14ac:dyDescent="0.2">
      <c r="B16" s="131" t="str">
        <f>VLOOKUP('Number Allocation'!B34,'Weekly Results'!$B$48:$C$63,2,0)</f>
        <v>Boscombe</v>
      </c>
      <c r="C16" s="132">
        <f>Boscombe!AR7</f>
        <v>0</v>
      </c>
      <c r="D16" s="133" t="s">
        <v>40</v>
      </c>
      <c r="E16" s="134">
        <f>Lytchett!AR7</f>
        <v>12</v>
      </c>
      <c r="F16" s="135" t="str">
        <f>VLOOKUP('Number Allocation'!D34,'Weekly Results'!$B$48:$C$63,2,0)</f>
        <v>Lytchett</v>
      </c>
      <c r="G16" s="11"/>
      <c r="H16" s="131" t="str">
        <f>VLOOKUP('Number Allocation'!F34,'Weekly Results'!$B$48:$C$63,2,0)</f>
        <v>Swanage</v>
      </c>
      <c r="I16" s="132">
        <f>Swanage!AR8</f>
        <v>5</v>
      </c>
      <c r="J16" s="133" t="s">
        <v>40</v>
      </c>
      <c r="K16" s="134">
        <v>7</v>
      </c>
      <c r="L16" s="135" t="str">
        <f>VLOOKUP('Number Allocation'!H34,'Weekly Results'!$B$48:$C$63,2,0)</f>
        <v>Dorchester</v>
      </c>
      <c r="M16" s="11"/>
      <c r="N16" s="131" t="str">
        <f>VLOOKUP('Number Allocation'!J34,'Weekly Results'!$B$48:$C$63,2,0)</f>
        <v>Bridport</v>
      </c>
      <c r="O16" s="132">
        <f>Bridport!AR9</f>
        <v>10</v>
      </c>
      <c r="P16" s="133" t="s">
        <v>40</v>
      </c>
      <c r="Q16" s="134">
        <f>Portland!AR9</f>
        <v>2</v>
      </c>
      <c r="R16" s="135" t="str">
        <f>VLOOKUP('Number Allocation'!L34,'Weekly Results'!$B$48:$C$63,2,0)</f>
        <v>Portland</v>
      </c>
      <c r="S16" s="11"/>
      <c r="T16" s="131" t="str">
        <f>VLOOKUP('Number Allocation'!N34,'Weekly Results'!$B$48:$C$63,2,0)</f>
        <v>Bournemouth</v>
      </c>
      <c r="U16" s="132">
        <f>Bournemouth!AR10</f>
        <v>8</v>
      </c>
      <c r="V16" s="133" t="s">
        <v>40</v>
      </c>
      <c r="W16" s="134">
        <v>4</v>
      </c>
      <c r="X16" s="135" t="str">
        <f>VLOOKUP('Number Allocation'!P34,'Weekly Results'!$B$48:$C$63,2,0)</f>
        <v>Boscombe</v>
      </c>
      <c r="Y16" s="11"/>
      <c r="Z16" s="131" t="str">
        <f>VLOOKUP('Number Allocation'!R34,'Weekly Results'!$B$48:$C$63,2,0)</f>
        <v>Shaftesbury</v>
      </c>
      <c r="AA16" s="132">
        <v>3</v>
      </c>
      <c r="AB16" s="133" t="s">
        <v>40</v>
      </c>
      <c r="AC16" s="134">
        <f>Swanage!AR11</f>
        <v>9</v>
      </c>
      <c r="AD16" s="135" t="str">
        <f>VLOOKUP('Number Allocation'!T34,'Weekly Results'!$B$48:$C$63,2,0)</f>
        <v>Swanage</v>
      </c>
      <c r="AE16" s="11"/>
    </row>
    <row r="17" spans="2:31" ht="12" customHeight="1" x14ac:dyDescent="0.2">
      <c r="B17" s="131" t="str">
        <f>VLOOKUP('Number Allocation'!B35,'Weekly Results'!$B$48:$C$63,2,0)</f>
        <v>Bridport</v>
      </c>
      <c r="C17" s="132">
        <f>Bridport!AR7</f>
        <v>3</v>
      </c>
      <c r="D17" s="133" t="s">
        <v>40</v>
      </c>
      <c r="E17" s="136">
        <f>Poole!AR7</f>
        <v>9</v>
      </c>
      <c r="F17" s="135" t="str">
        <f>VLOOKUP('Number Allocation'!D35,'Weekly Results'!$B$48:$C$63,2,0)</f>
        <v>Poole</v>
      </c>
      <c r="G17" s="11"/>
      <c r="H17" s="131" t="str">
        <f>VLOOKUP('Number Allocation'!F35,'Weekly Results'!$B$48:$C$63,2,0)</f>
        <v>Bournemouth</v>
      </c>
      <c r="I17" s="132">
        <f>Bournemouth!AR8</f>
        <v>9</v>
      </c>
      <c r="J17" s="133" t="s">
        <v>40</v>
      </c>
      <c r="K17" s="134">
        <f>Weymouth!AR8</f>
        <v>2</v>
      </c>
      <c r="L17" s="135" t="str">
        <f>VLOOKUP('Number Allocation'!H35,'Weekly Results'!$B$48:$C$63,2,0)</f>
        <v>Weymouth</v>
      </c>
      <c r="M17" s="11"/>
      <c r="N17" s="131" t="str">
        <f>VLOOKUP('Number Allocation'!J35,'Weekly Results'!$B$48:$C$63,2,0)</f>
        <v>Shaftesbury</v>
      </c>
      <c r="O17" s="132">
        <v>1</v>
      </c>
      <c r="P17" s="133" t="s">
        <v>40</v>
      </c>
      <c r="Q17" s="134">
        <f>Lytchett!AR9</f>
        <v>11</v>
      </c>
      <c r="R17" s="135" t="str">
        <f>VLOOKUP('Number Allocation'!L35,'Weekly Results'!$B$48:$C$63,2,0)</f>
        <v>Lytchett</v>
      </c>
      <c r="S17" s="11"/>
      <c r="T17" s="131" t="str">
        <f>VLOOKUP('Number Allocation'!N35,'Weekly Results'!$B$48:$C$63,2,0)</f>
        <v>Parkstone</v>
      </c>
      <c r="U17" s="132">
        <f>Parkstone!AR10</f>
        <v>4</v>
      </c>
      <c r="V17" s="133" t="s">
        <v>40</v>
      </c>
      <c r="W17" s="134">
        <f>Dorchester!AR10</f>
        <v>8</v>
      </c>
      <c r="X17" s="135" t="str">
        <f>VLOOKUP('Number Allocation'!P35,'Weekly Results'!$B$48:$C$63,2,0)</f>
        <v>Dorchester</v>
      </c>
      <c r="Y17" s="11"/>
      <c r="Z17" s="131" t="str">
        <f>VLOOKUP('Number Allocation'!R35,'Weekly Results'!$B$48:$C$63,2,0)</f>
        <v>Alderholt</v>
      </c>
      <c r="AA17" s="132">
        <f>Alderholt!AR11</f>
        <v>11</v>
      </c>
      <c r="AB17" s="133" t="s">
        <v>40</v>
      </c>
      <c r="AC17" s="134">
        <f>Portland!AR11</f>
        <v>1</v>
      </c>
      <c r="AD17" s="135" t="str">
        <f>VLOOKUP('Number Allocation'!T35,'Weekly Results'!$B$48:$C$63,2,0)</f>
        <v>Portland</v>
      </c>
      <c r="AE17" s="11"/>
    </row>
    <row r="18" spans="2:31" ht="12" customHeight="1" x14ac:dyDescent="0.2">
      <c r="B18" s="131" t="str">
        <f>VLOOKUP('Number Allocation'!B36,'Weekly Results'!$B$48:$C$63,2,0)</f>
        <v>Shaftesbury</v>
      </c>
      <c r="C18" s="132">
        <f>Shaftesbury!AR7</f>
        <v>6</v>
      </c>
      <c r="D18" s="133" t="s">
        <v>40</v>
      </c>
      <c r="E18" s="134">
        <f>Alderholt!AR7</f>
        <v>6</v>
      </c>
      <c r="F18" s="135" t="str">
        <f>VLOOKUP('Number Allocation'!D36,'Weekly Results'!$B$48:$C$63,2,0)</f>
        <v>Alderholt</v>
      </c>
      <c r="G18" s="11"/>
      <c r="H18" s="131" t="str">
        <f>VLOOKUP('Number Allocation'!F36,'Weekly Results'!$B$48:$C$63,2,0)</f>
        <v>Parkstone</v>
      </c>
      <c r="I18" s="132">
        <f>Parkstone!AR8</f>
        <v>8</v>
      </c>
      <c r="J18" s="133" t="s">
        <v>40</v>
      </c>
      <c r="K18" s="134">
        <v>4</v>
      </c>
      <c r="L18" s="135" t="str">
        <f>VLOOKUP('Number Allocation'!H36,'Weekly Results'!$B$48:$C$63,2,0)</f>
        <v>Alderney</v>
      </c>
      <c r="M18" s="11"/>
      <c r="N18" s="131" t="str">
        <f>VLOOKUP('Number Allocation'!J36,'Weekly Results'!$B$48:$C$63,2,0)</f>
        <v>Alderholt</v>
      </c>
      <c r="O18" s="132">
        <f>Alderholt!AR9</f>
        <v>3</v>
      </c>
      <c r="P18" s="133" t="s">
        <v>40</v>
      </c>
      <c r="Q18" s="134">
        <f>Poole!AR9</f>
        <v>9</v>
      </c>
      <c r="R18" s="135" t="str">
        <f>VLOOKUP('Number Allocation'!L36,'Weekly Results'!$B$48:$C$63,2,0)</f>
        <v>Poole</v>
      </c>
      <c r="S18" s="11"/>
      <c r="T18" s="131" t="str">
        <f>VLOOKUP('Number Allocation'!N36,'Weekly Results'!$B$48:$C$63,2,0)</f>
        <v>Alderney</v>
      </c>
      <c r="U18" s="132">
        <f>Alderney!AR10</f>
        <v>5</v>
      </c>
      <c r="V18" s="133" t="s">
        <v>40</v>
      </c>
      <c r="W18" s="134">
        <v>7</v>
      </c>
      <c r="X18" s="135" t="str">
        <f>VLOOKUP('Number Allocation'!P36,'Weekly Results'!$B$48:$C$63,2,0)</f>
        <v>Weymouth</v>
      </c>
      <c r="Y18" s="11"/>
      <c r="Z18" s="131" t="str">
        <f>VLOOKUP('Number Allocation'!R36,'Weekly Results'!$B$48:$C$63,2,0)</f>
        <v>Poole</v>
      </c>
      <c r="AA18" s="132">
        <v>3</v>
      </c>
      <c r="AB18" s="133" t="s">
        <v>40</v>
      </c>
      <c r="AC18" s="134">
        <f>Lytchett!AR11</f>
        <v>9</v>
      </c>
      <c r="AD18" s="135" t="str">
        <f>VLOOKUP('Number Allocation'!T36,'Weekly Results'!$B$48:$C$63,2,0)</f>
        <v>Lytchett</v>
      </c>
      <c r="AE18" s="11"/>
    </row>
    <row r="19" spans="2:31" ht="12" customHeight="1" x14ac:dyDescent="0.2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2:31" ht="12" customHeight="1" x14ac:dyDescent="0.2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</row>
    <row r="21" spans="2:31" ht="12.75" customHeight="1" x14ac:dyDescent="0.2">
      <c r="B21" s="220" t="s">
        <v>41</v>
      </c>
      <c r="C21" s="170"/>
      <c r="D21" s="170"/>
      <c r="E21" s="170"/>
      <c r="F21" s="170"/>
      <c r="G21" s="5"/>
      <c r="H21" s="220" t="s">
        <v>42</v>
      </c>
      <c r="I21" s="170"/>
      <c r="J21" s="170"/>
      <c r="K21" s="170"/>
      <c r="L21" s="170"/>
      <c r="M21" s="35"/>
      <c r="N21" s="220" t="s">
        <v>43</v>
      </c>
      <c r="O21" s="170"/>
      <c r="P21" s="170"/>
      <c r="Q21" s="170"/>
      <c r="R21" s="170"/>
      <c r="S21" s="35"/>
      <c r="T21" s="220" t="s">
        <v>44</v>
      </c>
      <c r="U21" s="170"/>
      <c r="V21" s="170"/>
      <c r="W21" s="170"/>
      <c r="X21" s="170"/>
      <c r="Y21" s="35"/>
      <c r="Z21" s="220" t="s">
        <v>45</v>
      </c>
      <c r="AA21" s="170"/>
      <c r="AB21" s="170"/>
      <c r="AC21" s="170"/>
      <c r="AD21" s="170"/>
      <c r="AE21" s="11"/>
    </row>
    <row r="22" spans="2:31" ht="5.25" customHeight="1" x14ac:dyDescent="0.2">
      <c r="B22" s="11"/>
      <c r="C22" s="11"/>
      <c r="D22" s="1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1"/>
      <c r="AE22" s="11"/>
    </row>
    <row r="23" spans="2:31" ht="12.75" customHeight="1" x14ac:dyDescent="0.2">
      <c r="B23" s="221" t="s">
        <v>46</v>
      </c>
      <c r="C23" s="170"/>
      <c r="D23" s="170"/>
      <c r="E23" s="170"/>
      <c r="F23" s="170"/>
      <c r="G23" s="5"/>
      <c r="H23" s="221" t="s">
        <v>47</v>
      </c>
      <c r="I23" s="170"/>
      <c r="J23" s="170"/>
      <c r="K23" s="170"/>
      <c r="L23" s="170"/>
      <c r="M23" s="5"/>
      <c r="N23" s="221" t="s">
        <v>48</v>
      </c>
      <c r="O23" s="170"/>
      <c r="P23" s="170"/>
      <c r="Q23" s="170"/>
      <c r="R23" s="170"/>
      <c r="S23" s="5"/>
      <c r="T23" s="221" t="s">
        <v>49</v>
      </c>
      <c r="U23" s="170"/>
      <c r="V23" s="170"/>
      <c r="W23" s="170"/>
      <c r="X23" s="170"/>
      <c r="Y23" s="5"/>
      <c r="Z23" s="221" t="s">
        <v>50</v>
      </c>
      <c r="AA23" s="170"/>
      <c r="AB23" s="170"/>
      <c r="AC23" s="170"/>
      <c r="AD23" s="170"/>
      <c r="AE23" s="11"/>
    </row>
    <row r="24" spans="2:31" ht="12" customHeight="1" x14ac:dyDescent="0.2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</row>
    <row r="25" spans="2:31" ht="12" customHeight="1" x14ac:dyDescent="0.2">
      <c r="B25" s="126" t="str">
        <f>VLOOKUP('Number Allocation'!B44,'Weekly Results'!$B$48:$C$63,2,0)</f>
        <v>Christchurch</v>
      </c>
      <c r="C25" s="127">
        <v>4</v>
      </c>
      <c r="D25" s="128" t="s">
        <v>40</v>
      </c>
      <c r="E25" s="129">
        <v>8</v>
      </c>
      <c r="F25" s="130" t="str">
        <f>VLOOKUP('Number Allocation'!D44,'Weekly Results'!$B$48:$C$63,2,0)</f>
        <v>Lytchett</v>
      </c>
      <c r="G25" s="11"/>
      <c r="H25" s="126" t="str">
        <f>VLOOKUP('Number Allocation'!F44,'Weekly Results'!$B$48:$C$63,2,0)</f>
        <v>Dorchester</v>
      </c>
      <c r="I25" s="127">
        <f>Dorchester!AR13</f>
        <v>6</v>
      </c>
      <c r="J25" s="128" t="s">
        <v>40</v>
      </c>
      <c r="K25" s="129">
        <f>Christchurch!AR13</f>
        <v>6</v>
      </c>
      <c r="L25" s="130" t="str">
        <f>VLOOKUP('Number Allocation'!H44,'Weekly Results'!$B$48:$C$63,2,0)</f>
        <v>Christchurch</v>
      </c>
      <c r="M25" s="11"/>
      <c r="N25" s="126" t="str">
        <f>VLOOKUP('Number Allocation'!J44,'Weekly Results'!$B$48:$C$63,2,0)</f>
        <v>Christchurch</v>
      </c>
      <c r="O25" s="127">
        <f>Christchurch!AR14</f>
        <v>12</v>
      </c>
      <c r="P25" s="128" t="s">
        <v>40</v>
      </c>
      <c r="Q25" s="129">
        <f>Portland!AR14</f>
        <v>0</v>
      </c>
      <c r="R25" s="130" t="str">
        <f>VLOOKUP('Number Allocation'!L44,'Weekly Results'!$B$48:$C$63,2,0)</f>
        <v>Portland</v>
      </c>
      <c r="S25" s="11"/>
      <c r="T25" s="126" t="str">
        <f>VLOOKUP('Number Allocation'!N44,'Weekly Results'!$B$48:$C$63,2,0)</f>
        <v>Boscombe</v>
      </c>
      <c r="U25" s="127">
        <f>Boscombe!AR15</f>
        <v>3</v>
      </c>
      <c r="V25" s="128" t="s">
        <v>40</v>
      </c>
      <c r="W25" s="129">
        <f>Christchurch!AR15</f>
        <v>9</v>
      </c>
      <c r="X25" s="130" t="str">
        <f>VLOOKUP('Number Allocation'!P44,'Weekly Results'!$B$48:$C$63,2,0)</f>
        <v>Christchurch</v>
      </c>
      <c r="Y25" s="11"/>
      <c r="Z25" s="126" t="str">
        <f>VLOOKUP('Number Allocation'!R44,'Weekly Results'!$B$48:$C$63,2,0)</f>
        <v>Christchurch</v>
      </c>
      <c r="AA25" s="127">
        <f>Christchurch!AR16</f>
        <v>11</v>
      </c>
      <c r="AB25" s="128" t="s">
        <v>40</v>
      </c>
      <c r="AC25" s="129">
        <f>Swanage!AR16</f>
        <v>1</v>
      </c>
      <c r="AD25" s="130" t="str">
        <f>VLOOKUP('Number Allocation'!T44,'Weekly Results'!$B$48:$C$63,2,0)</f>
        <v>Swanage</v>
      </c>
      <c r="AE25" s="11"/>
    </row>
    <row r="26" spans="2:31" ht="12" customHeight="1" x14ac:dyDescent="0.2">
      <c r="B26" s="131" t="str">
        <f>VLOOKUP('Number Allocation'!B45,'Weekly Results'!$B$48:$C$63,2,0)</f>
        <v>Portland</v>
      </c>
      <c r="C26" s="132">
        <f>Portland!AR12</f>
        <v>4</v>
      </c>
      <c r="D26" s="133" t="s">
        <v>40</v>
      </c>
      <c r="E26" s="134">
        <f>Poole!AR12</f>
        <v>8</v>
      </c>
      <c r="F26" s="135" t="str">
        <f>VLOOKUP('Number Allocation'!D45,'Weekly Results'!$B$48:$C$63,2,0)</f>
        <v>Poole</v>
      </c>
      <c r="G26" s="11"/>
      <c r="H26" s="131" t="str">
        <f>VLOOKUP('Number Allocation'!F45,'Weekly Results'!$B$48:$C$63,2,0)</f>
        <v>Boscombe</v>
      </c>
      <c r="I26" s="132">
        <f>Boscombe!AR13</f>
        <v>8</v>
      </c>
      <c r="J26" s="133" t="s">
        <v>40</v>
      </c>
      <c r="K26" s="134">
        <f>Weymouth!AR13</f>
        <v>4</v>
      </c>
      <c r="L26" s="135" t="str">
        <f>VLOOKUP('Number Allocation'!H45,'Weekly Results'!$B$48:$C$63,2,0)</f>
        <v>Weymouth</v>
      </c>
      <c r="M26" s="11"/>
      <c r="N26" s="131" t="str">
        <f>VLOOKUP('Number Allocation'!J45,'Weekly Results'!$B$48:$C$63,2,0)</f>
        <v>Swanage</v>
      </c>
      <c r="O26" s="132">
        <f>Swanage!AR14</f>
        <v>4</v>
      </c>
      <c r="P26" s="133" t="s">
        <v>40</v>
      </c>
      <c r="Q26" s="134">
        <f>Lytchett!AR14</f>
        <v>8</v>
      </c>
      <c r="R26" s="135" t="str">
        <f>VLOOKUP('Number Allocation'!L45,'Weekly Results'!$B$48:$C$63,2,0)</f>
        <v>Lytchett</v>
      </c>
      <c r="S26" s="11"/>
      <c r="T26" s="131" t="str">
        <f>VLOOKUP('Number Allocation'!N45,'Weekly Results'!$B$48:$C$63,2,0)</f>
        <v>Bridport</v>
      </c>
      <c r="U26" s="132">
        <f>Bridport!AR15</f>
        <v>2</v>
      </c>
      <c r="V26" s="133" t="s">
        <v>40</v>
      </c>
      <c r="W26" s="134">
        <f>Dorchester!AR15</f>
        <v>10</v>
      </c>
      <c r="X26" s="135" t="str">
        <f>VLOOKUP('Number Allocation'!P45,'Weekly Results'!$B$48:$C$63,2,0)</f>
        <v>Dorchester</v>
      </c>
      <c r="Y26" s="11"/>
      <c r="Z26" s="131" t="str">
        <f>VLOOKUP('Number Allocation'!R45,'Weekly Results'!$B$48:$C$63,2,0)</f>
        <v>Bournemouth</v>
      </c>
      <c r="AA26" s="132">
        <f>Bournemouth!AR16</f>
        <v>2</v>
      </c>
      <c r="AB26" s="133" t="s">
        <v>40</v>
      </c>
      <c r="AC26" s="134">
        <f>Portland!AR16</f>
        <v>10</v>
      </c>
      <c r="AD26" s="135" t="str">
        <f>VLOOKUP('Number Allocation'!T45,'Weekly Results'!$B$48:$C$63,2,0)</f>
        <v>Portland</v>
      </c>
      <c r="AE26" s="11"/>
    </row>
    <row r="27" spans="2:31" ht="12" customHeight="1" x14ac:dyDescent="0.2">
      <c r="B27" s="131" t="str">
        <f>VLOOKUP('Number Allocation'!B46,'Weekly Results'!$B$48:$C$63,2,0)</f>
        <v>Swanage</v>
      </c>
      <c r="C27" s="132">
        <f>Swanage!AR12</f>
        <v>4</v>
      </c>
      <c r="D27" s="133" t="s">
        <v>40</v>
      </c>
      <c r="E27" s="134">
        <v>8</v>
      </c>
      <c r="F27" s="135" t="str">
        <f>VLOOKUP('Number Allocation'!D46,'Weekly Results'!$B$48:$C$63,2,0)</f>
        <v>Alderholt</v>
      </c>
      <c r="G27" s="11"/>
      <c r="H27" s="131" t="str">
        <f>VLOOKUP('Number Allocation'!F46,'Weekly Results'!$B$48:$C$63,2,0)</f>
        <v>Bridport</v>
      </c>
      <c r="I27" s="132">
        <f>Bridport!AR13</f>
        <v>6</v>
      </c>
      <c r="J27" s="133" t="s">
        <v>40</v>
      </c>
      <c r="K27" s="134">
        <f>Alderney!AR13</f>
        <v>6</v>
      </c>
      <c r="L27" s="135" t="str">
        <f>VLOOKUP('Number Allocation'!H46,'Weekly Results'!$B$48:$C$63,2,0)</f>
        <v>Alderney</v>
      </c>
      <c r="M27" s="11"/>
      <c r="N27" s="131" t="str">
        <f>VLOOKUP('Number Allocation'!J46,'Weekly Results'!$B$48:$C$63,2,0)</f>
        <v>Bournemouth</v>
      </c>
      <c r="O27" s="132">
        <f>Bournemouth!AR14</f>
        <v>4</v>
      </c>
      <c r="P27" s="133" t="s">
        <v>40</v>
      </c>
      <c r="Q27" s="134">
        <f>Poole!AR14</f>
        <v>8</v>
      </c>
      <c r="R27" s="135" t="str">
        <f>VLOOKUP('Number Allocation'!L46,'Weekly Results'!$B$48:$C$63,2,0)</f>
        <v>Poole</v>
      </c>
      <c r="S27" s="11"/>
      <c r="T27" s="131" t="str">
        <f>VLOOKUP('Number Allocation'!N46,'Weekly Results'!$B$48:$C$63,2,0)</f>
        <v>Shaftesbury</v>
      </c>
      <c r="U27" s="132">
        <f>Shaftesbury!AR15</f>
        <v>7</v>
      </c>
      <c r="V27" s="133" t="s">
        <v>40</v>
      </c>
      <c r="W27" s="134">
        <f>Weymouth!AR15</f>
        <v>4</v>
      </c>
      <c r="X27" s="135" t="str">
        <f>VLOOKUP('Number Allocation'!P46,'Weekly Results'!$B$48:$C$63,2,0)</f>
        <v>Weymouth</v>
      </c>
      <c r="Y27" s="11"/>
      <c r="Z27" s="131" t="str">
        <f>VLOOKUP('Number Allocation'!R46,'Weekly Results'!$B$48:$C$63,2,0)</f>
        <v>Parkstone</v>
      </c>
      <c r="AA27" s="132">
        <f>Parkstone!AR16</f>
        <v>2</v>
      </c>
      <c r="AB27" s="133" t="s">
        <v>40</v>
      </c>
      <c r="AC27" s="134">
        <f>Lytchett!AR16</f>
        <v>10</v>
      </c>
      <c r="AD27" s="135" t="str">
        <f>VLOOKUP('Number Allocation'!T46,'Weekly Results'!$B$48:$C$63,2,0)</f>
        <v>Lytchett</v>
      </c>
      <c r="AE27" s="11"/>
    </row>
    <row r="28" spans="2:31" ht="12" customHeight="1" x14ac:dyDescent="0.2">
      <c r="B28" s="131" t="str">
        <f>VLOOKUP('Number Allocation'!B47,'Weekly Results'!$B$48:$C$63,2,0)</f>
        <v>Bournemouth</v>
      </c>
      <c r="C28" s="132">
        <v>6</v>
      </c>
      <c r="D28" s="133" t="s">
        <v>40</v>
      </c>
      <c r="E28" s="134">
        <v>6</v>
      </c>
      <c r="F28" s="135" t="str">
        <f>VLOOKUP('Number Allocation'!D47,'Weekly Results'!$B$48:$C$63,2,0)</f>
        <v>Shaftesbury</v>
      </c>
      <c r="G28" s="11"/>
      <c r="H28" s="131" t="str">
        <f>VLOOKUP('Number Allocation'!F47,'Weekly Results'!$B$48:$C$63,2,0)</f>
        <v>Shaftesbury</v>
      </c>
      <c r="I28" s="132">
        <f>Shaftesbury!AR13</f>
        <v>4</v>
      </c>
      <c r="J28" s="133" t="s">
        <v>40</v>
      </c>
      <c r="K28" s="134">
        <f>Parkstone!AR13</f>
        <v>8</v>
      </c>
      <c r="L28" s="135" t="str">
        <f>VLOOKUP('Number Allocation'!H47,'Weekly Results'!$B$48:$C$63,2,0)</f>
        <v>Parkstone</v>
      </c>
      <c r="M28" s="11"/>
      <c r="N28" s="131" t="str">
        <f>VLOOKUP('Number Allocation'!J47,'Weekly Results'!$B$48:$C$63,2,0)</f>
        <v>Parkstone</v>
      </c>
      <c r="O28" s="132">
        <f>Parkstone!AR14</f>
        <v>3</v>
      </c>
      <c r="P28" s="133" t="s">
        <v>40</v>
      </c>
      <c r="Q28" s="134">
        <f>Alderholt!AR14</f>
        <v>9</v>
      </c>
      <c r="R28" s="135" t="str">
        <f>VLOOKUP('Number Allocation'!L47,'Weekly Results'!$B$48:$C$63,2,0)</f>
        <v>Alderholt</v>
      </c>
      <c r="S28" s="11"/>
      <c r="T28" s="131" t="str">
        <f>VLOOKUP('Number Allocation'!N47,'Weekly Results'!$B$48:$C$63,2,0)</f>
        <v>Alderholt</v>
      </c>
      <c r="U28" s="132">
        <f>Alderholt!AR15</f>
        <v>10</v>
      </c>
      <c r="V28" s="133" t="s">
        <v>40</v>
      </c>
      <c r="W28" s="134">
        <f>Alderney!AR15</f>
        <v>2</v>
      </c>
      <c r="X28" s="135" t="str">
        <f>VLOOKUP('Number Allocation'!P47,'Weekly Results'!$B$48:$C$63,2,0)</f>
        <v>Alderney</v>
      </c>
      <c r="Y28" s="11"/>
      <c r="Z28" s="131" t="str">
        <f>VLOOKUP('Number Allocation'!R47,'Weekly Results'!$B$48:$C$63,2,0)</f>
        <v>Alderney</v>
      </c>
      <c r="AA28" s="132">
        <f>Alderney!AR16</f>
        <v>1</v>
      </c>
      <c r="AB28" s="133" t="s">
        <v>40</v>
      </c>
      <c r="AC28" s="134">
        <f>Poole!AR16</f>
        <v>11</v>
      </c>
      <c r="AD28" s="135" t="str">
        <f>VLOOKUP('Number Allocation'!T47,'Weekly Results'!$B$48:$C$63,2,0)</f>
        <v>Poole</v>
      </c>
      <c r="AE28" s="11"/>
    </row>
    <row r="29" spans="2:31" ht="12" customHeight="1" x14ac:dyDescent="0.2">
      <c r="B29" s="131" t="str">
        <f>VLOOKUP('Number Allocation'!B48,'Weekly Results'!$B$48:$C$63,2,0)</f>
        <v>Parkstone</v>
      </c>
      <c r="C29" s="132">
        <f>Parkstone!AR12</f>
        <v>7</v>
      </c>
      <c r="D29" s="133" t="s">
        <v>40</v>
      </c>
      <c r="E29" s="134">
        <v>5</v>
      </c>
      <c r="F29" s="135" t="str">
        <f>VLOOKUP('Number Allocation'!D48,'Weekly Results'!$B$48:$C$63,2,0)</f>
        <v>Bridport</v>
      </c>
      <c r="G29" s="11"/>
      <c r="H29" s="131" t="str">
        <f>VLOOKUP('Number Allocation'!F48,'Weekly Results'!$B$48:$C$63,2,0)</f>
        <v>Alderholt</v>
      </c>
      <c r="I29" s="132">
        <f>Alderholt!AR13</f>
        <v>8</v>
      </c>
      <c r="J29" s="133" t="s">
        <v>40</v>
      </c>
      <c r="K29" s="134">
        <f>Bournemouth!AR13</f>
        <v>4</v>
      </c>
      <c r="L29" s="135" t="str">
        <f>VLOOKUP('Number Allocation'!H48,'Weekly Results'!$B$48:$C$63,2,0)</f>
        <v>Bournemouth</v>
      </c>
      <c r="M29" s="11"/>
      <c r="N29" s="131" t="str">
        <f>VLOOKUP('Number Allocation'!J48,'Weekly Results'!$B$48:$C$63,2,0)</f>
        <v>Alderney</v>
      </c>
      <c r="O29" s="132">
        <f>Alderney!AR14</f>
        <v>4</v>
      </c>
      <c r="P29" s="133" t="s">
        <v>40</v>
      </c>
      <c r="Q29" s="134">
        <f>Shaftesbury!AR14</f>
        <v>8</v>
      </c>
      <c r="R29" s="135" t="str">
        <f>VLOOKUP('Number Allocation'!L48,'Weekly Results'!$B$48:$C$63,2,0)</f>
        <v>Shaftesbury</v>
      </c>
      <c r="S29" s="11"/>
      <c r="T29" s="131" t="str">
        <f>VLOOKUP('Number Allocation'!N48,'Weekly Results'!$B$48:$C$63,2,0)</f>
        <v>Poole</v>
      </c>
      <c r="U29" s="132">
        <f>Poole!AR15</f>
        <v>6</v>
      </c>
      <c r="V29" s="133" t="s">
        <v>40</v>
      </c>
      <c r="W29" s="134">
        <f>Parkstone!AR15</f>
        <v>6</v>
      </c>
      <c r="X29" s="135" t="str">
        <f>VLOOKUP('Number Allocation'!P48,'Weekly Results'!$B$48:$C$63,2,0)</f>
        <v>Parkstone</v>
      </c>
      <c r="Y29" s="11"/>
      <c r="Z29" s="131" t="str">
        <f>VLOOKUP('Number Allocation'!R48,'Weekly Results'!$B$48:$C$63,2,0)</f>
        <v>Weymouth</v>
      </c>
      <c r="AA29" s="132">
        <f>Weymouth!AR16</f>
        <v>4</v>
      </c>
      <c r="AB29" s="133" t="s">
        <v>40</v>
      </c>
      <c r="AC29" s="134">
        <f>Alderholt!AR16</f>
        <v>8</v>
      </c>
      <c r="AD29" s="135" t="str">
        <f>VLOOKUP('Number Allocation'!T48,'Weekly Results'!$B$48:$C$63,2,0)</f>
        <v>Alderholt</v>
      </c>
      <c r="AE29" s="11"/>
    </row>
    <row r="30" spans="2:31" ht="12" customHeight="1" x14ac:dyDescent="0.2">
      <c r="B30" s="131" t="str">
        <f>VLOOKUP('Number Allocation'!B49,'Weekly Results'!$B$48:$C$63,2,0)</f>
        <v>Alderney</v>
      </c>
      <c r="C30" s="132">
        <f>Alderney!AR12</f>
        <v>3</v>
      </c>
      <c r="D30" s="133" t="s">
        <v>40</v>
      </c>
      <c r="E30" s="134">
        <f>Boscombe!AR12</f>
        <v>9</v>
      </c>
      <c r="F30" s="135" t="str">
        <f>VLOOKUP('Number Allocation'!D49,'Weekly Results'!$B$48:$C$63,2,0)</f>
        <v>Boscombe</v>
      </c>
      <c r="G30" s="11"/>
      <c r="H30" s="131" t="str">
        <f>VLOOKUP('Number Allocation'!F49,'Weekly Results'!$B$48:$C$63,2,0)</f>
        <v>Poole</v>
      </c>
      <c r="I30" s="132">
        <v>6</v>
      </c>
      <c r="J30" s="133" t="s">
        <v>40</v>
      </c>
      <c r="K30" s="134">
        <f>Swanage!AR13</f>
        <v>6</v>
      </c>
      <c r="L30" s="135" t="str">
        <f>VLOOKUP('Number Allocation'!H49,'Weekly Results'!$B$48:$C$63,2,0)</f>
        <v>Swanage</v>
      </c>
      <c r="M30" s="11"/>
      <c r="N30" s="131" t="str">
        <f>VLOOKUP('Number Allocation'!J49,'Weekly Results'!$B$48:$C$63,2,0)</f>
        <v>Weymouth</v>
      </c>
      <c r="O30" s="132">
        <v>5</v>
      </c>
      <c r="P30" s="133" t="s">
        <v>40</v>
      </c>
      <c r="Q30" s="134">
        <f>Bridport!AR14</f>
        <v>7</v>
      </c>
      <c r="R30" s="135" t="str">
        <f>VLOOKUP('Number Allocation'!L49,'Weekly Results'!$B$48:$C$63,2,0)</f>
        <v>Bridport</v>
      </c>
      <c r="S30" s="11"/>
      <c r="T30" s="131" t="str">
        <f>VLOOKUP('Number Allocation'!N49,'Weekly Results'!$B$48:$C$63,2,0)</f>
        <v>Lytchett</v>
      </c>
      <c r="U30" s="132">
        <f>Lytchett!AR15</f>
        <v>10</v>
      </c>
      <c r="V30" s="133" t="s">
        <v>40</v>
      </c>
      <c r="W30" s="134">
        <f>Bournemouth!AR15</f>
        <v>2</v>
      </c>
      <c r="X30" s="135" t="str">
        <f>VLOOKUP('Number Allocation'!P49,'Weekly Results'!$B$48:$C$63,2,0)</f>
        <v>Bournemouth</v>
      </c>
      <c r="Y30" s="11"/>
      <c r="Z30" s="131" t="str">
        <f>VLOOKUP('Number Allocation'!R49,'Weekly Results'!$B$48:$C$63,2,0)</f>
        <v>Dorchester</v>
      </c>
      <c r="AA30" s="132">
        <f>Dorchester!AR16</f>
        <v>10</v>
      </c>
      <c r="AB30" s="133" t="s">
        <v>40</v>
      </c>
      <c r="AC30" s="134">
        <f>Shaftesbury!AR16</f>
        <v>2</v>
      </c>
      <c r="AD30" s="135" t="str">
        <f>VLOOKUP('Number Allocation'!T49,'Weekly Results'!$B$48:$C$63,2,0)</f>
        <v>Shaftesbury</v>
      </c>
      <c r="AE30" s="11"/>
    </row>
    <row r="31" spans="2:31" ht="12" customHeight="1" x14ac:dyDescent="0.2">
      <c r="B31" s="131" t="str">
        <f>VLOOKUP('Number Allocation'!B50,'Weekly Results'!$B$48:$C$63,2,0)</f>
        <v>Weymouth</v>
      </c>
      <c r="C31" s="132">
        <f>Weymouth!AR12</f>
        <v>4</v>
      </c>
      <c r="D31" s="133" t="s">
        <v>40</v>
      </c>
      <c r="E31" s="134">
        <v>8</v>
      </c>
      <c r="F31" s="135" t="str">
        <f>VLOOKUP('Number Allocation'!D50,'Weekly Results'!$B$48:$C$63,2,0)</f>
        <v>Dorchester</v>
      </c>
      <c r="G31" s="11"/>
      <c r="H31" s="131" t="str">
        <f>VLOOKUP('Number Allocation'!F50,'Weekly Results'!$B$48:$C$63,2,0)</f>
        <v>Lytchett</v>
      </c>
      <c r="I31" s="132">
        <f>Lytchett!AR13</f>
        <v>9</v>
      </c>
      <c r="J31" s="133" t="s">
        <v>40</v>
      </c>
      <c r="K31" s="134">
        <f>Portland!AR13</f>
        <v>3</v>
      </c>
      <c r="L31" s="135" t="str">
        <f>VLOOKUP('Number Allocation'!H50,'Weekly Results'!$B$48:$C$63,2,0)</f>
        <v>Portland</v>
      </c>
      <c r="M31" s="11"/>
      <c r="N31" s="131" t="str">
        <f>VLOOKUP('Number Allocation'!J50,'Weekly Results'!$B$48:$C$63,2,0)</f>
        <v>Dorchester</v>
      </c>
      <c r="O31" s="132">
        <f>Dorchester!AR14</f>
        <v>9</v>
      </c>
      <c r="P31" s="133" t="s">
        <v>40</v>
      </c>
      <c r="Q31" s="134">
        <v>3</v>
      </c>
      <c r="R31" s="135" t="str">
        <f>VLOOKUP('Number Allocation'!L50,'Weekly Results'!$B$48:$C$63,2,0)</f>
        <v>Boscombe</v>
      </c>
      <c r="S31" s="11"/>
      <c r="T31" s="131" t="str">
        <f>VLOOKUP('Number Allocation'!N50,'Weekly Results'!$B$48:$C$63,2,0)</f>
        <v>Portland</v>
      </c>
      <c r="U31" s="132">
        <v>2</v>
      </c>
      <c r="V31" s="133" t="s">
        <v>40</v>
      </c>
      <c r="W31" s="134">
        <v>10</v>
      </c>
      <c r="X31" s="135" t="str">
        <f>VLOOKUP('Number Allocation'!P50,'Weekly Results'!$B$48:$C$63,2,0)</f>
        <v>Swanage</v>
      </c>
      <c r="Y31" s="11"/>
      <c r="Z31" s="131" t="str">
        <f>VLOOKUP('Number Allocation'!R50,'Weekly Results'!$B$48:$C$63,2,0)</f>
        <v>Boscombe</v>
      </c>
      <c r="AA31" s="132">
        <f>Boscombe!AR16</f>
        <v>7</v>
      </c>
      <c r="AB31" s="133" t="s">
        <v>40</v>
      </c>
      <c r="AC31" s="134">
        <v>5</v>
      </c>
      <c r="AD31" s="135" t="str">
        <f>VLOOKUP('Number Allocation'!T50,'Weekly Results'!$B$48:$C$63,2,0)</f>
        <v>Bridport</v>
      </c>
      <c r="AE31" s="11"/>
    </row>
    <row r="32" spans="2:31" ht="12" customHeight="1" x14ac:dyDescent="0.2"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</row>
    <row r="33" spans="2:31" ht="12" customHeight="1" x14ac:dyDescent="0.2"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</row>
    <row r="34" spans="2:31" ht="12.75" customHeight="1" x14ac:dyDescent="0.2">
      <c r="B34" s="220" t="s">
        <v>51</v>
      </c>
      <c r="C34" s="170"/>
      <c r="D34" s="170"/>
      <c r="E34" s="170"/>
      <c r="F34" s="170"/>
      <c r="G34" s="5"/>
      <c r="H34" s="220" t="s">
        <v>52</v>
      </c>
      <c r="I34" s="170"/>
      <c r="J34" s="170"/>
      <c r="K34" s="170"/>
      <c r="L34" s="170"/>
      <c r="M34" s="5"/>
      <c r="N34" s="220" t="s">
        <v>53</v>
      </c>
      <c r="O34" s="170"/>
      <c r="P34" s="170"/>
      <c r="Q34" s="170"/>
      <c r="R34" s="170"/>
      <c r="S34" s="5"/>
      <c r="T34" s="11"/>
    </row>
    <row r="35" spans="2:31" ht="5.25" customHeight="1" x14ac:dyDescent="0.2">
      <c r="B35" s="11"/>
      <c r="C35" s="11"/>
      <c r="D35" s="11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11"/>
    </row>
    <row r="36" spans="2:31" ht="12.75" customHeight="1" x14ac:dyDescent="0.2">
      <c r="B36" s="221" t="s">
        <v>54</v>
      </c>
      <c r="C36" s="170"/>
      <c r="D36" s="170"/>
      <c r="E36" s="170"/>
      <c r="F36" s="170"/>
      <c r="G36" s="5"/>
      <c r="H36" s="221" t="s">
        <v>55</v>
      </c>
      <c r="I36" s="170"/>
      <c r="J36" s="170"/>
      <c r="K36" s="170"/>
      <c r="L36" s="170"/>
      <c r="M36" s="5"/>
      <c r="N36" s="221" t="s">
        <v>56</v>
      </c>
      <c r="O36" s="170"/>
      <c r="P36" s="170"/>
      <c r="Q36" s="170"/>
      <c r="R36" s="170"/>
      <c r="S36" s="5"/>
      <c r="T36" s="11"/>
    </row>
    <row r="37" spans="2:31" ht="12" customHeight="1" x14ac:dyDescent="0.2"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2:31" ht="12" customHeight="1" x14ac:dyDescent="0.2">
      <c r="B38" s="126" t="str">
        <f>VLOOKUP('Number Allocation'!B58,'Weekly Results'!$B$48:$C$63,2,0)</f>
        <v>Bridport</v>
      </c>
      <c r="C38" s="127">
        <f>Bridport!AR17</f>
        <v>8</v>
      </c>
      <c r="D38" s="128" t="s">
        <v>40</v>
      </c>
      <c r="E38" s="129">
        <f>Christchurch!AR17</f>
        <v>4</v>
      </c>
      <c r="F38" s="130" t="str">
        <f>VLOOKUP('Number Allocation'!D58,'Weekly Results'!$B$48:$C$63,2,0)</f>
        <v>Christchurch</v>
      </c>
      <c r="G38" s="11"/>
      <c r="H38" s="126" t="str">
        <f>VLOOKUP('Number Allocation'!F58,'Weekly Results'!$B$48:$C$63,2,0)</f>
        <v>Christchurch</v>
      </c>
      <c r="I38" s="127">
        <f>Christchurch!AR18</f>
        <v>9</v>
      </c>
      <c r="J38" s="128" t="s">
        <v>40</v>
      </c>
      <c r="K38" s="129">
        <f>Bournemouth!AR18</f>
        <v>3</v>
      </c>
      <c r="L38" s="130" t="str">
        <f>VLOOKUP('Number Allocation'!H58,'Weekly Results'!$B$48:$C$63,2,0)</f>
        <v>Bournemouth</v>
      </c>
      <c r="M38" s="11"/>
      <c r="N38" s="126" t="str">
        <f>VLOOKUP('Number Allocation'!J58,'Weekly Results'!$B$48:$C$63,2,0)</f>
        <v>Shaftesbury</v>
      </c>
      <c r="O38" s="127">
        <f>Shaftesbury!AR19</f>
        <v>4</v>
      </c>
      <c r="P38" s="128" t="s">
        <v>40</v>
      </c>
      <c r="Q38" s="129">
        <f>Christchurch!AR19</f>
        <v>8</v>
      </c>
      <c r="R38" s="130" t="str">
        <f>VLOOKUP('Number Allocation'!L58,'Weekly Results'!$B$48:$C$63,2,0)</f>
        <v>Christchurch</v>
      </c>
      <c r="S38" s="11"/>
      <c r="T38" s="11"/>
    </row>
    <row r="39" spans="2:31" ht="12" customHeight="1" x14ac:dyDescent="0.2">
      <c r="B39" s="131" t="str">
        <f>VLOOKUP('Number Allocation'!B59,'Weekly Results'!$B$48:$C$63,2,0)</f>
        <v>Shaftesbury</v>
      </c>
      <c r="C39" s="132">
        <f>Shaftesbury!AR17</f>
        <v>7</v>
      </c>
      <c r="D39" s="133" t="s">
        <v>40</v>
      </c>
      <c r="E39" s="134">
        <f>Boscombe!AR17</f>
        <v>5</v>
      </c>
      <c r="F39" s="135" t="str">
        <f>VLOOKUP('Number Allocation'!D59,'Weekly Results'!$B$48:$C$63,2,0)</f>
        <v>Boscombe</v>
      </c>
      <c r="G39" s="11"/>
      <c r="H39" s="131" t="str">
        <f>VLOOKUP('Number Allocation'!F59,'Weekly Results'!$B$48:$C$63,2,0)</f>
        <v>Parkstone</v>
      </c>
      <c r="I39" s="137">
        <v>5</v>
      </c>
      <c r="J39" s="133" t="s">
        <v>40</v>
      </c>
      <c r="K39" s="134">
        <f>Swanage!AR18</f>
        <v>7</v>
      </c>
      <c r="L39" s="135" t="str">
        <f>VLOOKUP('Number Allocation'!H59,'Weekly Results'!$B$48:$C$63,2,0)</f>
        <v>Swanage</v>
      </c>
      <c r="M39" s="11"/>
      <c r="N39" s="131" t="str">
        <f>VLOOKUP('Number Allocation'!J59,'Weekly Results'!$B$48:$C$63,2,0)</f>
        <v>Alderholt</v>
      </c>
      <c r="O39" s="132">
        <f>Alderholt!AR19</f>
        <v>5</v>
      </c>
      <c r="P39" s="133" t="s">
        <v>40</v>
      </c>
      <c r="Q39" s="134">
        <f>Bridport!AR19</f>
        <v>7</v>
      </c>
      <c r="R39" s="135" t="str">
        <f>VLOOKUP('Number Allocation'!L59,'Weekly Results'!$B$48:$C$63,2,0)</f>
        <v>Bridport</v>
      </c>
      <c r="S39" s="11"/>
      <c r="T39" s="11"/>
    </row>
    <row r="40" spans="2:31" ht="12" customHeight="1" x14ac:dyDescent="0.2">
      <c r="B40" s="131" t="str">
        <f>VLOOKUP('Number Allocation'!B60,'Weekly Results'!$B$48:$C$63,2,0)</f>
        <v>Alderholt</v>
      </c>
      <c r="C40" s="132">
        <f>Alderholt!AR17</f>
        <v>4</v>
      </c>
      <c r="D40" s="133" t="s">
        <v>40</v>
      </c>
      <c r="E40" s="134">
        <f>Dorchester!AR17</f>
        <v>8</v>
      </c>
      <c r="F40" s="135" t="str">
        <f>VLOOKUP('Number Allocation'!D60,'Weekly Results'!$B$48:$C$63,2,0)</f>
        <v>Dorchester</v>
      </c>
      <c r="G40" s="11"/>
      <c r="H40" s="131" t="str">
        <f>VLOOKUP('Number Allocation'!F60,'Weekly Results'!$B$48:$C$63,2,0)</f>
        <v>Alderney</v>
      </c>
      <c r="I40" s="132">
        <f>Alderney!AR18</f>
        <v>5</v>
      </c>
      <c r="J40" s="133" t="s">
        <v>40</v>
      </c>
      <c r="K40" s="134">
        <f>Portland!AR18</f>
        <v>7</v>
      </c>
      <c r="L40" s="135" t="str">
        <f>VLOOKUP('Number Allocation'!H60,'Weekly Results'!$B$48:$C$63,2,0)</f>
        <v>Portland</v>
      </c>
      <c r="M40" s="11"/>
      <c r="N40" s="131" t="str">
        <f>VLOOKUP('Number Allocation'!J60,'Weekly Results'!$B$48:$C$63,2,0)</f>
        <v>Poole</v>
      </c>
      <c r="O40" s="132">
        <f>Poole!AR19</f>
        <v>8</v>
      </c>
      <c r="P40" s="133" t="s">
        <v>40</v>
      </c>
      <c r="Q40" s="134">
        <f>Boscombe!AR19</f>
        <v>4</v>
      </c>
      <c r="R40" s="135" t="str">
        <f>VLOOKUP('Number Allocation'!L60,'Weekly Results'!$B$48:$C$63,2,0)</f>
        <v>Boscombe</v>
      </c>
      <c r="S40" s="11"/>
      <c r="T40" s="11"/>
    </row>
    <row r="41" spans="2:31" ht="12" customHeight="1" x14ac:dyDescent="0.2">
      <c r="B41" s="131" t="str">
        <f>VLOOKUP('Number Allocation'!B61,'Weekly Results'!$B$48:$C$63,2,0)</f>
        <v>Poole</v>
      </c>
      <c r="C41" s="132">
        <f>Poole!AR17</f>
        <v>6</v>
      </c>
      <c r="D41" s="133" t="s">
        <v>40</v>
      </c>
      <c r="E41" s="134">
        <f>Weymouth!AR17</f>
        <v>6</v>
      </c>
      <c r="F41" s="135" t="str">
        <f>VLOOKUP('Number Allocation'!D61,'Weekly Results'!$B$48:$C$63,2,0)</f>
        <v>Weymouth</v>
      </c>
      <c r="G41" s="11"/>
      <c r="H41" s="131" t="str">
        <f>VLOOKUP('Number Allocation'!F61,'Weekly Results'!$B$48:$C$63,2,0)</f>
        <v>Weymouth</v>
      </c>
      <c r="I41" s="132">
        <f>Weymouth!AR18</f>
        <v>5</v>
      </c>
      <c r="J41" s="133" t="s">
        <v>40</v>
      </c>
      <c r="K41" s="134">
        <f>Lytchett!AR18</f>
        <v>7</v>
      </c>
      <c r="L41" s="135" t="str">
        <f>VLOOKUP('Number Allocation'!H61,'Weekly Results'!$B$48:$C$63,2,0)</f>
        <v>Lytchett</v>
      </c>
      <c r="M41" s="11"/>
      <c r="N41" s="131" t="str">
        <f>VLOOKUP('Number Allocation'!J61,'Weekly Results'!$B$48:$C$63,2,0)</f>
        <v>Lytchett</v>
      </c>
      <c r="O41" s="132">
        <f>Lytchett!AR19</f>
        <v>7</v>
      </c>
      <c r="P41" s="133" t="s">
        <v>40</v>
      </c>
      <c r="Q41" s="134">
        <f>Dorchester!AR19</f>
        <v>5</v>
      </c>
      <c r="R41" s="135" t="str">
        <f>VLOOKUP('Number Allocation'!L61,'Weekly Results'!$B$48:$C$63,2,0)</f>
        <v>Dorchester</v>
      </c>
      <c r="S41" s="11"/>
      <c r="T41" s="11"/>
    </row>
    <row r="42" spans="2:31" ht="12" customHeight="1" x14ac:dyDescent="0.2">
      <c r="B42" s="131" t="str">
        <f>VLOOKUP('Number Allocation'!B62,'Weekly Results'!$B$48:$C$63,2,0)</f>
        <v>Lytchett</v>
      </c>
      <c r="C42" s="132">
        <f>Lytchett!AR17</f>
        <v>12</v>
      </c>
      <c r="D42" s="133" t="s">
        <v>40</v>
      </c>
      <c r="E42" s="134">
        <f>Alderney!AR17</f>
        <v>0</v>
      </c>
      <c r="F42" s="135" t="str">
        <f>VLOOKUP('Number Allocation'!D62,'Weekly Results'!$B$48:$C$63,2,0)</f>
        <v>Alderney</v>
      </c>
      <c r="G42" s="11"/>
      <c r="H42" s="131" t="str">
        <f>VLOOKUP('Number Allocation'!F62,'Weekly Results'!$B$48:$C$63,2,0)</f>
        <v>Dorchester</v>
      </c>
      <c r="I42" s="132">
        <f>Dorchester!AR18</f>
        <v>8</v>
      </c>
      <c r="J42" s="133" t="s">
        <v>40</v>
      </c>
      <c r="K42" s="134">
        <f>Poole!AR18</f>
        <v>4</v>
      </c>
      <c r="L42" s="135" t="str">
        <f>VLOOKUP('Number Allocation'!H62,'Weekly Results'!$B$48:$C$63,2,0)</f>
        <v>Poole</v>
      </c>
      <c r="M42" s="11"/>
      <c r="N42" s="131" t="str">
        <f>VLOOKUP('Number Allocation'!J62,'Weekly Results'!$B$48:$C$63,2,0)</f>
        <v>Portland</v>
      </c>
      <c r="O42" s="132">
        <f>Portland!AR19</f>
        <v>6</v>
      </c>
      <c r="P42" s="133" t="s">
        <v>40</v>
      </c>
      <c r="Q42" s="134">
        <v>6</v>
      </c>
      <c r="R42" s="135" t="str">
        <f>VLOOKUP('Number Allocation'!L62,'Weekly Results'!$B$48:$C$63,2,0)</f>
        <v>Weymouth</v>
      </c>
      <c r="S42" s="11"/>
      <c r="T42" s="11"/>
    </row>
    <row r="43" spans="2:31" ht="12" customHeight="1" x14ac:dyDescent="0.2">
      <c r="B43" s="131" t="str">
        <f>VLOOKUP('Number Allocation'!B63,'Weekly Results'!$B$48:$C$63,2,0)</f>
        <v>Portland</v>
      </c>
      <c r="C43" s="132">
        <f>Portland!AR17</f>
        <v>6</v>
      </c>
      <c r="D43" s="133" t="s">
        <v>40</v>
      </c>
      <c r="E43" s="134">
        <v>6</v>
      </c>
      <c r="F43" s="135" t="str">
        <f>VLOOKUP('Number Allocation'!D63,'Weekly Results'!$B$48:$C$63,2,0)</f>
        <v>Parkstone</v>
      </c>
      <c r="G43" s="11"/>
      <c r="H43" s="131" t="str">
        <f>VLOOKUP('Number Allocation'!F63,'Weekly Results'!$B$48:$C$63,2,0)</f>
        <v>Boscombe</v>
      </c>
      <c r="I43" s="132">
        <f>Boscombe!AR18</f>
        <v>8</v>
      </c>
      <c r="J43" s="133" t="s">
        <v>40</v>
      </c>
      <c r="K43" s="134">
        <f>Alderholt!AR18</f>
        <v>4</v>
      </c>
      <c r="L43" s="135" t="str">
        <f>VLOOKUP('Number Allocation'!H63,'Weekly Results'!$B$48:$C$63,2,0)</f>
        <v>Alderholt</v>
      </c>
      <c r="M43" s="11"/>
      <c r="N43" s="131" t="str">
        <f>VLOOKUP('Number Allocation'!J63,'Weekly Results'!$B$48:$C$63,2,0)</f>
        <v>Swanage</v>
      </c>
      <c r="O43" s="132">
        <f>Swanage!AR19</f>
        <v>8</v>
      </c>
      <c r="P43" s="133" t="s">
        <v>40</v>
      </c>
      <c r="Q43" s="134">
        <f>Alderney!AR19</f>
        <v>4</v>
      </c>
      <c r="R43" s="135" t="str">
        <f>VLOOKUP('Number Allocation'!L63,'Weekly Results'!$B$48:$C$63,2,0)</f>
        <v>Alderney</v>
      </c>
      <c r="S43" s="11"/>
      <c r="T43" s="11"/>
    </row>
    <row r="44" spans="2:31" ht="12" customHeight="1" x14ac:dyDescent="0.2">
      <c r="B44" s="131" t="str">
        <f>VLOOKUP('Number Allocation'!B64,'Weekly Results'!$B$48:$C$63,2,0)</f>
        <v>Swanage</v>
      </c>
      <c r="C44" s="132">
        <f>Swanage!AR17</f>
        <v>8</v>
      </c>
      <c r="D44" s="133" t="s">
        <v>40</v>
      </c>
      <c r="E44" s="134">
        <f>Bournemouth!AR17</f>
        <v>4</v>
      </c>
      <c r="F44" s="135" t="str">
        <f>VLOOKUP('Number Allocation'!D64,'Weekly Results'!$B$48:$C$63,2,0)</f>
        <v>Bournemouth</v>
      </c>
      <c r="G44" s="11"/>
      <c r="H44" s="131" t="str">
        <f>VLOOKUP('Number Allocation'!F64,'Weekly Results'!$B$48:$C$63,2,0)</f>
        <v>Bridport</v>
      </c>
      <c r="I44" s="132">
        <f>Bridport!AR18</f>
        <v>6</v>
      </c>
      <c r="J44" s="133" t="s">
        <v>40</v>
      </c>
      <c r="K44" s="134">
        <f>Shaftesbury!AR18</f>
        <v>6</v>
      </c>
      <c r="L44" s="135" t="str">
        <f>VLOOKUP('Number Allocation'!H64,'Weekly Results'!$B$48:$C$63,2,0)</f>
        <v>Shaftesbury</v>
      </c>
      <c r="M44" s="11"/>
      <c r="N44" s="131" t="str">
        <f>VLOOKUP('Number Allocation'!J64,'Weekly Results'!$B$48:$C$63,2,0)</f>
        <v>Bournemouth</v>
      </c>
      <c r="O44" s="132">
        <f>Bournemouth!AR19</f>
        <v>8</v>
      </c>
      <c r="P44" s="133" t="s">
        <v>40</v>
      </c>
      <c r="Q44" s="134">
        <v>4</v>
      </c>
      <c r="R44" s="135" t="str">
        <f>VLOOKUP('Number Allocation'!L64,'Weekly Results'!$B$48:$C$63,2,0)</f>
        <v>Parkstone</v>
      </c>
      <c r="S44" s="11"/>
      <c r="T44" s="11"/>
    </row>
    <row r="45" spans="2:31" ht="12" customHeight="1" x14ac:dyDescent="0.2"/>
    <row r="46" spans="2:31" ht="12.75" customHeight="1" x14ac:dyDescent="0.2">
      <c r="B46" s="36"/>
      <c r="C46" s="36"/>
      <c r="D46" s="36"/>
      <c r="E46" s="36"/>
      <c r="F46" s="36"/>
      <c r="G46" s="3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2:31" ht="12" customHeight="1" x14ac:dyDescent="0.2"/>
    <row r="48" spans="2:31" ht="12" customHeight="1" x14ac:dyDescent="0.2">
      <c r="B48" s="138">
        <v>1</v>
      </c>
      <c r="C48" s="179" t="s">
        <v>15</v>
      </c>
      <c r="D48" s="170"/>
      <c r="E48" s="170"/>
    </row>
    <row r="49" spans="2:5" ht="12" customHeight="1" x14ac:dyDescent="0.2">
      <c r="B49" s="138">
        <v>2</v>
      </c>
      <c r="C49" s="179" t="s">
        <v>16</v>
      </c>
      <c r="D49" s="170"/>
      <c r="E49" s="170"/>
    </row>
    <row r="50" spans="2:5" ht="12" customHeight="1" x14ac:dyDescent="0.2">
      <c r="B50" s="138">
        <v>3</v>
      </c>
      <c r="C50" s="179" t="s">
        <v>17</v>
      </c>
      <c r="D50" s="170"/>
      <c r="E50" s="170"/>
    </row>
    <row r="51" spans="2:5" ht="12" customHeight="1" x14ac:dyDescent="0.2">
      <c r="B51" s="138">
        <v>4</v>
      </c>
      <c r="C51" s="179" t="s">
        <v>18</v>
      </c>
      <c r="D51" s="170"/>
      <c r="E51" s="170"/>
    </row>
    <row r="52" spans="2:5" ht="12" customHeight="1" x14ac:dyDescent="0.2">
      <c r="B52" s="138">
        <v>5</v>
      </c>
      <c r="C52" s="179" t="s">
        <v>19</v>
      </c>
      <c r="D52" s="170"/>
      <c r="E52" s="170"/>
    </row>
    <row r="53" spans="2:5" ht="12" customHeight="1" x14ac:dyDescent="0.2">
      <c r="B53" s="138">
        <v>6</v>
      </c>
      <c r="C53" s="179" t="s">
        <v>20</v>
      </c>
      <c r="D53" s="170"/>
      <c r="E53" s="170"/>
    </row>
    <row r="54" spans="2:5" ht="12" customHeight="1" x14ac:dyDescent="0.2">
      <c r="B54" s="138">
        <v>7</v>
      </c>
      <c r="C54" s="179" t="s">
        <v>21</v>
      </c>
      <c r="D54" s="170"/>
      <c r="E54" s="170"/>
    </row>
    <row r="55" spans="2:5" ht="12" customHeight="1" x14ac:dyDescent="0.2">
      <c r="B55" s="138">
        <v>8</v>
      </c>
      <c r="C55" s="179" t="s">
        <v>22</v>
      </c>
      <c r="D55" s="170"/>
      <c r="E55" s="170"/>
    </row>
    <row r="56" spans="2:5" ht="12" customHeight="1" x14ac:dyDescent="0.2">
      <c r="B56" s="138">
        <v>9</v>
      </c>
      <c r="C56" s="179" t="s">
        <v>23</v>
      </c>
      <c r="D56" s="170"/>
      <c r="E56" s="170"/>
    </row>
    <row r="57" spans="2:5" ht="12" customHeight="1" x14ac:dyDescent="0.2">
      <c r="B57" s="138">
        <v>10</v>
      </c>
      <c r="C57" s="179" t="s">
        <v>24</v>
      </c>
      <c r="D57" s="170"/>
      <c r="E57" s="170"/>
    </row>
    <row r="58" spans="2:5" ht="12" customHeight="1" x14ac:dyDescent="0.2">
      <c r="B58" s="138">
        <v>11</v>
      </c>
      <c r="C58" s="179" t="s">
        <v>25</v>
      </c>
      <c r="D58" s="170"/>
      <c r="E58" s="170"/>
    </row>
    <row r="59" spans="2:5" ht="12" customHeight="1" x14ac:dyDescent="0.2">
      <c r="B59" s="138">
        <v>12</v>
      </c>
      <c r="C59" s="179" t="s">
        <v>26</v>
      </c>
      <c r="D59" s="170"/>
      <c r="E59" s="170"/>
    </row>
    <row r="60" spans="2:5" ht="12" customHeight="1" x14ac:dyDescent="0.2">
      <c r="B60" s="138">
        <v>13</v>
      </c>
      <c r="C60" s="179" t="s">
        <v>27</v>
      </c>
      <c r="D60" s="170"/>
      <c r="E60" s="170"/>
    </row>
    <row r="61" spans="2:5" ht="12" customHeight="1" x14ac:dyDescent="0.2">
      <c r="B61" s="138">
        <v>14</v>
      </c>
      <c r="C61" s="179" t="s">
        <v>28</v>
      </c>
      <c r="D61" s="170"/>
      <c r="E61" s="170"/>
    </row>
    <row r="62" spans="2:5" ht="12" customHeight="1" x14ac:dyDescent="0.2">
      <c r="C62" s="1"/>
    </row>
    <row r="63" spans="2:5" ht="12" customHeight="1" x14ac:dyDescent="0.2">
      <c r="C63" s="1"/>
    </row>
    <row r="64" spans="2:5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1">
    <mergeCell ref="T10:X10"/>
    <mergeCell ref="Z10:AD10"/>
    <mergeCell ref="B3:AD4"/>
    <mergeCell ref="B8:F8"/>
    <mergeCell ref="H8:L8"/>
    <mergeCell ref="N8:R8"/>
    <mergeCell ref="T8:X8"/>
    <mergeCell ref="Z8:AD8"/>
    <mergeCell ref="B10:F10"/>
    <mergeCell ref="H10:L10"/>
    <mergeCell ref="N10:R10"/>
    <mergeCell ref="B21:F21"/>
    <mergeCell ref="H21:L21"/>
    <mergeCell ref="N21:R21"/>
    <mergeCell ref="T21:X21"/>
    <mergeCell ref="Z21:AD21"/>
    <mergeCell ref="B23:F23"/>
    <mergeCell ref="H23:L23"/>
    <mergeCell ref="N23:R23"/>
    <mergeCell ref="T23:X23"/>
    <mergeCell ref="Z23:AD23"/>
    <mergeCell ref="H34:L34"/>
    <mergeCell ref="N34:R34"/>
    <mergeCell ref="B34:F34"/>
    <mergeCell ref="B36:F36"/>
    <mergeCell ref="H36:L36"/>
    <mergeCell ref="N36:R36"/>
    <mergeCell ref="C48:E48"/>
    <mergeCell ref="C49:E49"/>
    <mergeCell ref="C50:E50"/>
    <mergeCell ref="C58:E58"/>
    <mergeCell ref="C59:E59"/>
    <mergeCell ref="C60:E60"/>
    <mergeCell ref="C61:E61"/>
    <mergeCell ref="C51:E51"/>
    <mergeCell ref="C52:E52"/>
    <mergeCell ref="C53:E53"/>
    <mergeCell ref="C54:E54"/>
    <mergeCell ref="C55:E55"/>
    <mergeCell ref="C56:E56"/>
    <mergeCell ref="C57:E5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1000"/>
  <sheetViews>
    <sheetView showGridLines="0" workbookViewId="0"/>
  </sheetViews>
  <sheetFormatPr defaultColWidth="14.42578125" defaultRowHeight="15" customHeight="1" x14ac:dyDescent="0.2"/>
  <cols>
    <col min="1" max="2" width="5.140625" customWidth="1"/>
    <col min="3" max="3" width="11.7109375" customWidth="1"/>
    <col min="4" max="6" width="5.140625" customWidth="1"/>
    <col min="7" max="7" width="11.7109375" customWidth="1"/>
    <col min="8" max="10" width="5.140625" customWidth="1"/>
    <col min="11" max="11" width="11.7109375" customWidth="1"/>
    <col min="12" max="14" width="5.140625" customWidth="1"/>
    <col min="15" max="15" width="11.7109375" customWidth="1"/>
    <col min="16" max="18" width="5.140625" customWidth="1"/>
    <col min="19" max="19" width="11.7109375" customWidth="1"/>
    <col min="20" max="21" width="5.140625" customWidth="1"/>
  </cols>
  <sheetData>
    <row r="1" spans="2:20" ht="12" customHeight="1" x14ac:dyDescent="0.2"/>
    <row r="2" spans="2:20" ht="12" customHeight="1" x14ac:dyDescent="0.2"/>
    <row r="3" spans="2:20" ht="12" customHeight="1" x14ac:dyDescent="0.2">
      <c r="B3" s="180" t="s">
        <v>14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8"/>
    </row>
    <row r="4" spans="2:20" ht="12" customHeight="1" x14ac:dyDescent="0.2">
      <c r="B4" s="172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4"/>
    </row>
    <row r="5" spans="2:20" ht="12" customHeight="1" x14ac:dyDescent="0.2"/>
    <row r="6" spans="2:20" ht="12" customHeight="1" x14ac:dyDescent="0.2"/>
    <row r="7" spans="2:20" ht="12" customHeight="1" x14ac:dyDescent="0.2">
      <c r="I7" s="11">
        <v>1</v>
      </c>
      <c r="J7" s="179" t="s">
        <v>15</v>
      </c>
      <c r="K7" s="170"/>
      <c r="L7" s="170"/>
    </row>
    <row r="8" spans="2:20" ht="12" customHeight="1" x14ac:dyDescent="0.2">
      <c r="I8" s="11">
        <v>2</v>
      </c>
      <c r="J8" s="179" t="s">
        <v>16</v>
      </c>
      <c r="K8" s="170"/>
      <c r="L8" s="170"/>
      <c r="M8" s="1"/>
    </row>
    <row r="9" spans="2:20" ht="12" customHeight="1" x14ac:dyDescent="0.2">
      <c r="I9" s="11">
        <v>3</v>
      </c>
      <c r="J9" s="179" t="s">
        <v>17</v>
      </c>
      <c r="K9" s="170"/>
      <c r="L9" s="170"/>
    </row>
    <row r="10" spans="2:20" ht="12" customHeight="1" x14ac:dyDescent="0.2">
      <c r="I10" s="11">
        <v>4</v>
      </c>
      <c r="J10" s="179" t="s">
        <v>18</v>
      </c>
      <c r="K10" s="170"/>
      <c r="L10" s="170"/>
      <c r="M10" s="1"/>
    </row>
    <row r="11" spans="2:20" ht="12" customHeight="1" x14ac:dyDescent="0.2">
      <c r="I11" s="11">
        <v>5</v>
      </c>
      <c r="J11" s="179" t="s">
        <v>19</v>
      </c>
      <c r="K11" s="170"/>
      <c r="L11" s="170"/>
    </row>
    <row r="12" spans="2:20" ht="12" customHeight="1" x14ac:dyDescent="0.2">
      <c r="I12" s="11">
        <v>6</v>
      </c>
      <c r="J12" s="179" t="s">
        <v>20</v>
      </c>
      <c r="K12" s="170"/>
      <c r="L12" s="170"/>
    </row>
    <row r="13" spans="2:20" ht="12" customHeight="1" x14ac:dyDescent="0.2">
      <c r="I13" s="11">
        <v>7</v>
      </c>
      <c r="J13" s="179" t="s">
        <v>21</v>
      </c>
      <c r="K13" s="170"/>
      <c r="L13" s="170"/>
    </row>
    <row r="14" spans="2:20" ht="12" customHeight="1" x14ac:dyDescent="0.2">
      <c r="I14" s="11">
        <v>8</v>
      </c>
      <c r="J14" s="179" t="s">
        <v>22</v>
      </c>
      <c r="K14" s="170"/>
      <c r="L14" s="170"/>
    </row>
    <row r="15" spans="2:20" ht="12" customHeight="1" x14ac:dyDescent="0.2">
      <c r="I15" s="11">
        <v>9</v>
      </c>
      <c r="J15" s="179" t="s">
        <v>23</v>
      </c>
      <c r="K15" s="170"/>
      <c r="L15" s="170"/>
    </row>
    <row r="16" spans="2:20" ht="12" customHeight="1" x14ac:dyDescent="0.2">
      <c r="I16" s="11">
        <v>10</v>
      </c>
      <c r="J16" s="179" t="s">
        <v>24</v>
      </c>
      <c r="K16" s="170"/>
      <c r="L16" s="170"/>
    </row>
    <row r="17" spans="2:21" ht="12" customHeight="1" x14ac:dyDescent="0.2">
      <c r="I17" s="11">
        <v>11</v>
      </c>
      <c r="J17" s="179" t="s">
        <v>25</v>
      </c>
      <c r="K17" s="170"/>
      <c r="L17" s="170"/>
    </row>
    <row r="18" spans="2:21" ht="12" customHeight="1" x14ac:dyDescent="0.2">
      <c r="B18" s="11"/>
      <c r="I18" s="11">
        <v>12</v>
      </c>
      <c r="J18" s="179" t="s">
        <v>26</v>
      </c>
      <c r="K18" s="170"/>
      <c r="L18" s="170"/>
    </row>
    <row r="19" spans="2:21" ht="12" customHeight="1" x14ac:dyDescent="0.2">
      <c r="B19" s="11"/>
      <c r="I19" s="11">
        <v>13</v>
      </c>
      <c r="J19" s="179" t="s">
        <v>27</v>
      </c>
      <c r="K19" s="170"/>
      <c r="L19" s="170"/>
    </row>
    <row r="20" spans="2:21" ht="12" customHeight="1" x14ac:dyDescent="0.2">
      <c r="B20" s="11"/>
      <c r="I20" s="11">
        <v>14</v>
      </c>
      <c r="J20" s="179" t="s">
        <v>28</v>
      </c>
      <c r="K20" s="170"/>
      <c r="L20" s="170"/>
    </row>
    <row r="21" spans="2:21" ht="12" customHeight="1" x14ac:dyDescent="0.2">
      <c r="B21" s="11"/>
      <c r="I21" s="11"/>
      <c r="J21" s="179"/>
      <c r="K21" s="170"/>
      <c r="L21" s="170"/>
    </row>
    <row r="22" spans="2:21" ht="12" customHeight="1" x14ac:dyDescent="0.2">
      <c r="B22" s="11"/>
      <c r="I22" s="11"/>
      <c r="J22" s="179"/>
      <c r="K22" s="170"/>
      <c r="L22" s="170"/>
    </row>
    <row r="23" spans="2:21" ht="12" customHeight="1" x14ac:dyDescent="0.2">
      <c r="B23" s="11"/>
    </row>
    <row r="24" spans="2:21" ht="12" customHeight="1" x14ac:dyDescent="0.2">
      <c r="B24" s="11"/>
    </row>
    <row r="25" spans="2:21" ht="12" customHeight="1" x14ac:dyDescent="0.2">
      <c r="B25" s="11"/>
    </row>
    <row r="26" spans="2:21" ht="12.75" customHeight="1" x14ac:dyDescent="0.2">
      <c r="B26" s="11"/>
      <c r="C26" s="23" t="s">
        <v>29</v>
      </c>
      <c r="D26" s="23"/>
      <c r="E26" s="23"/>
      <c r="F26" s="23"/>
      <c r="G26" s="23" t="s">
        <v>30</v>
      </c>
      <c r="H26" s="23"/>
      <c r="I26" s="23"/>
      <c r="J26" s="23"/>
      <c r="K26" s="23" t="s">
        <v>31</v>
      </c>
      <c r="L26" s="23"/>
      <c r="M26" s="23"/>
      <c r="N26" s="23"/>
      <c r="O26" s="23" t="s">
        <v>32</v>
      </c>
      <c r="P26" s="23"/>
      <c r="Q26" s="23"/>
      <c r="R26" s="23"/>
      <c r="S26" s="23" t="s">
        <v>33</v>
      </c>
      <c r="T26" s="24"/>
      <c r="U26" s="25"/>
    </row>
    <row r="27" spans="2:21" ht="5.25" customHeight="1" x14ac:dyDescent="0.2">
      <c r="B27" s="11"/>
      <c r="C27" s="5" t="s">
        <v>34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11"/>
      <c r="U27" s="11"/>
    </row>
    <row r="28" spans="2:21" ht="12.75" customHeight="1" x14ac:dyDescent="0.2">
      <c r="B28" s="11"/>
      <c r="C28" s="5" t="s">
        <v>35</v>
      </c>
      <c r="D28" s="5"/>
      <c r="E28" s="5"/>
      <c r="F28" s="5"/>
      <c r="G28" s="5" t="s">
        <v>36</v>
      </c>
      <c r="H28" s="5"/>
      <c r="I28" s="5"/>
      <c r="J28" s="5"/>
      <c r="K28" s="5" t="s">
        <v>37</v>
      </c>
      <c r="L28" s="5"/>
      <c r="M28" s="5"/>
      <c r="N28" s="5"/>
      <c r="O28" s="5" t="s">
        <v>38</v>
      </c>
      <c r="P28" s="5"/>
      <c r="Q28" s="5"/>
      <c r="R28" s="5"/>
      <c r="S28" s="5" t="s">
        <v>39</v>
      </c>
      <c r="T28" s="11"/>
      <c r="U28" s="11"/>
    </row>
    <row r="29" spans="2:21" ht="12" customHeight="1" x14ac:dyDescent="0.2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</row>
    <row r="30" spans="2:21" ht="12" customHeight="1" x14ac:dyDescent="0.2">
      <c r="B30" s="26">
        <v>1</v>
      </c>
      <c r="C30" s="27" t="s">
        <v>40</v>
      </c>
      <c r="D30" s="28">
        <v>14</v>
      </c>
      <c r="E30" s="11"/>
      <c r="F30" s="26">
        <v>14</v>
      </c>
      <c r="G30" s="27" t="s">
        <v>40</v>
      </c>
      <c r="H30" s="28">
        <v>8</v>
      </c>
      <c r="I30" s="11"/>
      <c r="J30" s="26">
        <v>2</v>
      </c>
      <c r="K30" s="27" t="s">
        <v>40</v>
      </c>
      <c r="L30" s="28">
        <v>14</v>
      </c>
      <c r="M30" s="11"/>
      <c r="N30" s="26">
        <v>14</v>
      </c>
      <c r="O30" s="27" t="s">
        <v>40</v>
      </c>
      <c r="P30" s="26">
        <v>9</v>
      </c>
      <c r="Q30" s="11"/>
      <c r="R30" s="26">
        <v>3</v>
      </c>
      <c r="S30" s="27" t="s">
        <v>40</v>
      </c>
      <c r="T30" s="28">
        <v>14</v>
      </c>
      <c r="U30" s="11"/>
    </row>
    <row r="31" spans="2:21" ht="12" customHeight="1" x14ac:dyDescent="0.2">
      <c r="B31" s="29">
        <v>2</v>
      </c>
      <c r="C31" s="14" t="s">
        <v>40</v>
      </c>
      <c r="D31" s="30">
        <v>13</v>
      </c>
      <c r="E31" s="11"/>
      <c r="F31" s="29">
        <v>9</v>
      </c>
      <c r="G31" s="14" t="s">
        <v>40</v>
      </c>
      <c r="H31" s="30">
        <v>7</v>
      </c>
      <c r="I31" s="11"/>
      <c r="J31" s="29">
        <v>3</v>
      </c>
      <c r="K31" s="14" t="s">
        <v>40</v>
      </c>
      <c r="L31" s="30">
        <v>1</v>
      </c>
      <c r="M31" s="11"/>
      <c r="N31" s="29">
        <v>10</v>
      </c>
      <c r="O31" s="14" t="s">
        <v>40</v>
      </c>
      <c r="P31" s="29">
        <v>8</v>
      </c>
      <c r="Q31" s="11"/>
      <c r="R31" s="29">
        <v>4</v>
      </c>
      <c r="S31" s="14" t="s">
        <v>40</v>
      </c>
      <c r="T31" s="30">
        <v>2</v>
      </c>
      <c r="U31" s="11"/>
    </row>
    <row r="32" spans="2:21" ht="12" customHeight="1" x14ac:dyDescent="0.2">
      <c r="B32" s="29">
        <v>3</v>
      </c>
      <c r="C32" s="14" t="s">
        <v>40</v>
      </c>
      <c r="D32" s="30">
        <v>12</v>
      </c>
      <c r="E32" s="11"/>
      <c r="F32" s="29">
        <v>10</v>
      </c>
      <c r="G32" s="14" t="s">
        <v>40</v>
      </c>
      <c r="H32" s="30">
        <v>6</v>
      </c>
      <c r="I32" s="11"/>
      <c r="J32" s="29">
        <v>4</v>
      </c>
      <c r="K32" s="14" t="s">
        <v>40</v>
      </c>
      <c r="L32" s="30">
        <v>13</v>
      </c>
      <c r="M32" s="11"/>
      <c r="N32" s="29">
        <v>11</v>
      </c>
      <c r="O32" s="14" t="s">
        <v>40</v>
      </c>
      <c r="P32" s="29">
        <v>7</v>
      </c>
      <c r="Q32" s="11"/>
      <c r="R32" s="29">
        <v>5</v>
      </c>
      <c r="S32" s="14" t="s">
        <v>40</v>
      </c>
      <c r="T32" s="30">
        <v>1</v>
      </c>
      <c r="U32" s="11"/>
    </row>
    <row r="33" spans="2:21" ht="12" customHeight="1" x14ac:dyDescent="0.2">
      <c r="B33" s="29">
        <v>4</v>
      </c>
      <c r="C33" s="14" t="s">
        <v>40</v>
      </c>
      <c r="D33" s="30">
        <v>11</v>
      </c>
      <c r="E33" s="11"/>
      <c r="F33" s="29">
        <v>11</v>
      </c>
      <c r="G33" s="14" t="s">
        <v>40</v>
      </c>
      <c r="H33" s="30">
        <v>5</v>
      </c>
      <c r="I33" s="11"/>
      <c r="J33" s="29">
        <v>5</v>
      </c>
      <c r="K33" s="14" t="s">
        <v>40</v>
      </c>
      <c r="L33" s="30">
        <v>12</v>
      </c>
      <c r="M33" s="11"/>
      <c r="N33" s="29">
        <v>12</v>
      </c>
      <c r="O33" s="14" t="s">
        <v>40</v>
      </c>
      <c r="P33" s="29">
        <v>6</v>
      </c>
      <c r="Q33" s="11"/>
      <c r="R33" s="29">
        <v>6</v>
      </c>
      <c r="S33" s="14" t="s">
        <v>40</v>
      </c>
      <c r="T33" s="30">
        <v>13</v>
      </c>
      <c r="U33" s="11"/>
    </row>
    <row r="34" spans="2:21" ht="12" customHeight="1" x14ac:dyDescent="0.2">
      <c r="B34" s="29">
        <v>5</v>
      </c>
      <c r="C34" s="14" t="s">
        <v>40</v>
      </c>
      <c r="D34" s="30">
        <v>10</v>
      </c>
      <c r="E34" s="11"/>
      <c r="F34" s="29">
        <v>12</v>
      </c>
      <c r="G34" s="14" t="s">
        <v>40</v>
      </c>
      <c r="H34" s="30">
        <v>4</v>
      </c>
      <c r="I34" s="11"/>
      <c r="J34" s="29">
        <v>6</v>
      </c>
      <c r="K34" s="14" t="s">
        <v>40</v>
      </c>
      <c r="L34" s="30">
        <v>11</v>
      </c>
      <c r="M34" s="11"/>
      <c r="N34" s="29">
        <v>13</v>
      </c>
      <c r="O34" s="14" t="s">
        <v>40</v>
      </c>
      <c r="P34" s="29">
        <v>5</v>
      </c>
      <c r="Q34" s="11"/>
      <c r="R34" s="29">
        <v>7</v>
      </c>
      <c r="S34" s="14" t="s">
        <v>40</v>
      </c>
      <c r="T34" s="30">
        <v>12</v>
      </c>
      <c r="U34" s="11"/>
    </row>
    <row r="35" spans="2:21" ht="12" customHeight="1" x14ac:dyDescent="0.2">
      <c r="B35" s="29">
        <v>6</v>
      </c>
      <c r="C35" s="14" t="s">
        <v>40</v>
      </c>
      <c r="D35" s="30">
        <v>9</v>
      </c>
      <c r="E35" s="11"/>
      <c r="F35" s="29">
        <v>13</v>
      </c>
      <c r="G35" s="14" t="s">
        <v>40</v>
      </c>
      <c r="H35" s="30">
        <v>3</v>
      </c>
      <c r="I35" s="11"/>
      <c r="J35" s="29">
        <v>7</v>
      </c>
      <c r="K35" s="14" t="s">
        <v>40</v>
      </c>
      <c r="L35" s="30">
        <v>10</v>
      </c>
      <c r="M35" s="11"/>
      <c r="N35" s="29">
        <v>1</v>
      </c>
      <c r="O35" s="14" t="s">
        <v>40</v>
      </c>
      <c r="P35" s="29">
        <v>4</v>
      </c>
      <c r="Q35" s="11"/>
      <c r="R35" s="29">
        <v>8</v>
      </c>
      <c r="S35" s="14" t="s">
        <v>40</v>
      </c>
      <c r="T35" s="30">
        <v>11</v>
      </c>
      <c r="U35" s="11"/>
    </row>
    <row r="36" spans="2:21" ht="12" customHeight="1" x14ac:dyDescent="0.2">
      <c r="B36" s="29">
        <v>7</v>
      </c>
      <c r="C36" s="14" t="s">
        <v>40</v>
      </c>
      <c r="D36" s="30">
        <v>8</v>
      </c>
      <c r="E36" s="11"/>
      <c r="F36" s="29">
        <v>1</v>
      </c>
      <c r="G36" s="14" t="s">
        <v>40</v>
      </c>
      <c r="H36" s="30">
        <v>2</v>
      </c>
      <c r="I36" s="11"/>
      <c r="J36" s="29">
        <v>8</v>
      </c>
      <c r="K36" s="14" t="s">
        <v>40</v>
      </c>
      <c r="L36" s="30">
        <v>9</v>
      </c>
      <c r="M36" s="11"/>
      <c r="N36" s="29">
        <v>2</v>
      </c>
      <c r="O36" s="14" t="s">
        <v>40</v>
      </c>
      <c r="P36" s="29">
        <v>3</v>
      </c>
      <c r="Q36" s="11"/>
      <c r="R36" s="29">
        <v>9</v>
      </c>
      <c r="S36" s="14" t="s">
        <v>40</v>
      </c>
      <c r="T36" s="30">
        <v>10</v>
      </c>
      <c r="U36" s="11"/>
    </row>
    <row r="37" spans="2:21" ht="12" customHeight="1" x14ac:dyDescent="0.2">
      <c r="B37" s="31"/>
      <c r="C37" s="32"/>
      <c r="D37" s="33"/>
      <c r="E37" s="11"/>
      <c r="F37" s="31"/>
      <c r="G37" s="32"/>
      <c r="H37" s="33"/>
      <c r="I37" s="11"/>
      <c r="J37" s="31"/>
      <c r="K37" s="32"/>
      <c r="L37" s="33"/>
      <c r="M37" s="11"/>
      <c r="N37" s="31"/>
      <c r="O37" s="32"/>
      <c r="P37" s="31"/>
      <c r="Q37" s="11"/>
      <c r="R37" s="31"/>
      <c r="S37" s="32"/>
      <c r="T37" s="34"/>
      <c r="U37" s="11"/>
    </row>
    <row r="38" spans="2:21" ht="12" customHeight="1" x14ac:dyDescent="0.2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</row>
    <row r="39" spans="2:21" ht="12" customHeight="1" x14ac:dyDescent="0.2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spans="2:21" ht="12.75" customHeight="1" x14ac:dyDescent="0.2">
      <c r="B40" s="11"/>
      <c r="C40" s="23" t="s">
        <v>41</v>
      </c>
      <c r="D40" s="5"/>
      <c r="E40" s="5"/>
      <c r="F40" s="5"/>
      <c r="G40" s="23" t="s">
        <v>42</v>
      </c>
      <c r="H40" s="35"/>
      <c r="I40" s="35"/>
      <c r="J40" s="35"/>
      <c r="K40" s="23" t="s">
        <v>43</v>
      </c>
      <c r="L40" s="35"/>
      <c r="M40" s="35"/>
      <c r="N40" s="35"/>
      <c r="O40" s="23" t="s">
        <v>44</v>
      </c>
      <c r="P40" s="35"/>
      <c r="Q40" s="35"/>
      <c r="R40" s="35"/>
      <c r="S40" s="23" t="s">
        <v>45</v>
      </c>
      <c r="T40" s="11"/>
      <c r="U40" s="11"/>
    </row>
    <row r="41" spans="2:21" ht="5.25" customHeight="1" x14ac:dyDescent="0.2">
      <c r="B41" s="11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11"/>
      <c r="U41" s="11"/>
    </row>
    <row r="42" spans="2:21" ht="12.75" customHeight="1" x14ac:dyDescent="0.2">
      <c r="B42" s="11"/>
      <c r="C42" s="5" t="s">
        <v>46</v>
      </c>
      <c r="D42" s="5"/>
      <c r="E42" s="5"/>
      <c r="F42" s="5"/>
      <c r="G42" s="5" t="s">
        <v>47</v>
      </c>
      <c r="H42" s="5"/>
      <c r="I42" s="5"/>
      <c r="J42" s="5"/>
      <c r="K42" s="5" t="s">
        <v>48</v>
      </c>
      <c r="L42" s="5"/>
      <c r="M42" s="5"/>
      <c r="N42" s="5"/>
      <c r="O42" s="5" t="s">
        <v>49</v>
      </c>
      <c r="P42" s="5"/>
      <c r="Q42" s="5"/>
      <c r="R42" s="5"/>
      <c r="S42" s="5" t="s">
        <v>50</v>
      </c>
      <c r="T42" s="11"/>
      <c r="U42" s="11"/>
    </row>
    <row r="43" spans="2:21" ht="12" customHeight="1" x14ac:dyDescent="0.2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</row>
    <row r="44" spans="2:21" ht="12" customHeight="1" x14ac:dyDescent="0.2">
      <c r="B44" s="26">
        <v>14</v>
      </c>
      <c r="C44" s="27" t="s">
        <v>40</v>
      </c>
      <c r="D44" s="28">
        <v>10</v>
      </c>
      <c r="E44" s="11"/>
      <c r="F44" s="26">
        <v>4</v>
      </c>
      <c r="G44" s="27" t="s">
        <v>40</v>
      </c>
      <c r="H44" s="28">
        <v>14</v>
      </c>
      <c r="I44" s="11"/>
      <c r="J44" s="26">
        <v>14</v>
      </c>
      <c r="K44" s="27" t="s">
        <v>40</v>
      </c>
      <c r="L44" s="28">
        <v>11</v>
      </c>
      <c r="M44" s="11"/>
      <c r="N44" s="26">
        <v>5</v>
      </c>
      <c r="O44" s="27" t="s">
        <v>40</v>
      </c>
      <c r="P44" s="28">
        <v>14</v>
      </c>
      <c r="Q44" s="11"/>
      <c r="R44" s="26">
        <v>14</v>
      </c>
      <c r="S44" s="27" t="s">
        <v>40</v>
      </c>
      <c r="T44" s="28">
        <v>12</v>
      </c>
      <c r="U44" s="11"/>
    </row>
    <row r="45" spans="2:21" ht="12" customHeight="1" x14ac:dyDescent="0.2">
      <c r="B45" s="29">
        <v>11</v>
      </c>
      <c r="C45" s="14" t="s">
        <v>40</v>
      </c>
      <c r="D45" s="30">
        <v>9</v>
      </c>
      <c r="E45" s="11"/>
      <c r="F45" s="29">
        <v>5</v>
      </c>
      <c r="G45" s="14" t="s">
        <v>40</v>
      </c>
      <c r="H45" s="30">
        <v>3</v>
      </c>
      <c r="I45" s="11"/>
      <c r="J45" s="29">
        <v>12</v>
      </c>
      <c r="K45" s="14" t="s">
        <v>40</v>
      </c>
      <c r="L45" s="30">
        <v>10</v>
      </c>
      <c r="M45" s="11"/>
      <c r="N45" s="29">
        <v>6</v>
      </c>
      <c r="O45" s="14" t="s">
        <v>40</v>
      </c>
      <c r="P45" s="30">
        <v>4</v>
      </c>
      <c r="Q45" s="11"/>
      <c r="R45" s="29">
        <v>13</v>
      </c>
      <c r="S45" s="14" t="s">
        <v>40</v>
      </c>
      <c r="T45" s="30">
        <v>11</v>
      </c>
      <c r="U45" s="11"/>
    </row>
    <row r="46" spans="2:21" ht="12" customHeight="1" x14ac:dyDescent="0.2">
      <c r="B46" s="29">
        <v>12</v>
      </c>
      <c r="C46" s="14" t="s">
        <v>40</v>
      </c>
      <c r="D46" s="30">
        <v>8</v>
      </c>
      <c r="E46" s="11"/>
      <c r="F46" s="29">
        <v>6</v>
      </c>
      <c r="G46" s="14" t="s">
        <v>40</v>
      </c>
      <c r="H46" s="30">
        <v>2</v>
      </c>
      <c r="I46" s="11"/>
      <c r="J46" s="29">
        <v>13</v>
      </c>
      <c r="K46" s="14" t="s">
        <v>40</v>
      </c>
      <c r="L46" s="30">
        <v>9</v>
      </c>
      <c r="M46" s="11"/>
      <c r="N46" s="29">
        <v>7</v>
      </c>
      <c r="O46" s="14" t="s">
        <v>40</v>
      </c>
      <c r="P46" s="30">
        <v>3</v>
      </c>
      <c r="Q46" s="11"/>
      <c r="R46" s="29">
        <v>1</v>
      </c>
      <c r="S46" s="14" t="s">
        <v>40</v>
      </c>
      <c r="T46" s="30">
        <v>10</v>
      </c>
      <c r="U46" s="11"/>
    </row>
    <row r="47" spans="2:21" ht="12" customHeight="1" x14ac:dyDescent="0.2">
      <c r="B47" s="29">
        <v>13</v>
      </c>
      <c r="C47" s="14" t="s">
        <v>40</v>
      </c>
      <c r="D47" s="30">
        <v>7</v>
      </c>
      <c r="E47" s="11"/>
      <c r="F47" s="29">
        <v>7</v>
      </c>
      <c r="G47" s="14" t="s">
        <v>40</v>
      </c>
      <c r="H47" s="30">
        <v>1</v>
      </c>
      <c r="I47" s="11"/>
      <c r="J47" s="29">
        <v>1</v>
      </c>
      <c r="K47" s="14" t="s">
        <v>40</v>
      </c>
      <c r="L47" s="30">
        <v>8</v>
      </c>
      <c r="M47" s="11"/>
      <c r="N47" s="29">
        <v>8</v>
      </c>
      <c r="O47" s="14" t="s">
        <v>40</v>
      </c>
      <c r="P47" s="30">
        <v>2</v>
      </c>
      <c r="Q47" s="11"/>
      <c r="R47" s="29">
        <v>2</v>
      </c>
      <c r="S47" s="14" t="s">
        <v>40</v>
      </c>
      <c r="T47" s="30">
        <v>9</v>
      </c>
      <c r="U47" s="11"/>
    </row>
    <row r="48" spans="2:21" ht="12" customHeight="1" x14ac:dyDescent="0.2">
      <c r="B48" s="29">
        <v>1</v>
      </c>
      <c r="C48" s="14" t="s">
        <v>40</v>
      </c>
      <c r="D48" s="30">
        <v>6</v>
      </c>
      <c r="E48" s="11"/>
      <c r="F48" s="29">
        <v>8</v>
      </c>
      <c r="G48" s="14" t="s">
        <v>40</v>
      </c>
      <c r="H48" s="30">
        <v>13</v>
      </c>
      <c r="I48" s="11"/>
      <c r="J48" s="29">
        <v>2</v>
      </c>
      <c r="K48" s="14" t="s">
        <v>40</v>
      </c>
      <c r="L48" s="30">
        <v>7</v>
      </c>
      <c r="M48" s="11"/>
      <c r="N48" s="29">
        <v>9</v>
      </c>
      <c r="O48" s="14" t="s">
        <v>40</v>
      </c>
      <c r="P48" s="30">
        <v>1</v>
      </c>
      <c r="Q48" s="11"/>
      <c r="R48" s="29">
        <v>3</v>
      </c>
      <c r="S48" s="14" t="s">
        <v>40</v>
      </c>
      <c r="T48" s="30">
        <v>8</v>
      </c>
      <c r="U48" s="11"/>
    </row>
    <row r="49" spans="2:21" ht="12" customHeight="1" x14ac:dyDescent="0.2">
      <c r="B49" s="29">
        <v>2</v>
      </c>
      <c r="C49" s="14" t="s">
        <v>40</v>
      </c>
      <c r="D49" s="30">
        <v>5</v>
      </c>
      <c r="E49" s="11"/>
      <c r="F49" s="29">
        <v>9</v>
      </c>
      <c r="G49" s="14" t="s">
        <v>40</v>
      </c>
      <c r="H49" s="30">
        <v>12</v>
      </c>
      <c r="I49" s="11"/>
      <c r="J49" s="29">
        <v>3</v>
      </c>
      <c r="K49" s="14" t="s">
        <v>40</v>
      </c>
      <c r="L49" s="30">
        <v>6</v>
      </c>
      <c r="M49" s="11"/>
      <c r="N49" s="29">
        <v>10</v>
      </c>
      <c r="O49" s="14" t="s">
        <v>40</v>
      </c>
      <c r="P49" s="30">
        <v>13</v>
      </c>
      <c r="Q49" s="11"/>
      <c r="R49" s="29">
        <v>4</v>
      </c>
      <c r="S49" s="14" t="s">
        <v>40</v>
      </c>
      <c r="T49" s="30">
        <v>7</v>
      </c>
      <c r="U49" s="11"/>
    </row>
    <row r="50" spans="2:21" ht="12" customHeight="1" x14ac:dyDescent="0.2">
      <c r="B50" s="29">
        <v>3</v>
      </c>
      <c r="C50" s="14" t="s">
        <v>40</v>
      </c>
      <c r="D50" s="30">
        <v>4</v>
      </c>
      <c r="E50" s="11"/>
      <c r="F50" s="29">
        <v>10</v>
      </c>
      <c r="G50" s="14" t="s">
        <v>40</v>
      </c>
      <c r="H50" s="30">
        <v>11</v>
      </c>
      <c r="I50" s="11"/>
      <c r="J50" s="29">
        <v>4</v>
      </c>
      <c r="K50" s="14" t="s">
        <v>40</v>
      </c>
      <c r="L50" s="30">
        <v>5</v>
      </c>
      <c r="M50" s="11"/>
      <c r="N50" s="29">
        <v>11</v>
      </c>
      <c r="O50" s="14" t="s">
        <v>40</v>
      </c>
      <c r="P50" s="30">
        <v>12</v>
      </c>
      <c r="Q50" s="11"/>
      <c r="R50" s="29">
        <v>5</v>
      </c>
      <c r="S50" s="14" t="s">
        <v>40</v>
      </c>
      <c r="T50" s="30">
        <v>6</v>
      </c>
      <c r="U50" s="11"/>
    </row>
    <row r="51" spans="2:21" ht="12" customHeight="1" x14ac:dyDescent="0.2">
      <c r="B51" s="31"/>
      <c r="C51" s="32"/>
      <c r="D51" s="33"/>
      <c r="E51" s="11"/>
      <c r="F51" s="31"/>
      <c r="G51" s="32"/>
      <c r="H51" s="33"/>
      <c r="I51" s="11"/>
      <c r="J51" s="31"/>
      <c r="K51" s="32"/>
      <c r="L51" s="33"/>
      <c r="M51" s="11"/>
      <c r="N51" s="31"/>
      <c r="O51" s="32"/>
      <c r="P51" s="33"/>
      <c r="Q51" s="11"/>
      <c r="R51" s="31"/>
      <c r="S51" s="32"/>
      <c r="T51" s="33"/>
      <c r="U51" s="11"/>
    </row>
    <row r="52" spans="2:21" ht="12" customHeight="1" x14ac:dyDescent="0.2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 spans="2:21" ht="12" customHeight="1" x14ac:dyDescent="0.2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 spans="2:21" ht="12.75" customHeight="1" x14ac:dyDescent="0.2">
      <c r="B54" s="11"/>
      <c r="C54" s="23" t="s">
        <v>51</v>
      </c>
      <c r="D54" s="5"/>
      <c r="E54" s="5"/>
      <c r="F54" s="5"/>
      <c r="G54" s="23" t="s">
        <v>52</v>
      </c>
      <c r="H54" s="5"/>
      <c r="I54" s="5"/>
      <c r="J54" s="5"/>
      <c r="K54" s="23" t="s">
        <v>53</v>
      </c>
      <c r="L54" s="5"/>
      <c r="M54" s="5"/>
      <c r="N54" s="5"/>
      <c r="O54" s="23"/>
      <c r="P54" s="5"/>
      <c r="Q54" s="5"/>
      <c r="R54" s="5"/>
      <c r="S54" s="23"/>
      <c r="T54" s="11"/>
      <c r="U54" s="11"/>
    </row>
    <row r="55" spans="2:21" ht="5.25" customHeight="1" x14ac:dyDescent="0.2">
      <c r="B55" s="11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11"/>
      <c r="U55" s="11"/>
    </row>
    <row r="56" spans="2:21" ht="12.75" customHeight="1" x14ac:dyDescent="0.2">
      <c r="B56" s="11"/>
      <c r="C56" s="5" t="s">
        <v>54</v>
      </c>
      <c r="D56" s="5"/>
      <c r="E56" s="5"/>
      <c r="F56" s="5"/>
      <c r="G56" s="5" t="s">
        <v>55</v>
      </c>
      <c r="H56" s="5"/>
      <c r="I56" s="5"/>
      <c r="J56" s="5"/>
      <c r="K56" s="5" t="s">
        <v>56</v>
      </c>
      <c r="L56" s="5"/>
      <c r="M56" s="5"/>
      <c r="N56" s="5"/>
      <c r="O56" s="5"/>
      <c r="P56" s="5"/>
      <c r="Q56" s="5"/>
      <c r="R56" s="5"/>
      <c r="S56" s="5"/>
      <c r="T56" s="11"/>
      <c r="U56" s="11"/>
    </row>
    <row r="57" spans="2:21" ht="12" customHeight="1" x14ac:dyDescent="0.2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</row>
    <row r="58" spans="2:21" ht="12" customHeight="1" x14ac:dyDescent="0.2">
      <c r="B58" s="26">
        <v>6</v>
      </c>
      <c r="C58" s="27" t="s">
        <v>40</v>
      </c>
      <c r="D58" s="28">
        <v>14</v>
      </c>
      <c r="E58" s="11"/>
      <c r="F58" s="26">
        <v>14</v>
      </c>
      <c r="G58" s="27" t="s">
        <v>40</v>
      </c>
      <c r="H58" s="28">
        <v>13</v>
      </c>
      <c r="I58" s="11"/>
      <c r="J58" s="26">
        <v>7</v>
      </c>
      <c r="K58" s="27" t="s">
        <v>40</v>
      </c>
      <c r="L58" s="28">
        <v>14</v>
      </c>
      <c r="M58" s="11"/>
      <c r="N58" s="11"/>
      <c r="O58" s="11"/>
      <c r="P58" s="11"/>
      <c r="Q58" s="11"/>
      <c r="R58" s="11"/>
      <c r="S58" s="11"/>
      <c r="T58" s="11"/>
      <c r="U58" s="11"/>
    </row>
    <row r="59" spans="2:21" ht="12" customHeight="1" x14ac:dyDescent="0.2">
      <c r="B59" s="29">
        <v>7</v>
      </c>
      <c r="C59" s="14" t="s">
        <v>40</v>
      </c>
      <c r="D59" s="30">
        <v>5</v>
      </c>
      <c r="E59" s="11"/>
      <c r="F59" s="29">
        <v>1</v>
      </c>
      <c r="G59" s="14" t="s">
        <v>40</v>
      </c>
      <c r="H59" s="30">
        <v>12</v>
      </c>
      <c r="I59" s="11"/>
      <c r="J59" s="29">
        <v>8</v>
      </c>
      <c r="K59" s="14" t="s">
        <v>40</v>
      </c>
      <c r="L59" s="30">
        <v>6</v>
      </c>
      <c r="M59" s="11"/>
      <c r="N59" s="11"/>
      <c r="O59" s="11"/>
      <c r="P59" s="11"/>
      <c r="Q59" s="11"/>
      <c r="R59" s="11"/>
      <c r="S59" s="11"/>
      <c r="T59" s="11"/>
      <c r="U59" s="11"/>
    </row>
    <row r="60" spans="2:21" ht="12" customHeight="1" x14ac:dyDescent="0.2">
      <c r="B60" s="29">
        <v>8</v>
      </c>
      <c r="C60" s="14" t="s">
        <v>40</v>
      </c>
      <c r="D60" s="30">
        <v>4</v>
      </c>
      <c r="E60" s="11"/>
      <c r="F60" s="29">
        <v>2</v>
      </c>
      <c r="G60" s="14" t="s">
        <v>40</v>
      </c>
      <c r="H60" s="30">
        <v>11</v>
      </c>
      <c r="I60" s="11"/>
      <c r="J60" s="29">
        <v>9</v>
      </c>
      <c r="K60" s="14" t="s">
        <v>40</v>
      </c>
      <c r="L60" s="30">
        <v>5</v>
      </c>
      <c r="M60" s="11"/>
      <c r="N60" s="11"/>
      <c r="O60" s="11"/>
      <c r="P60" s="11"/>
      <c r="Q60" s="11"/>
      <c r="R60" s="11"/>
      <c r="S60" s="11"/>
      <c r="T60" s="11"/>
      <c r="U60" s="11"/>
    </row>
    <row r="61" spans="2:21" ht="12" customHeight="1" x14ac:dyDescent="0.2">
      <c r="B61" s="29">
        <v>9</v>
      </c>
      <c r="C61" s="14" t="s">
        <v>40</v>
      </c>
      <c r="D61" s="30">
        <v>3</v>
      </c>
      <c r="E61" s="11"/>
      <c r="F61" s="29">
        <v>3</v>
      </c>
      <c r="G61" s="14" t="s">
        <v>40</v>
      </c>
      <c r="H61" s="30">
        <v>10</v>
      </c>
      <c r="I61" s="11"/>
      <c r="J61" s="29">
        <v>10</v>
      </c>
      <c r="K61" s="14" t="s">
        <v>40</v>
      </c>
      <c r="L61" s="30">
        <v>4</v>
      </c>
      <c r="M61" s="11"/>
      <c r="N61" s="11"/>
      <c r="O61" s="11"/>
      <c r="P61" s="11"/>
      <c r="Q61" s="11"/>
      <c r="R61" s="11"/>
      <c r="S61" s="11"/>
      <c r="T61" s="11"/>
      <c r="U61" s="11"/>
    </row>
    <row r="62" spans="2:21" ht="12" customHeight="1" x14ac:dyDescent="0.2">
      <c r="B62" s="29">
        <v>10</v>
      </c>
      <c r="C62" s="14" t="s">
        <v>40</v>
      </c>
      <c r="D62" s="30">
        <v>2</v>
      </c>
      <c r="E62" s="11"/>
      <c r="F62" s="29">
        <v>4</v>
      </c>
      <c r="G62" s="14" t="s">
        <v>40</v>
      </c>
      <c r="H62" s="30">
        <v>9</v>
      </c>
      <c r="I62" s="11"/>
      <c r="J62" s="29">
        <v>11</v>
      </c>
      <c r="K62" s="14" t="s">
        <v>40</v>
      </c>
      <c r="L62" s="30">
        <v>3</v>
      </c>
      <c r="M62" s="11"/>
      <c r="N62" s="11"/>
      <c r="O62" s="11"/>
      <c r="P62" s="11"/>
      <c r="Q62" s="11"/>
      <c r="R62" s="11"/>
      <c r="S62" s="11"/>
      <c r="T62" s="11"/>
      <c r="U62" s="11"/>
    </row>
    <row r="63" spans="2:21" ht="12" customHeight="1" x14ac:dyDescent="0.2">
      <c r="B63" s="29">
        <v>11</v>
      </c>
      <c r="C63" s="14" t="s">
        <v>40</v>
      </c>
      <c r="D63" s="30">
        <v>1</v>
      </c>
      <c r="E63" s="11"/>
      <c r="F63" s="29">
        <v>5</v>
      </c>
      <c r="G63" s="14" t="s">
        <v>40</v>
      </c>
      <c r="H63" s="30">
        <v>8</v>
      </c>
      <c r="I63" s="11"/>
      <c r="J63" s="29">
        <v>12</v>
      </c>
      <c r="K63" s="14" t="s">
        <v>40</v>
      </c>
      <c r="L63" s="30">
        <v>2</v>
      </c>
      <c r="M63" s="11"/>
      <c r="N63" s="11"/>
      <c r="O63" s="11"/>
      <c r="P63" s="11"/>
      <c r="Q63" s="11"/>
      <c r="R63" s="11"/>
      <c r="S63" s="11"/>
      <c r="T63" s="11"/>
      <c r="U63" s="11"/>
    </row>
    <row r="64" spans="2:21" ht="12" customHeight="1" x14ac:dyDescent="0.2">
      <c r="B64" s="29">
        <v>12</v>
      </c>
      <c r="C64" s="14" t="s">
        <v>40</v>
      </c>
      <c r="D64" s="30">
        <v>13</v>
      </c>
      <c r="E64" s="11"/>
      <c r="F64" s="29">
        <v>6</v>
      </c>
      <c r="G64" s="14" t="s">
        <v>40</v>
      </c>
      <c r="H64" s="30">
        <v>7</v>
      </c>
      <c r="I64" s="11"/>
      <c r="J64" s="29">
        <v>13</v>
      </c>
      <c r="K64" s="14" t="s">
        <v>40</v>
      </c>
      <c r="L64" s="30">
        <v>1</v>
      </c>
      <c r="M64" s="11"/>
      <c r="N64" s="11"/>
      <c r="O64" s="11"/>
      <c r="P64" s="11"/>
      <c r="Q64" s="11"/>
      <c r="R64" s="11"/>
      <c r="S64" s="11"/>
      <c r="T64" s="11"/>
      <c r="U64" s="11"/>
    </row>
    <row r="65" spans="2:21" ht="12" customHeight="1" x14ac:dyDescent="0.2">
      <c r="B65" s="31"/>
      <c r="C65" s="32"/>
      <c r="D65" s="33"/>
      <c r="E65" s="11"/>
      <c r="F65" s="31"/>
      <c r="G65" s="32"/>
      <c r="H65" s="33"/>
      <c r="I65" s="11"/>
      <c r="J65" s="31"/>
      <c r="K65" s="32"/>
      <c r="L65" s="33"/>
      <c r="M65" s="11"/>
      <c r="N65" s="11"/>
      <c r="O65" s="11"/>
      <c r="P65" s="11"/>
      <c r="Q65" s="11"/>
      <c r="R65" s="11"/>
      <c r="S65" s="11"/>
      <c r="T65" s="11"/>
      <c r="U65" s="11"/>
    </row>
    <row r="66" spans="2:21" ht="12" customHeight="1" x14ac:dyDescent="0.2"/>
    <row r="67" spans="2:21" ht="12.75" customHeight="1" x14ac:dyDescent="0.2">
      <c r="B67" s="36" t="s">
        <v>57</v>
      </c>
      <c r="C67" s="36"/>
      <c r="D67" s="36"/>
      <c r="E67" s="36"/>
      <c r="F67" s="1" t="s">
        <v>58</v>
      </c>
      <c r="G67" s="1"/>
      <c r="H67" s="1"/>
      <c r="I67" s="1"/>
      <c r="J67" s="1"/>
      <c r="K67" s="1"/>
      <c r="L67" s="1"/>
      <c r="M67" s="1"/>
      <c r="N67" s="1"/>
    </row>
    <row r="68" spans="2:21" ht="12" customHeight="1" x14ac:dyDescent="0.2"/>
    <row r="69" spans="2:21" ht="12" customHeight="1" x14ac:dyDescent="0.2"/>
    <row r="70" spans="2:21" ht="12" customHeight="1" x14ac:dyDescent="0.2"/>
    <row r="71" spans="2:21" ht="12" customHeight="1" x14ac:dyDescent="0.2"/>
    <row r="72" spans="2:21" ht="12" customHeight="1" x14ac:dyDescent="0.2"/>
    <row r="73" spans="2:21" ht="12" customHeight="1" x14ac:dyDescent="0.2"/>
    <row r="74" spans="2:21" ht="12" customHeight="1" x14ac:dyDescent="0.2"/>
    <row r="75" spans="2:21" ht="12" customHeight="1" x14ac:dyDescent="0.2"/>
    <row r="76" spans="2:21" ht="12" customHeight="1" x14ac:dyDescent="0.2"/>
    <row r="77" spans="2:21" ht="12" customHeight="1" x14ac:dyDescent="0.2"/>
    <row r="78" spans="2:21" ht="12" customHeight="1" x14ac:dyDescent="0.2"/>
    <row r="79" spans="2:21" ht="12" customHeight="1" x14ac:dyDescent="0.2"/>
    <row r="80" spans="2:21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7">
    <mergeCell ref="B3:T4"/>
    <mergeCell ref="J7:L7"/>
    <mergeCell ref="J8:L8"/>
    <mergeCell ref="J9:L9"/>
    <mergeCell ref="J10:L10"/>
    <mergeCell ref="J11:L11"/>
    <mergeCell ref="J12:L12"/>
    <mergeCell ref="J20:L20"/>
    <mergeCell ref="J21:L21"/>
    <mergeCell ref="J22:L22"/>
    <mergeCell ref="J13:L13"/>
    <mergeCell ref="J14:L14"/>
    <mergeCell ref="J15:L15"/>
    <mergeCell ref="J16:L16"/>
    <mergeCell ref="J17:L17"/>
    <mergeCell ref="J18:L18"/>
    <mergeCell ref="J19:L19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808000"/>
  </sheetPr>
  <dimension ref="A1:AE1000"/>
  <sheetViews>
    <sheetView showGridLines="0" workbookViewId="0"/>
  </sheetViews>
  <sheetFormatPr defaultColWidth="14.42578125" defaultRowHeight="15" customHeight="1" x14ac:dyDescent="0.2"/>
  <cols>
    <col min="1" max="1" width="3.140625" customWidth="1"/>
    <col min="2" max="2" width="6.42578125" customWidth="1"/>
    <col min="3" max="3" width="15.7109375" customWidth="1"/>
    <col min="4" max="9" width="7.7109375" customWidth="1"/>
    <col min="10" max="10" width="3.7109375" customWidth="1"/>
    <col min="11" max="11" width="6.42578125" customWidth="1"/>
    <col min="12" max="12" width="15.7109375" customWidth="1"/>
    <col min="13" max="18" width="7.7109375" customWidth="1"/>
    <col min="19" max="19" width="3.7109375" customWidth="1"/>
    <col min="20" max="20" width="6.42578125" customWidth="1"/>
    <col min="21" max="21" width="15.7109375" customWidth="1"/>
    <col min="22" max="27" width="7.7109375" customWidth="1"/>
    <col min="28" max="29" width="9.140625" customWidth="1"/>
    <col min="30" max="31" width="8" hidden="1" customWidth="1"/>
  </cols>
  <sheetData>
    <row r="1" spans="1:31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.75" customHeight="1" x14ac:dyDescent="0.2">
      <c r="A2" s="1"/>
      <c r="B2" s="229" t="s">
        <v>367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8"/>
      <c r="AB2" s="81"/>
      <c r="AC2" s="81"/>
      <c r="AD2" s="81"/>
      <c r="AE2" s="139"/>
    </row>
    <row r="3" spans="1:31" ht="12.75" customHeight="1" x14ac:dyDescent="0.2">
      <c r="A3" s="1"/>
      <c r="B3" s="230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4"/>
      <c r="AB3" s="81"/>
      <c r="AC3" s="81"/>
      <c r="AD3" s="81"/>
      <c r="AE3" s="139"/>
    </row>
    <row r="4" spans="1:31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222" t="s">
        <v>368</v>
      </c>
      <c r="C6" s="224" t="s">
        <v>369</v>
      </c>
      <c r="D6" s="224" t="s">
        <v>6</v>
      </c>
      <c r="E6" s="224" t="s">
        <v>8</v>
      </c>
      <c r="F6" s="224" t="s">
        <v>64</v>
      </c>
      <c r="G6" s="224" t="s">
        <v>65</v>
      </c>
      <c r="H6" s="224" t="s">
        <v>9</v>
      </c>
      <c r="I6" s="227" t="s">
        <v>370</v>
      </c>
      <c r="J6" s="36"/>
      <c r="K6" s="222" t="s">
        <v>371</v>
      </c>
      <c r="L6" s="224" t="s">
        <v>369</v>
      </c>
      <c r="M6" s="224" t="s">
        <v>6</v>
      </c>
      <c r="N6" s="224" t="s">
        <v>8</v>
      </c>
      <c r="O6" s="224" t="s">
        <v>64</v>
      </c>
      <c r="P6" s="224" t="s">
        <v>65</v>
      </c>
      <c r="Q6" s="224" t="s">
        <v>9</v>
      </c>
      <c r="R6" s="227" t="s">
        <v>370</v>
      </c>
      <c r="S6" s="36"/>
      <c r="T6" s="222" t="s">
        <v>372</v>
      </c>
      <c r="U6" s="224" t="s">
        <v>369</v>
      </c>
      <c r="V6" s="224" t="s">
        <v>6</v>
      </c>
      <c r="W6" s="224" t="s">
        <v>8</v>
      </c>
      <c r="X6" s="224" t="s">
        <v>64</v>
      </c>
      <c r="Y6" s="224" t="s">
        <v>65</v>
      </c>
      <c r="Z6" s="224" t="s">
        <v>9</v>
      </c>
      <c r="AA6" s="227" t="s">
        <v>370</v>
      </c>
      <c r="AB6" s="1"/>
      <c r="AC6" s="1"/>
      <c r="AD6" s="1"/>
      <c r="AE6" s="1"/>
    </row>
    <row r="7" spans="1:31" ht="12" customHeight="1" x14ac:dyDescent="0.2">
      <c r="A7" s="1"/>
      <c r="B7" s="223"/>
      <c r="C7" s="225"/>
      <c r="D7" s="225"/>
      <c r="E7" s="225"/>
      <c r="F7" s="225"/>
      <c r="G7" s="225"/>
      <c r="H7" s="225"/>
      <c r="I7" s="228"/>
      <c r="J7" s="36"/>
      <c r="K7" s="223"/>
      <c r="L7" s="225"/>
      <c r="M7" s="225"/>
      <c r="N7" s="225"/>
      <c r="O7" s="225"/>
      <c r="P7" s="225"/>
      <c r="Q7" s="225"/>
      <c r="R7" s="228"/>
      <c r="S7" s="36"/>
      <c r="T7" s="223"/>
      <c r="U7" s="225"/>
      <c r="V7" s="225"/>
      <c r="W7" s="225"/>
      <c r="X7" s="225"/>
      <c r="Y7" s="225"/>
      <c r="Z7" s="225"/>
      <c r="AA7" s="228"/>
      <c r="AB7" s="1"/>
      <c r="AC7" s="1"/>
      <c r="AD7" s="1"/>
      <c r="AE7" s="1"/>
    </row>
    <row r="8" spans="1:31" ht="16.5" customHeight="1" x14ac:dyDescent="0.2">
      <c r="A8" s="1"/>
      <c r="B8" s="62">
        <f>IF(ISERROR(RANK(I8,I8:I17)),"",(RANK(I8,I8:I17)))</f>
        <v>1</v>
      </c>
      <c r="C8" s="140" t="str">
        <f t="array" ref="C8">IF(ISNUMBER(I8),INDEX('Mens Averages'!$G$8:$G$343,SMALL(IF('Mens Averages'!$AF$8:$AF$343=I8,ROW('Mens Averages'!$AF$8:$AF$343)-ROW('Mens Averages'!$AF$8)+1),COUNTIF(I$8:I8,I8))),"")</f>
        <v>Paul Carter</v>
      </c>
      <c r="D8" s="141" t="str">
        <f t="array" ref="D8">IF(ISNUMBER(I8),INDEX('Mens Averages'!$H$8:$H$343,SMALL(IF('Mens Averages'!$AF$8:$AF$343=I8,ROW('Mens Averages'!$AF$8:$AF$343)-ROW('Mens Averages'!$AF$8)+1),COUNTIF(I$8:I8,I8))),"")</f>
        <v>Bou</v>
      </c>
      <c r="E8" s="142" t="str">
        <f t="array" ref="E8">IF(ISERROR(IF(LEFT(INDEX('Mens Averages'!$AE$8:$AE$343,MATCH('Weekly Top 10'!I8,'Mens Averages'!$AF$8:$AF$343,0)),1)="4","Y","N")),"",(IF(LEFT(INDEX('Mens Averages'!$AE$8:$AE$343,MATCH('Weekly Top 10'!I8,'Mens Averages'!$AF$8:$AF$343,0)),1)="4","Y","N")))</f>
        <v>Y</v>
      </c>
      <c r="F8" s="142" t="str">
        <f t="array" ref="F8">IF(ISERROR(LEFT(INDEX('Mens Averages'!$AE$8:$AE$343,MATCH('Weekly Top 10'!I8,'Mens Averages'!$AF$8:$AF$343,0)),1)),"",(LEFT(INDEX('Mens Averages'!$AE$8:$AE$343,MATCH('Weekly Top 10'!I8,'Mens Averages'!$AF$8:$AF$343,0)),1)))</f>
        <v>4</v>
      </c>
      <c r="G8" s="142" t="str">
        <f t="array" ref="G8">IF(ISERROR(RIGHT(LEFT(INDEX('Mens Averages'!$AE$8:$AE$343,MATCH('Weekly Top 10'!I8,'Mens Averages'!$AF$8:$AF$343,0)),3),1)),"",(RIGHT(LEFT(INDEX('Mens Averages'!$AE$8:$AE$343,MATCH('Weekly Top 10'!I8,'Mens Averages'!$AF$8:$AF$343,0)),3),1)))</f>
        <v>0</v>
      </c>
      <c r="H8" s="141">
        <f t="array" ref="H8">IF(ISNUMBER(I8),INDEX('Mens Averages'!$N$8:$N$343,SMALL(IF('Mens Averages'!$AF$8:$AF$343=I8,ROW('Mens Averages'!$AF$8:$AF$343)-ROW('Mens Averages'!$AF$8)+1),COUNTIF(I$8:I8,I8))),"")</f>
        <v>26.72</v>
      </c>
      <c r="I8" s="143">
        <f>IF(ISERROR(LARGE('Mens Averages'!$AF$8:$AF$343,1)),"",(LARGE('Mens Averages'!$AF$8:$AF$343,1)))</f>
        <v>27.72</v>
      </c>
      <c r="J8" s="1"/>
      <c r="K8" s="62">
        <f>IF(ISERROR(RANK(R8,R8:R17)),"",(RANK(R8,R8:R17)))</f>
        <v>1</v>
      </c>
      <c r="L8" s="140" t="str">
        <f t="array" ref="L8">IF(ISNUMBER(R8),INDEX('Mens Averages'!$G$8:$G$343,SMALL(IF('Mens Averages'!$AP$8:$AP$343=R8,ROW('Mens Averages'!$AP$8:$AP$343)-ROW('Mens Averages'!$AP$8)+1),COUNTIF(R$8:R8,R8))),"")</f>
        <v>Alan Ayres</v>
      </c>
      <c r="M8" s="141" t="str">
        <f t="array" ref="M8">IF(ISNUMBER(R8),INDEX('Mens Averages'!$H$8:$H$343,SMALL(IF('Mens Averages'!$AP$8:$AP$343=R8,ROW('Mens Averages'!$AP$8:$AP$343)-ROW('Mens Averages'!$AP$8)+1),COUNTIF(R$8:R8,R8))),"")</f>
        <v>Dor</v>
      </c>
      <c r="N8" s="142" t="str">
        <f t="array" ref="N8">IF(ISERROR(IF(LEFT(INDEX('Mens Averages'!$AO$8:$AO$343,MATCH('Weekly Top 10'!R8,'Mens Averages'!$AP$8:$AP$343,0)),1)="4","Y","N")),"",(IF(LEFT(INDEX('Mens Averages'!$AO$8:$AO$343,MATCH('Weekly Top 10'!R8,'Mens Averages'!$AP$8:$AP$343,0)),1)="4","Y","N")))</f>
        <v>Y</v>
      </c>
      <c r="O8" s="142" t="str">
        <f t="array" ref="O8">IF(ISERROR(LEFT(INDEX('Mens Averages'!$AO$8:$AO$343,MATCH('Weekly Top 10'!R8,'Mens Averages'!$AP$8:$AP$343,0)),1)),"",(LEFT(INDEX('Mens Averages'!$AO$8:$AO$343,MATCH('Weekly Top 10'!R8,'Mens Averages'!$AP$8:$AP$343,0)),1)))</f>
        <v>4</v>
      </c>
      <c r="P8" s="142" t="str">
        <f t="array" ref="P8">IF(ISERROR(RIGHT(LEFT(INDEX('Mens Averages'!$AO$8:$AO$343,MATCH('Weekly Top 10'!R8,'Mens Averages'!$AP$8:$AP$343,0)),3),1)),"",(RIGHT(LEFT(INDEX('Mens Averages'!$AO$8:$AO$343,MATCH('Weekly Top 10'!R8,'Mens Averages'!$AP$8:$AP$343,0)),3),1)))</f>
        <v>0</v>
      </c>
      <c r="Q8" s="141">
        <f t="array" ref="Q8">IF(ISNUMBER(R8),INDEX('Mens Averages'!$S$8:$S$343,SMALL(IF('Mens Averages'!$AP$8:$AP$343=R8,ROW('Mens Averages'!$AP$8:$AP$343)-ROW('Mens Averages'!$AP$8)+1),COUNTIF(R$8:R8,R8))),"")</f>
        <v>30.36</v>
      </c>
      <c r="R8" s="143">
        <f>IF(ISERROR(LARGE('Mens Averages'!$AP$8:$AP$343,1)),"",(LARGE('Mens Averages'!$AP$8:$AP$343,1)))</f>
        <v>31.36</v>
      </c>
      <c r="S8" s="1"/>
      <c r="T8" s="62">
        <f>IF(ISERROR(RANK(AA8,AA8:AA17)),"",(RANK(AA8,AA8:AA17)))</f>
        <v>1</v>
      </c>
      <c r="U8" s="140" t="str">
        <f t="array" ref="U8">IF(ISNUMBER(AA8),INDEX('Mens Averages'!$G$8:$G$343,SMALL(IF('Mens Averages'!$AZ$8:$AZ$343=AA8,ROW('Mens Averages'!$AZ$8:$AZ$343)-ROW('Mens Averages'!$AZ$8)+1),COUNTIF(AA$8:AA8,AA8))),"")</f>
        <v>Scott Mitchell</v>
      </c>
      <c r="V8" s="141" t="str">
        <f t="array" ref="V8">IF(ISNUMBER(AA8),INDEX('Mens Averages'!$H$8:$H$343,SMALL(IF('Mens Averages'!$AZ$8:$AZ$343=AA8,ROW('Mens Averages'!$AZ$8:$AZ$343)-ROW('Mens Averages'!$AZ$8)+1),COUNTIF(AA$8:AA8,AA8))),"")</f>
        <v>Lyt</v>
      </c>
      <c r="W8" s="142" t="str">
        <f t="array" ref="W8">IF(ISERROR(IF(LEFT(INDEX('Mens Averages'!$AY$8:$AY$343,MATCH('Weekly Top 10'!AA8,'Mens Averages'!$AZ$8:$AZ$343,0)),1)="4","Y","N")),"",(IF(LEFT(INDEX('Mens Averages'!$AY$8:$AY$343,MATCH('Weekly Top 10'!AA8,'Mens Averages'!$AZ$8:$AZ$343,0)),1)="4","Y","N")))</f>
        <v>Y</v>
      </c>
      <c r="X8" s="142" t="str">
        <f t="array" ref="X8">IF(ISERROR(LEFT(INDEX('Mens Averages'!$AY$8:$AY$343,MATCH('Weekly Top 10'!AA8,'Mens Averages'!$AZ$8:$AZ$343,0)),1)),"",(LEFT(INDEX('Mens Averages'!$AY$8:$AY$343,MATCH('Weekly Top 10'!AA8,'Mens Averages'!$AZ$8:$AZ$343,0)),1)))</f>
        <v>4</v>
      </c>
      <c r="Y8" s="142" t="str">
        <f t="array" ref="Y8">IF(ISERROR(RIGHT(LEFT(INDEX('Mens Averages'!$AY$8:$AY$343,MATCH('Weekly Top 10'!AA8,'Mens Averages'!$AZ$8:$AZ$343,0)),3),1)),"",(RIGHT(LEFT(INDEX('Mens Averages'!$AY$8:$AY$343,MATCH('Weekly Top 10'!AA8,'Mens Averages'!$AZ$8:$AZ$343,0)),3),1)))</f>
        <v>0</v>
      </c>
      <c r="Z8" s="141">
        <f t="array" ref="Z8">IF(ISNUMBER(AA8),INDEX('Mens Averages'!$X$8:$X$343,SMALL(IF('Mens Averages'!$AZ$8:$AZ$343=AA8,ROW('Mens Averages'!$AZ$8:$AZ$343)-ROW('Mens Averages'!$AZ$8)+1),COUNTIF(AA$8:AA8,AA8))),"")</f>
        <v>28.63</v>
      </c>
      <c r="AA8" s="143">
        <f>IF(ISERROR(LARGE('Mens Averages'!$AZ$8:$AZ$343,1)),"",(LARGE('Mens Averages'!$AZ$8:$AZ$343,1)))</f>
        <v>29.63</v>
      </c>
      <c r="AB8" s="1"/>
      <c r="AC8" s="1"/>
      <c r="AD8" s="1"/>
      <c r="AE8" s="1"/>
    </row>
    <row r="9" spans="1:31" ht="16.5" customHeight="1" x14ac:dyDescent="0.2">
      <c r="A9" s="1"/>
      <c r="B9" s="68">
        <f>IF(ISERROR(RANK(I9,I8:I17)),"",(RANK(I9,I8:I17)))</f>
        <v>1</v>
      </c>
      <c r="C9" s="144" t="str">
        <f t="array" ref="C9">IF(ISNUMBER(I9),INDEX('Mens Averages'!$G$8:$G$343,SMALL(IF('Mens Averages'!$AF$8:$AF$343=I9,ROW('Mens Averages'!$AF$8:$AF$343)-ROW('Mens Averages'!$AF$8)+1),COUNTIF(I$8:I9,I9))),"")</f>
        <v>Dale Masterman</v>
      </c>
      <c r="D9" s="145" t="str">
        <f t="array" ref="D9">IF(ISNUMBER(I9),INDEX('Mens Averages'!$H$8:$H$343,SMALL(IF('Mens Averages'!$AF$8:$AF$343=I9,ROW('Mens Averages'!$AF$8:$AF$343)-ROW('Mens Averages'!$AF$8)+1),COUNTIF(I$8:I9,I9))),"")</f>
        <v>Lyt</v>
      </c>
      <c r="E9" s="146" t="str">
        <f t="array" ref="E9">IF(ISERROR(IF(LEFT(INDEX('Mens Averages'!$AE$8:$AE$343,MATCH('Weekly Top 10'!I9,'Mens Averages'!$AF$8:$AF$343,0)),1)="4","Y","N")),"",(IF(LEFT(INDEX('Mens Averages'!$AE$8:$AE$343,MATCH('Weekly Top 10'!I9,'Mens Averages'!$AF$8:$AF$343,0)),1)="4","Y","N")))</f>
        <v>Y</v>
      </c>
      <c r="F9" s="146" t="str">
        <f t="array" ref="F9">IF(ISERROR(LEFT(INDEX('Mens Averages'!$AE$8:$AE$343,MATCH('Weekly Top 10'!I9,'Mens Averages'!$AF$8:$AF$343,0)),1)),"",(LEFT(INDEX('Mens Averages'!$AE$8:$AE$343,MATCH('Weekly Top 10'!I9,'Mens Averages'!$AF$8:$AF$343,0)),1)))</f>
        <v>4</v>
      </c>
      <c r="G9" s="146" t="str">
        <f t="array" ref="G9">IF(ISERROR(RIGHT(LEFT(INDEX('Mens Averages'!$AE$8:$AE$343,MATCH('Weekly Top 10'!I9,'Mens Averages'!$AF$8:$AF$343,0)),3),1)),"",(RIGHT(LEFT(INDEX('Mens Averages'!$AE$8:$AE$343,MATCH('Weekly Top 10'!I9,'Mens Averages'!$AF$8:$AF$343,0)),3),1)))</f>
        <v>0</v>
      </c>
      <c r="H9" s="145">
        <f t="array" ref="H9">IF(ISNUMBER(I9),INDEX('Mens Averages'!$N$8:$N$343,SMALL(IF('Mens Averages'!$AF$8:$AF$343=I9,ROW('Mens Averages'!$AF$8:$AF$343)-ROW('Mens Averages'!$AF$8)+1),COUNTIF(I$8:I9,I9))),"")</f>
        <v>26.72</v>
      </c>
      <c r="I9" s="147">
        <f>IF(ISERROR(LARGE('Mens Averages'!$AF$8:$AF$343,2)),"",(LARGE('Mens Averages'!$AF$8:$AF$343,2)))</f>
        <v>27.72</v>
      </c>
      <c r="J9" s="1"/>
      <c r="K9" s="68">
        <f>IF(ISERROR(RANK(R9,R8:R17)),"",(RANK(R9,R8:R17)))</f>
        <v>2</v>
      </c>
      <c r="L9" s="144" t="str">
        <f t="array" ref="L9">IF(ISNUMBER(R9),INDEX('Mens Averages'!$G$8:$G$343,SMALL(IF('Mens Averages'!$AP$8:$AP$343=R9,ROW('Mens Averages'!$AP$8:$AP$343)-ROW('Mens Averages'!$AP$8)+1),COUNTIF(R$8:R9,R9))),"")</f>
        <v>Scott Mitchell</v>
      </c>
      <c r="M9" s="145" t="str">
        <f t="array" ref="M9">IF(ISNUMBER(R9),INDEX('Mens Averages'!$H$8:$H$343,SMALL(IF('Mens Averages'!$AP$8:$AP$343=R9,ROW('Mens Averages'!$AP$8:$AP$343)-ROW('Mens Averages'!$AP$8)+1),COUNTIF(R$8:R9,R9))),"")</f>
        <v>Lyt</v>
      </c>
      <c r="N9" s="146" t="str">
        <f t="array" ref="N9">IF(ISERROR(IF(LEFT(INDEX('Mens Averages'!$AO$8:$AO$343,MATCH('Weekly Top 10'!R9,'Mens Averages'!$AP$8:$AP$343,0)),1)="4","Y","N")),"",(IF(LEFT(INDEX('Mens Averages'!$AO$8:$AO$343,MATCH('Weekly Top 10'!R9,'Mens Averages'!$AP$8:$AP$343,0)),1)="4","Y","N")))</f>
        <v>Y</v>
      </c>
      <c r="O9" s="146" t="str">
        <f t="array" ref="O9">IF(ISERROR(LEFT(INDEX('Mens Averages'!$AO$8:$AO$343,MATCH('Weekly Top 10'!R9,'Mens Averages'!$AP$8:$AP$343,0)),1)),"",(LEFT(INDEX('Mens Averages'!$AO$8:$AO$343,MATCH('Weekly Top 10'!R9,'Mens Averages'!$AP$8:$AP$343,0)),1)))</f>
        <v>4</v>
      </c>
      <c r="P9" s="146" t="str">
        <f t="array" ref="P9">IF(ISERROR(RIGHT(LEFT(INDEX('Mens Averages'!$AO$8:$AO$343,MATCH('Weekly Top 10'!R9,'Mens Averages'!$AP$8:$AP$343,0)),3),1)),"",(RIGHT(LEFT(INDEX('Mens Averages'!$AO$8:$AO$343,MATCH('Weekly Top 10'!R9,'Mens Averages'!$AP$8:$AP$343,0)),3),1)))</f>
        <v>0</v>
      </c>
      <c r="Q9" s="145">
        <f t="array" ref="Q9">IF(ISNUMBER(R9),INDEX('Mens Averages'!$S$8:$S$343,SMALL(IF('Mens Averages'!$AP$8:$AP$343=R9,ROW('Mens Averages'!$AP$8:$AP$343)-ROW('Mens Averages'!$AP$8)+1),COUNTIF(R$8:R9,R9))),"")</f>
        <v>28.23</v>
      </c>
      <c r="R9" s="147">
        <f>IF(ISERROR(LARGE('Mens Averages'!$AP$8:$AP$343,2)),"",(LARGE('Mens Averages'!$AP$8:$AP$343,2)))</f>
        <v>29.23</v>
      </c>
      <c r="S9" s="1"/>
      <c r="T9" s="68">
        <f>IF(ISERROR(RANK(AA9,AA8:AA17)),"",(RANK(AA9,AA8:AA17)))</f>
        <v>2</v>
      </c>
      <c r="U9" s="144" t="str">
        <f t="array" ref="U9">IF(ISNUMBER(AA9),INDEX('Mens Averages'!$G$8:$G$343,SMALL(IF('Mens Averages'!$AZ$8:$AZ$343=AA9,ROW('Mens Averages'!$AZ$8:$AZ$343)-ROW('Mens Averages'!$AZ$8)+1),COUNTIF(AA$8:AA9,AA9))),"")</f>
        <v>Robbie Martin</v>
      </c>
      <c r="V9" s="145" t="str">
        <f t="array" ref="V9">IF(ISNUMBER(AA9),INDEX('Mens Averages'!$H$8:$H$343,SMALL(IF('Mens Averages'!$AZ$8:$AZ$343=AA9,ROW('Mens Averages'!$AZ$8:$AZ$343)-ROW('Mens Averages'!$AZ$8)+1),COUNTIF(AA$8:AA9,AA9))),"")</f>
        <v>Ald</v>
      </c>
      <c r="W9" s="146" t="str">
        <f t="array" ref="W9">IF(ISERROR(IF(LEFT(INDEX('Mens Averages'!$AY$8:$AY$343,MATCH('Weekly Top 10'!AA9,'Mens Averages'!$AZ$8:$AZ$343,0)),1)="4","Y","N")),"",(IF(LEFT(INDEX('Mens Averages'!$AY$8:$AY$343,MATCH('Weekly Top 10'!AA9,'Mens Averages'!$AZ$8:$AZ$343,0)),1)="4","Y","N")))</f>
        <v>Y</v>
      </c>
      <c r="X9" s="146" t="str">
        <f t="array" ref="X9">IF(ISERROR(LEFT(INDEX('Mens Averages'!$AY$8:$AY$343,MATCH('Weekly Top 10'!AA9,'Mens Averages'!$AZ$8:$AZ$343,0)),1)),"",(LEFT(INDEX('Mens Averages'!$AY$8:$AY$343,MATCH('Weekly Top 10'!AA9,'Mens Averages'!$AZ$8:$AZ$343,0)),1)))</f>
        <v>4</v>
      </c>
      <c r="Y9" s="146" t="str">
        <f t="array" ref="Y9">IF(ISERROR(RIGHT(LEFT(INDEX('Mens Averages'!$AY$8:$AY$343,MATCH('Weekly Top 10'!AA9,'Mens Averages'!$AZ$8:$AZ$343,0)),3),1)),"",(RIGHT(LEFT(INDEX('Mens Averages'!$AY$8:$AY$343,MATCH('Weekly Top 10'!AA9,'Mens Averages'!$AZ$8:$AZ$343,0)),3),1)))</f>
        <v>0</v>
      </c>
      <c r="Z9" s="145">
        <f t="array" ref="Z9">IF(ISNUMBER(AA9),INDEX('Mens Averages'!$X$8:$X$343,SMALL(IF('Mens Averages'!$AZ$8:$AZ$343=AA9,ROW('Mens Averages'!$AZ$8:$AZ$343)-ROW('Mens Averages'!$AZ$8)+1),COUNTIF(AA$8:AA9,AA9))),"")</f>
        <v>27.83</v>
      </c>
      <c r="AA9" s="147">
        <f>IF(ISERROR(LARGE('Mens Averages'!$AZ$8:$AZ$343,2)),"",(LARGE('Mens Averages'!$AZ$8:$AZ$343,2)))</f>
        <v>28.83</v>
      </c>
      <c r="AB9" s="1"/>
      <c r="AC9" s="1"/>
      <c r="AD9" s="1"/>
      <c r="AE9" s="1"/>
    </row>
    <row r="10" spans="1:31" ht="16.5" customHeight="1" x14ac:dyDescent="0.2">
      <c r="A10" s="1"/>
      <c r="B10" s="68">
        <f>IF(ISERROR(RANK(I10,I8:I17)),"",(RANK(I10,I8:I17)))</f>
        <v>3</v>
      </c>
      <c r="C10" s="144" t="str">
        <f t="array" ref="C10">IF(ISNUMBER(I10),INDEX('Mens Averages'!$G$8:$G$343,SMALL(IF('Mens Averages'!$AF$8:$AF$343=I10,ROW('Mens Averages'!$AF$8:$AF$343)-ROW('Mens Averages'!$AF$8)+1),COUNTIF(I$8:I10,I10))),"")</f>
        <v>Kevin Smith</v>
      </c>
      <c r="D10" s="145" t="str">
        <f t="array" ref="D10">IF(ISNUMBER(I10),INDEX('Mens Averages'!$H$8:$H$343,SMALL(IF('Mens Averages'!$AF$8:$AF$343=I10,ROW('Mens Averages'!$AF$8:$AF$343)-ROW('Mens Averages'!$AF$8)+1),COUNTIF(I$8:I10,I10))),"")</f>
        <v>Poo</v>
      </c>
      <c r="E10" s="146" t="str">
        <f t="array" ref="E10">IF(ISERROR(IF(LEFT(INDEX('Mens Averages'!$AE$8:$AE$343,MATCH('Weekly Top 10'!I10,'Mens Averages'!$AF$8:$AF$343,0)),1)="4","Y","N")),"",(IF(LEFT(INDEX('Mens Averages'!$AE$8:$AE$343,MATCH('Weekly Top 10'!I10,'Mens Averages'!$AF$8:$AF$343,0)),1)="4","Y","N")))</f>
        <v>Y</v>
      </c>
      <c r="F10" s="146" t="str">
        <f t="array" ref="F10">IF(ISERROR(LEFT(INDEX('Mens Averages'!$AE$8:$AE$343,MATCH('Weekly Top 10'!I10,'Mens Averages'!$AF$8:$AF$343,0)),1)),"",(LEFT(INDEX('Mens Averages'!$AE$8:$AE$343,MATCH('Weekly Top 10'!I10,'Mens Averages'!$AF$8:$AF$343,0)),1)))</f>
        <v>4</v>
      </c>
      <c r="G10" s="146" t="str">
        <f t="array" ref="G10">IF(ISERROR(RIGHT(LEFT(INDEX('Mens Averages'!$AE$8:$AE$343,MATCH('Weekly Top 10'!I10,'Mens Averages'!$AF$8:$AF$343,0)),3),1)),"",(RIGHT(LEFT(INDEX('Mens Averages'!$AE$8:$AE$343,MATCH('Weekly Top 10'!I10,'Mens Averages'!$AF$8:$AF$343,0)),3),1)))</f>
        <v>1</v>
      </c>
      <c r="H10" s="145">
        <f t="array" ref="H10">IF(ISNUMBER(I10),INDEX('Mens Averages'!$N$8:$N$343,SMALL(IF('Mens Averages'!$AF$8:$AF$343=I10,ROW('Mens Averages'!$AF$8:$AF$343)-ROW('Mens Averages'!$AF$8)+1),COUNTIF(I$8:I10,I10))),"")</f>
        <v>26.01</v>
      </c>
      <c r="I10" s="147">
        <f>IF(ISERROR(LARGE('Mens Averages'!$AF$8:$AF$343,3)),"",(LARGE('Mens Averages'!$AF$8:$AF$343,3)))</f>
        <v>27.01</v>
      </c>
      <c r="J10" s="1"/>
      <c r="K10" s="68">
        <f>IF(ISERROR(RANK(R10,R8:R17)),"",(RANK(R10,R8:R17)))</f>
        <v>3</v>
      </c>
      <c r="L10" s="144" t="str">
        <f t="array" ref="L10">IF(ISNUMBER(R10),INDEX('Mens Averages'!$G$8:$G$343,SMALL(IF('Mens Averages'!$AP$8:$AP$343=R10,ROW('Mens Averages'!$AP$8:$AP$343)-ROW('Mens Averages'!$AP$8)+1),COUNTIF(R$8:R10,R10))),"")</f>
        <v>Daniel Rawlings</v>
      </c>
      <c r="M10" s="145" t="str">
        <f t="array" ref="M10">IF(ISNUMBER(R10),INDEX('Mens Averages'!$H$8:$H$343,SMALL(IF('Mens Averages'!$AP$8:$AP$343=R10,ROW('Mens Averages'!$AP$8:$AP$343)-ROW('Mens Averages'!$AP$8)+1),COUNTIF(R$8:R10,R10))),"")</f>
        <v>Bri</v>
      </c>
      <c r="N10" s="146" t="str">
        <f t="array" ref="N10">IF(ISERROR(IF(LEFT(INDEX('Mens Averages'!$AO$8:$AO$343,MATCH('Weekly Top 10'!R10,'Mens Averages'!$AP$8:$AP$343,0)),1)="4","Y","N")),"",(IF(LEFT(INDEX('Mens Averages'!$AO$8:$AO$343,MATCH('Weekly Top 10'!R10,'Mens Averages'!$AP$8:$AP$343,0)),1)="4","Y","N")))</f>
        <v>Y</v>
      </c>
      <c r="O10" s="146" t="str">
        <f t="array" ref="O10">IF(ISERROR(LEFT(INDEX('Mens Averages'!$AO$8:$AO$343,MATCH('Weekly Top 10'!R10,'Mens Averages'!$AP$8:$AP$343,0)),1)),"",(LEFT(INDEX('Mens Averages'!$AO$8:$AO$343,MATCH('Weekly Top 10'!R10,'Mens Averages'!$AP$8:$AP$343,0)),1)))</f>
        <v>4</v>
      </c>
      <c r="P10" s="146" t="str">
        <f t="array" ref="P10">IF(ISERROR(RIGHT(LEFT(INDEX('Mens Averages'!$AO$8:$AO$343,MATCH('Weekly Top 10'!R10,'Mens Averages'!$AP$8:$AP$343,0)),3),1)),"",(RIGHT(LEFT(INDEX('Mens Averages'!$AO$8:$AO$343,MATCH('Weekly Top 10'!R10,'Mens Averages'!$AP$8:$AP$343,0)),3),1)))</f>
        <v>1</v>
      </c>
      <c r="Q10" s="145">
        <f t="array" ref="Q10">IF(ISNUMBER(R10),INDEX('Mens Averages'!$S$8:$S$343,SMALL(IF('Mens Averages'!$AP$8:$AP$343=R10,ROW('Mens Averages'!$AP$8:$AP$343)-ROW('Mens Averages'!$AP$8)+1),COUNTIF(R$8:R10,R10))),"")</f>
        <v>27.47</v>
      </c>
      <c r="R10" s="147">
        <f>IF(ISERROR(LARGE('Mens Averages'!$AP$8:$AP$343,3)),"",(LARGE('Mens Averages'!$AP$8:$AP$343,3)))</f>
        <v>28.47</v>
      </c>
      <c r="S10" s="1"/>
      <c r="T10" s="68">
        <f>IF(ISERROR(RANK(AA10,AA8:AA17)),"",(RANK(AA10,AA8:AA17)))</f>
        <v>3</v>
      </c>
      <c r="U10" s="144" t="str">
        <f t="array" ref="U10">IF(ISNUMBER(AA10),INDEX('Mens Averages'!$G$8:$G$343,SMALL(IF('Mens Averages'!$AZ$8:$AZ$343=AA10,ROW('Mens Averages'!$AZ$8:$AZ$343)-ROW('Mens Averages'!$AZ$8)+1),COUNTIF(AA$8:AA10,AA10))),"")</f>
        <v>Ricky King</v>
      </c>
      <c r="V10" s="145" t="str">
        <f t="array" ref="V10">IF(ISNUMBER(AA10),INDEX('Mens Averages'!$H$8:$H$343,SMALL(IF('Mens Averages'!$AZ$8:$AZ$343=AA10,ROW('Mens Averages'!$AZ$8:$AZ$343)-ROW('Mens Averages'!$AZ$8)+1),COUNTIF(AA$8:AA10,AA10))),"")</f>
        <v>Swa</v>
      </c>
      <c r="W10" s="146" t="str">
        <f t="array" ref="W10">IF(ISERROR(IF(LEFT(INDEX('Mens Averages'!$AY$8:$AY$343,MATCH('Weekly Top 10'!AA10,'Mens Averages'!$AZ$8:$AZ$343,0)),1)="4","Y","N")),"",(IF(LEFT(INDEX('Mens Averages'!$AY$8:$AY$343,MATCH('Weekly Top 10'!AA10,'Mens Averages'!$AZ$8:$AZ$343,0)),1)="4","Y","N")))</f>
        <v>Y</v>
      </c>
      <c r="X10" s="146" t="str">
        <f t="array" ref="X10">IF(ISERROR(LEFT(INDEX('Mens Averages'!$AY$8:$AY$343,MATCH('Weekly Top 10'!AA10,'Mens Averages'!$AZ$8:$AZ$343,0)),1)),"",(LEFT(INDEX('Mens Averages'!$AY$8:$AY$343,MATCH('Weekly Top 10'!AA10,'Mens Averages'!$AZ$8:$AZ$343,0)),1)))</f>
        <v>4</v>
      </c>
      <c r="Y10" s="146" t="str">
        <f t="array" ref="Y10">IF(ISERROR(RIGHT(LEFT(INDEX('Mens Averages'!$AY$8:$AY$343,MATCH('Weekly Top 10'!AA10,'Mens Averages'!$AZ$8:$AZ$343,0)),3),1)),"",(RIGHT(LEFT(INDEX('Mens Averages'!$AY$8:$AY$343,MATCH('Weekly Top 10'!AA10,'Mens Averages'!$AZ$8:$AZ$343,0)),3),1)))</f>
        <v>1</v>
      </c>
      <c r="Z10" s="145">
        <f t="array" ref="Z10">IF(ISNUMBER(AA10),INDEX('Mens Averages'!$X$8:$X$343,SMALL(IF('Mens Averages'!$AZ$8:$AZ$343=AA10,ROW('Mens Averages'!$AZ$8:$AZ$343)-ROW('Mens Averages'!$AZ$8)+1),COUNTIF(AA$8:AA10,AA10))),"")</f>
        <v>27.79</v>
      </c>
      <c r="AA10" s="147">
        <f>IF(ISERROR(LARGE('Mens Averages'!$AZ$8:$AZ$343,3)),"",(LARGE('Mens Averages'!$AZ$8:$AZ$343,3)))</f>
        <v>28.79</v>
      </c>
      <c r="AB10" s="1"/>
      <c r="AC10" s="1"/>
      <c r="AD10" s="1"/>
      <c r="AE10" s="1"/>
    </row>
    <row r="11" spans="1:31" ht="16.5" customHeight="1" x14ac:dyDescent="0.2">
      <c r="A11" s="1"/>
      <c r="B11" s="68">
        <f>IF(ISERROR(RANK(I11,I8:I17)),"",(RANK(I11,I8:I17)))</f>
        <v>4</v>
      </c>
      <c r="C11" s="144" t="str">
        <f t="array" ref="C11">IF(ISNUMBER(I11),INDEX('Mens Averages'!$G$8:$G$343,SMALL(IF('Mens Averages'!$AF$8:$AF$343=I11,ROW('Mens Averages'!$AF$8:$AF$343)-ROW('Mens Averages'!$AF$8)+1),COUNTIF(I$8:I11,I11))),"")</f>
        <v>Tommy Morris</v>
      </c>
      <c r="D11" s="145" t="str">
        <f t="array" ref="D11">IF(ISNUMBER(I11),INDEX('Mens Averages'!$H$8:$H$343,SMALL(IF('Mens Averages'!$AF$8:$AF$343=I11,ROW('Mens Averages'!$AF$8:$AF$343)-ROW('Mens Averages'!$AF$8)+1),COUNTIF(I$8:I11,I11))),"")</f>
        <v>Chr</v>
      </c>
      <c r="E11" s="146" t="str">
        <f t="array" ref="E11">IF(ISERROR(IF(LEFT(INDEX('Mens Averages'!$AE$8:$AE$343,MATCH('Weekly Top 10'!I11,'Mens Averages'!$AF$8:$AF$343,0)),1)="4","Y","N")),"",(IF(LEFT(INDEX('Mens Averages'!$AE$8:$AE$343,MATCH('Weekly Top 10'!I11,'Mens Averages'!$AF$8:$AF$343,0)),1)="4","Y","N")))</f>
        <v>Y</v>
      </c>
      <c r="F11" s="146" t="str">
        <f t="array" ref="F11">IF(ISERROR(LEFT(INDEX('Mens Averages'!$AE$8:$AE$343,MATCH('Weekly Top 10'!I11,'Mens Averages'!$AF$8:$AF$343,0)),1)),"",(LEFT(INDEX('Mens Averages'!$AE$8:$AE$343,MATCH('Weekly Top 10'!I11,'Mens Averages'!$AF$8:$AF$343,0)),1)))</f>
        <v>4</v>
      </c>
      <c r="G11" s="146" t="str">
        <f t="array" ref="G11">IF(ISERROR(RIGHT(LEFT(INDEX('Mens Averages'!$AE$8:$AE$343,MATCH('Weekly Top 10'!I11,'Mens Averages'!$AF$8:$AF$343,0)),3),1)),"",(RIGHT(LEFT(INDEX('Mens Averages'!$AE$8:$AE$343,MATCH('Weekly Top 10'!I11,'Mens Averages'!$AF$8:$AF$343,0)),3),1)))</f>
        <v>0</v>
      </c>
      <c r="H11" s="145">
        <f t="array" ref="H11">IF(ISNUMBER(I11),INDEX('Mens Averages'!$N$8:$N$343,SMALL(IF('Mens Averages'!$AF$8:$AF$343=I11,ROW('Mens Averages'!$AF$8:$AF$343)-ROW('Mens Averages'!$AF$8)+1),COUNTIF(I$8:I11,I11))),"")</f>
        <v>25.37</v>
      </c>
      <c r="I11" s="147">
        <f>IF(ISERROR(LARGE('Mens Averages'!$AF$8:$AF$343,4)),"",(LARGE('Mens Averages'!$AF$8:$AF$343,4)))</f>
        <v>26.37</v>
      </c>
      <c r="J11" s="1"/>
      <c r="K11" s="68">
        <f>IF(ISERROR(RANK(R11,R8:R17)),"",(RANK(R11,R8:R17)))</f>
        <v>4</v>
      </c>
      <c r="L11" s="144" t="str">
        <f t="array" ref="L11">IF(ISNUMBER(R11),INDEX('Mens Averages'!$G$8:$G$343,SMALL(IF('Mens Averages'!$AP$8:$AP$343=R11,ROW('Mens Averages'!$AP$8:$AP$343)-ROW('Mens Averages'!$AP$8)+1),COUNTIF(R$8:R11,R11))),"")</f>
        <v>Paul Carter</v>
      </c>
      <c r="M11" s="145" t="str">
        <f t="array" ref="M11">IF(ISNUMBER(R11),INDEX('Mens Averages'!$H$8:$H$343,SMALL(IF('Mens Averages'!$AP$8:$AP$343=R11,ROW('Mens Averages'!$AP$8:$AP$343)-ROW('Mens Averages'!$AP$8)+1),COUNTIF(R$8:R11,R11))),"")</f>
        <v>Bou</v>
      </c>
      <c r="N11" s="146" t="str">
        <f t="array" ref="N11">IF(ISERROR(IF(LEFT(INDEX('Mens Averages'!$AO$8:$AO$343,MATCH('Weekly Top 10'!R11,'Mens Averages'!$AP$8:$AP$343,0)),1)="4","Y","N")),"",(IF(LEFT(INDEX('Mens Averages'!$AO$8:$AO$343,MATCH('Weekly Top 10'!R11,'Mens Averages'!$AP$8:$AP$343,0)),1)="4","Y","N")))</f>
        <v>Y</v>
      </c>
      <c r="O11" s="146" t="str">
        <f t="array" ref="O11">IF(ISERROR(LEFT(INDEX('Mens Averages'!$AO$8:$AO$343,MATCH('Weekly Top 10'!R11,'Mens Averages'!$AP$8:$AP$343,0)),1)),"",(LEFT(INDEX('Mens Averages'!$AO$8:$AO$343,MATCH('Weekly Top 10'!R11,'Mens Averages'!$AP$8:$AP$343,0)),1)))</f>
        <v>4</v>
      </c>
      <c r="P11" s="146" t="str">
        <f t="array" ref="P11">IF(ISERROR(RIGHT(LEFT(INDEX('Mens Averages'!$AO$8:$AO$343,MATCH('Weekly Top 10'!R11,'Mens Averages'!$AP$8:$AP$343,0)),3),1)),"",(RIGHT(LEFT(INDEX('Mens Averages'!$AO$8:$AO$343,MATCH('Weekly Top 10'!R11,'Mens Averages'!$AP$8:$AP$343,0)),3),1)))</f>
        <v>0</v>
      </c>
      <c r="Q11" s="145">
        <f t="array" ref="Q11">IF(ISNUMBER(R11),INDEX('Mens Averages'!$S$8:$S$343,SMALL(IF('Mens Averages'!$AP$8:$AP$343=R11,ROW('Mens Averages'!$AP$8:$AP$343)-ROW('Mens Averages'!$AP$8)+1),COUNTIF(R$8:R11,R11))),"")</f>
        <v>27.08</v>
      </c>
      <c r="R11" s="147">
        <f>IF(ISERROR(LARGE('Mens Averages'!$AP$8:$AP$343,4)),"",(LARGE('Mens Averages'!$AP$8:$AP$343,4)))</f>
        <v>28.08</v>
      </c>
      <c r="S11" s="1"/>
      <c r="T11" s="68">
        <f>IF(ISERROR(RANK(AA11,AA8:AA17)),"",(RANK(AA11,AA8:AA17)))</f>
        <v>4</v>
      </c>
      <c r="U11" s="144" t="str">
        <f t="array" ref="U11">IF(ISNUMBER(AA11),INDEX('Mens Averages'!$G$8:$G$343,SMALL(IF('Mens Averages'!$AZ$8:$AZ$343=AA11,ROW('Mens Averages'!$AZ$8:$AZ$343)-ROW('Mens Averages'!$AZ$8)+1),COUNTIF(AA$8:AA11,AA11))),"")</f>
        <v>Liam Blakeley</v>
      </c>
      <c r="V11" s="145" t="str">
        <f t="array" ref="V11">IF(ISNUMBER(AA11),INDEX('Mens Averages'!$H$8:$H$343,SMALL(IF('Mens Averages'!$AZ$8:$AZ$343=AA11,ROW('Mens Averages'!$AZ$8:$AZ$343)-ROW('Mens Averages'!$AZ$8)+1),COUNTIF(AA$8:AA11,AA11))),"")</f>
        <v>Dor</v>
      </c>
      <c r="W11" s="146" t="str">
        <f t="array" ref="W11">IF(ISERROR(IF(LEFT(INDEX('Mens Averages'!$AY$8:$AY$343,MATCH('Weekly Top 10'!AA11,'Mens Averages'!$AZ$8:$AZ$343,0)),1)="4","Y","N")),"",(IF(LEFT(INDEX('Mens Averages'!$AY$8:$AY$343,MATCH('Weekly Top 10'!AA11,'Mens Averages'!$AZ$8:$AZ$343,0)),1)="4","Y","N")))</f>
        <v>Y</v>
      </c>
      <c r="X11" s="146" t="str">
        <f t="array" ref="X11">IF(ISERROR(LEFT(INDEX('Mens Averages'!$AY$8:$AY$343,MATCH('Weekly Top 10'!AA11,'Mens Averages'!$AZ$8:$AZ$343,0)),1)),"",(LEFT(INDEX('Mens Averages'!$AY$8:$AY$343,MATCH('Weekly Top 10'!AA11,'Mens Averages'!$AZ$8:$AZ$343,0)),1)))</f>
        <v>4</v>
      </c>
      <c r="Y11" s="146" t="str">
        <f t="array" ref="Y11">IF(ISERROR(RIGHT(LEFT(INDEX('Mens Averages'!$AY$8:$AY$343,MATCH('Weekly Top 10'!AA11,'Mens Averages'!$AZ$8:$AZ$343,0)),3),1)),"",(RIGHT(LEFT(INDEX('Mens Averages'!$AY$8:$AY$343,MATCH('Weekly Top 10'!AA11,'Mens Averages'!$AZ$8:$AZ$343,0)),3),1)))</f>
        <v>3</v>
      </c>
      <c r="Z11" s="145">
        <f t="array" ref="Z11">IF(ISNUMBER(AA11),INDEX('Mens Averages'!$X$8:$X$343,SMALL(IF('Mens Averages'!$AZ$8:$AZ$343=AA11,ROW('Mens Averages'!$AZ$8:$AZ$343)-ROW('Mens Averages'!$AZ$8)+1),COUNTIF(AA$8:AA11,AA11))),"")</f>
        <v>27.65</v>
      </c>
      <c r="AA11" s="147">
        <f>IF(ISERROR(LARGE('Mens Averages'!$AZ$8:$AZ$343,4)),"",(LARGE('Mens Averages'!$AZ$8:$AZ$343,4)))</f>
        <v>28.65</v>
      </c>
      <c r="AB11" s="1"/>
      <c r="AC11" s="1"/>
      <c r="AD11" s="1"/>
      <c r="AE11" s="1"/>
    </row>
    <row r="12" spans="1:31" ht="16.5" customHeight="1" x14ac:dyDescent="0.2">
      <c r="A12" s="1"/>
      <c r="B12" s="68">
        <f>IF(ISERROR(RANK(I12,I8:I17)),"",(RANK(I12,I8:I17)))</f>
        <v>4</v>
      </c>
      <c r="C12" s="144" t="str">
        <f t="array" ref="C12">IF(ISNUMBER(I12),INDEX('Mens Averages'!$G$8:$G$343,SMALL(IF('Mens Averages'!$AF$8:$AF$343=I12,ROW('Mens Averages'!$AF$8:$AF$343)-ROW('Mens Averages'!$AF$8)+1),COUNTIF(I$8:I12,I12))),"")</f>
        <v>Ricky King</v>
      </c>
      <c r="D12" s="145" t="str">
        <f t="array" ref="D12">IF(ISNUMBER(I12),INDEX('Mens Averages'!$H$8:$H$343,SMALL(IF('Mens Averages'!$AF$8:$AF$343=I12,ROW('Mens Averages'!$AF$8:$AF$343)-ROW('Mens Averages'!$AF$8)+1),COUNTIF(I$8:I12,I12))),"")</f>
        <v>Swa</v>
      </c>
      <c r="E12" s="146" t="str">
        <f t="array" ref="E12">IF(ISERROR(IF(LEFT(INDEX('Mens Averages'!$AE$8:$AE$343,MATCH('Weekly Top 10'!I12,'Mens Averages'!$AF$8:$AF$343,0)),1)="4","Y","N")),"",(IF(LEFT(INDEX('Mens Averages'!$AE$8:$AE$343,MATCH('Weekly Top 10'!I12,'Mens Averages'!$AF$8:$AF$343,0)),1)="4","Y","N")))</f>
        <v>Y</v>
      </c>
      <c r="F12" s="146" t="str">
        <f t="array" ref="F12">IF(ISERROR(LEFT(INDEX('Mens Averages'!$AE$8:$AE$343,MATCH('Weekly Top 10'!I12,'Mens Averages'!$AF$8:$AF$343,0)),1)),"",(LEFT(INDEX('Mens Averages'!$AE$8:$AE$343,MATCH('Weekly Top 10'!I12,'Mens Averages'!$AF$8:$AF$343,0)),1)))</f>
        <v>4</v>
      </c>
      <c r="G12" s="146" t="str">
        <f t="array" ref="G12">IF(ISERROR(RIGHT(LEFT(INDEX('Mens Averages'!$AE$8:$AE$343,MATCH('Weekly Top 10'!I12,'Mens Averages'!$AF$8:$AF$343,0)),3),1)),"",(RIGHT(LEFT(INDEX('Mens Averages'!$AE$8:$AE$343,MATCH('Weekly Top 10'!I12,'Mens Averages'!$AF$8:$AF$343,0)),3),1)))</f>
        <v>0</v>
      </c>
      <c r="H12" s="145">
        <f t="array" ref="H12">IF(ISNUMBER(I12),INDEX('Mens Averages'!$N$8:$N$343,SMALL(IF('Mens Averages'!$AF$8:$AF$343=I12,ROW('Mens Averages'!$AF$8:$AF$343)-ROW('Mens Averages'!$AF$8)+1),COUNTIF(I$8:I12,I12))),"")</f>
        <v>25.37</v>
      </c>
      <c r="I12" s="147">
        <f>IF(ISERROR(LARGE('Mens Averages'!$AF$8:$AF$343,5)),"",(LARGE('Mens Averages'!$AF$8:$AF$343,5)))</f>
        <v>26.37</v>
      </c>
      <c r="J12" s="1"/>
      <c r="K12" s="68">
        <f>IF(ISERROR(RANK(R12,R8:R17)),"",(RANK(R12,R8:R17)))</f>
        <v>5</v>
      </c>
      <c r="L12" s="144" t="str">
        <f t="array" ref="L12">IF(ISNUMBER(R12),INDEX('Mens Averages'!$G$8:$G$343,SMALL(IF('Mens Averages'!$AP$8:$AP$343=R12,ROW('Mens Averages'!$AP$8:$AP$343)-ROW('Mens Averages'!$AP$8)+1),COUNTIF(R$8:R12,R12))),"")</f>
        <v>Matt Yarrow</v>
      </c>
      <c r="M12" s="145" t="str">
        <f t="array" ref="M12">IF(ISNUMBER(R12),INDEX('Mens Averages'!$H$8:$H$343,SMALL(IF('Mens Averages'!$AP$8:$AP$343=R12,ROW('Mens Averages'!$AP$8:$AP$343)-ROW('Mens Averages'!$AP$8)+1),COUNTIF(R$8:R12,R12))),"")</f>
        <v>Dor</v>
      </c>
      <c r="N12" s="146" t="str">
        <f t="array" ref="N12">IF(ISERROR(IF(LEFT(INDEX('Mens Averages'!$AO$8:$AO$343,MATCH('Weekly Top 10'!R12,'Mens Averages'!$AP$8:$AP$343,0)),1)="4","Y","N")),"",(IF(LEFT(INDEX('Mens Averages'!$AO$8:$AO$343,MATCH('Weekly Top 10'!R12,'Mens Averages'!$AP$8:$AP$343,0)),1)="4","Y","N")))</f>
        <v>Y</v>
      </c>
      <c r="O12" s="146" t="str">
        <f t="array" ref="O12">IF(ISERROR(LEFT(INDEX('Mens Averages'!$AO$8:$AO$343,MATCH('Weekly Top 10'!R12,'Mens Averages'!$AP$8:$AP$343,0)),1)),"",(LEFT(INDEX('Mens Averages'!$AO$8:$AO$343,MATCH('Weekly Top 10'!R12,'Mens Averages'!$AP$8:$AP$343,0)),1)))</f>
        <v>4</v>
      </c>
      <c r="P12" s="146" t="str">
        <f t="array" ref="P12">IF(ISERROR(RIGHT(LEFT(INDEX('Mens Averages'!$AO$8:$AO$343,MATCH('Weekly Top 10'!R12,'Mens Averages'!$AP$8:$AP$343,0)),3),1)),"",(RIGHT(LEFT(INDEX('Mens Averages'!$AO$8:$AO$343,MATCH('Weekly Top 10'!R12,'Mens Averages'!$AP$8:$AP$343,0)),3),1)))</f>
        <v>0</v>
      </c>
      <c r="Q12" s="145">
        <f t="array" ref="Q12">IF(ISNUMBER(R12),INDEX('Mens Averages'!$S$8:$S$343,SMALL(IF('Mens Averages'!$AP$8:$AP$343=R12,ROW('Mens Averages'!$AP$8:$AP$343)-ROW('Mens Averages'!$AP$8)+1),COUNTIF(R$8:R12,R12))),"")</f>
        <v>26.03</v>
      </c>
      <c r="R12" s="147">
        <f>IF(ISERROR(LARGE('Mens Averages'!$AP$8:$AP$343,5)),"",(LARGE('Mens Averages'!$AP$8:$AP$343,5)))</f>
        <v>27.03</v>
      </c>
      <c r="S12" s="1"/>
      <c r="T12" s="68">
        <f>IF(ISERROR(RANK(AA12,AA8:AA17)),"",(RANK(AA12,AA8:AA17)))</f>
        <v>5</v>
      </c>
      <c r="U12" s="144" t="str">
        <f t="array" ref="U12">IF(ISNUMBER(AA12),INDEX('Mens Averages'!$G$8:$G$343,SMALL(IF('Mens Averages'!$AZ$8:$AZ$343=AA12,ROW('Mens Averages'!$AZ$8:$AZ$343)-ROW('Mens Averages'!$AZ$8)+1),COUNTIF(AA$8:AA12,AA12))),"")</f>
        <v>Matt Yarrow</v>
      </c>
      <c r="V12" s="145" t="str">
        <f t="array" ref="V12">IF(ISNUMBER(AA12),INDEX('Mens Averages'!$H$8:$H$343,SMALL(IF('Mens Averages'!$AZ$8:$AZ$343=AA12,ROW('Mens Averages'!$AZ$8:$AZ$343)-ROW('Mens Averages'!$AZ$8)+1),COUNTIF(AA$8:AA12,AA12))),"")</f>
        <v>Dor</v>
      </c>
      <c r="W12" s="146" t="str">
        <f t="array" ref="W12">IF(ISERROR(IF(LEFT(INDEX('Mens Averages'!$AY$8:$AY$343,MATCH('Weekly Top 10'!AA12,'Mens Averages'!$AZ$8:$AZ$343,0)),1)="4","Y","N")),"",(IF(LEFT(INDEX('Mens Averages'!$AY$8:$AY$343,MATCH('Weekly Top 10'!AA12,'Mens Averages'!$AZ$8:$AZ$343,0)),1)="4","Y","N")))</f>
        <v>Y</v>
      </c>
      <c r="X12" s="146" t="str">
        <f t="array" ref="X12">IF(ISERROR(LEFT(INDEX('Mens Averages'!$AY$8:$AY$343,MATCH('Weekly Top 10'!AA12,'Mens Averages'!$AZ$8:$AZ$343,0)),1)),"",(LEFT(INDEX('Mens Averages'!$AY$8:$AY$343,MATCH('Weekly Top 10'!AA12,'Mens Averages'!$AZ$8:$AZ$343,0)),1)))</f>
        <v>4</v>
      </c>
      <c r="Y12" s="146" t="str">
        <f t="array" ref="Y12">IF(ISERROR(RIGHT(LEFT(INDEX('Mens Averages'!$AY$8:$AY$343,MATCH('Weekly Top 10'!AA12,'Mens Averages'!$AZ$8:$AZ$343,0)),3),1)),"",(RIGHT(LEFT(INDEX('Mens Averages'!$AY$8:$AY$343,MATCH('Weekly Top 10'!AA12,'Mens Averages'!$AZ$8:$AZ$343,0)),3),1)))</f>
        <v>0</v>
      </c>
      <c r="Z12" s="145">
        <f t="array" ref="Z12">IF(ISNUMBER(AA12),INDEX('Mens Averages'!$X$8:$X$343,SMALL(IF('Mens Averages'!$AZ$8:$AZ$343=AA12,ROW('Mens Averages'!$AZ$8:$AZ$343)-ROW('Mens Averages'!$AZ$8)+1),COUNTIF(AA$8:AA12,AA12))),"")</f>
        <v>27.45</v>
      </c>
      <c r="AA12" s="147">
        <f>IF(ISERROR(LARGE('Mens Averages'!$AZ$8:$AZ$343,5)),"",(LARGE('Mens Averages'!$AZ$8:$AZ$343,5)))</f>
        <v>28.45</v>
      </c>
      <c r="AB12" s="1"/>
      <c r="AC12" s="1"/>
      <c r="AD12" s="1"/>
      <c r="AE12" s="1"/>
    </row>
    <row r="13" spans="1:31" ht="16.5" customHeight="1" x14ac:dyDescent="0.2">
      <c r="A13" s="1"/>
      <c r="B13" s="68">
        <f>IF(ISERROR(RANK(I13,I8:I17)),"",(RANK(I13,I8:I17)))</f>
        <v>6</v>
      </c>
      <c r="C13" s="144" t="str">
        <f t="array" ref="C13">IF(ISNUMBER(I13),INDEX('Mens Averages'!$G$8:$G$343,SMALL(IF('Mens Averages'!$AF$8:$AF$343=I13,ROW('Mens Averages'!$AF$8:$AF$343)-ROW('Mens Averages'!$AF$8)+1),COUNTIF(I$8:I13,I13))),"")</f>
        <v>Richard Gomm</v>
      </c>
      <c r="D13" s="145" t="str">
        <f t="array" ref="D13">IF(ISNUMBER(I13),INDEX('Mens Averages'!$H$8:$H$343,SMALL(IF('Mens Averages'!$AF$8:$AF$343=I13,ROW('Mens Averages'!$AF$8:$AF$343)-ROW('Mens Averages'!$AF$8)+1),COUNTIF(I$8:I13,I13))),"")</f>
        <v>Wey</v>
      </c>
      <c r="E13" s="146" t="str">
        <f t="array" ref="E13">IF(ISERROR(IF(LEFT(INDEX('Mens Averages'!$AE$8:$AE$343,MATCH('Weekly Top 10'!I13,'Mens Averages'!$AF$8:$AF$343,0)),1)="4","Y","N")),"",(IF(LEFT(INDEX('Mens Averages'!$AE$8:$AE$343,MATCH('Weekly Top 10'!I13,'Mens Averages'!$AF$8:$AF$343,0)),1)="4","Y","N")))</f>
        <v>N</v>
      </c>
      <c r="F13" s="146" t="str">
        <f t="array" ref="F13">IF(ISERROR(LEFT(INDEX('Mens Averages'!$AE$8:$AE$343,MATCH('Weekly Top 10'!I13,'Mens Averages'!$AF$8:$AF$343,0)),1)),"",(LEFT(INDEX('Mens Averages'!$AE$8:$AE$343,MATCH('Weekly Top 10'!I13,'Mens Averages'!$AF$8:$AF$343,0)),1)))</f>
        <v>3</v>
      </c>
      <c r="G13" s="146" t="str">
        <f t="array" ref="G13">IF(ISERROR(RIGHT(LEFT(INDEX('Mens Averages'!$AE$8:$AE$343,MATCH('Weekly Top 10'!I13,'Mens Averages'!$AF$8:$AF$343,0)),3),1)),"",(RIGHT(LEFT(INDEX('Mens Averages'!$AE$8:$AE$343,MATCH('Weekly Top 10'!I13,'Mens Averages'!$AF$8:$AF$343,0)),3),1)))</f>
        <v>4</v>
      </c>
      <c r="H13" s="145">
        <f t="array" ref="H13">IF(ISNUMBER(I13),INDEX('Mens Averages'!$N$8:$N$343,SMALL(IF('Mens Averages'!$AF$8:$AF$343=I13,ROW('Mens Averages'!$AF$8:$AF$343)-ROW('Mens Averages'!$AF$8)+1),COUNTIF(I$8:I13,I13))),"")</f>
        <v>26.32</v>
      </c>
      <c r="I13" s="147">
        <f>IF(ISERROR(LARGE('Mens Averages'!$AF$8:$AF$343,6)),"",(LARGE('Mens Averages'!$AF$8:$AF$343,6)))</f>
        <v>26.32</v>
      </c>
      <c r="J13" s="1"/>
      <c r="K13" s="68">
        <f>IF(ISERROR(RANK(R13,R8:R17)),"",(RANK(R13,R8:R17)))</f>
        <v>5</v>
      </c>
      <c r="L13" s="144" t="str">
        <f t="array" ref="L13">IF(ISNUMBER(R13),INDEX('Mens Averages'!$G$8:$G$343,SMALL(IF('Mens Averages'!$AP$8:$AP$343=R13,ROW('Mens Averages'!$AP$8:$AP$343)-ROW('Mens Averages'!$AP$8)+1),COUNTIF(R$8:R13,R13))),"")</f>
        <v>Lee Matthews</v>
      </c>
      <c r="M13" s="145" t="str">
        <f t="array" ref="M13">IF(ISNUMBER(R13),INDEX('Mens Averages'!$H$8:$H$343,SMALL(IF('Mens Averages'!$AP$8:$AP$343=R13,ROW('Mens Averages'!$AP$8:$AP$343)-ROW('Mens Averages'!$AP$8)+1),COUNTIF(R$8:R13,R13))),"")</f>
        <v>Lyt</v>
      </c>
      <c r="N13" s="146" t="str">
        <f t="array" ref="N13">IF(ISERROR(IF(LEFT(INDEX('Mens Averages'!$AO$8:$AO$343,MATCH('Weekly Top 10'!R13,'Mens Averages'!$AP$8:$AP$343,0)),1)="4","Y","N")),"",(IF(LEFT(INDEX('Mens Averages'!$AO$8:$AO$343,MATCH('Weekly Top 10'!R13,'Mens Averages'!$AP$8:$AP$343,0)),1)="4","Y","N")))</f>
        <v>Y</v>
      </c>
      <c r="O13" s="146" t="str">
        <f t="array" ref="O13">IF(ISERROR(LEFT(INDEX('Mens Averages'!$AO$8:$AO$343,MATCH('Weekly Top 10'!R13,'Mens Averages'!$AP$8:$AP$343,0)),1)),"",(LEFT(INDEX('Mens Averages'!$AO$8:$AO$343,MATCH('Weekly Top 10'!R13,'Mens Averages'!$AP$8:$AP$343,0)),1)))</f>
        <v>4</v>
      </c>
      <c r="P13" s="146" t="str">
        <f t="array" ref="P13">IF(ISERROR(RIGHT(LEFT(INDEX('Mens Averages'!$AO$8:$AO$343,MATCH('Weekly Top 10'!R13,'Mens Averages'!$AP$8:$AP$343,0)),3),1)),"",(RIGHT(LEFT(INDEX('Mens Averages'!$AO$8:$AO$343,MATCH('Weekly Top 10'!R13,'Mens Averages'!$AP$8:$AP$343,0)),3),1)))</f>
        <v>0</v>
      </c>
      <c r="Q13" s="145">
        <f t="array" ref="Q13">IF(ISNUMBER(R13),INDEX('Mens Averages'!$S$8:$S$343,SMALL(IF('Mens Averages'!$AP$8:$AP$343=R13,ROW('Mens Averages'!$AP$8:$AP$343)-ROW('Mens Averages'!$AP$8)+1),COUNTIF(R$8:R13,R13))),"")</f>
        <v>26.03</v>
      </c>
      <c r="R13" s="147">
        <f>IF(ISERROR(LARGE('Mens Averages'!$AP$8:$AP$343,6)),"",(LARGE('Mens Averages'!$AP$8:$AP$343,6)))</f>
        <v>27.03</v>
      </c>
      <c r="S13" s="1"/>
      <c r="T13" s="68">
        <f>IF(ISERROR(RANK(AA13,AA8:AA17)),"",(RANK(AA13,AA8:AA17)))</f>
        <v>6</v>
      </c>
      <c r="U13" s="144" t="str">
        <f t="array" ref="U13">IF(ISNUMBER(AA13),INDEX('Mens Averages'!$G$8:$G$343,SMALL(IF('Mens Averages'!$AZ$8:$AZ$343=AA13,ROW('Mens Averages'!$AZ$8:$AZ$343)-ROW('Mens Averages'!$AZ$8)+1),COUNTIF(AA$8:AA13,AA13))),"")</f>
        <v>Tommy Morris</v>
      </c>
      <c r="V13" s="145" t="str">
        <f t="array" ref="V13">IF(ISNUMBER(AA13),INDEX('Mens Averages'!$H$8:$H$343,SMALL(IF('Mens Averages'!$AZ$8:$AZ$343=AA13,ROW('Mens Averages'!$AZ$8:$AZ$343)-ROW('Mens Averages'!$AZ$8)+1),COUNTIF(AA$8:AA13,AA13))),"")</f>
        <v>Chr</v>
      </c>
      <c r="W13" s="146" t="str">
        <f t="array" ref="W13">IF(ISERROR(IF(LEFT(INDEX('Mens Averages'!$AY$8:$AY$343,MATCH('Weekly Top 10'!AA13,'Mens Averages'!$AZ$8:$AZ$343,0)),1)="4","Y","N")),"",(IF(LEFT(INDEX('Mens Averages'!$AY$8:$AY$343,MATCH('Weekly Top 10'!AA13,'Mens Averages'!$AZ$8:$AZ$343,0)),1)="4","Y","N")))</f>
        <v>Y</v>
      </c>
      <c r="X13" s="146" t="str">
        <f t="array" ref="X13">IF(ISERROR(LEFT(INDEX('Mens Averages'!$AY$8:$AY$343,MATCH('Weekly Top 10'!AA13,'Mens Averages'!$AZ$8:$AZ$343,0)),1)),"",(LEFT(INDEX('Mens Averages'!$AY$8:$AY$343,MATCH('Weekly Top 10'!AA13,'Mens Averages'!$AZ$8:$AZ$343,0)),1)))</f>
        <v>4</v>
      </c>
      <c r="Y13" s="146" t="str">
        <f t="array" ref="Y13">IF(ISERROR(RIGHT(LEFT(INDEX('Mens Averages'!$AY$8:$AY$343,MATCH('Weekly Top 10'!AA13,'Mens Averages'!$AZ$8:$AZ$343,0)),3),1)),"",(RIGHT(LEFT(INDEX('Mens Averages'!$AY$8:$AY$343,MATCH('Weekly Top 10'!AA13,'Mens Averages'!$AZ$8:$AZ$343,0)),3),1)))</f>
        <v>0</v>
      </c>
      <c r="Z13" s="145">
        <f t="array" ref="Z13">IF(ISNUMBER(AA13),INDEX('Mens Averages'!$X$8:$X$343,SMALL(IF('Mens Averages'!$AZ$8:$AZ$343=AA13,ROW('Mens Averages'!$AZ$8:$AZ$343)-ROW('Mens Averages'!$AZ$8)+1),COUNTIF(AA$8:AA13,AA13))),"")</f>
        <v>27.08</v>
      </c>
      <c r="AA13" s="147">
        <f>IF(ISERROR(LARGE('Mens Averages'!$AZ$8:$AZ$343,6)),"",(LARGE('Mens Averages'!$AZ$8:$AZ$343,6)))</f>
        <v>28.08</v>
      </c>
      <c r="AB13" s="1"/>
      <c r="AC13" s="1"/>
      <c r="AD13" s="1"/>
      <c r="AE13" s="1"/>
    </row>
    <row r="14" spans="1:31" ht="16.5" customHeight="1" x14ac:dyDescent="0.2">
      <c r="A14" s="1"/>
      <c r="B14" s="68">
        <f>IF(ISERROR(RANK(I14,I8:I17)),"",(RANK(I14,I8:I17)))</f>
        <v>7</v>
      </c>
      <c r="C14" s="144" t="str">
        <f t="array" ref="C14">IF(ISNUMBER(I14),INDEX('Mens Averages'!$G$8:$G$343,SMALL(IF('Mens Averages'!$AF$8:$AF$343=I14,ROW('Mens Averages'!$AF$8:$AF$343)-ROW('Mens Averages'!$AF$8)+1),COUNTIF(I$8:I14,I14))),"")</f>
        <v>Henry Cooper</v>
      </c>
      <c r="D14" s="145" t="str">
        <f t="array" ref="D14">IF(ISNUMBER(I14),INDEX('Mens Averages'!$H$8:$H$343,SMALL(IF('Mens Averages'!$AF$8:$AF$343=I14,ROW('Mens Averages'!$AF$8:$AF$343)-ROW('Mens Averages'!$AF$8)+1),COUNTIF(I$8:I14,I14))),"")</f>
        <v>Dor</v>
      </c>
      <c r="E14" s="146" t="str">
        <f t="array" ref="E14">IF(ISERROR(IF(LEFT(INDEX('Mens Averages'!$AE$8:$AE$343,MATCH('Weekly Top 10'!I14,'Mens Averages'!$AF$8:$AF$343,0)),1)="4","Y","N")),"",(IF(LEFT(INDEX('Mens Averages'!$AE$8:$AE$343,MATCH('Weekly Top 10'!I14,'Mens Averages'!$AF$8:$AF$343,0)),1)="4","Y","N")))</f>
        <v>Y</v>
      </c>
      <c r="F14" s="146" t="str">
        <f t="array" ref="F14">IF(ISERROR(LEFT(INDEX('Mens Averages'!$AE$8:$AE$343,MATCH('Weekly Top 10'!I14,'Mens Averages'!$AF$8:$AF$343,0)),1)),"",(LEFT(INDEX('Mens Averages'!$AE$8:$AE$343,MATCH('Weekly Top 10'!I14,'Mens Averages'!$AF$8:$AF$343,0)),1)))</f>
        <v>4</v>
      </c>
      <c r="G14" s="146" t="str">
        <f t="array" ref="G14">IF(ISERROR(RIGHT(LEFT(INDEX('Mens Averages'!$AE$8:$AE$343,MATCH('Weekly Top 10'!I14,'Mens Averages'!$AF$8:$AF$343,0)),3),1)),"",(RIGHT(LEFT(INDEX('Mens Averages'!$AE$8:$AE$343,MATCH('Weekly Top 10'!I14,'Mens Averages'!$AF$8:$AF$343,0)),3),1)))</f>
        <v>0</v>
      </c>
      <c r="H14" s="145">
        <f t="array" ref="H14">IF(ISNUMBER(I14),INDEX('Mens Averages'!$N$8:$N$343,SMALL(IF('Mens Averages'!$AF$8:$AF$343=I14,ROW('Mens Averages'!$AF$8:$AF$343)-ROW('Mens Averages'!$AF$8)+1),COUNTIF(I$8:I14,I14))),"")</f>
        <v>25.05</v>
      </c>
      <c r="I14" s="147">
        <f>IF(ISERROR(LARGE('Mens Averages'!$AF$8:$AF$343,7)),"",(LARGE('Mens Averages'!$AF$8:$AF$343,7)))</f>
        <v>26.05</v>
      </c>
      <c r="J14" s="1"/>
      <c r="K14" s="68">
        <f>IF(ISERROR(RANK(R14,R8:R17)),"",(RANK(R14,R8:R17)))</f>
        <v>7</v>
      </c>
      <c r="L14" s="144" t="str">
        <f t="array" ref="L14">IF(ISNUMBER(R14),INDEX('Mens Averages'!$G$8:$G$343,SMALL(IF('Mens Averages'!$AP$8:$AP$343=R14,ROW('Mens Averages'!$AP$8:$AP$343)-ROW('Mens Averages'!$AP$8)+1),COUNTIF(R$8:R14,R14))),"")</f>
        <v>Matt Read</v>
      </c>
      <c r="M14" s="145" t="str">
        <f t="array" ref="M14">IF(ISNUMBER(R14),INDEX('Mens Averages'!$H$8:$H$343,SMALL(IF('Mens Averages'!$AP$8:$AP$343=R14,ROW('Mens Averages'!$AP$8:$AP$343)-ROW('Mens Averages'!$AP$8)+1),COUNTIF(R$8:R14,R14))),"")</f>
        <v>Dor</v>
      </c>
      <c r="N14" s="146" t="str">
        <f t="array" ref="N14">IF(ISERROR(IF(LEFT(INDEX('Mens Averages'!$AO$8:$AO$343,MATCH('Weekly Top 10'!R14,'Mens Averages'!$AP$8:$AP$343,0)),1)="4","Y","N")),"",(IF(LEFT(INDEX('Mens Averages'!$AO$8:$AO$343,MATCH('Weekly Top 10'!R14,'Mens Averages'!$AP$8:$AP$343,0)),1)="4","Y","N")))</f>
        <v>Y</v>
      </c>
      <c r="O14" s="146" t="str">
        <f t="array" ref="O14">IF(ISERROR(LEFT(INDEX('Mens Averages'!$AO$8:$AO$343,MATCH('Weekly Top 10'!R14,'Mens Averages'!$AP$8:$AP$343,0)),1)),"",(LEFT(INDEX('Mens Averages'!$AO$8:$AO$343,MATCH('Weekly Top 10'!R14,'Mens Averages'!$AP$8:$AP$343,0)),1)))</f>
        <v>4</v>
      </c>
      <c r="P14" s="146" t="str">
        <f t="array" ref="P14">IF(ISERROR(RIGHT(LEFT(INDEX('Mens Averages'!$AO$8:$AO$343,MATCH('Weekly Top 10'!R14,'Mens Averages'!$AP$8:$AP$343,0)),3),1)),"",(RIGHT(LEFT(INDEX('Mens Averages'!$AO$8:$AO$343,MATCH('Weekly Top 10'!R14,'Mens Averages'!$AP$8:$AP$343,0)),3),1)))</f>
        <v>1</v>
      </c>
      <c r="Q14" s="145">
        <f t="array" ref="Q14">IF(ISNUMBER(R14),INDEX('Mens Averages'!$S$8:$S$343,SMALL(IF('Mens Averages'!$AP$8:$AP$343=R14,ROW('Mens Averages'!$AP$8:$AP$343)-ROW('Mens Averages'!$AP$8)+1),COUNTIF(R$8:R14,R14))),"")</f>
        <v>25.89</v>
      </c>
      <c r="R14" s="147">
        <f>IF(ISERROR(LARGE('Mens Averages'!$AP$8:$AP$343,7)),"",(LARGE('Mens Averages'!$AP$8:$AP$343,7)))</f>
        <v>26.89</v>
      </c>
      <c r="S14" s="1"/>
      <c r="T14" s="68">
        <f>IF(ISERROR(RANK(AA14,AA8:AA17)),"",(RANK(AA14,AA8:AA17)))</f>
        <v>7</v>
      </c>
      <c r="U14" s="144" t="str">
        <f t="array" ref="U14">IF(ISNUMBER(AA14),INDEX('Mens Averages'!$G$8:$G$343,SMALL(IF('Mens Averages'!$AZ$8:$AZ$343=AA14,ROW('Mens Averages'!$AZ$8:$AZ$343)-ROW('Mens Averages'!$AZ$8)+1),COUNTIF(AA$8:AA14,AA14))),"")</f>
        <v>Colin Freeman</v>
      </c>
      <c r="V14" s="145" t="str">
        <f t="array" ref="V14">IF(ISNUMBER(AA14),INDEX('Mens Averages'!$H$8:$H$343,SMALL(IF('Mens Averages'!$AZ$8:$AZ$343=AA14,ROW('Mens Averages'!$AZ$8:$AZ$343)-ROW('Mens Averages'!$AZ$8)+1),COUNTIF(AA$8:AA14,AA14))),"")</f>
        <v>Bos</v>
      </c>
      <c r="W14" s="146" t="str">
        <f t="array" ref="W14">IF(ISERROR(IF(LEFT(INDEX('Mens Averages'!$AY$8:$AY$343,MATCH('Weekly Top 10'!AA14,'Mens Averages'!$AZ$8:$AZ$343,0)),1)="4","Y","N")),"",(IF(LEFT(INDEX('Mens Averages'!$AY$8:$AY$343,MATCH('Weekly Top 10'!AA14,'Mens Averages'!$AZ$8:$AZ$343,0)),1)="4","Y","N")))</f>
        <v>Y</v>
      </c>
      <c r="X14" s="146" t="str">
        <f t="array" ref="X14">IF(ISERROR(LEFT(INDEX('Mens Averages'!$AY$8:$AY$343,MATCH('Weekly Top 10'!AA14,'Mens Averages'!$AZ$8:$AZ$343,0)),1)),"",(LEFT(INDEX('Mens Averages'!$AY$8:$AY$343,MATCH('Weekly Top 10'!AA14,'Mens Averages'!$AZ$8:$AZ$343,0)),1)))</f>
        <v>4</v>
      </c>
      <c r="Y14" s="146" t="str">
        <f t="array" ref="Y14">IF(ISERROR(RIGHT(LEFT(INDEX('Mens Averages'!$AY$8:$AY$343,MATCH('Weekly Top 10'!AA14,'Mens Averages'!$AZ$8:$AZ$343,0)),3),1)),"",(RIGHT(LEFT(INDEX('Mens Averages'!$AY$8:$AY$343,MATCH('Weekly Top 10'!AA14,'Mens Averages'!$AZ$8:$AZ$343,0)),3),1)))</f>
        <v>3</v>
      </c>
      <c r="Z14" s="145">
        <f t="array" ref="Z14">IF(ISNUMBER(AA14),INDEX('Mens Averages'!$X$8:$X$343,SMALL(IF('Mens Averages'!$AZ$8:$AZ$343=AA14,ROW('Mens Averages'!$AZ$8:$AZ$343)-ROW('Mens Averages'!$AZ$8)+1),COUNTIF(AA$8:AA14,AA14))),"")</f>
        <v>26.24</v>
      </c>
      <c r="AA14" s="147">
        <f>IF(ISERROR(LARGE('Mens Averages'!$AZ$8:$AZ$343,7)),"",(LARGE('Mens Averages'!$AZ$8:$AZ$343,7)))</f>
        <v>27.24</v>
      </c>
      <c r="AB14" s="1"/>
      <c r="AC14" s="1"/>
      <c r="AD14" s="1"/>
      <c r="AE14" s="1"/>
    </row>
    <row r="15" spans="1:31" ht="16.5" customHeight="1" x14ac:dyDescent="0.2">
      <c r="A15" s="1"/>
      <c r="B15" s="68">
        <f>IF(ISERROR(RANK(I15,I8:I17)),"",(RANK(I15,I8:I17)))</f>
        <v>7</v>
      </c>
      <c r="C15" s="144" t="str">
        <f t="array" ref="C15">IF(ISNUMBER(I15),INDEX('Mens Averages'!$G$8:$G$343,SMALL(IF('Mens Averages'!$AF$8:$AF$343=I15,ROW('Mens Averages'!$AF$8:$AF$343)-ROW('Mens Averages'!$AF$8)+1),COUNTIF(I$8:I15,I15))),"")</f>
        <v>Gary Howlett</v>
      </c>
      <c r="D15" s="145" t="str">
        <f t="array" ref="D15">IF(ISNUMBER(I15),INDEX('Mens Averages'!$H$8:$H$343,SMALL(IF('Mens Averages'!$AF$8:$AF$343=I15,ROW('Mens Averages'!$AF$8:$AF$343)-ROW('Mens Averages'!$AF$8)+1),COUNTIF(I$8:I15,I15))),"")</f>
        <v>Chr</v>
      </c>
      <c r="E15" s="146" t="str">
        <f t="array" ref="E15">IF(ISERROR(IF(LEFT(INDEX('Mens Averages'!$AE$8:$AE$343,MATCH('Weekly Top 10'!I15,'Mens Averages'!$AF$8:$AF$343,0)),1)="4","Y","N")),"",(IF(LEFT(INDEX('Mens Averages'!$AE$8:$AE$343,MATCH('Weekly Top 10'!I15,'Mens Averages'!$AF$8:$AF$343,0)),1)="4","Y","N")))</f>
        <v>Y</v>
      </c>
      <c r="F15" s="146" t="str">
        <f t="array" ref="F15">IF(ISERROR(LEFT(INDEX('Mens Averages'!$AE$8:$AE$343,MATCH('Weekly Top 10'!I15,'Mens Averages'!$AF$8:$AF$343,0)),1)),"",(LEFT(INDEX('Mens Averages'!$AE$8:$AE$343,MATCH('Weekly Top 10'!I15,'Mens Averages'!$AF$8:$AF$343,0)),1)))</f>
        <v>4</v>
      </c>
      <c r="G15" s="146" t="str">
        <f t="array" ref="G15">IF(ISERROR(RIGHT(LEFT(INDEX('Mens Averages'!$AE$8:$AE$343,MATCH('Weekly Top 10'!I15,'Mens Averages'!$AF$8:$AF$343,0)),3),1)),"",(RIGHT(LEFT(INDEX('Mens Averages'!$AE$8:$AE$343,MATCH('Weekly Top 10'!I15,'Mens Averages'!$AF$8:$AF$343,0)),3),1)))</f>
        <v>0</v>
      </c>
      <c r="H15" s="145">
        <f t="array" ref="H15">IF(ISNUMBER(I15),INDEX('Mens Averages'!$N$8:$N$343,SMALL(IF('Mens Averages'!$AF$8:$AF$343=I15,ROW('Mens Averages'!$AF$8:$AF$343)-ROW('Mens Averages'!$AF$8)+1),COUNTIF(I$8:I15,I15))),"")</f>
        <v>25.05</v>
      </c>
      <c r="I15" s="147">
        <f>IF(ISERROR(LARGE('Mens Averages'!$AF$8:$AF$343,8)),"",(LARGE('Mens Averages'!$AF$8:$AF$343,8)))</f>
        <v>26.05</v>
      </c>
      <c r="J15" s="1"/>
      <c r="K15" s="68">
        <f>IF(ISERROR(RANK(R15,R8:R17)),"",(RANK(R15,R8:R17)))</f>
        <v>8</v>
      </c>
      <c r="L15" s="144" t="str">
        <f t="array" ref="L15">IF(ISNUMBER(R15),INDEX('Mens Averages'!$G$8:$G$343,SMALL(IF('Mens Averages'!$AP$8:$AP$343=R15,ROW('Mens Averages'!$AP$8:$AP$343)-ROW('Mens Averages'!$AP$8)+1),COUNTIF(R$8:R15,R15))),"")</f>
        <v>Tommy Morris</v>
      </c>
      <c r="M15" s="145" t="str">
        <f t="array" ref="M15">IF(ISNUMBER(R15),INDEX('Mens Averages'!$H$8:$H$343,SMALL(IF('Mens Averages'!$AP$8:$AP$343=R15,ROW('Mens Averages'!$AP$8:$AP$343)-ROW('Mens Averages'!$AP$8)+1),COUNTIF(R$8:R15,R15))),"")</f>
        <v>Chr</v>
      </c>
      <c r="N15" s="146" t="str">
        <f t="array" ref="N15">IF(ISERROR(IF(LEFT(INDEX('Mens Averages'!$AO$8:$AO$343,MATCH('Weekly Top 10'!R15,'Mens Averages'!$AP$8:$AP$343,0)),1)="4","Y","N")),"",(IF(LEFT(INDEX('Mens Averages'!$AO$8:$AO$343,MATCH('Weekly Top 10'!R15,'Mens Averages'!$AP$8:$AP$343,0)),1)="4","Y","N")))</f>
        <v>Y</v>
      </c>
      <c r="O15" s="146" t="str">
        <f t="array" ref="O15">IF(ISERROR(LEFT(INDEX('Mens Averages'!$AO$8:$AO$343,MATCH('Weekly Top 10'!R15,'Mens Averages'!$AP$8:$AP$343,0)),1)),"",(LEFT(INDEX('Mens Averages'!$AO$8:$AO$343,MATCH('Weekly Top 10'!R15,'Mens Averages'!$AP$8:$AP$343,0)),1)))</f>
        <v>4</v>
      </c>
      <c r="P15" s="146" t="str">
        <f t="array" ref="P15">IF(ISERROR(RIGHT(LEFT(INDEX('Mens Averages'!$AO$8:$AO$343,MATCH('Weekly Top 10'!R15,'Mens Averages'!$AP$8:$AP$343,0)),3),1)),"",(RIGHT(LEFT(INDEX('Mens Averages'!$AO$8:$AO$343,MATCH('Weekly Top 10'!R15,'Mens Averages'!$AP$8:$AP$343,0)),3),1)))</f>
        <v>0</v>
      </c>
      <c r="Q15" s="145">
        <f t="array" ref="Q15">IF(ISNUMBER(R15),INDEX('Mens Averages'!$S$8:$S$343,SMALL(IF('Mens Averages'!$AP$8:$AP$343=R15,ROW('Mens Averages'!$AP$8:$AP$343)-ROW('Mens Averages'!$AP$8)+1),COUNTIF(R$8:R15,R15))),"")</f>
        <v>25.69</v>
      </c>
      <c r="R15" s="147">
        <f>IF(ISERROR(LARGE('Mens Averages'!$AP$8:$AP$343,8)),"",(LARGE('Mens Averages'!$AP$8:$AP$343,8)))</f>
        <v>26.69</v>
      </c>
      <c r="S15" s="1"/>
      <c r="T15" s="68">
        <f>IF(ISERROR(RANK(AA15,AA8:AA17)),"",(RANK(AA15,AA8:AA17)))</f>
        <v>7</v>
      </c>
      <c r="U15" s="144" t="str">
        <f t="array" ref="U15">IF(ISNUMBER(AA15),INDEX('Mens Averages'!$G$8:$G$343,SMALL(IF('Mens Averages'!$AZ$8:$AZ$343=AA15,ROW('Mens Averages'!$AZ$8:$AZ$343)-ROW('Mens Averages'!$AZ$8)+1),COUNTIF(AA$8:AA15,AA15))),"")</f>
        <v>Wayne Singleton</v>
      </c>
      <c r="V15" s="145" t="str">
        <f t="array" ref="V15">IF(ISNUMBER(AA15),INDEX('Mens Averages'!$H$8:$H$343,SMALL(IF('Mens Averages'!$AZ$8:$AZ$343=AA15,ROW('Mens Averages'!$AZ$8:$AZ$343)-ROW('Mens Averages'!$AZ$8)+1),COUNTIF(AA$8:AA15,AA15))),"")</f>
        <v>Bri</v>
      </c>
      <c r="W15" s="146" t="str">
        <f t="array" ref="W15">IF(ISERROR(IF(LEFT(INDEX('Mens Averages'!$AY$8:$AY$343,MATCH('Weekly Top 10'!AA15,'Mens Averages'!$AZ$8:$AZ$343,0)),1)="4","Y","N")),"",(IF(LEFT(INDEX('Mens Averages'!$AY$8:$AY$343,MATCH('Weekly Top 10'!AA15,'Mens Averages'!$AZ$8:$AZ$343,0)),1)="4","Y","N")))</f>
        <v>Y</v>
      </c>
      <c r="X15" s="146" t="str">
        <f t="array" ref="X15">IF(ISERROR(LEFT(INDEX('Mens Averages'!$AY$8:$AY$343,MATCH('Weekly Top 10'!AA15,'Mens Averages'!$AZ$8:$AZ$343,0)),1)),"",(LEFT(INDEX('Mens Averages'!$AY$8:$AY$343,MATCH('Weekly Top 10'!AA15,'Mens Averages'!$AZ$8:$AZ$343,0)),1)))</f>
        <v>4</v>
      </c>
      <c r="Y15" s="146" t="str">
        <f t="array" ref="Y15">IF(ISERROR(RIGHT(LEFT(INDEX('Mens Averages'!$AY$8:$AY$343,MATCH('Weekly Top 10'!AA15,'Mens Averages'!$AZ$8:$AZ$343,0)),3),1)),"",(RIGHT(LEFT(INDEX('Mens Averages'!$AY$8:$AY$343,MATCH('Weekly Top 10'!AA15,'Mens Averages'!$AZ$8:$AZ$343,0)),3),1)))</f>
        <v>3</v>
      </c>
      <c r="Z15" s="145">
        <f t="array" ref="Z15">IF(ISNUMBER(AA15),INDEX('Mens Averages'!$X$8:$X$343,SMALL(IF('Mens Averages'!$AZ$8:$AZ$343=AA15,ROW('Mens Averages'!$AZ$8:$AZ$343)-ROW('Mens Averages'!$AZ$8)+1),COUNTIF(AA$8:AA15,AA15))),"")</f>
        <v>26.24</v>
      </c>
      <c r="AA15" s="147">
        <f>IF(ISERROR(LARGE('Mens Averages'!$AZ$8:$AZ$343,8)),"",(LARGE('Mens Averages'!$AZ$8:$AZ$343,8)))</f>
        <v>27.24</v>
      </c>
      <c r="AB15" s="1"/>
      <c r="AC15" s="1"/>
      <c r="AD15" s="1"/>
      <c r="AE15" s="1"/>
    </row>
    <row r="16" spans="1:31" ht="16.5" customHeight="1" x14ac:dyDescent="0.2">
      <c r="A16" s="1"/>
      <c r="B16" s="68">
        <f>IF(ISERROR(RANK(I16,I8:I17)),"",(RANK(I16,I8:I17)))</f>
        <v>7</v>
      </c>
      <c r="C16" s="144" t="str">
        <f t="array" ref="C16">IF(ISNUMBER(I16),INDEX('Mens Averages'!$G$8:$G$343,SMALL(IF('Mens Averages'!$AF$8:$AF$343=I16,ROW('Mens Averages'!$AF$8:$AF$343)-ROW('Mens Averages'!$AF$8)+1),COUNTIF(I$8:I16,I16))),"")</f>
        <v>Eddie White</v>
      </c>
      <c r="D16" s="145" t="str">
        <f t="array" ref="D16">IF(ISNUMBER(I16),INDEX('Mens Averages'!$H$8:$H$343,SMALL(IF('Mens Averages'!$AF$8:$AF$343=I16,ROW('Mens Averages'!$AF$8:$AF$343)-ROW('Mens Averages'!$AF$8)+1),COUNTIF(I$8:I16,I16))),"")</f>
        <v>Chr</v>
      </c>
      <c r="E16" s="146" t="str">
        <f t="array" ref="E16">IF(ISERROR(IF(LEFT(INDEX('Mens Averages'!$AE$8:$AE$343,MATCH('Weekly Top 10'!I16,'Mens Averages'!$AF$8:$AF$343,0)),1)="4","Y","N")),"",(IF(LEFT(INDEX('Mens Averages'!$AE$8:$AE$343,MATCH('Weekly Top 10'!I16,'Mens Averages'!$AF$8:$AF$343,0)),1)="4","Y","N")))</f>
        <v>Y</v>
      </c>
      <c r="F16" s="146" t="str">
        <f t="array" ref="F16">IF(ISERROR(LEFT(INDEX('Mens Averages'!$AE$8:$AE$343,MATCH('Weekly Top 10'!I16,'Mens Averages'!$AF$8:$AF$343,0)),1)),"",(LEFT(INDEX('Mens Averages'!$AE$8:$AE$343,MATCH('Weekly Top 10'!I16,'Mens Averages'!$AF$8:$AF$343,0)),1)))</f>
        <v>4</v>
      </c>
      <c r="G16" s="146" t="str">
        <f t="array" ref="G16">IF(ISERROR(RIGHT(LEFT(INDEX('Mens Averages'!$AE$8:$AE$343,MATCH('Weekly Top 10'!I16,'Mens Averages'!$AF$8:$AF$343,0)),3),1)),"",(RIGHT(LEFT(INDEX('Mens Averages'!$AE$8:$AE$343,MATCH('Weekly Top 10'!I16,'Mens Averages'!$AF$8:$AF$343,0)),3),1)))</f>
        <v>0</v>
      </c>
      <c r="H16" s="145">
        <f t="array" ref="H16">IF(ISNUMBER(I16),INDEX('Mens Averages'!$N$8:$N$343,SMALL(IF('Mens Averages'!$AF$8:$AF$343=I16,ROW('Mens Averages'!$AF$8:$AF$343)-ROW('Mens Averages'!$AF$8)+1),COUNTIF(I$8:I16,I16))),"")</f>
        <v>25.05</v>
      </c>
      <c r="I16" s="147">
        <f>IF(ISERROR(LARGE('Mens Averages'!$AF$8:$AF$343,9)),"",(LARGE('Mens Averages'!$AF$8:$AF$343,9)))</f>
        <v>26.05</v>
      </c>
      <c r="J16" s="1"/>
      <c r="K16" s="68">
        <f>IF(ISERROR(RANK(R16,R8:R17)),"",(RANK(R16,R8:R17)))</f>
        <v>9</v>
      </c>
      <c r="L16" s="144" t="str">
        <f t="array" ref="L16">IF(ISNUMBER(R16),INDEX('Mens Averages'!$G$8:$G$343,SMALL(IF('Mens Averages'!$AP$8:$AP$343=R16,ROW('Mens Averages'!$AP$8:$AP$343)-ROW('Mens Averages'!$AP$8)+1),COUNTIF(R$8:R16,R16))),"")</f>
        <v>Lawrence Prodger</v>
      </c>
      <c r="M16" s="145" t="str">
        <f t="array" ref="M16">IF(ISNUMBER(R16),INDEX('Mens Averages'!$H$8:$H$343,SMALL(IF('Mens Averages'!$AP$8:$AP$343=R16,ROW('Mens Averages'!$AP$8:$AP$343)-ROW('Mens Averages'!$AP$8)+1),COUNTIF(R$8:R16,R16))),"")</f>
        <v>Par</v>
      </c>
      <c r="N16" s="146" t="str">
        <f t="array" ref="N16">IF(ISERROR(IF(LEFT(INDEX('Mens Averages'!$AO$8:$AO$343,MATCH('Weekly Top 10'!R16,'Mens Averages'!$AP$8:$AP$343,0)),1)="4","Y","N")),"",(IF(LEFT(INDEX('Mens Averages'!$AO$8:$AO$343,MATCH('Weekly Top 10'!R16,'Mens Averages'!$AP$8:$AP$343,0)),1)="4","Y","N")))</f>
        <v>Y</v>
      </c>
      <c r="O16" s="146" t="str">
        <f t="array" ref="O16">IF(ISERROR(LEFT(INDEX('Mens Averages'!$AO$8:$AO$343,MATCH('Weekly Top 10'!R16,'Mens Averages'!$AP$8:$AP$343,0)),1)),"",(LEFT(INDEX('Mens Averages'!$AO$8:$AO$343,MATCH('Weekly Top 10'!R16,'Mens Averages'!$AP$8:$AP$343,0)),1)))</f>
        <v>4</v>
      </c>
      <c r="P16" s="146" t="str">
        <f t="array" ref="P16">IF(ISERROR(RIGHT(LEFT(INDEX('Mens Averages'!$AO$8:$AO$343,MATCH('Weekly Top 10'!R16,'Mens Averages'!$AP$8:$AP$343,0)),3),1)),"",(RIGHT(LEFT(INDEX('Mens Averages'!$AO$8:$AO$343,MATCH('Weekly Top 10'!R16,'Mens Averages'!$AP$8:$AP$343,0)),3),1)))</f>
        <v>2</v>
      </c>
      <c r="Q16" s="145">
        <f t="array" ref="Q16">IF(ISNUMBER(R16),INDEX('Mens Averages'!$S$8:$S$343,SMALL(IF('Mens Averages'!$AP$8:$AP$343=R16,ROW('Mens Averages'!$AP$8:$AP$343)-ROW('Mens Averages'!$AP$8)+1),COUNTIF(R$8:R16,R16))),"")</f>
        <v>25.12</v>
      </c>
      <c r="R16" s="147">
        <f>IF(ISERROR(LARGE('Mens Averages'!$AP$8:$AP$343,9)),"",(LARGE('Mens Averages'!$AP$8:$AP$343,9)))</f>
        <v>26.12</v>
      </c>
      <c r="S16" s="1"/>
      <c r="T16" s="68">
        <f>IF(ISERROR(RANK(AA16,AA8:AA17)),"",(RANK(AA16,AA8:AA17)))</f>
        <v>9</v>
      </c>
      <c r="U16" s="144" t="str">
        <f t="array" ref="U16">IF(ISNUMBER(AA16),INDEX('Mens Averages'!$G$8:$G$343,SMALL(IF('Mens Averages'!$AZ$8:$AZ$343=AA16,ROW('Mens Averages'!$AZ$8:$AZ$343)-ROW('Mens Averages'!$AZ$8)+1),COUNTIF(AA$8:AA16,AA16))),"")</f>
        <v>Owen Bowden</v>
      </c>
      <c r="V16" s="145" t="str">
        <f t="array" ref="V16">IF(ISNUMBER(AA16),INDEX('Mens Averages'!$H$8:$H$343,SMALL(IF('Mens Averages'!$AZ$8:$AZ$343=AA16,ROW('Mens Averages'!$AZ$8:$AZ$343)-ROW('Mens Averages'!$AZ$8)+1),COUNTIF(AA$8:AA16,AA16))),"")</f>
        <v>Sha</v>
      </c>
      <c r="W16" s="146" t="str">
        <f t="array" ref="W16">IF(ISERROR(IF(LEFT(INDEX('Mens Averages'!$AY$8:$AY$343,MATCH('Weekly Top 10'!AA16,'Mens Averages'!$AZ$8:$AZ$343,0)),1)="4","Y","N")),"",(IF(LEFT(INDEX('Mens Averages'!$AY$8:$AY$343,MATCH('Weekly Top 10'!AA16,'Mens Averages'!$AZ$8:$AZ$343,0)),1)="4","Y","N")))</f>
        <v>Y</v>
      </c>
      <c r="X16" s="146" t="str">
        <f t="array" ref="X16">IF(ISERROR(LEFT(INDEX('Mens Averages'!$AY$8:$AY$343,MATCH('Weekly Top 10'!AA16,'Mens Averages'!$AZ$8:$AZ$343,0)),1)),"",(LEFT(INDEX('Mens Averages'!$AY$8:$AY$343,MATCH('Weekly Top 10'!AA16,'Mens Averages'!$AZ$8:$AZ$343,0)),1)))</f>
        <v>4</v>
      </c>
      <c r="Y16" s="146" t="str">
        <f t="array" ref="Y16">IF(ISERROR(RIGHT(LEFT(INDEX('Mens Averages'!$AY$8:$AY$343,MATCH('Weekly Top 10'!AA16,'Mens Averages'!$AZ$8:$AZ$343,0)),3),1)),"",(RIGHT(LEFT(INDEX('Mens Averages'!$AY$8:$AY$343,MATCH('Weekly Top 10'!AA16,'Mens Averages'!$AZ$8:$AZ$343,0)),3),1)))</f>
        <v>2</v>
      </c>
      <c r="Z16" s="145">
        <f t="array" ref="Z16">IF(ISNUMBER(AA16),INDEX('Mens Averages'!$X$8:$X$343,SMALL(IF('Mens Averages'!$AZ$8:$AZ$343=AA16,ROW('Mens Averages'!$AZ$8:$AZ$343)-ROW('Mens Averages'!$AZ$8)+1),COUNTIF(AA$8:AA16,AA16))),"")</f>
        <v>26.05</v>
      </c>
      <c r="AA16" s="147">
        <f>IF(ISERROR(LARGE('Mens Averages'!$AZ$8:$AZ$343,9)),"",(LARGE('Mens Averages'!$AZ$8:$AZ$343,9)))</f>
        <v>27.05</v>
      </c>
      <c r="AB16" s="1"/>
      <c r="AC16" s="1"/>
      <c r="AD16" s="1"/>
      <c r="AE16" s="1"/>
    </row>
    <row r="17" spans="1:31" ht="16.5" customHeight="1" x14ac:dyDescent="0.2">
      <c r="A17" s="1"/>
      <c r="B17" s="73">
        <f>IF(ISERROR(RANK(I17,I8:I17)),"",(RANK(I17,I8:I17)))</f>
        <v>10</v>
      </c>
      <c r="C17" s="148" t="str">
        <f t="array" ref="C17">IF(ISNUMBER(I17),INDEX('Mens Averages'!$G$8:$G$343,SMALL(IF('Mens Averages'!$AF$8:$AF$343=I17,ROW('Mens Averages'!$AF$8:$AF$343)-ROW('Mens Averages'!$AF$8)+1),COUNTIF(I$8:I17,I17))),"")</f>
        <v>Nick Turner</v>
      </c>
      <c r="D17" s="149" t="str">
        <f t="array" ref="D17">IF(ISNUMBER(I17),INDEX('Mens Averages'!$H$8:$H$343,SMALL(IF('Mens Averages'!$AF$8:$AF$343=I17,ROW('Mens Averages'!$AF$8:$AF$343)-ROW('Mens Averages'!$AF$8)+1),COUNTIF(I$8:I17,I17))),"")</f>
        <v>Par</v>
      </c>
      <c r="E17" s="150" t="str">
        <f t="array" ref="E17">IF(ISERROR(IF(LEFT(INDEX('Mens Averages'!$AE$8:$AE$343,MATCH('Weekly Top 10'!I17,'Mens Averages'!$AF$8:$AF$343,0)),1)="4","Y","N")),"",(IF(LEFT(INDEX('Mens Averages'!$AE$8:$AE$343,MATCH('Weekly Top 10'!I17,'Mens Averages'!$AF$8:$AF$343,0)),1)="4","Y","N")))</f>
        <v>Y</v>
      </c>
      <c r="F17" s="150" t="str">
        <f t="array" ref="F17">IF(ISERROR(LEFT(INDEX('Mens Averages'!$AE$8:$AE$343,MATCH('Weekly Top 10'!I17,'Mens Averages'!$AF$8:$AF$343,0)),1)),"",(LEFT(INDEX('Mens Averages'!$AE$8:$AE$343,MATCH('Weekly Top 10'!I17,'Mens Averages'!$AF$8:$AF$343,0)),1)))</f>
        <v>4</v>
      </c>
      <c r="G17" s="150" t="str">
        <f t="array" ref="G17">IF(ISERROR(RIGHT(LEFT(INDEX('Mens Averages'!$AE$8:$AE$343,MATCH('Weekly Top 10'!I17,'Mens Averages'!$AF$8:$AF$343,0)),3),1)),"",(RIGHT(LEFT(INDEX('Mens Averages'!$AE$8:$AE$343,MATCH('Weekly Top 10'!I17,'Mens Averages'!$AF$8:$AF$343,0)),3),1)))</f>
        <v>2</v>
      </c>
      <c r="H17" s="149">
        <f t="array" ref="H17">IF(ISNUMBER(I17),INDEX('Mens Averages'!$N$8:$N$343,SMALL(IF('Mens Averages'!$AF$8:$AF$343=I17,ROW('Mens Averages'!$AF$8:$AF$343)-ROW('Mens Averages'!$AF$8)+1),COUNTIF(I$8:I17,I17))),"")</f>
        <v>24.84</v>
      </c>
      <c r="I17" s="151">
        <f>IF(ISERROR(LARGE('Mens Averages'!$AF$8:$AF$343,10)),"",(LARGE('Mens Averages'!$AF$8:$AF$343,10)))</f>
        <v>25.84</v>
      </c>
      <c r="J17" s="1"/>
      <c r="K17" s="73">
        <f>IF(ISERROR(RANK(R17,R8:R17)),"",(RANK(R17,R8:R17)))</f>
        <v>10</v>
      </c>
      <c r="L17" s="148" t="str">
        <f t="array" ref="L17">IF(ISNUMBER(R17),INDEX('Mens Averages'!$G$8:$G$343,SMALL(IF('Mens Averages'!$AP$8:$AP$343=R17,ROW('Mens Averages'!$AP$8:$AP$343)-ROW('Mens Averages'!$AP$8)+1),COUNTIF(R$8:R17,R17))),"")</f>
        <v>Ian Spann</v>
      </c>
      <c r="M17" s="149" t="str">
        <f t="array" ref="M17">IF(ISNUMBER(R17),INDEX('Mens Averages'!$H$8:$H$343,SMALL(IF('Mens Averages'!$AP$8:$AP$343=R17,ROW('Mens Averages'!$AP$8:$AP$343)-ROW('Mens Averages'!$AP$8)+1),COUNTIF(R$8:R17,R17))),"")</f>
        <v>Wey</v>
      </c>
      <c r="N17" s="150" t="str">
        <f t="array" ref="N17">IF(ISERROR(IF(LEFT(INDEX('Mens Averages'!$AO$8:$AO$343,MATCH('Weekly Top 10'!R17,'Mens Averages'!$AP$8:$AP$343,0)),1)="4","Y","N")),"",(IF(LEFT(INDEX('Mens Averages'!$AO$8:$AO$343,MATCH('Weekly Top 10'!R17,'Mens Averages'!$AP$8:$AP$343,0)),1)="4","Y","N")))</f>
        <v>Y</v>
      </c>
      <c r="O17" s="150" t="str">
        <f t="array" ref="O17">IF(ISERROR(LEFT(INDEX('Mens Averages'!$AO$8:$AO$343,MATCH('Weekly Top 10'!R17,'Mens Averages'!$AP$8:$AP$343,0)),1)),"",(LEFT(INDEX('Mens Averages'!$AO$8:$AO$343,MATCH('Weekly Top 10'!R17,'Mens Averages'!$AP$8:$AP$343,0)),1)))</f>
        <v>4</v>
      </c>
      <c r="P17" s="150" t="str">
        <f t="array" ref="P17">IF(ISERROR(RIGHT(LEFT(INDEX('Mens Averages'!$AO$8:$AO$343,MATCH('Weekly Top 10'!R17,'Mens Averages'!$AP$8:$AP$343,0)),3),1)),"",(RIGHT(LEFT(INDEX('Mens Averages'!$AO$8:$AO$343,MATCH('Weekly Top 10'!R17,'Mens Averages'!$AP$8:$AP$343,0)),3),1)))</f>
        <v>1</v>
      </c>
      <c r="Q17" s="149">
        <f t="array" ref="Q17">IF(ISNUMBER(R17),INDEX('Mens Averages'!$S$8:$S$343,SMALL(IF('Mens Averages'!$AP$8:$AP$343=R17,ROW('Mens Averages'!$AP$8:$AP$343)-ROW('Mens Averages'!$AP$8)+1),COUNTIF(R$8:R17,R17))),"")</f>
        <v>24.73</v>
      </c>
      <c r="R17" s="151">
        <f>IF(ISERROR(LARGE('Mens Averages'!$AP$8:$AP$343,10)),"",(LARGE('Mens Averages'!$AP$8:$AP$343,10)))</f>
        <v>25.73</v>
      </c>
      <c r="S17" s="1"/>
      <c r="T17" s="73">
        <f>IF(ISERROR(RANK(AA17,AA8:AA17)),"",(RANK(AA17,AA8:AA17)))</f>
        <v>10</v>
      </c>
      <c r="U17" s="148" t="str">
        <f t="array" ref="U17">IF(ISNUMBER(AA17),INDEX('Mens Averages'!$G$8:$G$343,SMALL(IF('Mens Averages'!$AZ$8:$AZ$343=AA17,ROW('Mens Averages'!$AZ$8:$AZ$343)-ROW('Mens Averages'!$AZ$8)+1),COUNTIF(AA$8:AA17,AA17))),"")</f>
        <v>David Elm</v>
      </c>
      <c r="V17" s="149" t="str">
        <f t="array" ref="V17">IF(ISNUMBER(AA17),INDEX('Mens Averages'!$H$8:$H$343,SMALL(IF('Mens Averages'!$AZ$8:$AZ$343=AA17,ROW('Mens Averages'!$AZ$8:$AZ$343)-ROW('Mens Averages'!$AZ$8)+1),COUNTIF(AA$8:AA17,AA17))),"")</f>
        <v>Swa</v>
      </c>
      <c r="W17" s="150" t="str">
        <f t="array" ref="W17">IF(ISERROR(IF(LEFT(INDEX('Mens Averages'!$AY$8:$AY$343,MATCH('Weekly Top 10'!AA17,'Mens Averages'!$AZ$8:$AZ$343,0)),1)="4","Y","N")),"",(IF(LEFT(INDEX('Mens Averages'!$AY$8:$AY$343,MATCH('Weekly Top 10'!AA17,'Mens Averages'!$AZ$8:$AZ$343,0)),1)="4","Y","N")))</f>
        <v>Y</v>
      </c>
      <c r="X17" s="150" t="str">
        <f t="array" ref="X17">IF(ISERROR(LEFT(INDEX('Mens Averages'!$AY$8:$AY$343,MATCH('Weekly Top 10'!AA17,'Mens Averages'!$AZ$8:$AZ$343,0)),1)),"",(LEFT(INDEX('Mens Averages'!$AY$8:$AY$343,MATCH('Weekly Top 10'!AA17,'Mens Averages'!$AZ$8:$AZ$343,0)),1)))</f>
        <v>4</v>
      </c>
      <c r="Y17" s="150" t="str">
        <f t="array" ref="Y17">IF(ISERROR(RIGHT(LEFT(INDEX('Mens Averages'!$AY$8:$AY$343,MATCH('Weekly Top 10'!AA17,'Mens Averages'!$AZ$8:$AZ$343,0)),3),1)),"",(RIGHT(LEFT(INDEX('Mens Averages'!$AY$8:$AY$343,MATCH('Weekly Top 10'!AA17,'Mens Averages'!$AZ$8:$AZ$343,0)),3),1)))</f>
        <v>0</v>
      </c>
      <c r="Z17" s="149">
        <f t="array" ref="Z17">IF(ISNUMBER(AA17),INDEX('Mens Averages'!$X$8:$X$343,SMALL(IF('Mens Averages'!$AZ$8:$AZ$343=AA17,ROW('Mens Averages'!$AZ$8:$AZ$343)-ROW('Mens Averages'!$AZ$8)+1),COUNTIF(AA$8:AA17,AA17))),"")</f>
        <v>25.69</v>
      </c>
      <c r="AA17" s="151">
        <f>IF(ISERROR(LARGE('Mens Averages'!$AZ$8:$AZ$343,10)),"",(LARGE('Mens Averages'!$AZ$8:$AZ$343,10)))</f>
        <v>26.69</v>
      </c>
      <c r="AB17" s="1"/>
      <c r="AC17" s="1"/>
      <c r="AD17" s="1"/>
      <c r="AE17" s="1"/>
    </row>
    <row r="18" spans="1:31" ht="12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2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" customHeight="1" x14ac:dyDescent="0.2">
      <c r="A21" s="1"/>
      <c r="B21" s="222" t="s">
        <v>373</v>
      </c>
      <c r="C21" s="224" t="s">
        <v>369</v>
      </c>
      <c r="D21" s="224" t="s">
        <v>6</v>
      </c>
      <c r="E21" s="224" t="s">
        <v>8</v>
      </c>
      <c r="F21" s="224" t="s">
        <v>64</v>
      </c>
      <c r="G21" s="224" t="s">
        <v>65</v>
      </c>
      <c r="H21" s="224" t="s">
        <v>9</v>
      </c>
      <c r="I21" s="227" t="s">
        <v>370</v>
      </c>
      <c r="J21" s="36"/>
      <c r="K21" s="222" t="s">
        <v>374</v>
      </c>
      <c r="L21" s="224" t="s">
        <v>369</v>
      </c>
      <c r="M21" s="224" t="s">
        <v>6</v>
      </c>
      <c r="N21" s="224" t="s">
        <v>8</v>
      </c>
      <c r="O21" s="224" t="s">
        <v>64</v>
      </c>
      <c r="P21" s="224" t="s">
        <v>65</v>
      </c>
      <c r="Q21" s="224" t="s">
        <v>9</v>
      </c>
      <c r="R21" s="227" t="s">
        <v>370</v>
      </c>
      <c r="S21" s="36"/>
      <c r="T21" s="222" t="s">
        <v>375</v>
      </c>
      <c r="U21" s="224" t="s">
        <v>369</v>
      </c>
      <c r="V21" s="224" t="s">
        <v>6</v>
      </c>
      <c r="W21" s="224" t="s">
        <v>8</v>
      </c>
      <c r="X21" s="224" t="s">
        <v>64</v>
      </c>
      <c r="Y21" s="224" t="s">
        <v>65</v>
      </c>
      <c r="Z21" s="224" t="s">
        <v>9</v>
      </c>
      <c r="AA21" s="227" t="s">
        <v>370</v>
      </c>
      <c r="AB21" s="1"/>
      <c r="AC21" s="1"/>
      <c r="AD21" s="1"/>
      <c r="AE21" s="1"/>
    </row>
    <row r="22" spans="1:31" ht="12" customHeight="1" x14ac:dyDescent="0.2">
      <c r="A22" s="1"/>
      <c r="B22" s="223"/>
      <c r="C22" s="225"/>
      <c r="D22" s="225"/>
      <c r="E22" s="225"/>
      <c r="F22" s="225"/>
      <c r="G22" s="225"/>
      <c r="H22" s="225"/>
      <c r="I22" s="228"/>
      <c r="J22" s="36"/>
      <c r="K22" s="223"/>
      <c r="L22" s="225"/>
      <c r="M22" s="225"/>
      <c r="N22" s="225"/>
      <c r="O22" s="225"/>
      <c r="P22" s="225"/>
      <c r="Q22" s="225"/>
      <c r="R22" s="228"/>
      <c r="S22" s="36"/>
      <c r="T22" s="223"/>
      <c r="U22" s="225"/>
      <c r="V22" s="225"/>
      <c r="W22" s="225"/>
      <c r="X22" s="225"/>
      <c r="Y22" s="225"/>
      <c r="Z22" s="225"/>
      <c r="AA22" s="228"/>
      <c r="AB22" s="1"/>
      <c r="AC22" s="1"/>
      <c r="AD22" s="1"/>
      <c r="AE22" s="1"/>
    </row>
    <row r="23" spans="1:31" ht="16.5" customHeight="1" x14ac:dyDescent="0.2">
      <c r="A23" s="1"/>
      <c r="B23" s="62">
        <f>IF(ISERROR(RANK(I23,I23:I32)),"",(RANK(I23,I23:I32)))</f>
        <v>1</v>
      </c>
      <c r="C23" s="140" t="str">
        <f t="array" ref="C23">IF(ISNUMBER(I23),INDEX('Mens Averages'!$G$8:$G$343,SMALL(IF('Mens Averages'!$AH$8:$AH$343=I23,ROW('Mens Averages'!$AH$8:$AH$343)-ROW('Mens Averages'!$AH$8)+1),COUNTIF(I$23:I23,I23))),"")</f>
        <v>Scott Mitchell</v>
      </c>
      <c r="D23" s="141" t="str">
        <f t="array" ref="D23">IF(ISNUMBER(I23),INDEX('Mens Averages'!$H$8:$H$343,SMALL(IF('Mens Averages'!$AH$8:$AH$343=I23,ROW('Mens Averages'!$AH$8:$AH$343)-ROW('Mens Averages'!$AH$8)+1),COUNTIF(I$23:I23,I23))),"")</f>
        <v>Lyt</v>
      </c>
      <c r="E23" s="142" t="str">
        <f t="array" ref="E23">IF(ISERROR(IF(LEFT(INDEX('Mens Averages'!$AG$8:$AG$343,MATCH('Weekly Top 10'!I23,'Mens Averages'!$AH$8:$AH$343,0)),1)="4","Y","N")),"",(IF(LEFT(INDEX('Mens Averages'!$AG$8:$AG$343,MATCH('Weekly Top 10'!I23,'Mens Averages'!$AH$8:$AH$343,0)),1)="4","Y","N")))</f>
        <v>Y</v>
      </c>
      <c r="F23" s="142" t="str">
        <f t="array" ref="F23">IF(ISERROR(LEFT(INDEX('Mens Averages'!$AG$8:$AG$343,MATCH('Weekly Top 10'!I23,'Mens Averages'!$AH$8:$AH$343,0)),1)),"",(LEFT(INDEX('Mens Averages'!$AG$8:$AG$343,MATCH('Weekly Top 10'!I23,'Mens Averages'!$AH$8:$AH$343,0)),1)))</f>
        <v>4</v>
      </c>
      <c r="G23" s="142" t="str">
        <f t="array" ref="G23">IF(ISERROR(RIGHT(LEFT(INDEX('Mens Averages'!$AG$8:$AG$343,MATCH('Weekly Top 10'!I23,'Mens Averages'!$AH$8:$AH$343,0)),3),1)),"",(RIGHT(LEFT(INDEX('Mens Averages'!$AG$8:$AG$343,MATCH('Weekly Top 10'!I23,'Mens Averages'!$AH$8:$AH$343,0)),3),1)))</f>
        <v>2</v>
      </c>
      <c r="H23" s="141">
        <f t="array" ref="H23">IF(ISNUMBER(I23),INDEX('Mens Averages'!$O$8:$O$343,SMALL(IF('Mens Averages'!$AH$8:$AH$343=I23,ROW('Mens Averages'!$AH$8:$AH$343)-ROW('Mens Averages'!$AH$8)+1),COUNTIF(I$23:I32,I23))),"")</f>
        <v>30.67</v>
      </c>
      <c r="I23" s="143">
        <f>IF(ISERROR(LARGE('Mens Averages'!$AH$8:$AH$343,1)),"",(LARGE('Mens Averages'!$AH$8:$AH$343,1)))</f>
        <v>31.67</v>
      </c>
      <c r="J23" s="1"/>
      <c r="K23" s="62">
        <f>IF(ISERROR(RANK(R23,R23:R32)),"",(RANK(R23,R23:R32)))</f>
        <v>1</v>
      </c>
      <c r="L23" s="140" t="str">
        <f t="array" ref="L23">IF(ISNUMBER(R23),INDEX('Mens Averages'!$G$8:$G$343,SMALL(IF('Mens Averages'!$AR$8:$AR$343=R23,ROW('Mens Averages'!$AR$8:$AR$343)-ROW('Mens Averages'!$AR$8)+1),COUNTIF(R$23:R23,R23))),"")</f>
        <v>Tommy Morris</v>
      </c>
      <c r="M23" s="141" t="str">
        <f t="array" ref="M23">IF(ISNUMBER(R23),INDEX('Mens Averages'!$H$8:$H$343,SMALL(IF('Mens Averages'!$AR$8:$AR$343=R23,ROW('Mens Averages'!$AR$8:$AR$343)-ROW('Mens Averages'!$AR$8)+1),COUNTIF(R$23:R23,R23))),"")</f>
        <v>Chr</v>
      </c>
      <c r="N23" s="142" t="str">
        <f t="array" ref="N23">IF(ISERROR(IF(LEFT(INDEX('Mens Averages'!$AQ$8:$AQ$343,MATCH('Weekly Top 10'!R23,'Mens Averages'!$AR$8:$AR$343,0)),1)="4","Y","N")),"",(IF(LEFT(INDEX('Mens Averages'!$AQ$8:$AQ$343,MATCH('Weekly Top 10'!R23,'Mens Averages'!$AR$8:$AR$343,0)),1)="4","Y","N")))</f>
        <v>Y</v>
      </c>
      <c r="O23" s="142" t="str">
        <f t="array" ref="O23">IF(ISERROR(LEFT(INDEX('Mens Averages'!$AQ$8:$AQ$343,MATCH('Weekly Top 10'!R23,'Mens Averages'!$AR$8:$AR$343,0)),1)),"",(LEFT(INDEX('Mens Averages'!$AQ$8:$AQ$343,MATCH('Weekly Top 10'!R23,'Mens Averages'!$AR$8:$AR$343,0)),1)))</f>
        <v>4</v>
      </c>
      <c r="P23" s="142" t="str">
        <f t="array" ref="P23">IF(ISERROR(RIGHT(LEFT(INDEX('Mens Averages'!$AQ$8:$AQ$343,MATCH('Weekly Top 10'!R23,'Mens Averages'!$AR$8:$AR$343,0)),3),1)),"",(RIGHT(LEFT(INDEX('Mens Averages'!$AQ$8:$AQ$343,MATCH('Weekly Top 10'!R23,'Mens Averages'!$AR$8:$AR$343,0)),3),1)))</f>
        <v>0</v>
      </c>
      <c r="Q23" s="141">
        <f t="array" ref="Q23">IF(ISNUMBER(R23),INDEX('Mens Averages'!$T$8:$T$343,SMALL(IF('Mens Averages'!$AR$8:$AR$343=R23,ROW('Mens Averages'!$AR$8:$AR$343)-ROW('Mens Averages'!$AR$8)+1),COUNTIF(R$23:R32,R23))),"")</f>
        <v>29.91</v>
      </c>
      <c r="R23" s="143">
        <f>IF(ISERROR(LARGE('Mens Averages'!$AR$8:$AR$343,1)),"",(LARGE('Mens Averages'!$AR$8:$AR$343,1)))</f>
        <v>30.91</v>
      </c>
      <c r="S23" s="1"/>
      <c r="T23" s="62">
        <f>IF(ISERROR(RANK(AA23,AA23:AA32)),"",(RANK(AA23,AA23:AA32)))</f>
        <v>1</v>
      </c>
      <c r="U23" s="140" t="str">
        <f t="array" ref="U23">IF(ISNUMBER(AA23),INDEX('Mens Averages'!$G$8:$G$343,SMALL(IF('Mens Averages'!$BB$8:$BB$343=AA23,ROW('Mens Averages'!$BB$8:$BB$343)-ROW('Mens Averages'!$BB$8)+1),COUNTIF(AA$23:AA23,AA23))),"")</f>
        <v>Scott Mitchell</v>
      </c>
      <c r="V23" s="141" t="str">
        <f t="array" ref="V23">IF(ISNUMBER(AA23),INDEX('Mens Averages'!$H$8:$H$343,SMALL(IF('Mens Averages'!$BB$8:$BB$343=AA23,ROW('Mens Averages'!$BB$8:$BB$343)-ROW('Mens Averages'!$BB$8)+1),COUNTIF(AA$23:AA23,AA23))),"")</f>
        <v>Lyt</v>
      </c>
      <c r="W23" s="142" t="str">
        <f t="array" ref="W23">IF(ISERROR(IF(LEFT(INDEX('Mens Averages'!$BA$8:$BA$343,MATCH('Weekly Top 10'!AA23,'Mens Averages'!$BB$8:$BB$343,0)),1)="4","Y","N")),"",(IF(LEFT(INDEX('Mens Averages'!$BA$8:$BA$343,MATCH('Weekly Top 10'!AA23,'Mens Averages'!$BB$8:$BB$343,0)),1)="4","Y","N")))</f>
        <v>Y</v>
      </c>
      <c r="X23" s="142" t="str">
        <f t="array" ref="X23">IF(ISERROR(LEFT(INDEX('Mens Averages'!$BA$8:$BA$343,MATCH('Weekly Top 10'!AA23,'Mens Averages'!$BB$8:$BB$343,0)),1)),"",(LEFT(INDEX('Mens Averages'!$BA$8:$BA$343,MATCH('Weekly Top 10'!AA23,'Mens Averages'!$BB$8:$BB$343,0)),1)))</f>
        <v>4</v>
      </c>
      <c r="Y23" s="142" t="str">
        <f t="array" ref="Y23">IF(ISERROR(RIGHT(LEFT(INDEX('Mens Averages'!$BA$8:$BA$343,MATCH('Weekly Top 10'!AA23,'Mens Averages'!$BB$8:$BB$343,0)),3),1)),"",(RIGHT(LEFT(INDEX('Mens Averages'!$BA$8:$BA$343,MATCH('Weekly Top 10'!AA23,'Mens Averages'!$BB$8:$BB$343,0)),3),1)))</f>
        <v>0</v>
      </c>
      <c r="Z23" s="141">
        <f t="array" ref="Z23">IF(ISNUMBER(AA23),INDEX('Mens Averages'!$Y$8:$Y$343,SMALL(IF('Mens Averages'!$BB$8:$BB$343=AA23,ROW('Mens Averages'!$BB$8:$BB$343)-ROW('Mens Averages'!$BB$8)+1),COUNTIF(AA$23:AA32,AA23))),"")</f>
        <v>28.63</v>
      </c>
      <c r="AA23" s="143">
        <f>IF(ISERROR(LARGE('Mens Averages'!$BB$8:$BB$343,1)),"",(LARGE('Mens Averages'!$BB$8:$BB$343,1)))</f>
        <v>29.63</v>
      </c>
      <c r="AB23" s="1"/>
      <c r="AC23" s="1"/>
      <c r="AD23" s="1"/>
      <c r="AE23" s="1"/>
    </row>
    <row r="24" spans="1:31" ht="16.5" customHeight="1" x14ac:dyDescent="0.2">
      <c r="A24" s="1"/>
      <c r="B24" s="68">
        <f>IF(ISERROR(RANK(I24,I23:I32)),"",(RANK(I24,I23:I32)))</f>
        <v>2</v>
      </c>
      <c r="C24" s="144" t="str">
        <f t="array" ref="C24">IF(ISNUMBER(I24),INDEX('Mens Averages'!$G$8:$G$343,SMALL(IF('Mens Averages'!$AH$8:$AH$343=I24,ROW('Mens Averages'!$AH$8:$AH$343)-ROW('Mens Averages'!$AH$8)+1),COUNTIF(I$23:I24,I24))),"")</f>
        <v>Henry Cooper</v>
      </c>
      <c r="D24" s="145" t="str">
        <f t="array" ref="D24">IF(ISNUMBER(I24),INDEX('Mens Averages'!$H$8:$H$343,SMALL(IF('Mens Averages'!$AH$8:$AH$343=I24,ROW('Mens Averages'!$AH$8:$AH$343)-ROW('Mens Averages'!$AH$8)+1),COUNTIF(I$23:I24,I24))),"")</f>
        <v>Dor</v>
      </c>
      <c r="E24" s="146" t="str">
        <f t="array" ref="E24">IF(ISERROR(IF(LEFT(INDEX('Mens Averages'!$AG$8:$AG$343,MATCH('Weekly Top 10'!I24,'Mens Averages'!$AH$8:$AH$343,0)),1)="4","Y","N")),"",(IF(LEFT(INDEX('Mens Averages'!$AG$8:$AG$343,MATCH('Weekly Top 10'!I24,'Mens Averages'!$AH$8:$AH$343,0)),1)="4","Y","N")))</f>
        <v>Y</v>
      </c>
      <c r="F24" s="146" t="str">
        <f t="array" ref="F24">IF(ISERROR(LEFT(INDEX('Mens Averages'!$AG$8:$AG$343,MATCH('Weekly Top 10'!I24,'Mens Averages'!$AH$8:$AH$343,0)),1)),"",(LEFT(INDEX('Mens Averages'!$AG$8:$AG$343,MATCH('Weekly Top 10'!I24,'Mens Averages'!$AH$8:$AH$343,0)),1)))</f>
        <v>4</v>
      </c>
      <c r="G24" s="146" t="str">
        <f t="array" ref="G24">IF(ISERROR(RIGHT(LEFT(INDEX('Mens Averages'!$AG$8:$AG$343,MATCH('Weekly Top 10'!I24,'Mens Averages'!$AH$8:$AH$343,0)),3),1)),"",(RIGHT(LEFT(INDEX('Mens Averages'!$AG$8:$AG$343,MATCH('Weekly Top 10'!I24,'Mens Averages'!$AH$8:$AH$343,0)),3),1)))</f>
        <v>0</v>
      </c>
      <c r="H24" s="145">
        <f t="array" ref="H24">IF(ISNUMBER(I24),INDEX('Mens Averages'!$O$8:$O$343,SMALL(IF('Mens Averages'!$AH$8:$AH$343=I24,ROW('Mens Averages'!$AH$8:$AH$343)-ROW('Mens Averages'!$AH$8)+1),COUNTIF(I$23:I33,I24))),"")</f>
        <v>29.04</v>
      </c>
      <c r="I24" s="147">
        <f>IF(ISERROR(LARGE('Mens Averages'!$AH$8:$AH$343,2)),"",(LARGE('Mens Averages'!$AH$8:$AH$343,2)))</f>
        <v>30.04</v>
      </c>
      <c r="J24" s="1"/>
      <c r="K24" s="68">
        <f>IF(ISERROR(RANK(R24,R23:R32)),"",(RANK(R24,R23:R32)))</f>
        <v>1</v>
      </c>
      <c r="L24" s="144" t="str">
        <f t="array" ref="L24">IF(ISNUMBER(R24),INDEX('Mens Averages'!$G$8:$G$343,SMALL(IF('Mens Averages'!$AR$8:$AR$343=R24,ROW('Mens Averages'!$AR$8:$AR$343)-ROW('Mens Averages'!$AR$8)+1),COUNTIF(R$23:R24,R24))),"")</f>
        <v>Danny Pearce</v>
      </c>
      <c r="M24" s="145" t="str">
        <f t="array" ref="M24">IF(ISNUMBER(R24),INDEX('Mens Averages'!$H$8:$H$343,SMALL(IF('Mens Averages'!$AR$8:$AR$343=R24,ROW('Mens Averages'!$AR$8:$AR$343)-ROW('Mens Averages'!$AR$8)+1),COUNTIF(R$23:R24,R24))),"")</f>
        <v>Lyt</v>
      </c>
      <c r="N24" s="146" t="str">
        <f t="array" ref="N24">IF(ISERROR(IF(LEFT(INDEX('Mens Averages'!$AQ$8:$AQ$343,MATCH('Weekly Top 10'!R24,'Mens Averages'!$AR$8:$AR$343,0)),1)="4","Y","N")),"",(IF(LEFT(INDEX('Mens Averages'!$AQ$8:$AQ$343,MATCH('Weekly Top 10'!R24,'Mens Averages'!$AR$8:$AR$343,0)),1)="4","Y","N")))</f>
        <v>Y</v>
      </c>
      <c r="O24" s="146" t="str">
        <f t="array" ref="O24">IF(ISERROR(LEFT(INDEX('Mens Averages'!$AQ$8:$AQ$343,MATCH('Weekly Top 10'!R24,'Mens Averages'!$AR$8:$AR$343,0)),1)),"",(LEFT(INDEX('Mens Averages'!$AQ$8:$AQ$343,MATCH('Weekly Top 10'!R24,'Mens Averages'!$AR$8:$AR$343,0)),1)))</f>
        <v>4</v>
      </c>
      <c r="P24" s="146" t="str">
        <f t="array" ref="P24">IF(ISERROR(RIGHT(LEFT(INDEX('Mens Averages'!$AQ$8:$AQ$343,MATCH('Weekly Top 10'!R24,'Mens Averages'!$AR$8:$AR$343,0)),3),1)),"",(RIGHT(LEFT(INDEX('Mens Averages'!$AQ$8:$AQ$343,MATCH('Weekly Top 10'!R24,'Mens Averages'!$AR$8:$AR$343,0)),3),1)))</f>
        <v>0</v>
      </c>
      <c r="Q24" s="145">
        <f t="array" ref="Q24">IF(ISNUMBER(R24),INDEX('Mens Averages'!$T$8:$T$343,SMALL(IF('Mens Averages'!$AR$8:$AR$343=R24,ROW('Mens Averages'!$AR$8:$AR$343)-ROW('Mens Averages'!$AR$8)+1),COUNTIF(R$23:R33,R24))),"")</f>
        <v>29.91</v>
      </c>
      <c r="R24" s="147">
        <f>IF(ISERROR(LARGE('Mens Averages'!$AR$8:$AR$343,2)),"",(LARGE('Mens Averages'!$AR$8:$AR$343,2)))</f>
        <v>30.91</v>
      </c>
      <c r="S24" s="1"/>
      <c r="T24" s="68">
        <f>IF(ISERROR(RANK(AA24,AA23:AA32)),"",(RANK(AA24,AA23:AA32)))</f>
        <v>2</v>
      </c>
      <c r="U24" s="144" t="str">
        <f t="array" ref="U24">IF(ISNUMBER(AA24),INDEX('Mens Averages'!$G$8:$G$343,SMALL(IF('Mens Averages'!$BB$8:$BB$343=AA24,ROW('Mens Averages'!$BB$8:$BB$343)-ROW('Mens Averages'!$BB$8)+1),COUNTIF(AA$23:AA24,AA24))),"")</f>
        <v>Daniel Perry</v>
      </c>
      <c r="V24" s="145" t="str">
        <f t="array" ref="V24">IF(ISNUMBER(AA24),INDEX('Mens Averages'!$H$8:$H$343,SMALL(IF('Mens Averages'!$BB$8:$BB$343=AA24,ROW('Mens Averages'!$BB$8:$BB$343)-ROW('Mens Averages'!$BB$8)+1),COUNTIF(AA$23:AA24,AA24))),"")</f>
        <v>Lyt</v>
      </c>
      <c r="W24" s="146" t="str">
        <f t="array" ref="W24">IF(ISERROR(IF(LEFT(INDEX('Mens Averages'!$BA$8:$BA$343,MATCH('Weekly Top 10'!AA24,'Mens Averages'!$BB$8:$BB$343,0)),1)="4","Y","N")),"",(IF(LEFT(INDEX('Mens Averages'!$BA$8:$BA$343,MATCH('Weekly Top 10'!AA24,'Mens Averages'!$BB$8:$BB$343,0)),1)="4","Y","N")))</f>
        <v>Y</v>
      </c>
      <c r="X24" s="146" t="str">
        <f t="array" ref="X24">IF(ISERROR(LEFT(INDEX('Mens Averages'!$BA$8:$BA$343,MATCH('Weekly Top 10'!AA24,'Mens Averages'!$BB$8:$BB$343,0)),1)),"",(LEFT(INDEX('Mens Averages'!$BA$8:$BA$343,MATCH('Weekly Top 10'!AA24,'Mens Averages'!$BB$8:$BB$343,0)),1)))</f>
        <v>4</v>
      </c>
      <c r="Y24" s="146" t="str">
        <f t="array" ref="Y24">IF(ISERROR(RIGHT(LEFT(INDEX('Mens Averages'!$BA$8:$BA$343,MATCH('Weekly Top 10'!AA24,'Mens Averages'!$BB$8:$BB$343,0)),3),1)),"",(RIGHT(LEFT(INDEX('Mens Averages'!$BA$8:$BA$343,MATCH('Weekly Top 10'!AA24,'Mens Averages'!$BB$8:$BB$343,0)),3),1)))</f>
        <v>0</v>
      </c>
      <c r="Z24" s="145">
        <f t="array" ref="Z24">IF(ISNUMBER(AA24),INDEX('Mens Averages'!$Y$8:$Y$343,SMALL(IF('Mens Averages'!$BB$8:$BB$343=AA24,ROW('Mens Averages'!$BB$8:$BB$343)-ROW('Mens Averages'!$BB$8)+1),COUNTIF(AA$23:AA33,AA24))),"")</f>
        <v>28.23</v>
      </c>
      <c r="AA24" s="147">
        <f>IF(ISERROR(LARGE('Mens Averages'!$BB$8:$BB$343,2)),"",(LARGE('Mens Averages'!$BB$8:$BB$343,2)))</f>
        <v>29.23</v>
      </c>
      <c r="AB24" s="1"/>
      <c r="AC24" s="1"/>
      <c r="AD24" s="1"/>
      <c r="AE24" s="1"/>
    </row>
    <row r="25" spans="1:31" ht="16.5" customHeight="1" x14ac:dyDescent="0.2">
      <c r="A25" s="1"/>
      <c r="B25" s="68">
        <f>IF(ISERROR(RANK(I25,I23:I32)),"",(RANK(I25,I23:I32)))</f>
        <v>3</v>
      </c>
      <c r="C25" s="144" t="str">
        <f t="array" ref="C25">IF(ISNUMBER(I25),INDEX('Mens Averages'!$G$8:$G$343,SMALL(IF('Mens Averages'!$AH$8:$AH$343=I25,ROW('Mens Averages'!$AH$8:$AH$343)-ROW('Mens Averages'!$AH$8)+1),COUNTIF(I$23:I25,I25))),"")</f>
        <v>Tommy Morris</v>
      </c>
      <c r="D25" s="145" t="str">
        <f t="array" ref="D25">IF(ISNUMBER(I25),INDEX('Mens Averages'!$H$8:$H$343,SMALL(IF('Mens Averages'!$AH$8:$AH$343=I25,ROW('Mens Averages'!$AH$8:$AH$343)-ROW('Mens Averages'!$AH$8)+1),COUNTIF(I$23:I25,I25))),"")</f>
        <v>Chr</v>
      </c>
      <c r="E25" s="146" t="str">
        <f t="array" ref="E25">IF(ISERROR(IF(LEFT(INDEX('Mens Averages'!$AG$8:$AG$343,MATCH('Weekly Top 10'!I25,'Mens Averages'!$AH$8:$AH$343,0)),1)="4","Y","N")),"",(IF(LEFT(INDEX('Mens Averages'!$AG$8:$AG$343,MATCH('Weekly Top 10'!I25,'Mens Averages'!$AH$8:$AH$343,0)),1)="4","Y","N")))</f>
        <v>Y</v>
      </c>
      <c r="F25" s="146" t="str">
        <f t="array" ref="F25">IF(ISERROR(LEFT(INDEX('Mens Averages'!$AG$8:$AG$343,MATCH('Weekly Top 10'!I25,'Mens Averages'!$AH$8:$AH$343,0)),1)),"",(LEFT(INDEX('Mens Averages'!$AG$8:$AG$343,MATCH('Weekly Top 10'!I25,'Mens Averages'!$AH$8:$AH$343,0)),1)))</f>
        <v>4</v>
      </c>
      <c r="G25" s="146" t="str">
        <f t="array" ref="G25">IF(ISERROR(RIGHT(LEFT(INDEX('Mens Averages'!$AG$8:$AG$343,MATCH('Weekly Top 10'!I25,'Mens Averages'!$AH$8:$AH$343,0)),3),1)),"",(RIGHT(LEFT(INDEX('Mens Averages'!$AG$8:$AG$343,MATCH('Weekly Top 10'!I25,'Mens Averages'!$AH$8:$AH$343,0)),3),1)))</f>
        <v>0</v>
      </c>
      <c r="H25" s="145">
        <f t="array" ref="H25">IF(ISNUMBER(I25),INDEX('Mens Averages'!$O$8:$O$343,SMALL(IF('Mens Averages'!$AH$8:$AH$343=I25,ROW('Mens Averages'!$AH$8:$AH$343)-ROW('Mens Averages'!$AH$8)+1),COUNTIF(I$23:I34,I25))),"")</f>
        <v>27.45</v>
      </c>
      <c r="I25" s="147">
        <f>IF(ISERROR(LARGE('Mens Averages'!$AH$8:$AH$343,3)),"",(LARGE('Mens Averages'!$AH$8:$AH$343,3)))</f>
        <v>28.45</v>
      </c>
      <c r="J25" s="1"/>
      <c r="K25" s="68">
        <f>IF(ISERROR(RANK(R25,R23:R32)),"",(RANK(R25,R23:R32)))</f>
        <v>3</v>
      </c>
      <c r="L25" s="144" t="str">
        <f t="array" ref="L25">IF(ISNUMBER(R25),INDEX('Mens Averages'!$G$8:$G$343,SMALL(IF('Mens Averages'!$AR$8:$AR$343=R25,ROW('Mens Averages'!$AR$8:$AR$343)-ROW('Mens Averages'!$AR$8)+1),COUNTIF(R$23:R25,R25))),"")</f>
        <v>Mark Grimes</v>
      </c>
      <c r="M25" s="145" t="str">
        <f t="array" ref="M25">IF(ISNUMBER(R25),INDEX('Mens Averages'!$H$8:$H$343,SMALL(IF('Mens Averages'!$AR$8:$AR$343=R25,ROW('Mens Averages'!$AR$8:$AR$343)-ROW('Mens Averages'!$AR$8)+1),COUNTIF(R$23:R25,R25))),"")</f>
        <v>Chr</v>
      </c>
      <c r="N25" s="146" t="str">
        <f t="array" ref="N25">IF(ISERROR(IF(LEFT(INDEX('Mens Averages'!$AQ$8:$AQ$343,MATCH('Weekly Top 10'!R25,'Mens Averages'!$AR$8:$AR$343,0)),1)="4","Y","N")),"",(IF(LEFT(INDEX('Mens Averages'!$AQ$8:$AQ$343,MATCH('Weekly Top 10'!R25,'Mens Averages'!$AR$8:$AR$343,0)),1)="4","Y","N")))</f>
        <v>Y</v>
      </c>
      <c r="O25" s="146" t="str">
        <f t="array" ref="O25">IF(ISERROR(LEFT(INDEX('Mens Averages'!$AQ$8:$AQ$343,MATCH('Weekly Top 10'!R25,'Mens Averages'!$AR$8:$AR$343,0)),1)),"",(LEFT(INDEX('Mens Averages'!$AQ$8:$AQ$343,MATCH('Weekly Top 10'!R25,'Mens Averages'!$AR$8:$AR$343,0)),1)))</f>
        <v>4</v>
      </c>
      <c r="P25" s="146" t="str">
        <f t="array" ref="P25">IF(ISERROR(RIGHT(LEFT(INDEX('Mens Averages'!$AQ$8:$AQ$343,MATCH('Weekly Top 10'!R25,'Mens Averages'!$AR$8:$AR$343,0)),3),1)),"",(RIGHT(LEFT(INDEX('Mens Averages'!$AQ$8:$AQ$343,MATCH('Weekly Top 10'!R25,'Mens Averages'!$AR$8:$AR$343,0)),3),1)))</f>
        <v>2</v>
      </c>
      <c r="Q25" s="145">
        <f t="array" ref="Q25">IF(ISNUMBER(R25),INDEX('Mens Averages'!$T$8:$T$343,SMALL(IF('Mens Averages'!$AR$8:$AR$343=R25,ROW('Mens Averages'!$AR$8:$AR$343)-ROW('Mens Averages'!$AR$8)+1),COUNTIF(R$23:R34,R25))),"")</f>
        <v>28.4</v>
      </c>
      <c r="R25" s="147">
        <f>IF(ISERROR(LARGE('Mens Averages'!$AR$8:$AR$343,3)),"",(LARGE('Mens Averages'!$AR$8:$AR$343,3)))</f>
        <v>29.4</v>
      </c>
      <c r="S25" s="1"/>
      <c r="T25" s="68">
        <f>IF(ISERROR(RANK(AA25,AA23:AA32)),"",(RANK(AA25,AA23:AA32)))</f>
        <v>3</v>
      </c>
      <c r="U25" s="144" t="str">
        <f t="array" ref="U25">IF(ISNUMBER(AA25),INDEX('Mens Averages'!$G$8:$G$343,SMALL(IF('Mens Averages'!$BB$8:$BB$343=AA25,ROW('Mens Averages'!$BB$8:$BB$343)-ROW('Mens Averages'!$BB$8)+1),COUNTIF(AA$23:AA25,AA25))),"")</f>
        <v>Daniel Rawlings</v>
      </c>
      <c r="V25" s="145" t="str">
        <f t="array" ref="V25">IF(ISNUMBER(AA25),INDEX('Mens Averages'!$H$8:$H$343,SMALL(IF('Mens Averages'!$BB$8:$BB$343=AA25,ROW('Mens Averages'!$BB$8:$BB$343)-ROW('Mens Averages'!$BB$8)+1),COUNTIF(AA$23:AA25,AA25))),"")</f>
        <v>Bri</v>
      </c>
      <c r="W25" s="146" t="str">
        <f t="array" ref="W25">IF(ISERROR(IF(LEFT(INDEX('Mens Averages'!$BA$8:$BA$343,MATCH('Weekly Top 10'!AA25,'Mens Averages'!$BB$8:$BB$343,0)),1)="4","Y","N")),"",(IF(LEFT(INDEX('Mens Averages'!$BA$8:$BA$343,MATCH('Weekly Top 10'!AA25,'Mens Averages'!$BB$8:$BB$343,0)),1)="4","Y","N")))</f>
        <v>Y</v>
      </c>
      <c r="X25" s="146" t="str">
        <f t="array" ref="X25">IF(ISERROR(LEFT(INDEX('Mens Averages'!$BA$8:$BA$343,MATCH('Weekly Top 10'!AA25,'Mens Averages'!$BB$8:$BB$343,0)),1)),"",(LEFT(INDEX('Mens Averages'!$BA$8:$BA$343,MATCH('Weekly Top 10'!AA25,'Mens Averages'!$BB$8:$BB$343,0)),1)))</f>
        <v>4</v>
      </c>
      <c r="Y25" s="146" t="str">
        <f t="array" ref="Y25">IF(ISERROR(RIGHT(LEFT(INDEX('Mens Averages'!$BA$8:$BA$343,MATCH('Weekly Top 10'!AA25,'Mens Averages'!$BB$8:$BB$343,0)),3),1)),"",(RIGHT(LEFT(INDEX('Mens Averages'!$BA$8:$BA$343,MATCH('Weekly Top 10'!AA25,'Mens Averages'!$BB$8:$BB$343,0)),3),1)))</f>
        <v>1</v>
      </c>
      <c r="Z25" s="145">
        <f t="array" ref="Z25">IF(ISNUMBER(AA25),INDEX('Mens Averages'!$Y$8:$Y$343,SMALL(IF('Mens Averages'!$BB$8:$BB$343=AA25,ROW('Mens Averages'!$BB$8:$BB$343)-ROW('Mens Averages'!$BB$8)+1),COUNTIF(AA$23:AA34,AA25))),"")</f>
        <v>27.91</v>
      </c>
      <c r="AA25" s="147">
        <f>IF(ISERROR(LARGE('Mens Averages'!$BB$8:$BB$343,3)),"",(LARGE('Mens Averages'!$BB$8:$BB$343,3)))</f>
        <v>28.91</v>
      </c>
      <c r="AB25" s="1"/>
      <c r="AC25" s="1"/>
      <c r="AD25" s="1"/>
      <c r="AE25" s="1"/>
    </row>
    <row r="26" spans="1:31" ht="16.5" customHeight="1" x14ac:dyDescent="0.2">
      <c r="A26" s="1"/>
      <c r="B26" s="68">
        <f>IF(ISERROR(RANK(I26,I23:I32)),"",(RANK(I26,I23:I32)))</f>
        <v>4</v>
      </c>
      <c r="C26" s="144" t="str">
        <f t="array" ref="C26">IF(ISNUMBER(I26),INDEX('Mens Averages'!$G$8:$G$343,SMALL(IF('Mens Averages'!$AH$8:$AH$343=I26,ROW('Mens Averages'!$AH$8:$AH$343)-ROW('Mens Averages'!$AH$8)+1),COUNTIF(I$23:I26,I26))),"")</f>
        <v>Carl Beattie</v>
      </c>
      <c r="D26" s="145" t="str">
        <f t="array" ref="D26">IF(ISNUMBER(I26),INDEX('Mens Averages'!$H$8:$H$343,SMALL(IF('Mens Averages'!$AH$8:$AH$343=I26,ROW('Mens Averages'!$AH$8:$AH$343)-ROW('Mens Averages'!$AH$8)+1),COUNTIF(I$23:I26,I26))),"")</f>
        <v>Poo</v>
      </c>
      <c r="E26" s="146" t="str">
        <f t="array" ref="E26">IF(ISERROR(IF(LEFT(INDEX('Mens Averages'!$AG$8:$AG$343,MATCH('Weekly Top 10'!I26,'Mens Averages'!$AH$8:$AH$343,0)),1)="4","Y","N")),"",(IF(LEFT(INDEX('Mens Averages'!$AG$8:$AG$343,MATCH('Weekly Top 10'!I26,'Mens Averages'!$AH$8:$AH$343,0)),1)="4","Y","N")))</f>
        <v>Y</v>
      </c>
      <c r="F26" s="146" t="str">
        <f t="array" ref="F26">IF(ISERROR(LEFT(INDEX('Mens Averages'!$AG$8:$AG$343,MATCH('Weekly Top 10'!I26,'Mens Averages'!$AH$8:$AH$343,0)),1)),"",(LEFT(INDEX('Mens Averages'!$AG$8:$AG$343,MATCH('Weekly Top 10'!I26,'Mens Averages'!$AH$8:$AH$343,0)),1)))</f>
        <v>4</v>
      </c>
      <c r="G26" s="146" t="str">
        <f t="array" ref="G26">IF(ISERROR(RIGHT(LEFT(INDEX('Mens Averages'!$AG$8:$AG$343,MATCH('Weekly Top 10'!I26,'Mens Averages'!$AH$8:$AH$343,0)),3),1)),"",(RIGHT(LEFT(INDEX('Mens Averages'!$AG$8:$AG$343,MATCH('Weekly Top 10'!I26,'Mens Averages'!$AH$8:$AH$343,0)),3),1)))</f>
        <v>1</v>
      </c>
      <c r="H26" s="145">
        <f t="array" ref="H26">IF(ISNUMBER(I26),INDEX('Mens Averages'!$O$8:$O$343,SMALL(IF('Mens Averages'!$AH$8:$AH$343=I26,ROW('Mens Averages'!$AH$8:$AH$343)-ROW('Mens Averages'!$AH$8)+1),COUNTIF(I$23:I35,I26))),"")</f>
        <v>26.62</v>
      </c>
      <c r="I26" s="147">
        <f>IF(ISERROR(LARGE('Mens Averages'!$AH$8:$AH$343,4)),"",(LARGE('Mens Averages'!$AH$8:$AH$343,4)))</f>
        <v>27.62</v>
      </c>
      <c r="J26" s="1"/>
      <c r="K26" s="68">
        <f>IF(ISERROR(RANK(R26,R23:R32)),"",(RANK(R26,R23:R32)))</f>
        <v>4</v>
      </c>
      <c r="L26" s="144" t="str">
        <f t="array" ref="L26">IF(ISNUMBER(R26),INDEX('Mens Averages'!$G$8:$G$343,SMALL(IF('Mens Averages'!$AR$8:$AR$343=R26,ROW('Mens Averages'!$AR$8:$AR$343)-ROW('Mens Averages'!$AR$8)+1),COUNTIF(R$23:R26,R26))),"")</f>
        <v>Henry Cooper</v>
      </c>
      <c r="M26" s="145" t="str">
        <f t="array" ref="M26">IF(ISNUMBER(R26),INDEX('Mens Averages'!$H$8:$H$343,SMALL(IF('Mens Averages'!$AR$8:$AR$343=R26,ROW('Mens Averages'!$AR$8:$AR$343)-ROW('Mens Averages'!$AR$8)+1),COUNTIF(R$23:R26,R26))),"")</f>
        <v>Dor</v>
      </c>
      <c r="N26" s="146" t="str">
        <f t="array" ref="N26">IF(ISERROR(IF(LEFT(INDEX('Mens Averages'!$AQ$8:$AQ$343,MATCH('Weekly Top 10'!R26,'Mens Averages'!$AR$8:$AR$343,0)),1)="4","Y","N")),"",(IF(LEFT(INDEX('Mens Averages'!$AQ$8:$AQ$343,MATCH('Weekly Top 10'!R26,'Mens Averages'!$AR$8:$AR$343,0)),1)="4","Y","N")))</f>
        <v>Y</v>
      </c>
      <c r="O26" s="146" t="str">
        <f t="array" ref="O26">IF(ISERROR(LEFT(INDEX('Mens Averages'!$AQ$8:$AQ$343,MATCH('Weekly Top 10'!R26,'Mens Averages'!$AR$8:$AR$343,0)),1)),"",(LEFT(INDEX('Mens Averages'!$AQ$8:$AQ$343,MATCH('Weekly Top 10'!R26,'Mens Averages'!$AR$8:$AR$343,0)),1)))</f>
        <v>4</v>
      </c>
      <c r="P26" s="146" t="str">
        <f t="array" ref="P26">IF(ISERROR(RIGHT(LEFT(INDEX('Mens Averages'!$AQ$8:$AQ$343,MATCH('Weekly Top 10'!R26,'Mens Averages'!$AR$8:$AR$343,0)),3),1)),"",(RIGHT(LEFT(INDEX('Mens Averages'!$AQ$8:$AQ$343,MATCH('Weekly Top 10'!R26,'Mens Averages'!$AR$8:$AR$343,0)),3),1)))</f>
        <v>0</v>
      </c>
      <c r="Q26" s="145">
        <f t="array" ref="Q26">IF(ISNUMBER(R26),INDEX('Mens Averages'!$T$8:$T$343,SMALL(IF('Mens Averages'!$AR$8:$AR$343=R26,ROW('Mens Averages'!$AR$8:$AR$343)-ROW('Mens Averages'!$AR$8)+1),COUNTIF(R$23:R35,R26))),"")</f>
        <v>28.23</v>
      </c>
      <c r="R26" s="147">
        <f>IF(ISERROR(LARGE('Mens Averages'!$AR$8:$AR$343,4)),"",(LARGE('Mens Averages'!$AR$8:$AR$343,4)))</f>
        <v>29.23</v>
      </c>
      <c r="S26" s="1"/>
      <c r="T26" s="68">
        <f>IF(ISERROR(RANK(AA26,AA23:AA32)),"",(RANK(AA26,AA23:AA32)))</f>
        <v>4</v>
      </c>
      <c r="U26" s="144" t="str">
        <f t="array" ref="U26">IF(ISNUMBER(AA26),INDEX('Mens Averages'!$G$8:$G$343,SMALL(IF('Mens Averages'!$BB$8:$BB$343=AA26,ROW('Mens Averages'!$BB$8:$BB$343)-ROW('Mens Averages'!$BB$8)+1),COUNTIF(AA$23:AA26,AA26))),"")</f>
        <v>Tommy Morris</v>
      </c>
      <c r="V26" s="145" t="str">
        <f t="array" ref="V26">IF(ISNUMBER(AA26),INDEX('Mens Averages'!$H$8:$H$343,SMALL(IF('Mens Averages'!$BB$8:$BB$343=AA26,ROW('Mens Averages'!$BB$8:$BB$343)-ROW('Mens Averages'!$BB$8)+1),COUNTIF(AA$23:AA26,AA26))),"")</f>
        <v>Chr</v>
      </c>
      <c r="W26" s="146" t="str">
        <f t="array" ref="W26">IF(ISERROR(IF(LEFT(INDEX('Mens Averages'!$BA$8:$BA$343,MATCH('Weekly Top 10'!AA26,'Mens Averages'!$BB$8:$BB$343,0)),1)="4","Y","N")),"",(IF(LEFT(INDEX('Mens Averages'!$BA$8:$BA$343,MATCH('Weekly Top 10'!AA26,'Mens Averages'!$BB$8:$BB$343,0)),1)="4","Y","N")))</f>
        <v>Y</v>
      </c>
      <c r="X26" s="146" t="str">
        <f t="array" ref="X26">IF(ISERROR(LEFT(INDEX('Mens Averages'!$BA$8:$BA$343,MATCH('Weekly Top 10'!AA26,'Mens Averages'!$BB$8:$BB$343,0)),1)),"",(LEFT(INDEX('Mens Averages'!$BA$8:$BA$343,MATCH('Weekly Top 10'!AA26,'Mens Averages'!$BB$8:$BB$343,0)),1)))</f>
        <v>4</v>
      </c>
      <c r="Y26" s="146" t="str">
        <f t="array" ref="Y26">IF(ISERROR(RIGHT(LEFT(INDEX('Mens Averages'!$BA$8:$BA$343,MATCH('Weekly Top 10'!AA26,'Mens Averages'!$BB$8:$BB$343,0)),3),1)),"",(RIGHT(LEFT(INDEX('Mens Averages'!$BA$8:$BA$343,MATCH('Weekly Top 10'!AA26,'Mens Averages'!$BB$8:$BB$343,0)),3),1)))</f>
        <v>1</v>
      </c>
      <c r="Z26" s="145">
        <f t="array" ref="Z26">IF(ISNUMBER(AA26),INDEX('Mens Averages'!$Y$8:$Y$343,SMALL(IF('Mens Averages'!$BB$8:$BB$343=AA26,ROW('Mens Averages'!$BB$8:$BB$343)-ROW('Mens Averages'!$BB$8)+1),COUNTIF(AA$23:AA35,AA26))),"")</f>
        <v>27.88</v>
      </c>
      <c r="AA26" s="147">
        <f>IF(ISERROR(LARGE('Mens Averages'!$BB$8:$BB$343,4)),"",(LARGE('Mens Averages'!$BB$8:$BB$343,4)))</f>
        <v>28.88</v>
      </c>
      <c r="AB26" s="1"/>
      <c r="AC26" s="1"/>
      <c r="AD26" s="1"/>
      <c r="AE26" s="1"/>
    </row>
    <row r="27" spans="1:31" ht="16.5" customHeight="1" x14ac:dyDescent="0.2">
      <c r="A27" s="1"/>
      <c r="B27" s="68">
        <f>IF(ISERROR(RANK(I27,I23:I32)),"",(RANK(I27,I23:I32)))</f>
        <v>5</v>
      </c>
      <c r="C27" s="144" t="str">
        <f t="array" ref="C27">IF(ISNUMBER(I27),INDEX('Mens Averages'!$G$8:$G$343,SMALL(IF('Mens Averages'!$AH$8:$AH$343=I27,ROW('Mens Averages'!$AH$8:$AH$343)-ROW('Mens Averages'!$AH$8)+1),COUNTIF(I$23:I27,I27))),"")</f>
        <v>Nick Turner</v>
      </c>
      <c r="D27" s="145" t="str">
        <f t="array" ref="D27">IF(ISNUMBER(I27),INDEX('Mens Averages'!$H$8:$H$343,SMALL(IF('Mens Averages'!$AH$8:$AH$343=I27,ROW('Mens Averages'!$AH$8:$AH$343)-ROW('Mens Averages'!$AH$8)+1),COUNTIF(I$23:I27,I27))),"")</f>
        <v>Par</v>
      </c>
      <c r="E27" s="146" t="str">
        <f t="array" ref="E27">IF(ISERROR(IF(LEFT(INDEX('Mens Averages'!$AG$8:$AG$343,MATCH('Weekly Top 10'!I27,'Mens Averages'!$AH$8:$AH$343,0)),1)="4","Y","N")),"",(IF(LEFT(INDEX('Mens Averages'!$AG$8:$AG$343,MATCH('Weekly Top 10'!I27,'Mens Averages'!$AH$8:$AH$343,0)),1)="4","Y","N")))</f>
        <v>Y</v>
      </c>
      <c r="F27" s="146" t="str">
        <f t="array" ref="F27">IF(ISERROR(LEFT(INDEX('Mens Averages'!$AG$8:$AG$343,MATCH('Weekly Top 10'!I27,'Mens Averages'!$AH$8:$AH$343,0)),1)),"",(LEFT(INDEX('Mens Averages'!$AG$8:$AG$343,MATCH('Weekly Top 10'!I27,'Mens Averages'!$AH$8:$AH$343,0)),1)))</f>
        <v>4</v>
      </c>
      <c r="G27" s="146" t="str">
        <f t="array" ref="G27">IF(ISERROR(RIGHT(LEFT(INDEX('Mens Averages'!$AG$8:$AG$343,MATCH('Weekly Top 10'!I27,'Mens Averages'!$AH$8:$AH$343,0)),3),1)),"",(RIGHT(LEFT(INDEX('Mens Averages'!$AG$8:$AG$343,MATCH('Weekly Top 10'!I27,'Mens Averages'!$AH$8:$AH$343,0)),3),1)))</f>
        <v>0</v>
      </c>
      <c r="H27" s="145">
        <f t="array" ref="H27">IF(ISNUMBER(I27),INDEX('Mens Averages'!$O$8:$O$343,SMALL(IF('Mens Averages'!$AH$8:$AH$343=I27,ROW('Mens Averages'!$AH$8:$AH$343)-ROW('Mens Averages'!$AH$8)+1),COUNTIF(I$23:I36,I27))),"")</f>
        <v>26.03</v>
      </c>
      <c r="I27" s="147">
        <f>IF(ISERROR(LARGE('Mens Averages'!$AH$8:$AH$343,5)),"",(LARGE('Mens Averages'!$AH$8:$AH$343,5)))</f>
        <v>27.03</v>
      </c>
      <c r="J27" s="1"/>
      <c r="K27" s="68">
        <f>IF(ISERROR(RANK(R27,R23:R32)),"",(RANK(R27,R23:R32)))</f>
        <v>4</v>
      </c>
      <c r="L27" s="144" t="str">
        <f t="array" ref="L27">IF(ISNUMBER(R27),INDEX('Mens Averages'!$G$8:$G$343,SMALL(IF('Mens Averages'!$AR$8:$AR$343=R27,ROW('Mens Averages'!$AR$8:$AR$343)-ROW('Mens Averages'!$AR$8)+1),COUNTIF(R$23:R27,R27))),"")</f>
        <v>Paul Carter</v>
      </c>
      <c r="M27" s="145" t="str">
        <f t="array" ref="M27">IF(ISNUMBER(R27),INDEX('Mens Averages'!$H$8:$H$343,SMALL(IF('Mens Averages'!$AR$8:$AR$343=R27,ROW('Mens Averages'!$AR$8:$AR$343)-ROW('Mens Averages'!$AR$8)+1),COUNTIF(R$23:R27,R27))),"")</f>
        <v>Bou</v>
      </c>
      <c r="N27" s="146" t="str">
        <f t="array" ref="N27">IF(ISERROR(IF(LEFT(INDEX('Mens Averages'!$AQ$8:$AQ$343,MATCH('Weekly Top 10'!R27,'Mens Averages'!$AR$8:$AR$343,0)),1)="4","Y","N")),"",(IF(LEFT(INDEX('Mens Averages'!$AQ$8:$AQ$343,MATCH('Weekly Top 10'!R27,'Mens Averages'!$AR$8:$AR$343,0)),1)="4","Y","N")))</f>
        <v>Y</v>
      </c>
      <c r="O27" s="146" t="str">
        <f t="array" ref="O27">IF(ISERROR(LEFT(INDEX('Mens Averages'!$AQ$8:$AQ$343,MATCH('Weekly Top 10'!R27,'Mens Averages'!$AR$8:$AR$343,0)),1)),"",(LEFT(INDEX('Mens Averages'!$AQ$8:$AQ$343,MATCH('Weekly Top 10'!R27,'Mens Averages'!$AR$8:$AR$343,0)),1)))</f>
        <v>4</v>
      </c>
      <c r="P27" s="146" t="str">
        <f t="array" ref="P27">IF(ISERROR(RIGHT(LEFT(INDEX('Mens Averages'!$AQ$8:$AQ$343,MATCH('Weekly Top 10'!R27,'Mens Averages'!$AR$8:$AR$343,0)),3),1)),"",(RIGHT(LEFT(INDEX('Mens Averages'!$AQ$8:$AQ$343,MATCH('Weekly Top 10'!R27,'Mens Averages'!$AR$8:$AR$343,0)),3),1)))</f>
        <v>0</v>
      </c>
      <c r="Q27" s="145">
        <f t="array" ref="Q27">IF(ISNUMBER(R27),INDEX('Mens Averages'!$T$8:$T$343,SMALL(IF('Mens Averages'!$AR$8:$AR$343=R27,ROW('Mens Averages'!$AR$8:$AR$343)-ROW('Mens Averages'!$AR$8)+1),COUNTIF(R$23:R36,R27))),"")</f>
        <v>28.23</v>
      </c>
      <c r="R27" s="147">
        <f>IF(ISERROR(LARGE('Mens Averages'!$AR$8:$AR$343,5)),"",(LARGE('Mens Averages'!$AR$8:$AR$343,5)))</f>
        <v>29.23</v>
      </c>
      <c r="S27" s="1"/>
      <c r="T27" s="68">
        <f>IF(ISERROR(RANK(AA27,AA23:AA32)),"",(RANK(AA27,AA23:AA32)))</f>
        <v>5</v>
      </c>
      <c r="U27" s="144" t="str">
        <f t="array" ref="U27">IF(ISNUMBER(AA27),INDEX('Mens Averages'!$G$8:$G$343,SMALL(IF('Mens Averages'!$BB$8:$BB$343=AA27,ROW('Mens Averages'!$BB$8:$BB$343)-ROW('Mens Averages'!$BB$8)+1),COUNTIF(AA$23:AA27,AA27))),"")</f>
        <v>Ricky King</v>
      </c>
      <c r="V27" s="145" t="str">
        <f t="array" ref="V27">IF(ISNUMBER(AA27),INDEX('Mens Averages'!$H$8:$H$343,SMALL(IF('Mens Averages'!$BB$8:$BB$343=AA27,ROW('Mens Averages'!$BB$8:$BB$343)-ROW('Mens Averages'!$BB$8)+1),COUNTIF(AA$23:AA27,AA27))),"")</f>
        <v>Swa</v>
      </c>
      <c r="W27" s="146" t="str">
        <f t="array" ref="W27">IF(ISERROR(IF(LEFT(INDEX('Mens Averages'!$BA$8:$BA$343,MATCH('Weekly Top 10'!AA27,'Mens Averages'!$BB$8:$BB$343,0)),1)="4","Y","N")),"",(IF(LEFT(INDEX('Mens Averages'!$BA$8:$BA$343,MATCH('Weekly Top 10'!AA27,'Mens Averages'!$BB$8:$BB$343,0)),1)="4","Y","N")))</f>
        <v>Y</v>
      </c>
      <c r="X27" s="146" t="str">
        <f t="array" ref="X27">IF(ISERROR(LEFT(INDEX('Mens Averages'!$BA$8:$BA$343,MATCH('Weekly Top 10'!AA27,'Mens Averages'!$BB$8:$BB$343,0)),1)),"",(LEFT(INDEX('Mens Averages'!$BA$8:$BA$343,MATCH('Weekly Top 10'!AA27,'Mens Averages'!$BB$8:$BB$343,0)),1)))</f>
        <v>4</v>
      </c>
      <c r="Y27" s="146" t="str">
        <f t="array" ref="Y27">IF(ISERROR(RIGHT(LEFT(INDEX('Mens Averages'!$BA$8:$BA$343,MATCH('Weekly Top 10'!AA27,'Mens Averages'!$BB$8:$BB$343,0)),3),1)),"",(RIGHT(LEFT(INDEX('Mens Averages'!$BA$8:$BA$343,MATCH('Weekly Top 10'!AA27,'Mens Averages'!$BB$8:$BB$343,0)),3),1)))</f>
        <v>2</v>
      </c>
      <c r="Z27" s="145">
        <f t="array" ref="Z27">IF(ISNUMBER(AA27),INDEX('Mens Averages'!$Y$8:$Y$343,SMALL(IF('Mens Averages'!$BB$8:$BB$343=AA27,ROW('Mens Averages'!$BB$8:$BB$343)-ROW('Mens Averages'!$BB$8)+1),COUNTIF(AA$23:AA36,AA27))),"")</f>
        <v>26.25</v>
      </c>
      <c r="AA27" s="147">
        <f>IF(ISERROR(LARGE('Mens Averages'!$BB$8:$BB$343,5)),"",(LARGE('Mens Averages'!$BB$8:$BB$343,5)))</f>
        <v>27.25</v>
      </c>
      <c r="AB27" s="1"/>
      <c r="AC27" s="1"/>
      <c r="AD27" s="1"/>
      <c r="AE27" s="1"/>
    </row>
    <row r="28" spans="1:31" ht="16.5" customHeight="1" x14ac:dyDescent="0.2">
      <c r="A28" s="1"/>
      <c r="B28" s="68">
        <f>IF(ISERROR(RANK(I28,I23:I32)),"",(RANK(I28,I23:I32)))</f>
        <v>6</v>
      </c>
      <c r="C28" s="144" t="str">
        <f t="array" ref="C28">IF(ISNUMBER(I28),INDEX('Mens Averages'!$G$8:$G$343,SMALL(IF('Mens Averages'!$AH$8:$AH$343=I28,ROW('Mens Averages'!$AH$8:$AH$343)-ROW('Mens Averages'!$AH$8)+1),COUNTIF(I$23:I28,I28))),"")</f>
        <v>Daniel Rawlings</v>
      </c>
      <c r="D28" s="145" t="str">
        <f t="array" ref="D28">IF(ISNUMBER(I28),INDEX('Mens Averages'!$H$8:$H$343,SMALL(IF('Mens Averages'!$AH$8:$AH$343=I28,ROW('Mens Averages'!$AH$8:$AH$343)-ROW('Mens Averages'!$AH$8)+1),COUNTIF(I$23:I28,I28))),"")</f>
        <v>Bri</v>
      </c>
      <c r="E28" s="146" t="str">
        <f t="array" ref="E28">IF(ISERROR(IF(LEFT(INDEX('Mens Averages'!$AG$8:$AG$343,MATCH('Weekly Top 10'!I28,'Mens Averages'!$AH$8:$AH$343,0)),1)="4","Y","N")),"",(IF(LEFT(INDEX('Mens Averages'!$AG$8:$AG$343,MATCH('Weekly Top 10'!I28,'Mens Averages'!$AH$8:$AH$343,0)),1)="4","Y","N")))</f>
        <v>N</v>
      </c>
      <c r="F28" s="146" t="str">
        <f t="array" ref="F28">IF(ISERROR(LEFT(INDEX('Mens Averages'!$AG$8:$AG$343,MATCH('Weekly Top 10'!I28,'Mens Averages'!$AH$8:$AH$343,0)),1)),"",(LEFT(INDEX('Mens Averages'!$AG$8:$AG$343,MATCH('Weekly Top 10'!I28,'Mens Averages'!$AH$8:$AH$343,0)),1)))</f>
        <v>2</v>
      </c>
      <c r="G28" s="146" t="str">
        <f t="array" ref="G28">IF(ISERROR(RIGHT(LEFT(INDEX('Mens Averages'!$AG$8:$AG$343,MATCH('Weekly Top 10'!I28,'Mens Averages'!$AH$8:$AH$343,0)),3),1)),"",(RIGHT(LEFT(INDEX('Mens Averages'!$AG$8:$AG$343,MATCH('Weekly Top 10'!I28,'Mens Averages'!$AH$8:$AH$343,0)),3),1)))</f>
        <v>4</v>
      </c>
      <c r="H28" s="145">
        <f t="array" ref="H28">IF(ISNUMBER(I28),INDEX('Mens Averages'!$O$8:$O$343,SMALL(IF('Mens Averages'!$AH$8:$AH$343=I28,ROW('Mens Averages'!$AH$8:$AH$343)-ROW('Mens Averages'!$AH$8)+1),COUNTIF(I$23:I37,I28))),"")</f>
        <v>26.85</v>
      </c>
      <c r="I28" s="147">
        <f>IF(ISERROR(LARGE('Mens Averages'!$AH$8:$AH$343,6)),"",(LARGE('Mens Averages'!$AH$8:$AH$343,6)))</f>
        <v>26.85</v>
      </c>
      <c r="J28" s="1"/>
      <c r="K28" s="68">
        <f>IF(ISERROR(RANK(R28,R23:R32)),"",(RANK(R28,R23:R32)))</f>
        <v>6</v>
      </c>
      <c r="L28" s="144" t="str">
        <f t="array" ref="L28">IF(ISNUMBER(R28),INDEX('Mens Averages'!$G$8:$G$343,SMALL(IF('Mens Averages'!$AR$8:$AR$343=R28,ROW('Mens Averages'!$AR$8:$AR$343)-ROW('Mens Averages'!$AR$8)+1),COUNTIF(R$23:R28,R28))),"")</f>
        <v>Dale Masterman</v>
      </c>
      <c r="M28" s="145" t="str">
        <f t="array" ref="M28">IF(ISNUMBER(R28),INDEX('Mens Averages'!$H$8:$H$343,SMALL(IF('Mens Averages'!$AR$8:$AR$343=R28,ROW('Mens Averages'!$AR$8:$AR$343)-ROW('Mens Averages'!$AR$8)+1),COUNTIF(R$23:R28,R28))),"")</f>
        <v>Lyt</v>
      </c>
      <c r="N28" s="146" t="str">
        <f t="array" ref="N28">IF(ISERROR(IF(LEFT(INDEX('Mens Averages'!$AQ$8:$AQ$343,MATCH('Weekly Top 10'!R28,'Mens Averages'!$AR$8:$AR$343,0)),1)="4","Y","N")),"",(IF(LEFT(INDEX('Mens Averages'!$AQ$8:$AQ$343,MATCH('Weekly Top 10'!R28,'Mens Averages'!$AR$8:$AR$343,0)),1)="4","Y","N")))</f>
        <v>Y</v>
      </c>
      <c r="O28" s="146" t="str">
        <f t="array" ref="O28">IF(ISERROR(LEFT(INDEX('Mens Averages'!$AQ$8:$AQ$343,MATCH('Weekly Top 10'!R28,'Mens Averages'!$AR$8:$AR$343,0)),1)),"",(LEFT(INDEX('Mens Averages'!$AQ$8:$AQ$343,MATCH('Weekly Top 10'!R28,'Mens Averages'!$AR$8:$AR$343,0)),1)))</f>
        <v>4</v>
      </c>
      <c r="P28" s="146" t="str">
        <f t="array" ref="P28">IF(ISERROR(RIGHT(LEFT(INDEX('Mens Averages'!$AQ$8:$AQ$343,MATCH('Weekly Top 10'!R28,'Mens Averages'!$AR$8:$AR$343,0)),3),1)),"",(RIGHT(LEFT(INDEX('Mens Averages'!$AQ$8:$AQ$343,MATCH('Weekly Top 10'!R28,'Mens Averages'!$AR$8:$AR$343,0)),3),1)))</f>
        <v>1</v>
      </c>
      <c r="Q28" s="145">
        <f t="array" ref="Q28">IF(ISNUMBER(R28),INDEX('Mens Averages'!$T$8:$T$343,SMALL(IF('Mens Averages'!$AR$8:$AR$343=R28,ROW('Mens Averages'!$AR$8:$AR$343)-ROW('Mens Averages'!$AR$8)+1),COUNTIF(R$23:R37,R28))),"")</f>
        <v>27.97</v>
      </c>
      <c r="R28" s="147">
        <f>IF(ISERROR(LARGE('Mens Averages'!$AR$8:$AR$343,6)),"",(LARGE('Mens Averages'!$AR$8:$AR$343,6)))</f>
        <v>28.97</v>
      </c>
      <c r="S28" s="1"/>
      <c r="T28" s="68">
        <f>IF(ISERROR(RANK(AA28,AA23:AA32)),"",(RANK(AA28,AA23:AA32)))</f>
        <v>6</v>
      </c>
      <c r="U28" s="144" t="str">
        <f t="array" ref="U28">IF(ISNUMBER(AA28),INDEX('Mens Averages'!$G$8:$G$343,SMALL(IF('Mens Averages'!$BB$8:$BB$343=AA28,ROW('Mens Averages'!$BB$8:$BB$343)-ROW('Mens Averages'!$BB$8)+1),COUNTIF(AA$23:AA28,AA28))),"")</f>
        <v>Ian Spann</v>
      </c>
      <c r="V28" s="145" t="str">
        <f t="array" ref="V28">IF(ISNUMBER(AA28),INDEX('Mens Averages'!$H$8:$H$343,SMALL(IF('Mens Averages'!$BB$8:$BB$343=AA28,ROW('Mens Averages'!$BB$8:$BB$343)-ROW('Mens Averages'!$BB$8)+1),COUNTIF(AA$23:AA28,AA28))),"")</f>
        <v>Wey</v>
      </c>
      <c r="W28" s="146" t="str">
        <f t="array" ref="W28">IF(ISERROR(IF(LEFT(INDEX('Mens Averages'!$BA$8:$BA$343,MATCH('Weekly Top 10'!AA28,'Mens Averages'!$BB$8:$BB$343,0)),1)="4","Y","N")),"",(IF(LEFT(INDEX('Mens Averages'!$BA$8:$BA$343,MATCH('Weekly Top 10'!AA28,'Mens Averages'!$BB$8:$BB$343,0)),1)="4","Y","N")))</f>
        <v>Y</v>
      </c>
      <c r="X28" s="146" t="str">
        <f t="array" ref="X28">IF(ISERROR(LEFT(INDEX('Mens Averages'!$BA$8:$BA$343,MATCH('Weekly Top 10'!AA28,'Mens Averages'!$BB$8:$BB$343,0)),1)),"",(LEFT(INDEX('Mens Averages'!$BA$8:$BA$343,MATCH('Weekly Top 10'!AA28,'Mens Averages'!$BB$8:$BB$343,0)),1)))</f>
        <v>4</v>
      </c>
      <c r="Y28" s="146" t="str">
        <f t="array" ref="Y28">IF(ISERROR(RIGHT(LEFT(INDEX('Mens Averages'!$BA$8:$BA$343,MATCH('Weekly Top 10'!AA28,'Mens Averages'!$BB$8:$BB$343,0)),3),1)),"",(RIGHT(LEFT(INDEX('Mens Averages'!$BA$8:$BA$343,MATCH('Weekly Top 10'!AA28,'Mens Averages'!$BB$8:$BB$343,0)),3),1)))</f>
        <v>1</v>
      </c>
      <c r="Z28" s="145">
        <f t="array" ref="Z28">IF(ISNUMBER(AA28),INDEX('Mens Averages'!$Y$8:$Y$343,SMALL(IF('Mens Averages'!$BB$8:$BB$343=AA28,ROW('Mens Averages'!$BB$8:$BB$343)-ROW('Mens Averages'!$BB$8)+1),COUNTIF(AA$23:AA37,AA28))),"")</f>
        <v>26.19</v>
      </c>
      <c r="AA28" s="147">
        <f>IF(ISERROR(LARGE('Mens Averages'!$BB$8:$BB$343,6)),"",(LARGE('Mens Averages'!$BB$8:$BB$343,6)))</f>
        <v>27.19</v>
      </c>
      <c r="AB28" s="1"/>
      <c r="AC28" s="1"/>
      <c r="AD28" s="1"/>
      <c r="AE28" s="1"/>
    </row>
    <row r="29" spans="1:31" ht="16.5" customHeight="1" x14ac:dyDescent="0.2">
      <c r="A29" s="1"/>
      <c r="B29" s="68">
        <f>IF(ISERROR(RANK(I29,I23:I32)),"",(RANK(I29,I23:I32)))</f>
        <v>7</v>
      </c>
      <c r="C29" s="144" t="str">
        <f t="array" ref="C29">IF(ISNUMBER(I29),INDEX('Mens Averages'!$G$8:$G$343,SMALL(IF('Mens Averages'!$AH$8:$AH$343=I29,ROW('Mens Averages'!$AH$8:$AH$343)-ROW('Mens Averages'!$AH$8)+1),COUNTIF(I$23:I29,I29))),"")</f>
        <v>Mark Grimes</v>
      </c>
      <c r="D29" s="145" t="str">
        <f t="array" ref="D29">IF(ISNUMBER(I29),INDEX('Mens Averages'!$H$8:$H$343,SMALL(IF('Mens Averages'!$AH$8:$AH$343=I29,ROW('Mens Averages'!$AH$8:$AH$343)-ROW('Mens Averages'!$AH$8)+1),COUNTIF(I$23:I29,I29))),"")</f>
        <v>Chr</v>
      </c>
      <c r="E29" s="146" t="str">
        <f t="array" ref="E29">IF(ISERROR(IF(LEFT(INDEX('Mens Averages'!$AG$8:$AG$343,MATCH('Weekly Top 10'!I29,'Mens Averages'!$AH$8:$AH$343,0)),1)="4","Y","N")),"",(IF(LEFT(INDEX('Mens Averages'!$AG$8:$AG$343,MATCH('Weekly Top 10'!I29,'Mens Averages'!$AH$8:$AH$343,0)),1)="4","Y","N")))</f>
        <v>Y</v>
      </c>
      <c r="F29" s="146" t="str">
        <f t="array" ref="F29">IF(ISERROR(LEFT(INDEX('Mens Averages'!$AG$8:$AG$343,MATCH('Weekly Top 10'!I29,'Mens Averages'!$AH$8:$AH$343,0)),1)),"",(LEFT(INDEX('Mens Averages'!$AG$8:$AG$343,MATCH('Weekly Top 10'!I29,'Mens Averages'!$AH$8:$AH$343,0)),1)))</f>
        <v>4</v>
      </c>
      <c r="G29" s="146" t="str">
        <f t="array" ref="G29">IF(ISERROR(RIGHT(LEFT(INDEX('Mens Averages'!$AG$8:$AG$343,MATCH('Weekly Top 10'!I29,'Mens Averages'!$AH$8:$AH$343,0)),3),1)),"",(RIGHT(LEFT(INDEX('Mens Averages'!$AG$8:$AG$343,MATCH('Weekly Top 10'!I29,'Mens Averages'!$AH$8:$AH$343,0)),3),1)))</f>
        <v>3</v>
      </c>
      <c r="H29" s="145">
        <f t="array" ref="H29">IF(ISNUMBER(I29),INDEX('Mens Averages'!$O$8:$O$343,SMALL(IF('Mens Averages'!$AH$8:$AH$343=I29,ROW('Mens Averages'!$AH$8:$AH$343)-ROW('Mens Averages'!$AH$8)+1),COUNTIF(I$23:I38,I29))),"")</f>
        <v>25.66</v>
      </c>
      <c r="I29" s="147">
        <f>IF(ISERROR(LARGE('Mens Averages'!$AH$8:$AH$343,7)),"",(LARGE('Mens Averages'!$AH$8:$AH$343,7)))</f>
        <v>26.66</v>
      </c>
      <c r="J29" s="1"/>
      <c r="K29" s="68">
        <f>IF(ISERROR(RANK(R29,R23:R32)),"",(RANK(R29,R23:R32)))</f>
        <v>7</v>
      </c>
      <c r="L29" s="144" t="str">
        <f t="array" ref="L29">IF(ISNUMBER(R29),INDEX('Mens Averages'!$G$8:$G$343,SMALL(IF('Mens Averages'!$AR$8:$AR$343=R29,ROW('Mens Averages'!$AR$8:$AR$343)-ROW('Mens Averages'!$AR$8)+1),COUNTIF(R$23:R29,R29))),"")</f>
        <v>Colin Freeman</v>
      </c>
      <c r="M29" s="145" t="str">
        <f t="array" ref="M29">IF(ISNUMBER(R29),INDEX('Mens Averages'!$H$8:$H$343,SMALL(IF('Mens Averages'!$AR$8:$AR$343=R29,ROW('Mens Averages'!$AR$8:$AR$343)-ROW('Mens Averages'!$AR$8)+1),COUNTIF(R$23:R29,R29))),"")</f>
        <v>Bos</v>
      </c>
      <c r="N29" s="146" t="str">
        <f t="array" ref="N29">IF(ISERROR(IF(LEFT(INDEX('Mens Averages'!$AQ$8:$AQ$343,MATCH('Weekly Top 10'!R29,'Mens Averages'!$AR$8:$AR$343,0)),1)="4","Y","N")),"",(IF(LEFT(INDEX('Mens Averages'!$AQ$8:$AQ$343,MATCH('Weekly Top 10'!R29,'Mens Averages'!$AR$8:$AR$343,0)),1)="4","Y","N")))</f>
        <v>Y</v>
      </c>
      <c r="O29" s="146" t="str">
        <f t="array" ref="O29">IF(ISERROR(LEFT(INDEX('Mens Averages'!$AQ$8:$AQ$343,MATCH('Weekly Top 10'!R29,'Mens Averages'!$AR$8:$AR$343,0)),1)),"",(LEFT(INDEX('Mens Averages'!$AQ$8:$AQ$343,MATCH('Weekly Top 10'!R29,'Mens Averages'!$AR$8:$AR$343,0)),1)))</f>
        <v>4</v>
      </c>
      <c r="P29" s="146" t="str">
        <f t="array" ref="P29">IF(ISERROR(RIGHT(LEFT(INDEX('Mens Averages'!$AQ$8:$AQ$343,MATCH('Weekly Top 10'!R29,'Mens Averages'!$AR$8:$AR$343,0)),3),1)),"",(RIGHT(LEFT(INDEX('Mens Averages'!$AQ$8:$AQ$343,MATCH('Weekly Top 10'!R29,'Mens Averages'!$AR$8:$AR$343,0)),3),1)))</f>
        <v>2</v>
      </c>
      <c r="Q29" s="145">
        <f t="array" ref="Q29">IF(ISNUMBER(R29),INDEX('Mens Averages'!$T$8:$T$343,SMALL(IF('Mens Averages'!$AR$8:$AR$343=R29,ROW('Mens Averages'!$AR$8:$AR$343)-ROW('Mens Averages'!$AR$8)+1),COUNTIF(R$23:R38,R29))),"")</f>
        <v>27.27</v>
      </c>
      <c r="R29" s="147">
        <f>IF(ISERROR(LARGE('Mens Averages'!$AR$8:$AR$343,7)),"",(LARGE('Mens Averages'!$AR$8:$AR$343,7)))</f>
        <v>28.27</v>
      </c>
      <c r="S29" s="1"/>
      <c r="T29" s="68">
        <f>IF(ISERROR(RANK(AA29,AA23:AA32)),"",(RANK(AA29,AA23:AA32)))</f>
        <v>7</v>
      </c>
      <c r="U29" s="144" t="str">
        <f t="array" ref="U29">IF(ISNUMBER(AA29),INDEX('Mens Averages'!$G$8:$G$343,SMALL(IF('Mens Averages'!$BB$8:$BB$343=AA29,ROW('Mens Averages'!$BB$8:$BB$343)-ROW('Mens Averages'!$BB$8)+1),COUNTIF(AA$23:AA29,AA29))),"")</f>
        <v>Martin Wood</v>
      </c>
      <c r="V29" s="145" t="str">
        <f t="array" ref="V29">IF(ISNUMBER(AA29),INDEX('Mens Averages'!$H$8:$H$343,SMALL(IF('Mens Averages'!$BB$8:$BB$343=AA29,ROW('Mens Averages'!$BB$8:$BB$343)-ROW('Mens Averages'!$BB$8)+1),COUNTIF(AA$23:AA29,AA29))),"")</f>
        <v>Chr</v>
      </c>
      <c r="W29" s="146" t="str">
        <f t="array" ref="W29">IF(ISERROR(IF(LEFT(INDEX('Mens Averages'!$BA$8:$BA$343,MATCH('Weekly Top 10'!AA29,'Mens Averages'!$BB$8:$BB$343,0)),1)="4","Y","N")),"",(IF(LEFT(INDEX('Mens Averages'!$BA$8:$BA$343,MATCH('Weekly Top 10'!AA29,'Mens Averages'!$BB$8:$BB$343,0)),1)="4","Y","N")))</f>
        <v>Y</v>
      </c>
      <c r="X29" s="146" t="str">
        <f t="array" ref="X29">IF(ISERROR(LEFT(INDEX('Mens Averages'!$BA$8:$BA$343,MATCH('Weekly Top 10'!AA29,'Mens Averages'!$BB$8:$BB$343,0)),1)),"",(LEFT(INDEX('Mens Averages'!$BA$8:$BA$343,MATCH('Weekly Top 10'!AA29,'Mens Averages'!$BB$8:$BB$343,0)),1)))</f>
        <v>4</v>
      </c>
      <c r="Y29" s="146" t="str">
        <f t="array" ref="Y29">IF(ISERROR(RIGHT(LEFT(INDEX('Mens Averages'!$BA$8:$BA$343,MATCH('Weekly Top 10'!AA29,'Mens Averages'!$BB$8:$BB$343,0)),3),1)),"",(RIGHT(LEFT(INDEX('Mens Averages'!$BA$8:$BA$343,MATCH('Weekly Top 10'!AA29,'Mens Averages'!$BB$8:$BB$343,0)),3),1)))</f>
        <v>0</v>
      </c>
      <c r="Z29" s="145">
        <f t="array" ref="Z29">IF(ISNUMBER(AA29),INDEX('Mens Averages'!$Y$8:$Y$343,SMALL(IF('Mens Averages'!$BB$8:$BB$343=AA29,ROW('Mens Averages'!$BB$8:$BB$343)-ROW('Mens Averages'!$BB$8)+1),COUNTIF(AA$23:AA38,AA29))),"")</f>
        <v>26.03</v>
      </c>
      <c r="AA29" s="147">
        <f>IF(ISERROR(LARGE('Mens Averages'!$BB$8:$BB$343,7)),"",(LARGE('Mens Averages'!$BB$8:$BB$343,7)))</f>
        <v>27.03</v>
      </c>
      <c r="AB29" s="1"/>
      <c r="AC29" s="1"/>
      <c r="AD29" s="1"/>
      <c r="AE29" s="1"/>
    </row>
    <row r="30" spans="1:31" ht="16.5" customHeight="1" x14ac:dyDescent="0.2">
      <c r="A30" s="1"/>
      <c r="B30" s="68">
        <f>IF(ISERROR(RANK(I30,I23:I32)),"",(RANK(I30,I23:I32)))</f>
        <v>8</v>
      </c>
      <c r="C30" s="144" t="str">
        <f t="array" ref="C30">IF(ISNUMBER(I30),INDEX('Mens Averages'!$G$8:$G$343,SMALL(IF('Mens Averages'!$AH$8:$AH$343=I30,ROW('Mens Averages'!$AH$8:$AH$343)-ROW('Mens Averages'!$AH$8)+1),COUNTIF(I$23:I30,I30))),"")</f>
        <v>Robbie Martin</v>
      </c>
      <c r="D30" s="145" t="str">
        <f t="array" ref="D30">IF(ISNUMBER(I30),INDEX('Mens Averages'!$H$8:$H$343,SMALL(IF('Mens Averages'!$AH$8:$AH$343=I30,ROW('Mens Averages'!$AH$8:$AH$343)-ROW('Mens Averages'!$AH$8)+1),COUNTIF(I$23:I30,I30))),"")</f>
        <v>Ald</v>
      </c>
      <c r="E30" s="146" t="str">
        <f t="array" ref="E30">IF(ISERROR(IF(LEFT(INDEX('Mens Averages'!$AG$8:$AG$343,MATCH('Weekly Top 10'!I30,'Mens Averages'!$AH$8:$AH$343,0)),1)="4","Y","N")),"",(IF(LEFT(INDEX('Mens Averages'!$AG$8:$AG$343,MATCH('Weekly Top 10'!I30,'Mens Averages'!$AH$8:$AH$343,0)),1)="4","Y","N")))</f>
        <v>N</v>
      </c>
      <c r="F30" s="146" t="str">
        <f t="array" ref="F30">IF(ISERROR(LEFT(INDEX('Mens Averages'!$AG$8:$AG$343,MATCH('Weekly Top 10'!I30,'Mens Averages'!$AH$8:$AH$343,0)),1)),"",(LEFT(INDEX('Mens Averages'!$AG$8:$AG$343,MATCH('Weekly Top 10'!I30,'Mens Averages'!$AH$8:$AH$343,0)),1)))</f>
        <v>3</v>
      </c>
      <c r="G30" s="146" t="str">
        <f t="array" ref="G30">IF(ISERROR(RIGHT(LEFT(INDEX('Mens Averages'!$AG$8:$AG$343,MATCH('Weekly Top 10'!I30,'Mens Averages'!$AH$8:$AH$343,0)),3),1)),"",(RIGHT(LEFT(INDEX('Mens Averages'!$AG$8:$AG$343,MATCH('Weekly Top 10'!I30,'Mens Averages'!$AH$8:$AH$343,0)),3),1)))</f>
        <v>4</v>
      </c>
      <c r="H30" s="145">
        <f t="array" ref="H30">IF(ISNUMBER(I30),INDEX('Mens Averages'!$O$8:$O$343,SMALL(IF('Mens Averages'!$AH$8:$AH$343=I30,ROW('Mens Averages'!$AH$8:$AH$343)-ROW('Mens Averages'!$AH$8)+1),COUNTIF(I$23:I39,I30))),"")</f>
        <v>26.41</v>
      </c>
      <c r="I30" s="147">
        <f>IF(ISERROR(LARGE('Mens Averages'!$AH$8:$AH$343,8)),"",(LARGE('Mens Averages'!$AH$8:$AH$343,8)))</f>
        <v>26.41</v>
      </c>
      <c r="J30" s="1"/>
      <c r="K30" s="68">
        <f>IF(ISERROR(RANK(R30,R23:R32)),"",(RANK(R30,R23:R32)))</f>
        <v>8</v>
      </c>
      <c r="L30" s="144" t="str">
        <f t="array" ref="L30">IF(ISNUMBER(R30),INDEX('Mens Averages'!$G$8:$G$343,SMALL(IF('Mens Averages'!$AR$8:$AR$343=R30,ROW('Mens Averages'!$AR$8:$AR$343)-ROW('Mens Averages'!$AR$8)+1),COUNTIF(R$23:R30,R30))),"")</f>
        <v>Owen Bowden</v>
      </c>
      <c r="M30" s="145" t="str">
        <f t="array" ref="M30">IF(ISNUMBER(R30),INDEX('Mens Averages'!$H$8:$H$343,SMALL(IF('Mens Averages'!$AR$8:$AR$343=R30,ROW('Mens Averages'!$AR$8:$AR$343)-ROW('Mens Averages'!$AR$8)+1),COUNTIF(R$23:R30,R30))),"")</f>
        <v>Sha</v>
      </c>
      <c r="N30" s="146" t="str">
        <f t="array" ref="N30">IF(ISERROR(IF(LEFT(INDEX('Mens Averages'!$AQ$8:$AQ$343,MATCH('Weekly Top 10'!R30,'Mens Averages'!$AR$8:$AR$343,0)),1)="4","Y","N")),"",(IF(LEFT(INDEX('Mens Averages'!$AQ$8:$AQ$343,MATCH('Weekly Top 10'!R30,'Mens Averages'!$AR$8:$AR$343,0)),1)="4","Y","N")))</f>
        <v>Y</v>
      </c>
      <c r="O30" s="146" t="str">
        <f t="array" ref="O30">IF(ISERROR(LEFT(INDEX('Mens Averages'!$AQ$8:$AQ$343,MATCH('Weekly Top 10'!R30,'Mens Averages'!$AR$8:$AR$343,0)),1)),"",(LEFT(INDEX('Mens Averages'!$AQ$8:$AQ$343,MATCH('Weekly Top 10'!R30,'Mens Averages'!$AR$8:$AR$343,0)),1)))</f>
        <v>4</v>
      </c>
      <c r="P30" s="146" t="str">
        <f t="array" ref="P30">IF(ISERROR(RIGHT(LEFT(INDEX('Mens Averages'!$AQ$8:$AQ$343,MATCH('Weekly Top 10'!R30,'Mens Averages'!$AR$8:$AR$343,0)),3),1)),"",(RIGHT(LEFT(INDEX('Mens Averages'!$AQ$8:$AQ$343,MATCH('Weekly Top 10'!R30,'Mens Averages'!$AR$8:$AR$343,0)),3),1)))</f>
        <v>2</v>
      </c>
      <c r="Q30" s="145">
        <f t="array" ref="Q30">IF(ISNUMBER(R30),INDEX('Mens Averages'!$T$8:$T$343,SMALL(IF('Mens Averages'!$AR$8:$AR$343=R30,ROW('Mens Averages'!$AR$8:$AR$343)-ROW('Mens Averages'!$AR$8)+1),COUNTIF(R$23:R39,R30))),"")</f>
        <v>26.54</v>
      </c>
      <c r="R30" s="147">
        <f>IF(ISERROR(LARGE('Mens Averages'!$AR$8:$AR$343,8)),"",(LARGE('Mens Averages'!$AR$8:$AR$343,8)))</f>
        <v>27.54</v>
      </c>
      <c r="S30" s="1"/>
      <c r="T30" s="68">
        <f>IF(ISERROR(RANK(AA30,AA23:AA32)),"",(RANK(AA30,AA23:AA32)))</f>
        <v>8</v>
      </c>
      <c r="U30" s="144" t="str">
        <f t="array" ref="U30">IF(ISNUMBER(AA30),INDEX('Mens Averages'!$G$8:$G$343,SMALL(IF('Mens Averages'!$BB$8:$BB$343=AA30,ROW('Mens Averages'!$BB$8:$BB$343)-ROW('Mens Averages'!$BB$8)+1),COUNTIF(AA$23:AA30,AA30))),"")</f>
        <v>Mark Grimes</v>
      </c>
      <c r="V30" s="145" t="str">
        <f t="array" ref="V30">IF(ISNUMBER(AA30),INDEX('Mens Averages'!$H$8:$H$343,SMALL(IF('Mens Averages'!$BB$8:$BB$343=AA30,ROW('Mens Averages'!$BB$8:$BB$343)-ROW('Mens Averages'!$BB$8)+1),COUNTIF(AA$23:AA30,AA30))),"")</f>
        <v>Chr</v>
      </c>
      <c r="W30" s="146" t="str">
        <f t="array" ref="W30">IF(ISERROR(IF(LEFT(INDEX('Mens Averages'!$BA$8:$BA$343,MATCH('Weekly Top 10'!AA30,'Mens Averages'!$BB$8:$BB$343,0)),1)="4","Y","N")),"",(IF(LEFT(INDEX('Mens Averages'!$BA$8:$BA$343,MATCH('Weekly Top 10'!AA30,'Mens Averages'!$BB$8:$BB$343,0)),1)="4","Y","N")))</f>
        <v>Y</v>
      </c>
      <c r="X30" s="146" t="str">
        <f t="array" ref="X30">IF(ISERROR(LEFT(INDEX('Mens Averages'!$BA$8:$BA$343,MATCH('Weekly Top 10'!AA30,'Mens Averages'!$BB$8:$BB$343,0)),1)),"",(LEFT(INDEX('Mens Averages'!$BA$8:$BA$343,MATCH('Weekly Top 10'!AA30,'Mens Averages'!$BB$8:$BB$343,0)),1)))</f>
        <v>4</v>
      </c>
      <c r="Y30" s="146" t="str">
        <f t="array" ref="Y30">IF(ISERROR(RIGHT(LEFT(INDEX('Mens Averages'!$BA$8:$BA$343,MATCH('Weekly Top 10'!AA30,'Mens Averages'!$BB$8:$BB$343,0)),3),1)),"",(RIGHT(LEFT(INDEX('Mens Averages'!$BA$8:$BA$343,MATCH('Weekly Top 10'!AA30,'Mens Averages'!$BB$8:$BB$343,0)),3),1)))</f>
        <v>1</v>
      </c>
      <c r="Z30" s="145">
        <f t="array" ref="Z30">IF(ISNUMBER(AA30),INDEX('Mens Averages'!$Y$8:$Y$343,SMALL(IF('Mens Averages'!$BB$8:$BB$343=AA30,ROW('Mens Averages'!$BB$8:$BB$343)-ROW('Mens Averages'!$BB$8)+1),COUNTIF(AA$23:AA39,AA30))),"")</f>
        <v>25.74</v>
      </c>
      <c r="AA30" s="147">
        <f>IF(ISERROR(LARGE('Mens Averages'!$BB$8:$BB$343,8)),"",(LARGE('Mens Averages'!$BB$8:$BB$343,8)))</f>
        <v>26.74</v>
      </c>
      <c r="AB30" s="1"/>
      <c r="AC30" s="1"/>
      <c r="AD30" s="1"/>
      <c r="AE30" s="1"/>
    </row>
    <row r="31" spans="1:31" ht="16.5" customHeight="1" x14ac:dyDescent="0.2">
      <c r="A31" s="1"/>
      <c r="B31" s="68">
        <f>IF(ISERROR(RANK(I31,I23:I32)),"",(RANK(I31,I23:I32)))</f>
        <v>9</v>
      </c>
      <c r="C31" s="144" t="str">
        <f t="array" ref="C31">IF(ISNUMBER(I31),INDEX('Mens Averages'!$G$8:$G$343,SMALL(IF('Mens Averages'!$AH$8:$AH$343=I31,ROW('Mens Averages'!$AH$8:$AH$343)-ROW('Mens Averages'!$AH$8)+1),COUNTIF(I$23:I31,I31))),"")</f>
        <v>Len Pitman</v>
      </c>
      <c r="D31" s="145" t="str">
        <f t="array" ref="D31">IF(ISNUMBER(I31),INDEX('Mens Averages'!$H$8:$H$343,SMALL(IF('Mens Averages'!$AH$8:$AH$343=I31,ROW('Mens Averages'!$AH$8:$AH$343)-ROW('Mens Averages'!$AH$8)+1),COUNTIF(I$23:I31,I31))),"")</f>
        <v>Por</v>
      </c>
      <c r="E31" s="146" t="str">
        <f t="array" ref="E31">IF(ISERROR(IF(LEFT(INDEX('Mens Averages'!$AG$8:$AG$343,MATCH('Weekly Top 10'!I31,'Mens Averages'!$AH$8:$AH$343,0)),1)="4","Y","N")),"",(IF(LEFT(INDEX('Mens Averages'!$AG$8:$AG$343,MATCH('Weekly Top 10'!I31,'Mens Averages'!$AH$8:$AH$343,0)),1)="4","Y","N")))</f>
        <v>Y</v>
      </c>
      <c r="F31" s="146" t="str">
        <f t="array" ref="F31">IF(ISERROR(LEFT(INDEX('Mens Averages'!$AG$8:$AG$343,MATCH('Weekly Top 10'!I31,'Mens Averages'!$AH$8:$AH$343,0)),1)),"",(LEFT(INDEX('Mens Averages'!$AG$8:$AG$343,MATCH('Weekly Top 10'!I31,'Mens Averages'!$AH$8:$AH$343,0)),1)))</f>
        <v>4</v>
      </c>
      <c r="G31" s="146" t="str">
        <f t="array" ref="G31">IF(ISERROR(RIGHT(LEFT(INDEX('Mens Averages'!$AG$8:$AG$343,MATCH('Weekly Top 10'!I31,'Mens Averages'!$AH$8:$AH$343,0)),3),1)),"",(RIGHT(LEFT(INDEX('Mens Averages'!$AG$8:$AG$343,MATCH('Weekly Top 10'!I31,'Mens Averages'!$AH$8:$AH$343,0)),3),1)))</f>
        <v>0</v>
      </c>
      <c r="H31" s="145">
        <f t="array" ref="H31">IF(ISNUMBER(I31),INDEX('Mens Averages'!$O$8:$O$343,SMALL(IF('Mens Averages'!$AH$8:$AH$343=I31,ROW('Mens Averages'!$AH$8:$AH$343)-ROW('Mens Averages'!$AH$8)+1),COUNTIF(I$23:I40,I31))),"")</f>
        <v>25.37</v>
      </c>
      <c r="I31" s="147">
        <f>IF(ISERROR(LARGE('Mens Averages'!$AH$8:$AH$343,9)),"",(LARGE('Mens Averages'!$AH$8:$AH$343,9)))</f>
        <v>26.37</v>
      </c>
      <c r="J31" s="1"/>
      <c r="K31" s="68">
        <f>IF(ISERROR(RANK(R31,R23:R32)),"",(RANK(R31,R23:R32)))</f>
        <v>9</v>
      </c>
      <c r="L31" s="144" t="str">
        <f t="array" ref="L31">IF(ISNUMBER(R31),INDEX('Mens Averages'!$G$8:$G$343,SMALL(IF('Mens Averages'!$AR$8:$AR$343=R31,ROW('Mens Averages'!$AR$8:$AR$343)-ROW('Mens Averages'!$AR$8)+1),COUNTIF(R$23:R31,R31))),"")</f>
        <v>Lee Matthews</v>
      </c>
      <c r="M31" s="145" t="str">
        <f t="array" ref="M31">IF(ISNUMBER(R31),INDEX('Mens Averages'!$H$8:$H$343,SMALL(IF('Mens Averages'!$AR$8:$AR$343=R31,ROW('Mens Averages'!$AR$8:$AR$343)-ROW('Mens Averages'!$AR$8)+1),COUNTIF(R$23:R31,R31))),"")</f>
        <v>Lyt</v>
      </c>
      <c r="N31" s="146" t="str">
        <f t="array" ref="N31">IF(ISERROR(IF(LEFT(INDEX('Mens Averages'!$AQ$8:$AQ$343,MATCH('Weekly Top 10'!R31,'Mens Averages'!$AR$8:$AR$343,0)),1)="4","Y","N")),"",(IF(LEFT(INDEX('Mens Averages'!$AQ$8:$AQ$343,MATCH('Weekly Top 10'!R31,'Mens Averages'!$AR$8:$AR$343,0)),1)="4","Y","N")))</f>
        <v>Y</v>
      </c>
      <c r="O31" s="146" t="str">
        <f t="array" ref="O31">IF(ISERROR(LEFT(INDEX('Mens Averages'!$AQ$8:$AQ$343,MATCH('Weekly Top 10'!R31,'Mens Averages'!$AR$8:$AR$343,0)),1)),"",(LEFT(INDEX('Mens Averages'!$AQ$8:$AQ$343,MATCH('Weekly Top 10'!R31,'Mens Averages'!$AR$8:$AR$343,0)),1)))</f>
        <v>4</v>
      </c>
      <c r="P31" s="146" t="str">
        <f t="array" ref="P31">IF(ISERROR(RIGHT(LEFT(INDEX('Mens Averages'!$AQ$8:$AQ$343,MATCH('Weekly Top 10'!R31,'Mens Averages'!$AR$8:$AR$343,0)),3),1)),"",(RIGHT(LEFT(INDEX('Mens Averages'!$AQ$8:$AQ$343,MATCH('Weekly Top 10'!R31,'Mens Averages'!$AR$8:$AR$343,0)),3),1)))</f>
        <v>0</v>
      </c>
      <c r="Q31" s="145">
        <f t="array" ref="Q31">IF(ISNUMBER(R31),INDEX('Mens Averages'!$T$8:$T$343,SMALL(IF('Mens Averages'!$AR$8:$AR$343=R31,ROW('Mens Averages'!$AR$8:$AR$343)-ROW('Mens Averages'!$AR$8)+1),COUNTIF(R$23:R40,R31))),"")</f>
        <v>26.37</v>
      </c>
      <c r="R31" s="147">
        <f>IF(ISERROR(LARGE('Mens Averages'!$AR$8:$AR$343,9)),"",(LARGE('Mens Averages'!$AR$8:$AR$343,9)))</f>
        <v>27.37</v>
      </c>
      <c r="S31" s="1"/>
      <c r="T31" s="68">
        <f>IF(ISERROR(RANK(AA31,AA23:AA32)),"",(RANK(AA31,AA23:AA32)))</f>
        <v>9</v>
      </c>
      <c r="U31" s="144" t="str">
        <f t="array" ref="U31">IF(ISNUMBER(AA31),INDEX('Mens Averages'!$G$8:$G$343,SMALL(IF('Mens Averages'!$BB$8:$BB$343=AA31,ROW('Mens Averages'!$BB$8:$BB$343)-ROW('Mens Averages'!$BB$8)+1),COUNTIF(AA$23:AA31,AA31))),"")</f>
        <v>Kevin Smith</v>
      </c>
      <c r="V31" s="145" t="str">
        <f t="array" ref="V31">IF(ISNUMBER(AA31),INDEX('Mens Averages'!$H$8:$H$343,SMALL(IF('Mens Averages'!$BB$8:$BB$343=AA31,ROW('Mens Averages'!$BB$8:$BB$343)-ROW('Mens Averages'!$BB$8)+1),COUNTIF(AA$23:AA31,AA31))),"")</f>
        <v>Poo</v>
      </c>
      <c r="W31" s="146" t="str">
        <f t="array" ref="W31">IF(ISERROR(IF(LEFT(INDEX('Mens Averages'!$BA$8:$BA$343,MATCH('Weekly Top 10'!AA31,'Mens Averages'!$BB$8:$BB$343,0)),1)="4","Y","N")),"",(IF(LEFT(INDEX('Mens Averages'!$BA$8:$BA$343,MATCH('Weekly Top 10'!AA31,'Mens Averages'!$BB$8:$BB$343,0)),1)="4","Y","N")))</f>
        <v>Y</v>
      </c>
      <c r="X31" s="146" t="str">
        <f t="array" ref="X31">IF(ISERROR(LEFT(INDEX('Mens Averages'!$BA$8:$BA$343,MATCH('Weekly Top 10'!AA31,'Mens Averages'!$BB$8:$BB$343,0)),1)),"",(LEFT(INDEX('Mens Averages'!$BA$8:$BA$343,MATCH('Weekly Top 10'!AA31,'Mens Averages'!$BB$8:$BB$343,0)),1)))</f>
        <v>4</v>
      </c>
      <c r="Y31" s="146" t="str">
        <f t="array" ref="Y31">IF(ISERROR(RIGHT(LEFT(INDEX('Mens Averages'!$BA$8:$BA$343,MATCH('Weekly Top 10'!AA31,'Mens Averages'!$BB$8:$BB$343,0)),3),1)),"",(RIGHT(LEFT(INDEX('Mens Averages'!$BA$8:$BA$343,MATCH('Weekly Top 10'!AA31,'Mens Averages'!$BB$8:$BB$343,0)),3),1)))</f>
        <v>1</v>
      </c>
      <c r="Z31" s="145">
        <f t="array" ref="Z31">IF(ISNUMBER(AA31),INDEX('Mens Averages'!$Y$8:$Y$343,SMALL(IF('Mens Averages'!$BB$8:$BB$343=AA31,ROW('Mens Averages'!$BB$8:$BB$343)-ROW('Mens Averages'!$BB$8)+1),COUNTIF(AA$23:AA40,AA31))),"")</f>
        <v>25.47</v>
      </c>
      <c r="AA31" s="147">
        <f>IF(ISERROR(LARGE('Mens Averages'!$BB$8:$BB$343,9)),"",(LARGE('Mens Averages'!$BB$8:$BB$343,9)))</f>
        <v>26.47</v>
      </c>
      <c r="AB31" s="1"/>
      <c r="AC31" s="1"/>
      <c r="AD31" s="1"/>
      <c r="AE31" s="1"/>
    </row>
    <row r="32" spans="1:31" ht="16.5" customHeight="1" x14ac:dyDescent="0.2">
      <c r="A32" s="1"/>
      <c r="B32" s="73">
        <f>IF(ISERROR(RANK(I32,I23:I32)),"",(RANK(I32,I23:I32)))</f>
        <v>10</v>
      </c>
      <c r="C32" s="148" t="str">
        <f t="array" ref="C32">IF(ISNUMBER(I32),INDEX('Mens Averages'!$G$8:$G$343,SMALL(IF('Mens Averages'!$AH$8:$AH$343=I32,ROW('Mens Averages'!$AH$8:$AH$343)-ROW('Mens Averages'!$AH$8)+1),COUNTIF(I$23:I32,I32))),"")</f>
        <v>Graham Churchill</v>
      </c>
      <c r="D32" s="149" t="str">
        <f t="array" ref="D32">IF(ISNUMBER(I32),INDEX('Mens Averages'!$H$8:$H$343,SMALL(IF('Mens Averages'!$AH$8:$AH$343=I32,ROW('Mens Averages'!$AH$8:$AH$343)-ROW('Mens Averages'!$AH$8)+1),COUNTIF(I$23:I32,I32))),"")</f>
        <v>Swa</v>
      </c>
      <c r="E32" s="150" t="str">
        <f t="array" ref="E32">IF(ISERROR(IF(LEFT(INDEX('Mens Averages'!$AG$8:$AG$343,MATCH('Weekly Top 10'!I32,'Mens Averages'!$AH$8:$AH$343,0)),1)="4","Y","N")),"",(IF(LEFT(INDEX('Mens Averages'!$AG$8:$AG$343,MATCH('Weekly Top 10'!I32,'Mens Averages'!$AH$8:$AH$343,0)),1)="4","Y","N")))</f>
        <v>N</v>
      </c>
      <c r="F32" s="150" t="str">
        <f t="array" ref="F32">IF(ISERROR(LEFT(INDEX('Mens Averages'!$AG$8:$AG$343,MATCH('Weekly Top 10'!I32,'Mens Averages'!$AH$8:$AH$343,0)),1)),"",(LEFT(INDEX('Mens Averages'!$AG$8:$AG$343,MATCH('Weekly Top 10'!I32,'Mens Averages'!$AH$8:$AH$343,0)),1)))</f>
        <v>0</v>
      </c>
      <c r="G32" s="150" t="str">
        <f t="array" ref="G32">IF(ISERROR(RIGHT(LEFT(INDEX('Mens Averages'!$AG$8:$AG$343,MATCH('Weekly Top 10'!I32,'Mens Averages'!$AH$8:$AH$343,0)),3),1)),"",(RIGHT(LEFT(INDEX('Mens Averages'!$AG$8:$AG$343,MATCH('Weekly Top 10'!I32,'Mens Averages'!$AH$8:$AH$343,0)),3),1)))</f>
        <v>4</v>
      </c>
      <c r="H32" s="149">
        <f t="array" ref="H32">IF(ISNUMBER(I32),INDEX('Mens Averages'!$O$8:$O$343,SMALL(IF('Mens Averages'!$AH$8:$AH$343=I32,ROW('Mens Averages'!$AH$8:$AH$343)-ROW('Mens Averages'!$AH$8)+1),COUNTIF(I$23:I41,I32))),"")</f>
        <v>26.24</v>
      </c>
      <c r="I32" s="151">
        <f>IF(ISERROR(LARGE('Mens Averages'!$AH$8:$AH$343,10)),"",(LARGE('Mens Averages'!$AH$8:$AH$343,10)))</f>
        <v>26.24</v>
      </c>
      <c r="J32" s="1"/>
      <c r="K32" s="73">
        <f>IF(ISERROR(RANK(R32,R23:R32)),"",(RANK(R32,R23:R32)))</f>
        <v>10</v>
      </c>
      <c r="L32" s="148" t="str">
        <f t="array" ref="L32">IF(ISNUMBER(R32),INDEX('Mens Averages'!$G$8:$G$343,SMALL(IF('Mens Averages'!$AR$8:$AR$343=R32,ROW('Mens Averages'!$AR$8:$AR$343)-ROW('Mens Averages'!$AR$8)+1),COUNTIF(R$23:R32,R32))),"")</f>
        <v>Nigel Lamb</v>
      </c>
      <c r="M32" s="149" t="str">
        <f t="array" ref="M32">IF(ISNUMBER(R32),INDEX('Mens Averages'!$H$8:$H$343,SMALL(IF('Mens Averages'!$AR$8:$AR$343=R32,ROW('Mens Averages'!$AR$8:$AR$343)-ROW('Mens Averages'!$AR$8)+1),COUNTIF(R$23:R32,R32))),"")</f>
        <v>Sha</v>
      </c>
      <c r="N32" s="150" t="str">
        <f t="array" ref="N32">IF(ISERROR(IF(LEFT(INDEX('Mens Averages'!$AQ$8:$AQ$343,MATCH('Weekly Top 10'!R32,'Mens Averages'!$AR$8:$AR$343,0)),1)="4","Y","N")),"",(IF(LEFT(INDEX('Mens Averages'!$AQ$8:$AQ$343,MATCH('Weekly Top 10'!R32,'Mens Averages'!$AR$8:$AR$343,0)),1)="4","Y","N")))</f>
        <v>Y</v>
      </c>
      <c r="O32" s="150" t="str">
        <f t="array" ref="O32">IF(ISERROR(LEFT(INDEX('Mens Averages'!$AQ$8:$AQ$343,MATCH('Weekly Top 10'!R32,'Mens Averages'!$AR$8:$AR$343,0)),1)),"",(LEFT(INDEX('Mens Averages'!$AQ$8:$AQ$343,MATCH('Weekly Top 10'!R32,'Mens Averages'!$AR$8:$AR$343,0)),1)))</f>
        <v>4</v>
      </c>
      <c r="P32" s="150" t="str">
        <f t="array" ref="P32">IF(ISERROR(RIGHT(LEFT(INDEX('Mens Averages'!$AQ$8:$AQ$343,MATCH('Weekly Top 10'!R32,'Mens Averages'!$AR$8:$AR$343,0)),3),1)),"",(RIGHT(LEFT(INDEX('Mens Averages'!$AQ$8:$AQ$343,MATCH('Weekly Top 10'!R32,'Mens Averages'!$AR$8:$AR$343,0)),3),1)))</f>
        <v>2</v>
      </c>
      <c r="Q32" s="149">
        <f t="array" ref="Q32">IF(ISNUMBER(R32),INDEX('Mens Averages'!$T$8:$T$343,SMALL(IF('Mens Averages'!$AR$8:$AR$343=R32,ROW('Mens Averages'!$AR$8:$AR$343)-ROW('Mens Averages'!$AR$8)+1),COUNTIF(R$23:R41,R32))),"")</f>
        <v>25.81</v>
      </c>
      <c r="R32" s="151">
        <f>IF(ISERROR(LARGE('Mens Averages'!$AR$8:$AR$343,10)),"",(LARGE('Mens Averages'!$AR$8:$AR$343,10)))</f>
        <v>26.81</v>
      </c>
      <c r="S32" s="1"/>
      <c r="T32" s="73">
        <f>IF(ISERROR(RANK(AA32,AA23:AA32)),"",(RANK(AA32,AA23:AA32)))</f>
        <v>10</v>
      </c>
      <c r="U32" s="148" t="str">
        <f t="array" ref="U32">IF(ISNUMBER(AA32),INDEX('Mens Averages'!$G$8:$G$343,SMALL(IF('Mens Averages'!$BB$8:$BB$343=AA32,ROW('Mens Averages'!$BB$8:$BB$343)-ROW('Mens Averages'!$BB$8)+1),COUNTIF(AA$23:AA32,AA32))),"")</f>
        <v>James Green</v>
      </c>
      <c r="V32" s="149" t="str">
        <f t="array" ref="V32">IF(ISNUMBER(AA32),INDEX('Mens Averages'!$H$8:$H$343,SMALL(IF('Mens Averages'!$BB$8:$BB$343=AA32,ROW('Mens Averages'!$BB$8:$BB$343)-ROW('Mens Averages'!$BB$8)+1),COUNTIF(AA$23:AA32,AA32))),"")</f>
        <v>Swa</v>
      </c>
      <c r="W32" s="150" t="str">
        <f t="array" ref="W32">IF(ISERROR(IF(LEFT(INDEX('Mens Averages'!$BA$8:$BA$343,MATCH('Weekly Top 10'!AA32,'Mens Averages'!$BB$8:$BB$343,0)),1)="4","Y","N")),"",(IF(LEFT(INDEX('Mens Averages'!$BA$8:$BA$343,MATCH('Weekly Top 10'!AA32,'Mens Averages'!$BB$8:$BB$343,0)),1)="4","Y","N")))</f>
        <v>Y</v>
      </c>
      <c r="X32" s="150" t="str">
        <f t="array" ref="X32">IF(ISERROR(LEFT(INDEX('Mens Averages'!$BA$8:$BA$343,MATCH('Weekly Top 10'!AA32,'Mens Averages'!$BB$8:$BB$343,0)),1)),"",(LEFT(INDEX('Mens Averages'!$BA$8:$BA$343,MATCH('Weekly Top 10'!AA32,'Mens Averages'!$BB$8:$BB$343,0)),1)))</f>
        <v>4</v>
      </c>
      <c r="Y32" s="150" t="str">
        <f t="array" ref="Y32">IF(ISERROR(RIGHT(LEFT(INDEX('Mens Averages'!$BA$8:$BA$343,MATCH('Weekly Top 10'!AA32,'Mens Averages'!$BB$8:$BB$343,0)),3),1)),"",(RIGHT(LEFT(INDEX('Mens Averages'!$BA$8:$BA$343,MATCH('Weekly Top 10'!AA32,'Mens Averages'!$BB$8:$BB$343,0)),3),1)))</f>
        <v>1</v>
      </c>
      <c r="Z32" s="149">
        <f t="array" ref="Z32">IF(ISNUMBER(AA32),INDEX('Mens Averages'!$Y$8:$Y$343,SMALL(IF('Mens Averages'!$BB$8:$BB$343=AA32,ROW('Mens Averages'!$BB$8:$BB$343)-ROW('Mens Averages'!$BB$8)+1),COUNTIF(AA$23:AA41,AA32))),"")</f>
        <v>25.29</v>
      </c>
      <c r="AA32" s="151">
        <f>IF(ISERROR(LARGE('Mens Averages'!$BB$8:$BB$343,10)),"",(LARGE('Mens Averages'!$BB$8:$BB$343,10)))</f>
        <v>26.29</v>
      </c>
      <c r="AB32" s="1"/>
      <c r="AC32" s="1"/>
      <c r="AD32" s="1"/>
      <c r="AE32" s="1"/>
    </row>
    <row r="33" spans="1:31" ht="12" customHeight="1" x14ac:dyDescent="0.2">
      <c r="A33" s="1"/>
      <c r="B33" s="11"/>
      <c r="C33" s="1"/>
      <c r="D33" s="1"/>
      <c r="E33" s="11"/>
      <c r="F33" s="11"/>
      <c r="G33" s="11"/>
      <c r="H33" s="152"/>
      <c r="I33" s="153"/>
      <c r="J33" s="1"/>
      <c r="K33" s="11"/>
      <c r="L33" s="1"/>
      <c r="M33" s="1"/>
      <c r="N33" s="11"/>
      <c r="O33" s="11"/>
      <c r="P33" s="11"/>
      <c r="Q33" s="152"/>
      <c r="R33" s="153"/>
      <c r="S33" s="1"/>
      <c r="T33" s="11"/>
      <c r="U33" s="1"/>
      <c r="V33" s="1"/>
      <c r="W33" s="11"/>
      <c r="X33" s="11"/>
      <c r="Y33" s="11"/>
      <c r="Z33" s="152"/>
      <c r="AA33" s="153"/>
      <c r="AB33" s="1"/>
      <c r="AC33" s="1"/>
      <c r="AD33" s="1"/>
      <c r="AE33" s="1"/>
    </row>
    <row r="34" spans="1:31" ht="12" customHeight="1" x14ac:dyDescent="0.2">
      <c r="A34" s="1"/>
      <c r="B34" s="11"/>
      <c r="C34" s="1"/>
      <c r="D34" s="1"/>
      <c r="E34" s="11"/>
      <c r="F34" s="11"/>
      <c r="G34" s="11"/>
      <c r="H34" s="152"/>
      <c r="I34" s="153"/>
      <c r="J34" s="1"/>
      <c r="K34" s="11"/>
      <c r="L34" s="1"/>
      <c r="M34" s="1"/>
      <c r="N34" s="11"/>
      <c r="O34" s="11"/>
      <c r="P34" s="11"/>
      <c r="Q34" s="152"/>
      <c r="R34" s="153"/>
      <c r="S34" s="1"/>
      <c r="T34" s="11"/>
      <c r="U34" s="1"/>
      <c r="V34" s="1"/>
      <c r="W34" s="11"/>
      <c r="X34" s="11"/>
      <c r="Y34" s="11"/>
      <c r="Z34" s="152"/>
      <c r="AA34" s="153"/>
      <c r="AB34" s="1"/>
      <c r="AC34" s="1"/>
      <c r="AD34" s="1"/>
      <c r="AE34" s="1"/>
    </row>
    <row r="35" spans="1:31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" customHeight="1" x14ac:dyDescent="0.2">
      <c r="A36" s="1"/>
      <c r="B36" s="222" t="s">
        <v>376</v>
      </c>
      <c r="C36" s="224" t="s">
        <v>369</v>
      </c>
      <c r="D36" s="224" t="s">
        <v>6</v>
      </c>
      <c r="E36" s="224" t="s">
        <v>8</v>
      </c>
      <c r="F36" s="224" t="s">
        <v>64</v>
      </c>
      <c r="G36" s="224" t="s">
        <v>65</v>
      </c>
      <c r="H36" s="224" t="s">
        <v>9</v>
      </c>
      <c r="I36" s="227" t="s">
        <v>370</v>
      </c>
      <c r="J36" s="36"/>
      <c r="K36" s="222" t="s">
        <v>377</v>
      </c>
      <c r="L36" s="224" t="s">
        <v>369</v>
      </c>
      <c r="M36" s="224" t="s">
        <v>6</v>
      </c>
      <c r="N36" s="224" t="s">
        <v>8</v>
      </c>
      <c r="O36" s="224" t="s">
        <v>64</v>
      </c>
      <c r="P36" s="224" t="s">
        <v>65</v>
      </c>
      <c r="Q36" s="224" t="s">
        <v>9</v>
      </c>
      <c r="R36" s="227" t="s">
        <v>370</v>
      </c>
      <c r="S36" s="36"/>
      <c r="T36" s="222" t="s">
        <v>378</v>
      </c>
      <c r="U36" s="224" t="s">
        <v>369</v>
      </c>
      <c r="V36" s="224" t="s">
        <v>6</v>
      </c>
      <c r="W36" s="224" t="s">
        <v>8</v>
      </c>
      <c r="X36" s="224" t="s">
        <v>64</v>
      </c>
      <c r="Y36" s="224" t="s">
        <v>65</v>
      </c>
      <c r="Z36" s="224" t="s">
        <v>9</v>
      </c>
      <c r="AA36" s="227" t="s">
        <v>370</v>
      </c>
      <c r="AB36" s="1"/>
      <c r="AC36" s="1"/>
      <c r="AD36" s="1"/>
      <c r="AE36" s="1"/>
    </row>
    <row r="37" spans="1:31" ht="12" customHeight="1" x14ac:dyDescent="0.2">
      <c r="A37" s="1"/>
      <c r="B37" s="223"/>
      <c r="C37" s="225"/>
      <c r="D37" s="225"/>
      <c r="E37" s="225"/>
      <c r="F37" s="225"/>
      <c r="G37" s="225"/>
      <c r="H37" s="225"/>
      <c r="I37" s="228"/>
      <c r="J37" s="36"/>
      <c r="K37" s="223"/>
      <c r="L37" s="225"/>
      <c r="M37" s="225"/>
      <c r="N37" s="225"/>
      <c r="O37" s="225"/>
      <c r="P37" s="225"/>
      <c r="Q37" s="225"/>
      <c r="R37" s="228"/>
      <c r="S37" s="36"/>
      <c r="T37" s="223"/>
      <c r="U37" s="225"/>
      <c r="V37" s="225"/>
      <c r="W37" s="225"/>
      <c r="X37" s="225"/>
      <c r="Y37" s="225"/>
      <c r="Z37" s="225"/>
      <c r="AA37" s="228"/>
      <c r="AB37" s="1"/>
      <c r="AC37" s="1"/>
      <c r="AD37" s="1"/>
      <c r="AE37" s="1"/>
    </row>
    <row r="38" spans="1:31" ht="16.5" customHeight="1" x14ac:dyDescent="0.2">
      <c r="A38" s="1"/>
      <c r="B38" s="62">
        <f>IF(ISERROR(RANK(I38,I38:I47)),"",(RANK(I38,I38:I47)))</f>
        <v>1</v>
      </c>
      <c r="C38" s="140" t="str">
        <f t="array" ref="C38">IF(ISNUMBER(I38),INDEX('Mens Averages'!$G$8:$G$343,SMALL(IF('Mens Averages'!$AJ$8:$AJ$343=I38,ROW('Mens Averages'!$AJ$8:$AJ$343)-ROW('Mens Averages'!$AJ$8)+1),COUNTIF(I$38:I38,I38))),"")</f>
        <v>Tony Dunning</v>
      </c>
      <c r="D38" s="141" t="str">
        <f t="array" ref="D38">IF(ISNUMBER(I38),INDEX('Mens Averages'!$H$8:$H$343,SMALL(IF('Mens Averages'!$AJ$8:$AJ$343=I38,ROW('Mens Averages'!$AJ$8:$AJ$343)-ROW('Mens Averages'!$AJ$8)+1),COUNTIF(I$38:I38,I38))),"")</f>
        <v>Chr</v>
      </c>
      <c r="E38" s="142" t="str">
        <f t="array" ref="E38">IF(ISERROR(IF(LEFT(INDEX('Mens Averages'!$AI$8:$AI$343,MATCH('Weekly Top 10'!I38,'Mens Averages'!$AJ$8:$AJ$343,0)),1)="4","Y","N")),"",(IF(LEFT(INDEX('Mens Averages'!$AI$8:$AI$343,MATCH('Weekly Top 10'!I38,'Mens Averages'!$AJ$8:$AJ$343,0)),1)="4","Y","N")))</f>
        <v>Y</v>
      </c>
      <c r="F38" s="142" t="str">
        <f t="array" ref="F38">IF(ISERROR(LEFT(INDEX('Mens Averages'!$AI$8:$AI$343,MATCH('Weekly Top 10'!I38,'Mens Averages'!$AJ$8:$AJ$343,0)),1)),"",(LEFT(INDEX('Mens Averages'!$AI$8:$AI$343,MATCH('Weekly Top 10'!I38,'Mens Averages'!$AJ$8:$AJ$343,0)),1)))</f>
        <v>4</v>
      </c>
      <c r="G38" s="142" t="str">
        <f t="array" ref="G38">IF(ISERROR(RIGHT(LEFT(INDEX('Mens Averages'!$AI$8:$AI$343,MATCH('Weekly Top 10'!I38,'Mens Averages'!$AJ$8:$AJ$343,0)),3),1)),"",(RIGHT(LEFT(INDEX('Mens Averages'!$AI$8:$AI$343,MATCH('Weekly Top 10'!I38,'Mens Averages'!$AJ$8:$AJ$343,0)),3),1)))</f>
        <v>0</v>
      </c>
      <c r="H38" s="141">
        <f t="array" ref="H38">IF(ISNUMBER(I38),INDEX('Mens Averages'!$P$8:$P$343,SMALL(IF('Mens Averages'!$AJ$8:$AJ$343=I38,ROW('Mens Averages'!$AJ$8:$AJ$343)-ROW('Mens Averages'!$AJ$8)+1),COUNTIF(I$38:I47,I38))),"")</f>
        <v>30.36</v>
      </c>
      <c r="I38" s="143">
        <f>IF(ISERROR(LARGE('Mens Averages'!$AJ$8:$AJ$343,1)),"",(LARGE('Mens Averages'!$AJ$8:$AJ$343,1)))</f>
        <v>31.36</v>
      </c>
      <c r="J38" s="1"/>
      <c r="K38" s="62">
        <f>IF(ISERROR(RANK(R38,R38:R47)),"",(RANK(R38,R38:R47)))</f>
        <v>1</v>
      </c>
      <c r="L38" s="140" t="str">
        <f t="array" ref="L38">IF(ISNUMBER(R38),INDEX('Mens Averages'!$G$8:$G$343,SMALL(IF('Mens Averages'!$AT$8:$AT$343=R38,ROW('Mens Averages'!$AT$8:$AT$343)-ROW('Mens Averages'!$AT$8)+1),COUNTIF(R$38:R38,R38))),"")</f>
        <v>Robbie Martin</v>
      </c>
      <c r="M38" s="141" t="str">
        <f t="array" ref="M38">IF(ISNUMBER(R38),INDEX('Mens Averages'!$H$8:$H$343,SMALL(IF('Mens Averages'!$AT$8:$AT$343=R38,ROW('Mens Averages'!$AT$8:$AT$343)-ROW('Mens Averages'!$AT$8)+1),COUNTIF(R$38:R38,R38))),"")</f>
        <v>Ald</v>
      </c>
      <c r="N38" s="142" t="str">
        <f t="array" ref="N38">IF(ISERROR(IF(LEFT(INDEX('Mens Averages'!$AS$8:$AS$343,MATCH('Weekly Top 10'!R38,'Mens Averages'!$AT$8:$AT$343,0)),1)="4","Y","N")),"",(IF(LEFT(INDEX('Mens Averages'!$AS$8:$AS$343,MATCH('Weekly Top 10'!R38,'Mens Averages'!$AT$8:$AT$343,0)),1)="4","Y","N")))</f>
        <v>Y</v>
      </c>
      <c r="O38" s="142" t="str">
        <f t="array" ref="O38">IF(ISERROR(LEFT(INDEX('Mens Averages'!$AS$8:$AS$343,MATCH('Weekly Top 10'!R38,'Mens Averages'!$AT$8:$AT$343,0)),1)),"",(LEFT(INDEX('Mens Averages'!$AS$8:$AS$343,MATCH('Weekly Top 10'!R38,'Mens Averages'!$AT$8:$AT$343,0)),1)))</f>
        <v>4</v>
      </c>
      <c r="P38" s="142" t="str">
        <f t="array" ref="P38">IF(ISERROR(RIGHT(LEFT(INDEX('Mens Averages'!$AS$8:$AS$343,MATCH('Weekly Top 10'!R38,'Mens Averages'!$AT$8:$AT$343,0)),3),1)),"",(RIGHT(LEFT(INDEX('Mens Averages'!$AS$8:$AS$343,MATCH('Weekly Top 10'!R38,'Mens Averages'!$AT$8:$AT$343,0)),3),1)))</f>
        <v>0</v>
      </c>
      <c r="Q38" s="141">
        <f t="array" ref="Q38">IF(ISNUMBER(R38),INDEX('Mens Averages'!$U$8:$U$343,SMALL(IF('Mens Averages'!$AT$8:$AT$343=R38,ROW('Mens Averages'!$AT$8:$AT$343)-ROW('Mens Averages'!$AT$8)+1),COUNTIF(R$38:R47,R38))),"")</f>
        <v>29.04</v>
      </c>
      <c r="R38" s="143">
        <f>IF(ISERROR(LARGE('Mens Averages'!$AT$8:$AT$343,1)),"",(LARGE('Mens Averages'!$AT$8:$AT$343,1)))</f>
        <v>30.04</v>
      </c>
      <c r="S38" s="1"/>
      <c r="T38" s="62">
        <f>IF(ISERROR(RANK(AA38,AA38:AA47)),"",(RANK(AA38,AA38:AA47)))</f>
        <v>1</v>
      </c>
      <c r="U38" s="140" t="str">
        <f t="array" ref="U38">IF(ISNUMBER(AA38),INDEX('Mens Averages'!$G$8:$G$343,SMALL(IF('Mens Averages'!$BD$8:$BD$343=AA38,ROW('Mens Averages'!$BD$8:$BD$343)-ROW('Mens Averages'!$BD$8)+1),COUNTIF(AA$38:AA38,AA38))),"")</f>
        <v>Robbie Martin</v>
      </c>
      <c r="V38" s="142" t="str">
        <f t="array" ref="V38">IF(ISNUMBER(AA38),INDEX('Mens Averages'!$H$8:$H$343,SMALL(IF('Mens Averages'!$BD$8:$BD$343=AA38,ROW('Mens Averages'!$BD$8:$BD$343)-ROW('Mens Averages'!$BD$8)+1),COUNTIF(AA$38:AA38,AA38))),"")</f>
        <v>Ald</v>
      </c>
      <c r="W38" s="142" t="str">
        <f t="array" ref="W38">IF(ISERROR(IF(LEFT(INDEX('Mens Averages'!$BC$8:$BC$343,MATCH('Weekly Top 10'!AA38,'Mens Averages'!$BD$8:$BD$343,0)),1)="4","Y","N")),"",(IF(LEFT(INDEX('Mens Averages'!$BC$8:$BC$343,MATCH('Weekly Top 10'!AA38,'Mens Averages'!$BD$8:$BD$343,0)),1)="4","Y","N")))</f>
        <v>Y</v>
      </c>
      <c r="X38" s="142" t="str">
        <f t="array" ref="X38">IF(ISERROR(LEFT(INDEX('Mens Averages'!$BC$8:$BC$343,MATCH('Weekly Top 10'!AA38,'Mens Averages'!$BD$8:$BD$343,0)),1)),"",(LEFT(INDEX('Mens Averages'!$BC$8:$BC$343,MATCH('Weekly Top 10'!AA38,'Mens Averages'!$BD$8:$BD$343,0)),1)))</f>
        <v>4</v>
      </c>
      <c r="Y38" s="142" t="str">
        <f t="array" ref="Y38">IF(ISERROR(RIGHT(LEFT(INDEX('Mens Averages'!$BC$8:$BC$343,MATCH('Weekly Top 10'!AA38,'Mens Averages'!$BD$8:$BD$343,0)),3),1)),"",(RIGHT(LEFT(INDEX('Mens Averages'!$BC$8:$BC$343,MATCH('Weekly Top 10'!AA38,'Mens Averages'!$BD$8:$BD$343,0)),3),1)))</f>
        <v>3</v>
      </c>
      <c r="Z38" s="141">
        <f t="array" ref="Z38">IF(ISNUMBER(AA38),INDEX('Mens Averages'!$Z$8:$Z$343,SMALL(IF('Mens Averages'!$BD$8:$BD$343=AA38,ROW('Mens Averages'!$BD$8:$BD$343)-ROW('Mens Averages'!$BD$8)+1),COUNTIF(AA$38:AA47,AA38))),"")</f>
        <v>28.83</v>
      </c>
      <c r="AA38" s="143">
        <f>IF(ISERROR(LARGE('Mens Averages'!$BD$8:$BD$343,1)),"",(LARGE('Mens Averages'!$BD$8:$BD$343,1)))</f>
        <v>29.83</v>
      </c>
      <c r="AB38" s="1"/>
      <c r="AC38" s="1"/>
      <c r="AD38" s="1"/>
      <c r="AE38" s="1"/>
    </row>
    <row r="39" spans="1:31" ht="16.5" customHeight="1" x14ac:dyDescent="0.2">
      <c r="A39" s="1"/>
      <c r="B39" s="68">
        <f>IF(ISERROR(RANK(I39,I38:I47)),"",(RANK(I39,I38:I47)))</f>
        <v>2</v>
      </c>
      <c r="C39" s="144" t="str">
        <f t="array" ref="C39">IF(ISNUMBER(I39),INDEX('Mens Averages'!$G$8:$G$343,SMALL(IF('Mens Averages'!$AJ$8:$AJ$343=I39,ROW('Mens Averages'!$AJ$8:$AJ$343)-ROW('Mens Averages'!$AJ$8)+1),COUNTIF(I$38:I39,I39))),"")</f>
        <v>Tommy Morris</v>
      </c>
      <c r="D39" s="145" t="str">
        <f t="array" ref="D39">IF(ISNUMBER(I39),INDEX('Mens Averages'!$H$8:$H$343,SMALL(IF('Mens Averages'!$AJ$8:$AJ$343=I39,ROW('Mens Averages'!$AJ$8:$AJ$343)-ROW('Mens Averages'!$AJ$8)+1),COUNTIF(I$38:I39,I39))),"")</f>
        <v>Chr</v>
      </c>
      <c r="E39" s="146" t="str">
        <f t="array" ref="E39">IF(ISERROR(IF(LEFT(INDEX('Mens Averages'!$AI$8:$AI$343,MATCH('Weekly Top 10'!I39,'Mens Averages'!$AJ$8:$AJ$343,0)),1)="4","Y","N")),"",(IF(LEFT(INDEX('Mens Averages'!$AI$8:$AI$343,MATCH('Weekly Top 10'!I39,'Mens Averages'!$AJ$8:$AJ$343,0)),1)="4","Y","N")))</f>
        <v>Y</v>
      </c>
      <c r="F39" s="146" t="str">
        <f t="array" ref="F39">IF(ISERROR(LEFT(INDEX('Mens Averages'!$AI$8:$AI$343,MATCH('Weekly Top 10'!I39,'Mens Averages'!$AJ$8:$AJ$343,0)),1)),"",(LEFT(INDEX('Mens Averages'!$AI$8:$AI$343,MATCH('Weekly Top 10'!I39,'Mens Averages'!$AJ$8:$AJ$343,0)),1)))</f>
        <v>4</v>
      </c>
      <c r="G39" s="146" t="str">
        <f t="array" ref="G39">IF(ISERROR(RIGHT(LEFT(INDEX('Mens Averages'!$AI$8:$AI$343,MATCH('Weekly Top 10'!I39,'Mens Averages'!$AJ$8:$AJ$343,0)),3),1)),"",(RIGHT(LEFT(INDEX('Mens Averages'!$AI$8:$AI$343,MATCH('Weekly Top 10'!I39,'Mens Averages'!$AJ$8:$AJ$343,0)),3),1)))</f>
        <v>0</v>
      </c>
      <c r="H39" s="145">
        <f t="array" ref="H39">IF(ISNUMBER(I39),INDEX('Mens Averages'!$P$8:$P$343,SMALL(IF('Mens Averages'!$AJ$8:$AJ$343=I39,ROW('Mens Averages'!$AJ$8:$AJ$343)-ROW('Mens Averages'!$AJ$8)+1),COUNTIF(I$38:I48,I39))),"")</f>
        <v>29.91</v>
      </c>
      <c r="I39" s="147">
        <f>IF(ISERROR(LARGE('Mens Averages'!$AJ$8:$AJ$343,2)),"",(LARGE('Mens Averages'!$AJ$8:$AJ$343,2)))</f>
        <v>30.91</v>
      </c>
      <c r="J39" s="1"/>
      <c r="K39" s="68">
        <f>IF(ISERROR(RANK(R39,R38:R47)),"",(RANK(R39,R38:R47)))</f>
        <v>2</v>
      </c>
      <c r="L39" s="144" t="str">
        <f t="array" ref="L39">IF(ISNUMBER(R39),INDEX('Mens Averages'!$G$8:$G$343,SMALL(IF('Mens Averages'!$AT$8:$AT$343=R39,ROW('Mens Averages'!$AT$8:$AT$343)-ROW('Mens Averages'!$AT$8)+1),COUNTIF(R$38:R39,R39))),"")</f>
        <v>Richard Wright</v>
      </c>
      <c r="M39" s="145" t="str">
        <f t="array" ref="M39">IF(ISNUMBER(R39),INDEX('Mens Averages'!$H$8:$H$343,SMALL(IF('Mens Averages'!$AT$8:$AT$343=R39,ROW('Mens Averages'!$AT$8:$AT$343)-ROW('Mens Averages'!$AT$8)+1),COUNTIF(R$38:R39,R39))),"")</f>
        <v>Dor</v>
      </c>
      <c r="N39" s="146" t="str">
        <f t="array" ref="N39">IF(ISERROR(IF(LEFT(INDEX('Mens Averages'!$AS$8:$AS$343,MATCH('Weekly Top 10'!R39,'Mens Averages'!$AT$8:$AT$343,0)),1)="4","Y","N")),"",(IF(LEFT(INDEX('Mens Averages'!$AS$8:$AS$343,MATCH('Weekly Top 10'!R39,'Mens Averages'!$AT$8:$AT$343,0)),1)="4","Y","N")))</f>
        <v>Y</v>
      </c>
      <c r="O39" s="146" t="str">
        <f t="array" ref="O39">IF(ISERROR(LEFT(INDEX('Mens Averages'!$AS$8:$AS$343,MATCH('Weekly Top 10'!R39,'Mens Averages'!$AT$8:$AT$343,0)),1)),"",(LEFT(INDEX('Mens Averages'!$AS$8:$AS$343,MATCH('Weekly Top 10'!R39,'Mens Averages'!$AT$8:$AT$343,0)),1)))</f>
        <v>4</v>
      </c>
      <c r="P39" s="146" t="str">
        <f t="array" ref="P39">IF(ISERROR(RIGHT(LEFT(INDEX('Mens Averages'!$AS$8:$AS$343,MATCH('Weekly Top 10'!R39,'Mens Averages'!$AT$8:$AT$343,0)),3),1)),"",(RIGHT(LEFT(INDEX('Mens Averages'!$AS$8:$AS$343,MATCH('Weekly Top 10'!R39,'Mens Averages'!$AT$8:$AT$343,0)),3),1)))</f>
        <v>0</v>
      </c>
      <c r="Q39" s="145">
        <f t="array" ref="Q39">IF(ISNUMBER(R39),INDEX('Mens Averages'!$U$8:$U$343,SMALL(IF('Mens Averages'!$AT$8:$AT$343=R39,ROW('Mens Averages'!$AT$8:$AT$343)-ROW('Mens Averages'!$AT$8)+1),COUNTIF(R$38:R48,R39))),"")</f>
        <v>28.63</v>
      </c>
      <c r="R39" s="147">
        <f>IF(ISERROR(LARGE('Mens Averages'!$AT$8:$AT$343,2)),"",(LARGE('Mens Averages'!$AT$8:$AT$343,2)))</f>
        <v>29.63</v>
      </c>
      <c r="S39" s="1"/>
      <c r="T39" s="68">
        <f>IF(ISERROR(RANK(AA39,AA38:AA47)),"",(RANK(AA39,AA38:AA47)))</f>
        <v>2</v>
      </c>
      <c r="U39" s="144" t="str">
        <f t="array" ref="U39">IF(ISNUMBER(AA39),INDEX('Mens Averages'!$G$8:$G$343,SMALL(IF('Mens Averages'!$BD$8:$BD$343=AA39,ROW('Mens Averages'!$BD$8:$BD$343)-ROW('Mens Averages'!$BD$8)+1),COUNTIF(AA$38:AA39,AA39))),"")</f>
        <v>Daniel Rawlings</v>
      </c>
      <c r="V39" s="146" t="str">
        <f t="array" ref="V39">IF(ISNUMBER(AA39),INDEX('Mens Averages'!$H$8:$H$343,SMALL(IF('Mens Averages'!$BD$8:$BD$343=AA39,ROW('Mens Averages'!$BD$8:$BD$343)-ROW('Mens Averages'!$BD$8)+1),COUNTIF(AA$38:AA39,AA39))),"")</f>
        <v>Bri</v>
      </c>
      <c r="W39" s="146" t="str">
        <f t="array" ref="W39">IF(ISERROR(IF(LEFT(INDEX('Mens Averages'!$BC$8:$BC$343,MATCH('Weekly Top 10'!AA39,'Mens Averages'!$BD$8:$BD$343,0)),1)="4","Y","N")),"",(IF(LEFT(INDEX('Mens Averages'!$BC$8:$BC$343,MATCH('Weekly Top 10'!AA39,'Mens Averages'!$BD$8:$BD$343,0)),1)="4","Y","N")))</f>
        <v>Y</v>
      </c>
      <c r="X39" s="146" t="str">
        <f t="array" ref="X39">IF(ISERROR(LEFT(INDEX('Mens Averages'!$BC$8:$BC$343,MATCH('Weekly Top 10'!AA39,'Mens Averages'!$BD$8:$BD$343,0)),1)),"",(LEFT(INDEX('Mens Averages'!$BC$8:$BC$343,MATCH('Weekly Top 10'!AA39,'Mens Averages'!$BD$8:$BD$343,0)),1)))</f>
        <v>4</v>
      </c>
      <c r="Y39" s="146" t="str">
        <f t="array" ref="Y39">IF(ISERROR(RIGHT(LEFT(INDEX('Mens Averages'!$BC$8:$BC$343,MATCH('Weekly Top 10'!AA39,'Mens Averages'!$BD$8:$BD$343,0)),3),1)),"",(RIGHT(LEFT(INDEX('Mens Averages'!$BC$8:$BC$343,MATCH('Weekly Top 10'!AA39,'Mens Averages'!$BD$8:$BD$343,0)),3),1)))</f>
        <v>2</v>
      </c>
      <c r="Z39" s="145">
        <f t="array" ref="Z39">IF(ISNUMBER(AA39),INDEX('Mens Averages'!$Z$8:$Z$343,SMALL(IF('Mens Averages'!$BD$8:$BD$343=AA39,ROW('Mens Averages'!$BD$8:$BD$343)-ROW('Mens Averages'!$BD$8)+1),COUNTIF(AA$38:AA48,AA39))),"")</f>
        <v>28.77</v>
      </c>
      <c r="AA39" s="147">
        <f>IF(ISERROR(LARGE('Mens Averages'!$BD$8:$BD$343,2)),"",(LARGE('Mens Averages'!$BD$8:$BD$343,2)))</f>
        <v>29.77</v>
      </c>
      <c r="AB39" s="1"/>
      <c r="AC39" s="1"/>
      <c r="AD39" s="1"/>
      <c r="AE39" s="1"/>
    </row>
    <row r="40" spans="1:31" ht="16.5" customHeight="1" x14ac:dyDescent="0.2">
      <c r="A40" s="1"/>
      <c r="B40" s="68">
        <f>IF(ISERROR(RANK(I40,I38:I47)),"",(RANK(I40,I38:I47)))</f>
        <v>3</v>
      </c>
      <c r="C40" s="144" t="str">
        <f t="array" ref="C40">IF(ISNUMBER(I40),INDEX('Mens Averages'!$G$8:$G$343,SMALL(IF('Mens Averages'!$AJ$8:$AJ$343=I40,ROW('Mens Averages'!$AJ$8:$AJ$343)-ROW('Mens Averages'!$AJ$8)+1),COUNTIF(I$38:I40,I40))),"")</f>
        <v>Ricky King</v>
      </c>
      <c r="D40" s="145" t="str">
        <f t="array" ref="D40">IF(ISNUMBER(I40),INDEX('Mens Averages'!$H$8:$H$343,SMALL(IF('Mens Averages'!$AJ$8:$AJ$343=I40,ROW('Mens Averages'!$AJ$8:$AJ$343)-ROW('Mens Averages'!$AJ$8)+1),COUNTIF(I$38:I40,I40))),"")</f>
        <v>Swa</v>
      </c>
      <c r="E40" s="146" t="str">
        <f t="array" ref="E40">IF(ISERROR(IF(LEFT(INDEX('Mens Averages'!$AI$8:$AI$343,MATCH('Weekly Top 10'!I40,'Mens Averages'!$AJ$8:$AJ$343,0)),1)="4","Y","N")),"",(IF(LEFT(INDEX('Mens Averages'!$AI$8:$AI$343,MATCH('Weekly Top 10'!I40,'Mens Averages'!$AJ$8:$AJ$343,0)),1)="4","Y","N")))</f>
        <v>Y</v>
      </c>
      <c r="F40" s="146" t="str">
        <f t="array" ref="F40">IF(ISERROR(LEFT(INDEX('Mens Averages'!$AI$8:$AI$343,MATCH('Weekly Top 10'!I40,'Mens Averages'!$AJ$8:$AJ$343,0)),1)),"",(LEFT(INDEX('Mens Averages'!$AI$8:$AI$343,MATCH('Weekly Top 10'!I40,'Mens Averages'!$AJ$8:$AJ$343,0)),1)))</f>
        <v>4</v>
      </c>
      <c r="G40" s="146" t="str">
        <f t="array" ref="G40">IF(ISERROR(RIGHT(LEFT(INDEX('Mens Averages'!$AI$8:$AI$343,MATCH('Weekly Top 10'!I40,'Mens Averages'!$AJ$8:$AJ$343,0)),3),1)),"",(RIGHT(LEFT(INDEX('Mens Averages'!$AI$8:$AI$343,MATCH('Weekly Top 10'!I40,'Mens Averages'!$AJ$8:$AJ$343,0)),3),1)))</f>
        <v>1</v>
      </c>
      <c r="H40" s="145">
        <f t="array" ref="H40">IF(ISNUMBER(I40),INDEX('Mens Averages'!$P$8:$P$343,SMALL(IF('Mens Averages'!$AJ$8:$AJ$343=I40,ROW('Mens Averages'!$AJ$8:$AJ$343)-ROW('Mens Averages'!$AJ$8)+1),COUNTIF(I$38:I49,I40))),"")</f>
        <v>29.41</v>
      </c>
      <c r="I40" s="147">
        <f>IF(ISERROR(LARGE('Mens Averages'!$AJ$8:$AJ$343,3)),"",(LARGE('Mens Averages'!$AJ$8:$AJ$343,3)))</f>
        <v>30.41</v>
      </c>
      <c r="J40" s="1"/>
      <c r="K40" s="68">
        <f>IF(ISERROR(RANK(R40,R38:R47)),"",(RANK(R40,R38:R47)))</f>
        <v>3</v>
      </c>
      <c r="L40" s="144" t="str">
        <f t="array" ref="L40">IF(ISNUMBER(R40),INDEX('Mens Averages'!$G$8:$G$343,SMALL(IF('Mens Averages'!$AT$8:$AT$343=R40,ROW('Mens Averages'!$AT$8:$AT$343)-ROW('Mens Averages'!$AT$8)+1),COUNTIF(R$38:R40,R40))),"")</f>
        <v>Dale Masterman</v>
      </c>
      <c r="M40" s="145" t="str">
        <f t="array" ref="M40">IF(ISNUMBER(R40),INDEX('Mens Averages'!$H$8:$H$343,SMALL(IF('Mens Averages'!$AT$8:$AT$343=R40,ROW('Mens Averages'!$AT$8:$AT$343)-ROW('Mens Averages'!$AT$8)+1),COUNTIF(R$38:R40,R40))),"")</f>
        <v>Lyt</v>
      </c>
      <c r="N40" s="146" t="str">
        <f t="array" ref="N40">IF(ISERROR(IF(LEFT(INDEX('Mens Averages'!$AS$8:$AS$343,MATCH('Weekly Top 10'!R40,'Mens Averages'!$AT$8:$AT$343,0)),1)="4","Y","N")),"",(IF(LEFT(INDEX('Mens Averages'!$AS$8:$AS$343,MATCH('Weekly Top 10'!R40,'Mens Averages'!$AT$8:$AT$343,0)),1)="4","Y","N")))</f>
        <v>Y</v>
      </c>
      <c r="O40" s="146" t="str">
        <f t="array" ref="O40">IF(ISERROR(LEFT(INDEX('Mens Averages'!$AS$8:$AS$343,MATCH('Weekly Top 10'!R40,'Mens Averages'!$AT$8:$AT$343,0)),1)),"",(LEFT(INDEX('Mens Averages'!$AS$8:$AS$343,MATCH('Weekly Top 10'!R40,'Mens Averages'!$AT$8:$AT$343,0)),1)))</f>
        <v>4</v>
      </c>
      <c r="P40" s="146" t="str">
        <f t="array" ref="P40">IF(ISERROR(RIGHT(LEFT(INDEX('Mens Averages'!$AS$8:$AS$343,MATCH('Weekly Top 10'!R40,'Mens Averages'!$AT$8:$AT$343,0)),3),1)),"",(RIGHT(LEFT(INDEX('Mens Averages'!$AS$8:$AS$343,MATCH('Weekly Top 10'!R40,'Mens Averages'!$AT$8:$AT$343,0)),3),1)))</f>
        <v>2</v>
      </c>
      <c r="Q40" s="145">
        <f t="array" ref="Q40">IF(ISNUMBER(R40),INDEX('Mens Averages'!$U$8:$U$343,SMALL(IF('Mens Averages'!$AT$8:$AT$343=R40,ROW('Mens Averages'!$AT$8:$AT$343)-ROW('Mens Averages'!$AT$8)+1),COUNTIF(R$38:R49,R40))),"")</f>
        <v>28.57</v>
      </c>
      <c r="R40" s="147">
        <f>IF(ISERROR(LARGE('Mens Averages'!$AT$8:$AT$343,3)),"",(LARGE('Mens Averages'!$AT$8:$AT$343,3)))</f>
        <v>29.57</v>
      </c>
      <c r="S40" s="1"/>
      <c r="T40" s="68">
        <f>IF(ISERROR(RANK(AA40,AA38:AA47)),"",(RANK(AA40,AA38:AA47)))</f>
        <v>3</v>
      </c>
      <c r="U40" s="144" t="str">
        <f t="array" ref="U40">IF(ISNUMBER(AA40),INDEX('Mens Averages'!$G$8:$G$343,SMALL(IF('Mens Averages'!$BD$8:$BD$343=AA40,ROW('Mens Averages'!$BD$8:$BD$343)-ROW('Mens Averages'!$BD$8)+1),COUNTIF(AA$38:AA40,AA40))),"")</f>
        <v>Dale Masterman</v>
      </c>
      <c r="V40" s="146" t="str">
        <f t="array" ref="V40">IF(ISNUMBER(AA40),INDEX('Mens Averages'!$H$8:$H$343,SMALL(IF('Mens Averages'!$BD$8:$BD$343=AA40,ROW('Mens Averages'!$BD$8:$BD$343)-ROW('Mens Averages'!$BD$8)+1),COUNTIF(AA$38:AA40,AA40))),"")</f>
        <v>Lyt</v>
      </c>
      <c r="W40" s="146" t="str">
        <f t="array" ref="W40">IF(ISERROR(IF(LEFT(INDEX('Mens Averages'!$BC$8:$BC$343,MATCH('Weekly Top 10'!AA40,'Mens Averages'!$BD$8:$BD$343,0)),1)="4","Y","N")),"",(IF(LEFT(INDEX('Mens Averages'!$BC$8:$BC$343,MATCH('Weekly Top 10'!AA40,'Mens Averages'!$BD$8:$BD$343,0)),1)="4","Y","N")))</f>
        <v>Y</v>
      </c>
      <c r="X40" s="146" t="str">
        <f t="array" ref="X40">IF(ISERROR(LEFT(INDEX('Mens Averages'!$BC$8:$BC$343,MATCH('Weekly Top 10'!AA40,'Mens Averages'!$BD$8:$BD$343,0)),1)),"",(LEFT(INDEX('Mens Averages'!$BC$8:$BC$343,MATCH('Weekly Top 10'!AA40,'Mens Averages'!$BD$8:$BD$343,0)),1)))</f>
        <v>4</v>
      </c>
      <c r="Y40" s="146" t="str">
        <f t="array" ref="Y40">IF(ISERROR(RIGHT(LEFT(INDEX('Mens Averages'!$BC$8:$BC$343,MATCH('Weekly Top 10'!AA40,'Mens Averages'!$BD$8:$BD$343,0)),3),1)),"",(RIGHT(LEFT(INDEX('Mens Averages'!$BC$8:$BC$343,MATCH('Weekly Top 10'!AA40,'Mens Averages'!$BD$8:$BD$343,0)),3),1)))</f>
        <v>1</v>
      </c>
      <c r="Z40" s="145">
        <f t="array" ref="Z40">IF(ISNUMBER(AA40),INDEX('Mens Averages'!$Z$8:$Z$343,SMALL(IF('Mens Averages'!$BD$8:$BD$343=AA40,ROW('Mens Averages'!$BD$8:$BD$343)-ROW('Mens Averages'!$BD$8)+1),COUNTIF(AA$38:AA49,AA40))),"")</f>
        <v>28.74</v>
      </c>
      <c r="AA40" s="147">
        <f>IF(ISERROR(LARGE('Mens Averages'!$BD$8:$BD$343,3)),"",(LARGE('Mens Averages'!$BD$8:$BD$343,3)))</f>
        <v>29.74</v>
      </c>
      <c r="AB40" s="1"/>
      <c r="AC40" s="1"/>
      <c r="AD40" s="1"/>
      <c r="AE40" s="1"/>
    </row>
    <row r="41" spans="1:31" ht="16.5" customHeight="1" x14ac:dyDescent="0.2">
      <c r="A41" s="1"/>
      <c r="B41" s="68">
        <f>IF(ISERROR(RANK(I41,I38:I47)),"",(RANK(I41,I38:I47)))</f>
        <v>4</v>
      </c>
      <c r="C41" s="144" t="str">
        <f t="array" ref="C41">IF(ISNUMBER(I41),INDEX('Mens Averages'!$G$8:$G$343,SMALL(IF('Mens Averages'!$AJ$8:$AJ$343=I41,ROW('Mens Averages'!$AJ$8:$AJ$343)-ROW('Mens Averages'!$AJ$8)+1),COUNTIF(I$38:I41,I41))),"")</f>
        <v>Matt Yarrow</v>
      </c>
      <c r="D41" s="145" t="str">
        <f t="array" ref="D41">IF(ISNUMBER(I41),INDEX('Mens Averages'!$H$8:$H$343,SMALL(IF('Mens Averages'!$AJ$8:$AJ$343=I41,ROW('Mens Averages'!$AJ$8:$AJ$343)-ROW('Mens Averages'!$AJ$8)+1),COUNTIF(I$38:I41,I41))),"")</f>
        <v>Dor</v>
      </c>
      <c r="E41" s="146" t="str">
        <f t="array" ref="E41">IF(ISERROR(IF(LEFT(INDEX('Mens Averages'!$AI$8:$AI$343,MATCH('Weekly Top 10'!I41,'Mens Averages'!$AJ$8:$AJ$343,0)),1)="4","Y","N")),"",(IF(LEFT(INDEX('Mens Averages'!$AI$8:$AI$343,MATCH('Weekly Top 10'!I41,'Mens Averages'!$AJ$8:$AJ$343,0)),1)="4","Y","N")))</f>
        <v>Y</v>
      </c>
      <c r="F41" s="146" t="str">
        <f t="array" ref="F41">IF(ISERROR(LEFT(INDEX('Mens Averages'!$AI$8:$AI$343,MATCH('Weekly Top 10'!I41,'Mens Averages'!$AJ$8:$AJ$343,0)),1)),"",(LEFT(INDEX('Mens Averages'!$AI$8:$AI$343,MATCH('Weekly Top 10'!I41,'Mens Averages'!$AJ$8:$AJ$343,0)),1)))</f>
        <v>4</v>
      </c>
      <c r="G41" s="146" t="str">
        <f t="array" ref="G41">IF(ISERROR(RIGHT(LEFT(INDEX('Mens Averages'!$AI$8:$AI$343,MATCH('Weekly Top 10'!I41,'Mens Averages'!$AJ$8:$AJ$343,0)),3),1)),"",(RIGHT(LEFT(INDEX('Mens Averages'!$AI$8:$AI$343,MATCH('Weekly Top 10'!I41,'Mens Averages'!$AJ$8:$AJ$343,0)),3),1)))</f>
        <v>2</v>
      </c>
      <c r="H41" s="145">
        <f t="array" ref="H41">IF(ISNUMBER(I41),INDEX('Mens Averages'!$P$8:$P$343,SMALL(IF('Mens Averages'!$AJ$8:$AJ$343=I41,ROW('Mens Averages'!$AJ$8:$AJ$343)-ROW('Mens Averages'!$AJ$8)+1),COUNTIF(I$38:I50,I41))),"")</f>
        <v>29.25</v>
      </c>
      <c r="I41" s="147">
        <f>IF(ISERROR(LARGE('Mens Averages'!$AJ$8:$AJ$343,4)),"",(LARGE('Mens Averages'!$AJ$8:$AJ$343,4)))</f>
        <v>30.25</v>
      </c>
      <c r="J41" s="1"/>
      <c r="K41" s="68">
        <f>IF(ISERROR(RANK(R41,R38:R47)),"",(RANK(R41,R38:R47)))</f>
        <v>4</v>
      </c>
      <c r="L41" s="144" t="str">
        <f t="array" ref="L41">IF(ISNUMBER(R41),INDEX('Mens Averages'!$G$8:$G$343,SMALL(IF('Mens Averages'!$AT$8:$AT$343=R41,ROW('Mens Averages'!$AT$8:$AT$343)-ROW('Mens Averages'!$AT$8)+1),COUNTIF(R$38:R41,R41))),"")</f>
        <v>Scott Mitchell</v>
      </c>
      <c r="M41" s="145" t="str">
        <f t="array" ref="M41">IF(ISNUMBER(R41),INDEX('Mens Averages'!$H$8:$H$343,SMALL(IF('Mens Averages'!$AT$8:$AT$343=R41,ROW('Mens Averages'!$AT$8:$AT$343)-ROW('Mens Averages'!$AT$8)+1),COUNTIF(R$38:R41,R41))),"")</f>
        <v>Lyt</v>
      </c>
      <c r="N41" s="146" t="str">
        <f t="array" ref="N41">IF(ISERROR(IF(LEFT(INDEX('Mens Averages'!$AS$8:$AS$343,MATCH('Weekly Top 10'!R41,'Mens Averages'!$AT$8:$AT$343,0)),1)="4","Y","N")),"",(IF(LEFT(INDEX('Mens Averages'!$AS$8:$AS$343,MATCH('Weekly Top 10'!R41,'Mens Averages'!$AT$8:$AT$343,0)),1)="4","Y","N")))</f>
        <v>Y</v>
      </c>
      <c r="O41" s="146" t="str">
        <f t="array" ref="O41">IF(ISERROR(LEFT(INDEX('Mens Averages'!$AS$8:$AS$343,MATCH('Weekly Top 10'!R41,'Mens Averages'!$AT$8:$AT$343,0)),1)),"",(LEFT(INDEX('Mens Averages'!$AS$8:$AS$343,MATCH('Weekly Top 10'!R41,'Mens Averages'!$AT$8:$AT$343,0)),1)))</f>
        <v>4</v>
      </c>
      <c r="P41" s="146" t="str">
        <f t="array" ref="P41">IF(ISERROR(RIGHT(LEFT(INDEX('Mens Averages'!$AS$8:$AS$343,MATCH('Weekly Top 10'!R41,'Mens Averages'!$AT$8:$AT$343,0)),3),1)),"",(RIGHT(LEFT(INDEX('Mens Averages'!$AS$8:$AS$343,MATCH('Weekly Top 10'!R41,'Mens Averages'!$AT$8:$AT$343,0)),3),1)))</f>
        <v>0</v>
      </c>
      <c r="Q41" s="145">
        <f t="array" ref="Q41">IF(ISNUMBER(R41),INDEX('Mens Averages'!$U$8:$U$343,SMALL(IF('Mens Averages'!$AT$8:$AT$343=R41,ROW('Mens Averages'!$AT$8:$AT$343)-ROW('Mens Averages'!$AT$8)+1),COUNTIF(R$38:R50,R41))),"")</f>
        <v>28.23</v>
      </c>
      <c r="R41" s="147">
        <f>IF(ISERROR(LARGE('Mens Averages'!$AT$8:$AT$343,4)),"",(LARGE('Mens Averages'!$AT$8:$AT$343,4)))</f>
        <v>29.23</v>
      </c>
      <c r="S41" s="1"/>
      <c r="T41" s="68">
        <f>IF(ISERROR(RANK(AA41,AA38:AA47)),"",(RANK(AA41,AA38:AA47)))</f>
        <v>4</v>
      </c>
      <c r="U41" s="144" t="str">
        <f t="array" ref="U41">IF(ISNUMBER(AA41),INDEX('Mens Averages'!$G$8:$G$343,SMALL(IF('Mens Averages'!$BD$8:$BD$343=AA41,ROW('Mens Averages'!$BD$8:$BD$343)-ROW('Mens Averages'!$BD$8)+1),COUNTIF(AA$38:AA41,AA41))),"")</f>
        <v>Tommy Morris</v>
      </c>
      <c r="V41" s="146" t="str">
        <f t="array" ref="V41">IF(ISNUMBER(AA41),INDEX('Mens Averages'!$H$8:$H$343,SMALL(IF('Mens Averages'!$BD$8:$BD$343=AA41,ROW('Mens Averages'!$BD$8:$BD$343)-ROW('Mens Averages'!$BD$8)+1),COUNTIF(AA$38:AA41,AA41))),"")</f>
        <v>Chr</v>
      </c>
      <c r="W41" s="146" t="str">
        <f t="array" ref="W41">IF(ISERROR(IF(LEFT(INDEX('Mens Averages'!$BC$8:$BC$343,MATCH('Weekly Top 10'!AA41,'Mens Averages'!$BD$8:$BD$343,0)),1)="4","Y","N")),"",(IF(LEFT(INDEX('Mens Averages'!$BC$8:$BC$343,MATCH('Weekly Top 10'!AA41,'Mens Averages'!$BD$8:$BD$343,0)),1)="4","Y","N")))</f>
        <v>Y</v>
      </c>
      <c r="X41" s="146" t="str">
        <f t="array" ref="X41">IF(ISERROR(LEFT(INDEX('Mens Averages'!$BC$8:$BC$343,MATCH('Weekly Top 10'!AA41,'Mens Averages'!$BD$8:$BD$343,0)),1)),"",(LEFT(INDEX('Mens Averages'!$BC$8:$BC$343,MATCH('Weekly Top 10'!AA41,'Mens Averages'!$BD$8:$BD$343,0)),1)))</f>
        <v>4</v>
      </c>
      <c r="Y41" s="146" t="str">
        <f t="array" ref="Y41">IF(ISERROR(RIGHT(LEFT(INDEX('Mens Averages'!$BC$8:$BC$343,MATCH('Weekly Top 10'!AA41,'Mens Averages'!$BD$8:$BD$343,0)),3),1)),"",(RIGHT(LEFT(INDEX('Mens Averages'!$BC$8:$BC$343,MATCH('Weekly Top 10'!AA41,'Mens Averages'!$BD$8:$BD$343,0)),3),1)))</f>
        <v>0</v>
      </c>
      <c r="Z41" s="145">
        <f t="array" ref="Z41">IF(ISNUMBER(AA41),INDEX('Mens Averages'!$Z$8:$Z$343,SMALL(IF('Mens Averages'!$BD$8:$BD$343=AA41,ROW('Mens Averages'!$BD$8:$BD$343)-ROW('Mens Averages'!$BD$8)+1),COUNTIF(AA$38:AA50,AA41))),"")</f>
        <v>28.23</v>
      </c>
      <c r="AA41" s="147">
        <f>IF(ISERROR(LARGE('Mens Averages'!$BD$8:$BD$343,4)),"",(LARGE('Mens Averages'!$BD$8:$BD$343,4)))</f>
        <v>29.23</v>
      </c>
      <c r="AB41" s="1"/>
      <c r="AC41" s="1"/>
      <c r="AD41" s="1"/>
      <c r="AE41" s="1"/>
    </row>
    <row r="42" spans="1:31" ht="16.5" customHeight="1" x14ac:dyDescent="0.2">
      <c r="A42" s="1"/>
      <c r="B42" s="68">
        <f>IF(ISERROR(RANK(I42,I38:I47)),"",(RANK(I42,I38:I47)))</f>
        <v>5</v>
      </c>
      <c r="C42" s="144" t="str">
        <f t="array" ref="C42">IF(ISNUMBER(I42),INDEX('Mens Averages'!$G$8:$G$343,SMALL(IF('Mens Averages'!$AJ$8:$AJ$343=I42,ROW('Mens Averages'!$AJ$8:$AJ$343)-ROW('Mens Averages'!$AJ$8)+1),COUNTIF(I$38:I42,I42))),"")</f>
        <v>Carl Beattie</v>
      </c>
      <c r="D42" s="145" t="str">
        <f t="array" ref="D42">IF(ISNUMBER(I42),INDEX('Mens Averages'!$H$8:$H$343,SMALL(IF('Mens Averages'!$AJ$8:$AJ$343=I42,ROW('Mens Averages'!$AJ$8:$AJ$343)-ROW('Mens Averages'!$AJ$8)+1),COUNTIF(I$38:I42,I42))),"")</f>
        <v>Poo</v>
      </c>
      <c r="E42" s="146" t="str">
        <f t="array" ref="E42">IF(ISERROR(IF(LEFT(INDEX('Mens Averages'!$AI$8:$AI$343,MATCH('Weekly Top 10'!I42,'Mens Averages'!$AJ$8:$AJ$343,0)),1)="4","Y","N")),"",(IF(LEFT(INDEX('Mens Averages'!$AI$8:$AI$343,MATCH('Weekly Top 10'!I42,'Mens Averages'!$AJ$8:$AJ$343,0)),1)="4","Y","N")))</f>
        <v>Y</v>
      </c>
      <c r="F42" s="146" t="str">
        <f t="array" ref="F42">IF(ISERROR(LEFT(INDEX('Mens Averages'!$AI$8:$AI$343,MATCH('Weekly Top 10'!I42,'Mens Averages'!$AJ$8:$AJ$343,0)),1)),"",(LEFT(INDEX('Mens Averages'!$AI$8:$AI$343,MATCH('Weekly Top 10'!I42,'Mens Averages'!$AJ$8:$AJ$343,0)),1)))</f>
        <v>4</v>
      </c>
      <c r="G42" s="146" t="str">
        <f t="array" ref="G42">IF(ISERROR(RIGHT(LEFT(INDEX('Mens Averages'!$AI$8:$AI$343,MATCH('Weekly Top 10'!I42,'Mens Averages'!$AJ$8:$AJ$343,0)),3),1)),"",(RIGHT(LEFT(INDEX('Mens Averages'!$AI$8:$AI$343,MATCH('Weekly Top 10'!I42,'Mens Averages'!$AJ$8:$AJ$343,0)),3),1)))</f>
        <v>1</v>
      </c>
      <c r="H42" s="145">
        <f t="array" ref="H42">IF(ISNUMBER(I42),INDEX('Mens Averages'!$P$8:$P$343,SMALL(IF('Mens Averages'!$AJ$8:$AJ$343=I42,ROW('Mens Averages'!$AJ$8:$AJ$343)-ROW('Mens Averages'!$AJ$8)+1),COUNTIF(I$38:I51,I42))),"")</f>
        <v>28.59</v>
      </c>
      <c r="I42" s="147">
        <f>IF(ISERROR(LARGE('Mens Averages'!$AJ$8:$AJ$343,5)),"",(LARGE('Mens Averages'!$AJ$8:$AJ$343,5)))</f>
        <v>29.59</v>
      </c>
      <c r="J42" s="1"/>
      <c r="K42" s="68">
        <f>IF(ISERROR(RANK(R42,R38:R47)),"",(RANK(R42,R38:R47)))</f>
        <v>5</v>
      </c>
      <c r="L42" s="144" t="str">
        <f t="array" ref="L42">IF(ISNUMBER(R42),INDEX('Mens Averages'!$G$8:$G$343,SMALL(IF('Mens Averages'!$AT$8:$AT$343=R42,ROW('Mens Averages'!$AT$8:$AT$343)-ROW('Mens Averages'!$AT$8)+1),COUNTIF(R$38:R42,R42))),"")</f>
        <v>Steve O'marah</v>
      </c>
      <c r="M42" s="145" t="str">
        <f t="array" ref="M42">IF(ISNUMBER(R42),INDEX('Mens Averages'!$H$8:$H$343,SMALL(IF('Mens Averages'!$AT$8:$AT$343=R42,ROW('Mens Averages'!$AT$8:$AT$343)-ROW('Mens Averages'!$AT$8)+1),COUNTIF(R$38:R42,R42))),"")</f>
        <v>Ald</v>
      </c>
      <c r="N42" s="146" t="str">
        <f t="array" ref="N42">IF(ISERROR(IF(LEFT(INDEX('Mens Averages'!$AS$8:$AS$343,MATCH('Weekly Top 10'!R42,'Mens Averages'!$AT$8:$AT$343,0)),1)="4","Y","N")),"",(IF(LEFT(INDEX('Mens Averages'!$AS$8:$AS$343,MATCH('Weekly Top 10'!R42,'Mens Averages'!$AT$8:$AT$343,0)),1)="4","Y","N")))</f>
        <v>Y</v>
      </c>
      <c r="O42" s="146" t="str">
        <f t="array" ref="O42">IF(ISERROR(LEFT(INDEX('Mens Averages'!$AS$8:$AS$343,MATCH('Weekly Top 10'!R42,'Mens Averages'!$AT$8:$AT$343,0)),1)),"",(LEFT(INDEX('Mens Averages'!$AS$8:$AS$343,MATCH('Weekly Top 10'!R42,'Mens Averages'!$AT$8:$AT$343,0)),1)))</f>
        <v>4</v>
      </c>
      <c r="P42" s="146" t="str">
        <f t="array" ref="P42">IF(ISERROR(RIGHT(LEFT(INDEX('Mens Averages'!$AS$8:$AS$343,MATCH('Weekly Top 10'!R42,'Mens Averages'!$AT$8:$AT$343,0)),3),1)),"",(RIGHT(LEFT(INDEX('Mens Averages'!$AS$8:$AS$343,MATCH('Weekly Top 10'!R42,'Mens Averages'!$AT$8:$AT$343,0)),3),1)))</f>
        <v>2</v>
      </c>
      <c r="Q42" s="145">
        <f t="array" ref="Q42">IF(ISNUMBER(R42),INDEX('Mens Averages'!$U$8:$U$343,SMALL(IF('Mens Averages'!$AT$8:$AT$343=R42,ROW('Mens Averages'!$AT$8:$AT$343)-ROW('Mens Averages'!$AT$8)+1),COUNTIF(R$38:R51,R42))),"")</f>
        <v>27.67</v>
      </c>
      <c r="R42" s="147">
        <f>IF(ISERROR(LARGE('Mens Averages'!$AT$8:$AT$343,5)),"",(LARGE('Mens Averages'!$AT$8:$AT$343,5)))</f>
        <v>28.67</v>
      </c>
      <c r="S42" s="1"/>
      <c r="T42" s="68">
        <f>IF(ISERROR(RANK(AA42,AA38:AA47)),"",(RANK(AA42,AA38:AA47)))</f>
        <v>5</v>
      </c>
      <c r="U42" s="144" t="str">
        <f t="array" ref="U42">IF(ISNUMBER(AA42),INDEX('Mens Averages'!$G$8:$G$343,SMALL(IF('Mens Averages'!$BD$8:$BD$343=AA42,ROW('Mens Averages'!$BD$8:$BD$343)-ROW('Mens Averages'!$BD$8)+1),COUNTIF(AA$38:AA42,AA42))),"")</f>
        <v>Scott Mitchell</v>
      </c>
      <c r="V42" s="146" t="str">
        <f t="array" ref="V42">IF(ISNUMBER(AA42),INDEX('Mens Averages'!$H$8:$H$343,SMALL(IF('Mens Averages'!$BD$8:$BD$343=AA42,ROW('Mens Averages'!$BD$8:$BD$343)-ROW('Mens Averages'!$BD$8)+1),COUNTIF(AA$38:AA42,AA42))),"")</f>
        <v>Lyt</v>
      </c>
      <c r="W42" s="146" t="str">
        <f t="array" ref="W42">IF(ISERROR(IF(LEFT(INDEX('Mens Averages'!$BC$8:$BC$343,MATCH('Weekly Top 10'!AA42,'Mens Averages'!$BD$8:$BD$343,0)),1)="4","Y","N")),"",(IF(LEFT(INDEX('Mens Averages'!$BC$8:$BC$343,MATCH('Weekly Top 10'!AA42,'Mens Averages'!$BD$8:$BD$343,0)),1)="4","Y","N")))</f>
        <v>Y</v>
      </c>
      <c r="X42" s="146" t="str">
        <f t="array" ref="X42">IF(ISERROR(LEFT(INDEX('Mens Averages'!$BC$8:$BC$343,MATCH('Weekly Top 10'!AA42,'Mens Averages'!$BD$8:$BD$343,0)),1)),"",(LEFT(INDEX('Mens Averages'!$BC$8:$BC$343,MATCH('Weekly Top 10'!AA42,'Mens Averages'!$BD$8:$BD$343,0)),1)))</f>
        <v>4</v>
      </c>
      <c r="Y42" s="146" t="str">
        <f t="array" ref="Y42">IF(ISERROR(RIGHT(LEFT(INDEX('Mens Averages'!$BC$8:$BC$343,MATCH('Weekly Top 10'!AA42,'Mens Averages'!$BD$8:$BD$343,0)),3),1)),"",(RIGHT(LEFT(INDEX('Mens Averages'!$BC$8:$BC$343,MATCH('Weekly Top 10'!AA42,'Mens Averages'!$BD$8:$BD$343,0)),3),1)))</f>
        <v>1</v>
      </c>
      <c r="Z42" s="145">
        <f t="array" ref="Z42">IF(ISNUMBER(AA42),INDEX('Mens Averages'!$Z$8:$Z$343,SMALL(IF('Mens Averages'!$BD$8:$BD$343=AA42,ROW('Mens Averages'!$BD$8:$BD$343)-ROW('Mens Averages'!$BD$8)+1),COUNTIF(AA$38:AA51,AA42))),"")</f>
        <v>28.03</v>
      </c>
      <c r="AA42" s="147">
        <f>IF(ISERROR(LARGE('Mens Averages'!$BD$8:$BD$343,5)),"",(LARGE('Mens Averages'!$BD$8:$BD$343,5)))</f>
        <v>29.03</v>
      </c>
      <c r="AB42" s="1"/>
      <c r="AC42" s="1"/>
      <c r="AD42" s="1"/>
      <c r="AE42" s="1"/>
    </row>
    <row r="43" spans="1:31" ht="16.5" customHeight="1" x14ac:dyDescent="0.2">
      <c r="A43" s="1"/>
      <c r="B43" s="68">
        <f>IF(ISERROR(RANK(I43,I38:I47)),"",(RANK(I43,I38:I47)))</f>
        <v>6</v>
      </c>
      <c r="C43" s="144" t="str">
        <f t="array" ref="C43">IF(ISNUMBER(I43),INDEX('Mens Averages'!$G$8:$G$343,SMALL(IF('Mens Averages'!$AJ$8:$AJ$343=I43,ROW('Mens Averages'!$AJ$8:$AJ$343)-ROW('Mens Averages'!$AJ$8)+1),COUNTIF(I$38:I43,I43))),"")</f>
        <v>David Elm</v>
      </c>
      <c r="D43" s="145" t="str">
        <f t="array" ref="D43">IF(ISNUMBER(I43),INDEX('Mens Averages'!$H$8:$H$343,SMALL(IF('Mens Averages'!$AJ$8:$AJ$343=I43,ROW('Mens Averages'!$AJ$8:$AJ$343)-ROW('Mens Averages'!$AJ$8)+1),COUNTIF(I$38:I43,I43))),"")</f>
        <v>Swa</v>
      </c>
      <c r="E43" s="146" t="str">
        <f t="array" ref="E43">IF(ISERROR(IF(LEFT(INDEX('Mens Averages'!$AI$8:$AI$343,MATCH('Weekly Top 10'!I43,'Mens Averages'!$AJ$8:$AJ$343,0)),1)="4","Y","N")),"",(IF(LEFT(INDEX('Mens Averages'!$AI$8:$AI$343,MATCH('Weekly Top 10'!I43,'Mens Averages'!$AJ$8:$AJ$343,0)),1)="4","Y","N")))</f>
        <v>Y</v>
      </c>
      <c r="F43" s="146" t="str">
        <f t="array" ref="F43">IF(ISERROR(LEFT(INDEX('Mens Averages'!$AI$8:$AI$343,MATCH('Weekly Top 10'!I43,'Mens Averages'!$AJ$8:$AJ$343,0)),1)),"",(LEFT(INDEX('Mens Averages'!$AI$8:$AI$343,MATCH('Weekly Top 10'!I43,'Mens Averages'!$AJ$8:$AJ$343,0)),1)))</f>
        <v>4</v>
      </c>
      <c r="G43" s="146" t="str">
        <f t="array" ref="G43">IF(ISERROR(RIGHT(LEFT(INDEX('Mens Averages'!$AI$8:$AI$343,MATCH('Weekly Top 10'!I43,'Mens Averages'!$AJ$8:$AJ$343,0)),3),1)),"",(RIGHT(LEFT(INDEX('Mens Averages'!$AI$8:$AI$343,MATCH('Weekly Top 10'!I43,'Mens Averages'!$AJ$8:$AJ$343,0)),3),1)))</f>
        <v>2</v>
      </c>
      <c r="H43" s="145">
        <f t="array" ref="H43">IF(ISNUMBER(I43),INDEX('Mens Averages'!$P$8:$P$343,SMALL(IF('Mens Averages'!$AJ$8:$AJ$343=I43,ROW('Mens Averages'!$AJ$8:$AJ$343)-ROW('Mens Averages'!$AJ$8)+1),COUNTIF(I$38:I52,I43))),"")</f>
        <v>27.94</v>
      </c>
      <c r="I43" s="147">
        <f>IF(ISERROR(LARGE('Mens Averages'!$AJ$8:$AJ$343,6)),"",(LARGE('Mens Averages'!$AJ$8:$AJ$343,6)))</f>
        <v>28.94</v>
      </c>
      <c r="J43" s="1"/>
      <c r="K43" s="68">
        <f>IF(ISERROR(RANK(R43,R38:R47)),"",(RANK(R43,R38:R47)))</f>
        <v>6</v>
      </c>
      <c r="L43" s="144" t="str">
        <f t="array" ref="L43">IF(ISNUMBER(R43),INDEX('Mens Averages'!$G$8:$G$343,SMALL(IF('Mens Averages'!$AT$8:$AT$343=R43,ROW('Mens Averages'!$AT$8:$AT$343)-ROW('Mens Averages'!$AT$8)+1),COUNTIF(R$38:R43,R43))),"")</f>
        <v>Tommy Morris</v>
      </c>
      <c r="M43" s="145" t="str">
        <f t="array" ref="M43">IF(ISNUMBER(R43),INDEX('Mens Averages'!$H$8:$H$343,SMALL(IF('Mens Averages'!$AT$8:$AT$343=R43,ROW('Mens Averages'!$AT$8:$AT$343)-ROW('Mens Averages'!$AT$8)+1),COUNTIF(R$38:R43,R43))),"")</f>
        <v>Chr</v>
      </c>
      <c r="N43" s="146" t="str">
        <f t="array" ref="N43">IF(ISERROR(IF(LEFT(INDEX('Mens Averages'!$AS$8:$AS$343,MATCH('Weekly Top 10'!R43,'Mens Averages'!$AT$8:$AT$343,0)),1)="4","Y","N")),"",(IF(LEFT(INDEX('Mens Averages'!$AS$8:$AS$343,MATCH('Weekly Top 10'!R43,'Mens Averages'!$AT$8:$AT$343,0)),1)="4","Y","N")))</f>
        <v>Y</v>
      </c>
      <c r="O43" s="146" t="str">
        <f t="array" ref="O43">IF(ISERROR(LEFT(INDEX('Mens Averages'!$AS$8:$AS$343,MATCH('Weekly Top 10'!R43,'Mens Averages'!$AT$8:$AT$343,0)),1)),"",(LEFT(INDEX('Mens Averages'!$AS$8:$AS$343,MATCH('Weekly Top 10'!R43,'Mens Averages'!$AT$8:$AT$343,0)),1)))</f>
        <v>4</v>
      </c>
      <c r="P43" s="146" t="str">
        <f t="array" ref="P43">IF(ISERROR(RIGHT(LEFT(INDEX('Mens Averages'!$AS$8:$AS$343,MATCH('Weekly Top 10'!R43,'Mens Averages'!$AT$8:$AT$343,0)),3),1)),"",(RIGHT(LEFT(INDEX('Mens Averages'!$AS$8:$AS$343,MATCH('Weekly Top 10'!R43,'Mens Averages'!$AT$8:$AT$343,0)),3),1)))</f>
        <v>1</v>
      </c>
      <c r="Q43" s="145">
        <f t="array" ref="Q43">IF(ISNUMBER(R43),INDEX('Mens Averages'!$U$8:$U$343,SMALL(IF('Mens Averages'!$AT$8:$AT$343=R43,ROW('Mens Averages'!$AT$8:$AT$343)-ROW('Mens Averages'!$AT$8)+1),COUNTIF(R$38:R52,R43))),"")</f>
        <v>26.72</v>
      </c>
      <c r="R43" s="147">
        <f>IF(ISERROR(LARGE('Mens Averages'!$AT$8:$AT$343,6)),"",(LARGE('Mens Averages'!$AT$8:$AT$343,6)))</f>
        <v>27.72</v>
      </c>
      <c r="S43" s="1"/>
      <c r="T43" s="68">
        <f>IF(ISERROR(RANK(AA43,AA38:AA47)),"",(RANK(AA43,AA38:AA47)))</f>
        <v>6</v>
      </c>
      <c r="U43" s="144" t="str">
        <f t="array" ref="U43">IF(ISNUMBER(AA43),INDEX('Mens Averages'!$G$8:$G$343,SMALL(IF('Mens Averages'!$BD$8:$BD$343=AA43,ROW('Mens Averages'!$BD$8:$BD$343)-ROW('Mens Averages'!$BD$8)+1),COUNTIF(AA$38:AA43,AA43))),"")</f>
        <v>Tim Clothier</v>
      </c>
      <c r="V43" s="146" t="str">
        <f t="array" ref="V43">IF(ISNUMBER(AA43),INDEX('Mens Averages'!$H$8:$H$343,SMALL(IF('Mens Averages'!$BD$8:$BD$343=AA43,ROW('Mens Averages'!$BD$8:$BD$343)-ROW('Mens Averages'!$BD$8)+1),COUNTIF(AA$38:AA43,AA43))),"")</f>
        <v>Ald</v>
      </c>
      <c r="W43" s="146" t="str">
        <f t="array" ref="W43">IF(ISERROR(IF(LEFT(INDEX('Mens Averages'!$BC$8:$BC$343,MATCH('Weekly Top 10'!AA43,'Mens Averages'!$BD$8:$BD$343,0)),1)="4","Y","N")),"",(IF(LEFT(INDEX('Mens Averages'!$BC$8:$BC$343,MATCH('Weekly Top 10'!AA43,'Mens Averages'!$BD$8:$BD$343,0)),1)="4","Y","N")))</f>
        <v>Y</v>
      </c>
      <c r="X43" s="146" t="str">
        <f t="array" ref="X43">IF(ISERROR(LEFT(INDEX('Mens Averages'!$BC$8:$BC$343,MATCH('Weekly Top 10'!AA43,'Mens Averages'!$BD$8:$BD$343,0)),1)),"",(LEFT(INDEX('Mens Averages'!$BC$8:$BC$343,MATCH('Weekly Top 10'!AA43,'Mens Averages'!$BD$8:$BD$343,0)),1)))</f>
        <v>4</v>
      </c>
      <c r="Y43" s="146" t="str">
        <f t="array" ref="Y43">IF(ISERROR(RIGHT(LEFT(INDEX('Mens Averages'!$BC$8:$BC$343,MATCH('Weekly Top 10'!AA43,'Mens Averages'!$BD$8:$BD$343,0)),3),1)),"",(RIGHT(LEFT(INDEX('Mens Averages'!$BC$8:$BC$343,MATCH('Weekly Top 10'!AA43,'Mens Averages'!$BD$8:$BD$343,0)),3),1)))</f>
        <v>1</v>
      </c>
      <c r="Z43" s="145">
        <f t="array" ref="Z43">IF(ISNUMBER(AA43),INDEX('Mens Averages'!$Z$8:$Z$343,SMALL(IF('Mens Averages'!$BD$8:$BD$343=AA43,ROW('Mens Averages'!$BD$8:$BD$343)-ROW('Mens Averages'!$BD$8)+1),COUNTIF(AA$38:AA52,AA43))),"")</f>
        <v>27.21</v>
      </c>
      <c r="AA43" s="147">
        <f>IF(ISERROR(LARGE('Mens Averages'!$BD$8:$BD$343,6)),"",(LARGE('Mens Averages'!$BD$8:$BD$343,6)))</f>
        <v>28.21</v>
      </c>
      <c r="AB43" s="1"/>
      <c r="AC43" s="1"/>
      <c r="AD43" s="1"/>
      <c r="AE43" s="1"/>
    </row>
    <row r="44" spans="1:31" ht="16.5" customHeight="1" x14ac:dyDescent="0.2">
      <c r="A44" s="1"/>
      <c r="B44" s="68">
        <f>IF(ISERROR(RANK(I44,I38:I47)),"",(RANK(I44,I38:I47)))</f>
        <v>7</v>
      </c>
      <c r="C44" s="144" t="str">
        <f t="array" ref="C44">IF(ISNUMBER(I44),INDEX('Mens Averages'!$G$8:$G$343,SMALL(IF('Mens Averages'!$AJ$8:$AJ$343=I44,ROW('Mens Averages'!$AJ$8:$AJ$343)-ROW('Mens Averages'!$AJ$8)+1),COUNTIF(I$38:I44,I44))),"")</f>
        <v>Danny Pearce</v>
      </c>
      <c r="D44" s="145" t="str">
        <f t="array" ref="D44">IF(ISNUMBER(I44),INDEX('Mens Averages'!$H$8:$H$343,SMALL(IF('Mens Averages'!$AJ$8:$AJ$343=I44,ROW('Mens Averages'!$AJ$8:$AJ$343)-ROW('Mens Averages'!$AJ$8)+1),COUNTIF(I$38:I44,I44))),"")</f>
        <v>Lyt</v>
      </c>
      <c r="E44" s="146" t="str">
        <f t="array" ref="E44">IF(ISERROR(IF(LEFT(INDEX('Mens Averages'!$AI$8:$AI$343,MATCH('Weekly Top 10'!I44,'Mens Averages'!$AJ$8:$AJ$343,0)),1)="4","Y","N")),"",(IF(LEFT(INDEX('Mens Averages'!$AI$8:$AI$343,MATCH('Weekly Top 10'!I44,'Mens Averages'!$AJ$8:$AJ$343,0)),1)="4","Y","N")))</f>
        <v>Y</v>
      </c>
      <c r="F44" s="146" t="str">
        <f t="array" ref="F44">IF(ISERROR(LEFT(INDEX('Mens Averages'!$AI$8:$AI$343,MATCH('Weekly Top 10'!I44,'Mens Averages'!$AJ$8:$AJ$343,0)),1)),"",(LEFT(INDEX('Mens Averages'!$AI$8:$AI$343,MATCH('Weekly Top 10'!I44,'Mens Averages'!$AJ$8:$AJ$343,0)),1)))</f>
        <v>4</v>
      </c>
      <c r="G44" s="146" t="str">
        <f t="array" ref="G44">IF(ISERROR(RIGHT(LEFT(INDEX('Mens Averages'!$AI$8:$AI$343,MATCH('Weekly Top 10'!I44,'Mens Averages'!$AJ$8:$AJ$343,0)),3),1)),"",(RIGHT(LEFT(INDEX('Mens Averages'!$AI$8:$AI$343,MATCH('Weekly Top 10'!I44,'Mens Averages'!$AJ$8:$AJ$343,0)),3),1)))</f>
        <v>1</v>
      </c>
      <c r="H44" s="145">
        <f t="array" ref="H44">IF(ISNUMBER(I44),INDEX('Mens Averages'!$P$8:$P$343,SMALL(IF('Mens Averages'!$AJ$8:$AJ$343=I44,ROW('Mens Averages'!$AJ$8:$AJ$343)-ROW('Mens Averages'!$AJ$8)+1),COUNTIF(I$38:I53,I44))),"")</f>
        <v>27.7</v>
      </c>
      <c r="I44" s="147">
        <f>IF(ISERROR(LARGE('Mens Averages'!$AJ$8:$AJ$343,7)),"",(LARGE('Mens Averages'!$AJ$8:$AJ$343,7)))</f>
        <v>28.7</v>
      </c>
      <c r="J44" s="1"/>
      <c r="K44" s="68">
        <f>IF(ISERROR(RANK(R44,R38:R47)),"",(RANK(R44,R38:R47)))</f>
        <v>7</v>
      </c>
      <c r="L44" s="144" t="str">
        <f t="array" ref="L44">IF(ISNUMBER(R44),INDEX('Mens Averages'!$G$8:$G$343,SMALL(IF('Mens Averages'!$AT$8:$AT$343=R44,ROW('Mens Averages'!$AT$8:$AT$343)-ROW('Mens Averages'!$AT$8)+1),COUNTIF(R$38:R44,R44))),"")</f>
        <v>Henry Cooper</v>
      </c>
      <c r="M44" s="145" t="str">
        <f t="array" ref="M44">IF(ISNUMBER(R44),INDEX('Mens Averages'!$H$8:$H$343,SMALL(IF('Mens Averages'!$AT$8:$AT$343=R44,ROW('Mens Averages'!$AT$8:$AT$343)-ROW('Mens Averages'!$AT$8)+1),COUNTIF(R$38:R44,R44))),"")</f>
        <v>Dor</v>
      </c>
      <c r="N44" s="146" t="str">
        <f t="array" ref="N44">IF(ISERROR(IF(LEFT(INDEX('Mens Averages'!$AS$8:$AS$343,MATCH('Weekly Top 10'!R44,'Mens Averages'!$AT$8:$AT$343,0)),1)="4","Y","N")),"",(IF(LEFT(INDEX('Mens Averages'!$AS$8:$AS$343,MATCH('Weekly Top 10'!R44,'Mens Averages'!$AT$8:$AT$343,0)),1)="4","Y","N")))</f>
        <v>Y</v>
      </c>
      <c r="O44" s="146" t="str">
        <f t="array" ref="O44">IF(ISERROR(LEFT(INDEX('Mens Averages'!$AS$8:$AS$343,MATCH('Weekly Top 10'!R44,'Mens Averages'!$AT$8:$AT$343,0)),1)),"",(LEFT(INDEX('Mens Averages'!$AS$8:$AS$343,MATCH('Weekly Top 10'!R44,'Mens Averages'!$AT$8:$AT$343,0)),1)))</f>
        <v>4</v>
      </c>
      <c r="P44" s="146" t="str">
        <f t="array" ref="P44">IF(ISERROR(RIGHT(LEFT(INDEX('Mens Averages'!$AS$8:$AS$343,MATCH('Weekly Top 10'!R44,'Mens Averages'!$AT$8:$AT$343,0)),3),1)),"",(RIGHT(LEFT(INDEX('Mens Averages'!$AS$8:$AS$343,MATCH('Weekly Top 10'!R44,'Mens Averages'!$AT$8:$AT$343,0)),3),1)))</f>
        <v>3</v>
      </c>
      <c r="Q44" s="145">
        <f t="array" ref="Q44">IF(ISNUMBER(R44),INDEX('Mens Averages'!$U$8:$U$343,SMALL(IF('Mens Averages'!$AT$8:$AT$343=R44,ROW('Mens Averages'!$AT$8:$AT$343)-ROW('Mens Averages'!$AT$8)+1),COUNTIF(R$38:R53,R44))),"")</f>
        <v>26.39</v>
      </c>
      <c r="R44" s="147">
        <f>IF(ISERROR(LARGE('Mens Averages'!$AT$8:$AT$343,7)),"",(LARGE('Mens Averages'!$AT$8:$AT$343,7)))</f>
        <v>27.39</v>
      </c>
      <c r="S44" s="1"/>
      <c r="T44" s="68">
        <f>IF(ISERROR(RANK(AA44,AA38:AA47)),"",(RANK(AA44,AA38:AA47)))</f>
        <v>7</v>
      </c>
      <c r="U44" s="144" t="str">
        <f t="array" ref="U44">IF(ISNUMBER(AA44),INDEX('Mens Averages'!$G$8:$G$343,SMALL(IF('Mens Averages'!$BD$8:$BD$343=AA44,ROW('Mens Averages'!$BD$8:$BD$343)-ROW('Mens Averages'!$BD$8)+1),COUNTIF(AA$38:AA44,AA44))),"")</f>
        <v>David Elm</v>
      </c>
      <c r="V44" s="146" t="str">
        <f t="array" ref="V44">IF(ISNUMBER(AA44),INDEX('Mens Averages'!$H$8:$H$343,SMALL(IF('Mens Averages'!$BD$8:$BD$343=AA44,ROW('Mens Averages'!$BD$8:$BD$343)-ROW('Mens Averages'!$BD$8)+1),COUNTIF(AA$38:AA44,AA44))),"")</f>
        <v>Swa</v>
      </c>
      <c r="W44" s="146" t="str">
        <f t="array" ref="W44">IF(ISERROR(IF(LEFT(INDEX('Mens Averages'!$BC$8:$BC$343,MATCH('Weekly Top 10'!AA44,'Mens Averages'!$BD$8:$BD$343,0)),1)="4","Y","N")),"",(IF(LEFT(INDEX('Mens Averages'!$BC$8:$BC$343,MATCH('Weekly Top 10'!AA44,'Mens Averages'!$BD$8:$BD$343,0)),1)="4","Y","N")))</f>
        <v>Y</v>
      </c>
      <c r="X44" s="146" t="str">
        <f t="array" ref="X44">IF(ISERROR(LEFT(INDEX('Mens Averages'!$BC$8:$BC$343,MATCH('Weekly Top 10'!AA44,'Mens Averages'!$BD$8:$BD$343,0)),1)),"",(LEFT(INDEX('Mens Averages'!$BC$8:$BC$343,MATCH('Weekly Top 10'!AA44,'Mens Averages'!$BD$8:$BD$343,0)),1)))</f>
        <v>4</v>
      </c>
      <c r="Y44" s="146" t="str">
        <f t="array" ref="Y44">IF(ISERROR(RIGHT(LEFT(INDEX('Mens Averages'!$BC$8:$BC$343,MATCH('Weekly Top 10'!AA44,'Mens Averages'!$BD$8:$BD$343,0)),3),1)),"",(RIGHT(LEFT(INDEX('Mens Averages'!$BC$8:$BC$343,MATCH('Weekly Top 10'!AA44,'Mens Averages'!$BD$8:$BD$343,0)),3),1)))</f>
        <v>1</v>
      </c>
      <c r="Z44" s="145">
        <f t="array" ref="Z44">IF(ISNUMBER(AA44),INDEX('Mens Averages'!$Z$8:$Z$343,SMALL(IF('Mens Averages'!$BD$8:$BD$343=AA44,ROW('Mens Averages'!$BD$8:$BD$343)-ROW('Mens Averages'!$BD$8)+1),COUNTIF(AA$38:AA53,AA44))),"")</f>
        <v>26.72</v>
      </c>
      <c r="AA44" s="147">
        <f>IF(ISERROR(LARGE('Mens Averages'!$BD$8:$BD$343,7)),"",(LARGE('Mens Averages'!$BD$8:$BD$343,7)))</f>
        <v>27.72</v>
      </c>
      <c r="AB44" s="1"/>
      <c r="AC44" s="1"/>
      <c r="AD44" s="1"/>
      <c r="AE44" s="1"/>
    </row>
    <row r="45" spans="1:31" ht="16.5" customHeight="1" x14ac:dyDescent="0.2">
      <c r="A45" s="1"/>
      <c r="B45" s="68">
        <f>IF(ISERROR(RANK(I45,I38:I47)),"",(RANK(I45,I38:I47)))</f>
        <v>8</v>
      </c>
      <c r="C45" s="144" t="str">
        <f t="array" ref="C45">IF(ISNUMBER(I45),INDEX('Mens Averages'!$G$8:$G$343,SMALL(IF('Mens Averages'!$AJ$8:$AJ$343=I45,ROW('Mens Averages'!$AJ$8:$AJ$343)-ROW('Mens Averages'!$AJ$8)+1),COUNTIF(I$38:I45,I45))),"")</f>
        <v>Scott Mitchell</v>
      </c>
      <c r="D45" s="145" t="str">
        <f t="array" ref="D45">IF(ISNUMBER(I45),INDEX('Mens Averages'!$H$8:$H$343,SMALL(IF('Mens Averages'!$AJ$8:$AJ$343=I45,ROW('Mens Averages'!$AJ$8:$AJ$343)-ROW('Mens Averages'!$AJ$8)+1),COUNTIF(I$38:I45,I45))),"")</f>
        <v>Lyt</v>
      </c>
      <c r="E45" s="146" t="str">
        <f t="array" ref="E45">IF(ISERROR(IF(LEFT(INDEX('Mens Averages'!$AI$8:$AI$343,MATCH('Weekly Top 10'!I45,'Mens Averages'!$AJ$8:$AJ$343,0)),1)="4","Y","N")),"",(IF(LEFT(INDEX('Mens Averages'!$AI$8:$AI$343,MATCH('Weekly Top 10'!I45,'Mens Averages'!$AJ$8:$AJ$343,0)),1)="4","Y","N")))</f>
        <v>Y</v>
      </c>
      <c r="F45" s="146" t="str">
        <f t="array" ref="F45">IF(ISERROR(LEFT(INDEX('Mens Averages'!$AI$8:$AI$343,MATCH('Weekly Top 10'!I45,'Mens Averages'!$AJ$8:$AJ$343,0)),1)),"",(LEFT(INDEX('Mens Averages'!$AI$8:$AI$343,MATCH('Weekly Top 10'!I45,'Mens Averages'!$AJ$8:$AJ$343,0)),1)))</f>
        <v>4</v>
      </c>
      <c r="G45" s="146" t="str">
        <f t="array" ref="G45">IF(ISERROR(RIGHT(LEFT(INDEX('Mens Averages'!$AI$8:$AI$343,MATCH('Weekly Top 10'!I45,'Mens Averages'!$AJ$8:$AJ$343,0)),3),1)),"",(RIGHT(LEFT(INDEX('Mens Averages'!$AI$8:$AI$343,MATCH('Weekly Top 10'!I45,'Mens Averages'!$AJ$8:$AJ$343,0)),3),1)))</f>
        <v>0</v>
      </c>
      <c r="H45" s="145">
        <f t="array" ref="H45">IF(ISNUMBER(I45),INDEX('Mens Averages'!$P$8:$P$343,SMALL(IF('Mens Averages'!$AJ$8:$AJ$343=I45,ROW('Mens Averages'!$AJ$8:$AJ$343)-ROW('Mens Averages'!$AJ$8)+1),COUNTIF(I$38:I54,I45))),"")</f>
        <v>27.45</v>
      </c>
      <c r="I45" s="147">
        <f>IF(ISERROR(LARGE('Mens Averages'!$AJ$8:$AJ$343,8)),"",(LARGE('Mens Averages'!$AJ$8:$AJ$343,8)))</f>
        <v>28.45</v>
      </c>
      <c r="J45" s="1"/>
      <c r="K45" s="68">
        <f>IF(ISERROR(RANK(R45,R38:R47)),"",(RANK(R45,R38:R47)))</f>
        <v>7</v>
      </c>
      <c r="L45" s="144" t="str">
        <f t="array" ref="L45">IF(ISNUMBER(R45),INDEX('Mens Averages'!$G$8:$G$343,SMALL(IF('Mens Averages'!$AT$8:$AT$343=R45,ROW('Mens Averages'!$AT$8:$AT$343)-ROW('Mens Averages'!$AT$8)+1),COUNTIF(R$38:R45,R45))),"")</f>
        <v>Daniel Rawlings</v>
      </c>
      <c r="M45" s="145" t="str">
        <f t="array" ref="M45">IF(ISNUMBER(R45),INDEX('Mens Averages'!$H$8:$H$343,SMALL(IF('Mens Averages'!$AT$8:$AT$343=R45,ROW('Mens Averages'!$AT$8:$AT$343)-ROW('Mens Averages'!$AT$8)+1),COUNTIF(R$38:R45,R45))),"")</f>
        <v>Bri</v>
      </c>
      <c r="N45" s="146" t="str">
        <f t="array" ref="N45">IF(ISERROR(IF(LEFT(INDEX('Mens Averages'!$AS$8:$AS$343,MATCH('Weekly Top 10'!R45,'Mens Averages'!$AT$8:$AT$343,0)),1)="4","Y","N")),"",(IF(LEFT(INDEX('Mens Averages'!$AS$8:$AS$343,MATCH('Weekly Top 10'!R45,'Mens Averages'!$AT$8:$AT$343,0)),1)="4","Y","N")))</f>
        <v>Y</v>
      </c>
      <c r="O45" s="146" t="str">
        <f t="array" ref="O45">IF(ISERROR(LEFT(INDEX('Mens Averages'!$AS$8:$AS$343,MATCH('Weekly Top 10'!R45,'Mens Averages'!$AT$8:$AT$343,0)),1)),"",(LEFT(INDEX('Mens Averages'!$AS$8:$AS$343,MATCH('Weekly Top 10'!R45,'Mens Averages'!$AT$8:$AT$343,0)),1)))</f>
        <v>4</v>
      </c>
      <c r="P45" s="146" t="str">
        <f t="array" ref="P45">IF(ISERROR(RIGHT(LEFT(INDEX('Mens Averages'!$AS$8:$AS$343,MATCH('Weekly Top 10'!R45,'Mens Averages'!$AT$8:$AT$343,0)),3),1)),"",(RIGHT(LEFT(INDEX('Mens Averages'!$AS$8:$AS$343,MATCH('Weekly Top 10'!R45,'Mens Averages'!$AT$8:$AT$343,0)),3),1)))</f>
        <v>3</v>
      </c>
      <c r="Q45" s="145">
        <f t="array" ref="Q45">IF(ISNUMBER(R45),INDEX('Mens Averages'!$U$8:$U$343,SMALL(IF('Mens Averages'!$AT$8:$AT$343=R45,ROW('Mens Averages'!$AT$8:$AT$343)-ROW('Mens Averages'!$AT$8)+1),COUNTIF(R$38:R54,R45))),"")</f>
        <v>26.39</v>
      </c>
      <c r="R45" s="147">
        <f>IF(ISERROR(LARGE('Mens Averages'!$AT$8:$AT$343,8)),"",(LARGE('Mens Averages'!$AT$8:$AT$343,8)))</f>
        <v>27.39</v>
      </c>
      <c r="S45" s="1"/>
      <c r="T45" s="68">
        <f>IF(ISERROR(RANK(AA45,AA38:AA47)),"",(RANK(AA45,AA38:AA47)))</f>
        <v>8</v>
      </c>
      <c r="U45" s="144" t="str">
        <f t="array" ref="U45">IF(ISNUMBER(AA45),INDEX('Mens Averages'!$G$8:$G$343,SMALL(IF('Mens Averages'!$BD$8:$BD$343=AA45,ROW('Mens Averages'!$BD$8:$BD$343)-ROW('Mens Averages'!$BD$8)+1),COUNTIF(AA$38:AA45,AA45))),"")</f>
        <v>Tony Dunning</v>
      </c>
      <c r="V45" s="146" t="str">
        <f t="array" ref="V45">IF(ISNUMBER(AA45),INDEX('Mens Averages'!$H$8:$H$343,SMALL(IF('Mens Averages'!$BD$8:$BD$343=AA45,ROW('Mens Averages'!$BD$8:$BD$343)-ROW('Mens Averages'!$BD$8)+1),COUNTIF(AA$38:AA45,AA45))),"")</f>
        <v>Chr</v>
      </c>
      <c r="W45" s="146" t="str">
        <f t="array" ref="W45">IF(ISERROR(IF(LEFT(INDEX('Mens Averages'!$BC$8:$BC$343,MATCH('Weekly Top 10'!AA45,'Mens Averages'!$BD$8:$BD$343,0)),1)="4","Y","N")),"",(IF(LEFT(INDEX('Mens Averages'!$BC$8:$BC$343,MATCH('Weekly Top 10'!AA45,'Mens Averages'!$BD$8:$BD$343,0)),1)="4","Y","N")))</f>
        <v>Y</v>
      </c>
      <c r="X45" s="146" t="str">
        <f t="array" ref="X45">IF(ISERROR(LEFT(INDEX('Mens Averages'!$BC$8:$BC$343,MATCH('Weekly Top 10'!AA45,'Mens Averages'!$BD$8:$BD$343,0)),1)),"",(LEFT(INDEX('Mens Averages'!$BC$8:$BC$343,MATCH('Weekly Top 10'!AA45,'Mens Averages'!$BD$8:$BD$343,0)),1)))</f>
        <v>4</v>
      </c>
      <c r="Y45" s="146" t="str">
        <f t="array" ref="Y45">IF(ISERROR(RIGHT(LEFT(INDEX('Mens Averages'!$BC$8:$BC$343,MATCH('Weekly Top 10'!AA45,'Mens Averages'!$BD$8:$BD$343,0)),3),1)),"",(RIGHT(LEFT(INDEX('Mens Averages'!$BC$8:$BC$343,MATCH('Weekly Top 10'!AA45,'Mens Averages'!$BD$8:$BD$343,0)),3),1)))</f>
        <v>1</v>
      </c>
      <c r="Z45" s="145">
        <f t="array" ref="Z45">IF(ISNUMBER(AA45),INDEX('Mens Averages'!$Z$8:$Z$343,SMALL(IF('Mens Averages'!$BD$8:$BD$343=AA45,ROW('Mens Averages'!$BD$8:$BD$343)-ROW('Mens Averages'!$BD$8)+1),COUNTIF(AA$38:AA54,AA45))),"")</f>
        <v>26.01</v>
      </c>
      <c r="AA45" s="147">
        <f>IF(ISERROR(LARGE('Mens Averages'!$BD$8:$BD$343,8)),"",(LARGE('Mens Averages'!$BD$8:$BD$343,8)))</f>
        <v>27.01</v>
      </c>
      <c r="AB45" s="1"/>
      <c r="AC45" s="1"/>
      <c r="AD45" s="1"/>
      <c r="AE45" s="1"/>
    </row>
    <row r="46" spans="1:31" ht="16.5" customHeight="1" x14ac:dyDescent="0.2">
      <c r="A46" s="1"/>
      <c r="B46" s="68">
        <f>IF(ISERROR(RANK(I46,I38:I47)),"",(RANK(I46,I38:I47)))</f>
        <v>8</v>
      </c>
      <c r="C46" s="144" t="str">
        <f t="array" ref="C46">IF(ISNUMBER(I46),INDEX('Mens Averages'!$G$8:$G$343,SMALL(IF('Mens Averages'!$AJ$8:$AJ$343=I46,ROW('Mens Averages'!$AJ$8:$AJ$343)-ROW('Mens Averages'!$AJ$8)+1),COUNTIF(I$38:I46,I46))),"")</f>
        <v>Henry Cooper</v>
      </c>
      <c r="D46" s="145" t="str">
        <f t="array" ref="D46">IF(ISNUMBER(I46),INDEX('Mens Averages'!$H$8:$H$343,SMALL(IF('Mens Averages'!$AJ$8:$AJ$343=I46,ROW('Mens Averages'!$AJ$8:$AJ$343)-ROW('Mens Averages'!$AJ$8)+1),COUNTIF(I$38:I46,I46))),"")</f>
        <v>Dor</v>
      </c>
      <c r="E46" s="146" t="str">
        <f t="array" ref="E46">IF(ISERROR(IF(LEFT(INDEX('Mens Averages'!$AI$8:$AI$343,MATCH('Weekly Top 10'!I46,'Mens Averages'!$AJ$8:$AJ$343,0)),1)="4","Y","N")),"",(IF(LEFT(INDEX('Mens Averages'!$AI$8:$AI$343,MATCH('Weekly Top 10'!I46,'Mens Averages'!$AJ$8:$AJ$343,0)),1)="4","Y","N")))</f>
        <v>Y</v>
      </c>
      <c r="F46" s="146" t="str">
        <f t="array" ref="F46">IF(ISERROR(LEFT(INDEX('Mens Averages'!$AI$8:$AI$343,MATCH('Weekly Top 10'!I46,'Mens Averages'!$AJ$8:$AJ$343,0)),1)),"",(LEFT(INDEX('Mens Averages'!$AI$8:$AI$343,MATCH('Weekly Top 10'!I46,'Mens Averages'!$AJ$8:$AJ$343,0)),1)))</f>
        <v>4</v>
      </c>
      <c r="G46" s="146" t="str">
        <f t="array" ref="G46">IF(ISERROR(RIGHT(LEFT(INDEX('Mens Averages'!$AI$8:$AI$343,MATCH('Weekly Top 10'!I46,'Mens Averages'!$AJ$8:$AJ$343,0)),3),1)),"",(RIGHT(LEFT(INDEX('Mens Averages'!$AI$8:$AI$343,MATCH('Weekly Top 10'!I46,'Mens Averages'!$AJ$8:$AJ$343,0)),3),1)))</f>
        <v>0</v>
      </c>
      <c r="H46" s="145">
        <f t="array" ref="H46">IF(ISNUMBER(I46),INDEX('Mens Averages'!$P$8:$P$343,SMALL(IF('Mens Averages'!$AJ$8:$AJ$343=I46,ROW('Mens Averages'!$AJ$8:$AJ$343)-ROW('Mens Averages'!$AJ$8)+1),COUNTIF(I$38:I55,I46))),"")</f>
        <v>27.45</v>
      </c>
      <c r="I46" s="147">
        <f>IF(ISERROR(LARGE('Mens Averages'!$AJ$8:$AJ$343,9)),"",(LARGE('Mens Averages'!$AJ$8:$AJ$343,9)))</f>
        <v>28.45</v>
      </c>
      <c r="J46" s="1"/>
      <c r="K46" s="68">
        <f>IF(ISERROR(RANK(R46,R38:R47)),"",(RANK(R46,R38:R47)))</f>
        <v>9</v>
      </c>
      <c r="L46" s="144" t="str">
        <f t="array" ref="L46">IF(ISNUMBER(R46),INDEX('Mens Averages'!$G$8:$G$343,SMALL(IF('Mens Averages'!$AT$8:$AT$343=R46,ROW('Mens Averages'!$AT$8:$AT$343)-ROW('Mens Averages'!$AT$8)+1),COUNTIF(R$38:R46,R46))),"")</f>
        <v>Rob Channing</v>
      </c>
      <c r="M46" s="145" t="str">
        <f t="array" ref="M46">IF(ISNUMBER(R46),INDEX('Mens Averages'!$H$8:$H$343,SMALL(IF('Mens Averages'!$AT$8:$AT$343=R46,ROW('Mens Averages'!$AT$8:$AT$343)-ROW('Mens Averages'!$AT$8)+1),COUNTIF(R$38:R46,R46))),"")</f>
        <v>Bos</v>
      </c>
      <c r="N46" s="146" t="str">
        <f t="array" ref="N46">IF(ISERROR(IF(LEFT(INDEX('Mens Averages'!$AS$8:$AS$343,MATCH('Weekly Top 10'!R46,'Mens Averages'!$AT$8:$AT$343,0)),1)="4","Y","N")),"",(IF(LEFT(INDEX('Mens Averages'!$AS$8:$AS$343,MATCH('Weekly Top 10'!R46,'Mens Averages'!$AT$8:$AT$343,0)),1)="4","Y","N")))</f>
        <v>N</v>
      </c>
      <c r="O46" s="146" t="str">
        <f t="array" ref="O46">IF(ISERROR(LEFT(INDEX('Mens Averages'!$AS$8:$AS$343,MATCH('Weekly Top 10'!R46,'Mens Averages'!$AT$8:$AT$343,0)),1)),"",(LEFT(INDEX('Mens Averages'!$AS$8:$AS$343,MATCH('Weekly Top 10'!R46,'Mens Averages'!$AT$8:$AT$343,0)),1)))</f>
        <v>3</v>
      </c>
      <c r="P46" s="146" t="str">
        <f t="array" ref="P46">IF(ISERROR(RIGHT(LEFT(INDEX('Mens Averages'!$AS$8:$AS$343,MATCH('Weekly Top 10'!R46,'Mens Averages'!$AT$8:$AT$343,0)),3),1)),"",(RIGHT(LEFT(INDEX('Mens Averages'!$AS$8:$AS$343,MATCH('Weekly Top 10'!R46,'Mens Averages'!$AT$8:$AT$343,0)),3),1)))</f>
        <v>4</v>
      </c>
      <c r="Q46" s="145">
        <f t="array" ref="Q46">IF(ISNUMBER(R46),INDEX('Mens Averages'!$U$8:$U$343,SMALL(IF('Mens Averages'!$AT$8:$AT$343=R46,ROW('Mens Averages'!$AT$8:$AT$343)-ROW('Mens Averages'!$AT$8)+1),COUNTIF(R$38:R55,R46))),"")</f>
        <v>27.07</v>
      </c>
      <c r="R46" s="147">
        <f>IF(ISERROR(LARGE('Mens Averages'!$AT$8:$AT$343,9)),"",(LARGE('Mens Averages'!$AT$8:$AT$343,9)))</f>
        <v>27.07</v>
      </c>
      <c r="S46" s="1"/>
      <c r="T46" s="68">
        <f>IF(ISERROR(RANK(AA46,AA38:AA47)),"",(RANK(AA46,AA38:AA47)))</f>
        <v>9</v>
      </c>
      <c r="U46" s="144" t="str">
        <f t="array" ref="U46">IF(ISNUMBER(AA46),INDEX('Mens Averages'!$G$8:$G$343,SMALL(IF('Mens Averages'!$BD$8:$BD$343=AA46,ROW('Mens Averages'!$BD$8:$BD$343)-ROW('Mens Averages'!$BD$8)+1),COUNTIF(AA$38:AA46,AA46))),"")</f>
        <v>Carl Beattie</v>
      </c>
      <c r="V46" s="146" t="str">
        <f t="array" ref="V46">IF(ISNUMBER(AA46),INDEX('Mens Averages'!$H$8:$H$343,SMALL(IF('Mens Averages'!$BD$8:$BD$343=AA46,ROW('Mens Averages'!$BD$8:$BD$343)-ROW('Mens Averages'!$BD$8)+1),COUNTIF(AA$38:AA46,AA46))),"")</f>
        <v>Poo</v>
      </c>
      <c r="W46" s="146" t="str">
        <f t="array" ref="W46">IF(ISERROR(IF(LEFT(INDEX('Mens Averages'!$BC$8:$BC$343,MATCH('Weekly Top 10'!AA46,'Mens Averages'!$BD$8:$BD$343,0)),1)="4","Y","N")),"",(IF(LEFT(INDEX('Mens Averages'!$BC$8:$BC$343,MATCH('Weekly Top 10'!AA46,'Mens Averages'!$BD$8:$BD$343,0)),1)="4","Y","N")))</f>
        <v>Y</v>
      </c>
      <c r="X46" s="146" t="str">
        <f t="array" ref="X46">IF(ISERROR(LEFT(INDEX('Mens Averages'!$BC$8:$BC$343,MATCH('Weekly Top 10'!AA46,'Mens Averages'!$BD$8:$BD$343,0)),1)),"",(LEFT(INDEX('Mens Averages'!$BC$8:$BC$343,MATCH('Weekly Top 10'!AA46,'Mens Averages'!$BD$8:$BD$343,0)),1)))</f>
        <v>4</v>
      </c>
      <c r="Y46" s="146" t="str">
        <f t="array" ref="Y46">IF(ISERROR(RIGHT(LEFT(INDEX('Mens Averages'!$BC$8:$BC$343,MATCH('Weekly Top 10'!AA46,'Mens Averages'!$BD$8:$BD$343,0)),3),1)),"",(RIGHT(LEFT(INDEX('Mens Averages'!$BC$8:$BC$343,MATCH('Weekly Top 10'!AA46,'Mens Averages'!$BD$8:$BD$343,0)),3),1)))</f>
        <v>2</v>
      </c>
      <c r="Z46" s="145">
        <f t="array" ref="Z46">IF(ISNUMBER(AA46),INDEX('Mens Averages'!$Z$8:$Z$343,SMALL(IF('Mens Averages'!$BD$8:$BD$343=AA46,ROW('Mens Averages'!$BD$8:$BD$343)-ROW('Mens Averages'!$BD$8)+1),COUNTIF(AA$38:AA55,AA46))),"")</f>
        <v>25.91</v>
      </c>
      <c r="AA46" s="147">
        <f>IF(ISERROR(LARGE('Mens Averages'!$BD$8:$BD$343,9)),"",(LARGE('Mens Averages'!$BD$8:$BD$343,9)))</f>
        <v>26.91</v>
      </c>
      <c r="AB46" s="1"/>
      <c r="AC46" s="1"/>
      <c r="AD46" s="1"/>
      <c r="AE46" s="1"/>
    </row>
    <row r="47" spans="1:31" ht="16.5" customHeight="1" x14ac:dyDescent="0.2">
      <c r="A47" s="1"/>
      <c r="B47" s="73">
        <f>IF(ISERROR(RANK(I47,I38:I47)),"",(RANK(I47,I38:I47)))</f>
        <v>10</v>
      </c>
      <c r="C47" s="148" t="str">
        <f t="array" ref="C47">IF(ISNUMBER(I47),INDEX('Mens Averages'!$G$8:$G$343,SMALL(IF('Mens Averages'!$AJ$8:$AJ$343=I47,ROW('Mens Averages'!$AJ$8:$AJ$343)-ROW('Mens Averages'!$AJ$8)+1),COUNTIF(I$38:I47,I47))),"")</f>
        <v>Daniel Perry</v>
      </c>
      <c r="D47" s="149" t="str">
        <f t="array" ref="D47">IF(ISNUMBER(I47),INDEX('Mens Averages'!$H$8:$H$343,SMALL(IF('Mens Averages'!$AJ$8:$AJ$343=I47,ROW('Mens Averages'!$AJ$8:$AJ$343)-ROW('Mens Averages'!$AJ$8)+1),COUNTIF(I$38:I47,I47))),"")</f>
        <v>Lyt</v>
      </c>
      <c r="E47" s="150" t="str">
        <f t="array" ref="E47">IF(ISERROR(IF(LEFT(INDEX('Mens Averages'!$AI$8:$AI$343,MATCH('Weekly Top 10'!I47,'Mens Averages'!$AJ$8:$AJ$343,0)),1)="4","Y","N")),"",(IF(LEFT(INDEX('Mens Averages'!$AI$8:$AI$343,MATCH('Weekly Top 10'!I47,'Mens Averages'!$AJ$8:$AJ$343,0)),1)="4","Y","N")))</f>
        <v>Y</v>
      </c>
      <c r="F47" s="150" t="str">
        <f t="array" ref="F47">IF(ISERROR(LEFT(INDEX('Mens Averages'!$AI$8:$AI$343,MATCH('Weekly Top 10'!I47,'Mens Averages'!$AJ$8:$AJ$343,0)),1)),"",(LEFT(INDEX('Mens Averages'!$AI$8:$AI$343,MATCH('Weekly Top 10'!I47,'Mens Averages'!$AJ$8:$AJ$343,0)),1)))</f>
        <v>4</v>
      </c>
      <c r="G47" s="150" t="str">
        <f t="array" ref="G47">IF(ISERROR(RIGHT(LEFT(INDEX('Mens Averages'!$AI$8:$AI$343,MATCH('Weekly Top 10'!I47,'Mens Averages'!$AJ$8:$AJ$343,0)),3),1)),"",(RIGHT(LEFT(INDEX('Mens Averages'!$AI$8:$AI$343,MATCH('Weekly Top 10'!I47,'Mens Averages'!$AJ$8:$AJ$343,0)),3),1)))</f>
        <v>3</v>
      </c>
      <c r="H47" s="149">
        <f t="array" ref="H47">IF(ISNUMBER(I47),INDEX('Mens Averages'!$P$8:$P$343,SMALL(IF('Mens Averages'!$AJ$8:$AJ$343=I47,ROW('Mens Averages'!$AJ$8:$AJ$343)-ROW('Mens Averages'!$AJ$8)+1),COUNTIF(I$38:I56,I47))),"")</f>
        <v>27.26</v>
      </c>
      <c r="I47" s="151">
        <f>IF(ISERROR(LARGE('Mens Averages'!$AJ$8:$AJ$343,10)),"",(LARGE('Mens Averages'!$AJ$8:$AJ$343,10)))</f>
        <v>28.26</v>
      </c>
      <c r="J47" s="1"/>
      <c r="K47" s="73">
        <f>IF(ISERROR(RANK(R47,R38:R47)),"",(RANK(R47,R38:R47)))</f>
        <v>10</v>
      </c>
      <c r="L47" s="148" t="str">
        <f t="array" ref="L47">IF(ISNUMBER(R47),INDEX('Mens Averages'!$G$8:$G$343,SMALL(IF('Mens Averages'!$AT$8:$AT$343=R47,ROW('Mens Averages'!$AT$8:$AT$343)-ROW('Mens Averages'!$AT$8)+1),COUNTIF(R$38:R47,R47))),"")</f>
        <v>Ricky King</v>
      </c>
      <c r="M47" s="149" t="str">
        <f t="array" ref="M47">IF(ISNUMBER(R47),INDEX('Mens Averages'!$H$8:$H$343,SMALL(IF('Mens Averages'!$AT$8:$AT$343=R47,ROW('Mens Averages'!$AT$8:$AT$343)-ROW('Mens Averages'!$AT$8)+1),COUNTIF(R$38:R47,R47))),"")</f>
        <v>Swa</v>
      </c>
      <c r="N47" s="150" t="str">
        <f t="array" ref="N47">IF(ISERROR(IF(LEFT(INDEX('Mens Averages'!$AS$8:$AS$343,MATCH('Weekly Top 10'!R47,'Mens Averages'!$AT$8:$AT$343,0)),1)="4","Y","N")),"",(IF(LEFT(INDEX('Mens Averages'!$AS$8:$AS$343,MATCH('Weekly Top 10'!R47,'Mens Averages'!$AT$8:$AT$343,0)),1)="4","Y","N")))</f>
        <v>Y</v>
      </c>
      <c r="O47" s="150" t="str">
        <f t="array" ref="O47">IF(ISERROR(LEFT(INDEX('Mens Averages'!$AS$8:$AS$343,MATCH('Weekly Top 10'!R47,'Mens Averages'!$AT$8:$AT$343,0)),1)),"",(LEFT(INDEX('Mens Averages'!$AS$8:$AS$343,MATCH('Weekly Top 10'!R47,'Mens Averages'!$AT$8:$AT$343,0)),1)))</f>
        <v>4</v>
      </c>
      <c r="P47" s="150" t="str">
        <f t="array" ref="P47">IF(ISERROR(RIGHT(LEFT(INDEX('Mens Averages'!$AS$8:$AS$343,MATCH('Weekly Top 10'!R47,'Mens Averages'!$AT$8:$AT$343,0)),3),1)),"",(RIGHT(LEFT(INDEX('Mens Averages'!$AS$8:$AS$343,MATCH('Weekly Top 10'!R47,'Mens Averages'!$AT$8:$AT$343,0)),3),1)))</f>
        <v>1</v>
      </c>
      <c r="Q47" s="149">
        <f t="array" ref="Q47">IF(ISNUMBER(R47),INDEX('Mens Averages'!$U$8:$U$343,SMALL(IF('Mens Averages'!$AT$8:$AT$343=R47,ROW('Mens Averages'!$AT$8:$AT$343)-ROW('Mens Averages'!$AT$8)+1),COUNTIF(R$38:R56,R47))),"")</f>
        <v>25.99</v>
      </c>
      <c r="R47" s="151">
        <f>IF(ISERROR(LARGE('Mens Averages'!$AT$8:$AT$343,10)),"",(LARGE('Mens Averages'!$AT$8:$AT$343,10)))</f>
        <v>26.99</v>
      </c>
      <c r="S47" s="1"/>
      <c r="T47" s="73">
        <f>IF(ISERROR(RANK(AA47,AA38:AA47)),"",(RANK(AA47,AA38:AA47)))</f>
        <v>10</v>
      </c>
      <c r="U47" s="148" t="str">
        <f t="array" ref="U47">IF(ISNUMBER(AA47),INDEX('Mens Averages'!$G$8:$G$343,SMALL(IF('Mens Averages'!$BD$8:$BD$343=AA47,ROW('Mens Averages'!$BD$8:$BD$343)-ROW('Mens Averages'!$BD$8)+1),COUNTIF(AA$38:AA47,AA47))),"")</f>
        <v>Ricky King</v>
      </c>
      <c r="V47" s="150" t="str">
        <f t="array" ref="V47">IF(ISNUMBER(AA47),INDEX('Mens Averages'!$H$8:$H$343,SMALL(IF('Mens Averages'!$BD$8:$BD$343=AA47,ROW('Mens Averages'!$BD$8:$BD$343)-ROW('Mens Averages'!$BD$8)+1),COUNTIF(AA$38:AA47,AA47))),"")</f>
        <v>Swa</v>
      </c>
      <c r="W47" s="150" t="str">
        <f t="array" ref="W47">IF(ISERROR(IF(LEFT(INDEX('Mens Averages'!$BC$8:$BC$343,MATCH('Weekly Top 10'!AA47,'Mens Averages'!$BD$8:$BD$343,0)),1)="4","Y","N")),"",(IF(LEFT(INDEX('Mens Averages'!$BC$8:$BC$343,MATCH('Weekly Top 10'!AA47,'Mens Averages'!$BD$8:$BD$343,0)),1)="4","Y","N")))</f>
        <v>Y</v>
      </c>
      <c r="X47" s="150" t="str">
        <f t="array" ref="X47">IF(ISERROR(LEFT(INDEX('Mens Averages'!$BC$8:$BC$343,MATCH('Weekly Top 10'!AA47,'Mens Averages'!$BD$8:$BD$343,0)),1)),"",(LEFT(INDEX('Mens Averages'!$BC$8:$BC$343,MATCH('Weekly Top 10'!AA47,'Mens Averages'!$BD$8:$BD$343,0)),1)))</f>
        <v>4</v>
      </c>
      <c r="Y47" s="150" t="str">
        <f t="array" ref="Y47">IF(ISERROR(RIGHT(LEFT(INDEX('Mens Averages'!$BC$8:$BC$343,MATCH('Weekly Top 10'!AA47,'Mens Averages'!$BD$8:$BD$343,0)),3),1)),"",(RIGHT(LEFT(INDEX('Mens Averages'!$BC$8:$BC$343,MATCH('Weekly Top 10'!AA47,'Mens Averages'!$BD$8:$BD$343,0)),3),1)))</f>
        <v>2</v>
      </c>
      <c r="Z47" s="149">
        <f t="array" ref="Z47">IF(ISNUMBER(AA47),INDEX('Mens Averages'!$Z$8:$Z$343,SMALL(IF('Mens Averages'!$BD$8:$BD$343=AA47,ROW('Mens Averages'!$BD$8:$BD$343)-ROW('Mens Averages'!$BD$8)+1),COUNTIF(AA$38:AA56,AA47))),"")</f>
        <v>25.85</v>
      </c>
      <c r="AA47" s="151">
        <f>IF(ISERROR(LARGE('Mens Averages'!$BD$8:$BD$343,10)),"",(LARGE('Mens Averages'!$BD$8:$BD$343,10)))</f>
        <v>26.85</v>
      </c>
      <c r="AB47" s="1"/>
      <c r="AC47" s="1"/>
      <c r="AD47" s="1"/>
      <c r="AE47" s="1"/>
    </row>
    <row r="48" spans="1:31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222" t="s">
        <v>379</v>
      </c>
      <c r="C51" s="224" t="s">
        <v>369</v>
      </c>
      <c r="D51" s="224" t="s">
        <v>6</v>
      </c>
      <c r="E51" s="224" t="s">
        <v>8</v>
      </c>
      <c r="F51" s="224" t="s">
        <v>64</v>
      </c>
      <c r="G51" s="224" t="s">
        <v>65</v>
      </c>
      <c r="H51" s="224" t="s">
        <v>9</v>
      </c>
      <c r="I51" s="227" t="s">
        <v>370</v>
      </c>
      <c r="J51" s="36"/>
      <c r="K51" s="222" t="s">
        <v>380</v>
      </c>
      <c r="L51" s="224" t="s">
        <v>369</v>
      </c>
      <c r="M51" s="224" t="s">
        <v>6</v>
      </c>
      <c r="N51" s="224" t="s">
        <v>8</v>
      </c>
      <c r="O51" s="224" t="s">
        <v>64</v>
      </c>
      <c r="P51" s="224" t="s">
        <v>65</v>
      </c>
      <c r="Q51" s="224" t="s">
        <v>9</v>
      </c>
      <c r="R51" s="227" t="s">
        <v>370</v>
      </c>
      <c r="S51" s="36"/>
      <c r="T51" s="226"/>
      <c r="U51" s="226"/>
      <c r="V51" s="226"/>
      <c r="W51" s="226"/>
      <c r="X51" s="226"/>
      <c r="Y51" s="226"/>
      <c r="Z51" s="226"/>
      <c r="AA51" s="226"/>
      <c r="AB51" s="1"/>
      <c r="AC51" s="1"/>
      <c r="AD51" s="1"/>
      <c r="AE51" s="1"/>
    </row>
    <row r="52" spans="1:31" ht="12" customHeight="1" x14ac:dyDescent="0.2">
      <c r="A52" s="1"/>
      <c r="B52" s="223"/>
      <c r="C52" s="225"/>
      <c r="D52" s="225"/>
      <c r="E52" s="225"/>
      <c r="F52" s="225"/>
      <c r="G52" s="225"/>
      <c r="H52" s="225"/>
      <c r="I52" s="228"/>
      <c r="J52" s="36"/>
      <c r="K52" s="223"/>
      <c r="L52" s="225"/>
      <c r="M52" s="225"/>
      <c r="N52" s="225"/>
      <c r="O52" s="225"/>
      <c r="P52" s="225"/>
      <c r="Q52" s="225"/>
      <c r="R52" s="228"/>
      <c r="S52" s="36"/>
      <c r="T52" s="170"/>
      <c r="U52" s="170"/>
      <c r="V52" s="170"/>
      <c r="W52" s="170"/>
      <c r="X52" s="170"/>
      <c r="Y52" s="170"/>
      <c r="Z52" s="170"/>
      <c r="AA52" s="170"/>
      <c r="AB52" s="1"/>
      <c r="AC52" s="1"/>
      <c r="AD52" s="1"/>
      <c r="AE52" s="1"/>
    </row>
    <row r="53" spans="1:31" ht="16.5" customHeight="1" x14ac:dyDescent="0.2">
      <c r="A53" s="1"/>
      <c r="B53" s="62">
        <f>IF(ISERROR(RANK(I53,I53:I62)),"",(RANK(I53,I53:I62)))</f>
        <v>1</v>
      </c>
      <c r="C53" s="140" t="str">
        <f t="array" ref="C53">IF(ISNUMBER(I53),INDEX('Mens Averages'!$G$8:$G$343,SMALL(IF('Mens Averages'!$AL$8:$AL$343=I53,ROW('Mens Averages'!$AL$8:$AL$343)-ROW('Mens Averages'!$AL$8)+1),COUNTIF(I$53:I53,I53))),"")</f>
        <v>Matt Yarrow</v>
      </c>
      <c r="D53" s="141" t="str">
        <f t="array" ref="D53">IF(ISNUMBER(I53),INDEX('Mens Averages'!$H$8:$H$343,SMALL(IF('Mens Averages'!$AL$8:$AL$343=I53,ROW('Mens Averages'!$AL$8:$AL$343)-ROW('Mens Averages'!$AL$8)+1),COUNTIF(I$53:I53,I53))),"")</f>
        <v>Dor</v>
      </c>
      <c r="E53" s="142" t="str">
        <f t="array" ref="E53">IF(ISERROR(IF(LEFT(INDEX('Mens Averages'!$AK$8:$AK$343,MATCH('Weekly Top 10'!I53,'Mens Averages'!$AL$8:$AL$343,0)),1)="4","Y","N")),"",(IF(LEFT(INDEX('Mens Averages'!$AK$8:$AK$343,MATCH('Weekly Top 10'!I53,'Mens Averages'!$AL$8:$AL$343,0)),1)="4","Y","N")))</f>
        <v>Y</v>
      </c>
      <c r="F53" s="142" t="str">
        <f t="array" ref="F53">IF(ISERROR(LEFT(INDEX('Mens Averages'!$AK$8:$AK$343,MATCH('Weekly Top 10'!I53,'Mens Averages'!$AL$8:$AL$343,0)),1)),"",(LEFT(INDEX('Mens Averages'!$AK$8:$AK$343,MATCH('Weekly Top 10'!I53,'Mens Averages'!$AL$8:$AL$343,0)),1)))</f>
        <v>4</v>
      </c>
      <c r="G53" s="142" t="str">
        <f t="array" ref="G53">IF(ISERROR(RIGHT(LEFT(INDEX('Mens Averages'!$AK$8:$AK$343,MATCH('Weekly Top 10'!I53,'Mens Averages'!$AL$8:$AL$343,0)),3),1)),"",(RIGHT(LEFT(INDEX('Mens Averages'!$AK$8:$AK$343,MATCH('Weekly Top 10'!I53,'Mens Averages'!$AL$8:$AL$343,0)),3),1)))</f>
        <v>0</v>
      </c>
      <c r="H53" s="141">
        <f t="array" ref="H53">IF(ISNUMBER(I53),INDEX('Mens Averages'!$Q$8:$Q$343,SMALL(IF('Mens Averages'!$AL$8:$AL$343=I53,ROW('Mens Averages'!$AL$8:$AL$343)-ROW('Mens Averages'!$AL$8)+1),COUNTIF(I$53:I62,I53))),"")</f>
        <v>32.85</v>
      </c>
      <c r="I53" s="143">
        <f>IF(ISERROR(LARGE('Mens Averages'!$AL$8:$AL$343,1)),"",(LARGE('Mens Averages'!$AL$8:$AL$343,1)))</f>
        <v>33.85</v>
      </c>
      <c r="J53" s="1"/>
      <c r="K53" s="62">
        <f>IF(ISERROR(RANK(R53,R53:R62)),"",(RANK(R53,R53:R62)))</f>
        <v>1</v>
      </c>
      <c r="L53" s="140" t="str">
        <f t="array" ref="L53">IF(ISNUMBER(R53),INDEX('Mens Averages'!$G$8:$G$343,SMALL(IF('Mens Averages'!$AV$8:$AV$343=R53,ROW('Mens Averages'!$AV$8:$AV$343)-ROW('Mens Averages'!$AV$8)+1),COUNTIF(R$53:R53,R53))),"")</f>
        <v>Scott Mitchell</v>
      </c>
      <c r="M53" s="141" t="str">
        <f t="array" ref="M53">IF(ISNUMBER(R53),INDEX('Mens Averages'!$H$8:$H$343,SMALL(IF('Mens Averages'!$AV$8:$AV$343=R53,ROW('Mens Averages'!$AV$8:$AV$343)-ROW('Mens Averages'!$AV$8)+1),COUNTIF(R$53:R53,R53))),"")</f>
        <v>Lyt</v>
      </c>
      <c r="N53" s="142" t="str">
        <f t="array" ref="N53">IF(ISERROR(IF(LEFT(INDEX('Mens Averages'!$AU$8:$AU$343,MATCH('Weekly Top 10'!R53,'Mens Averages'!$AV$8:$AV$343,0)),1)="4","Y","N")),"",(IF(LEFT(INDEX('Mens Averages'!$AU$8:$AU$343,MATCH('Weekly Top 10'!R53,'Mens Averages'!$AV$8:$AV$343,0)),1)="4","Y","N")))</f>
        <v>Y</v>
      </c>
      <c r="O53" s="142" t="str">
        <f t="array" ref="O53">IF(ISERROR(LEFT(INDEX('Mens Averages'!$AU$8:$AU$343,MATCH('Weekly Top 10'!R53,'Mens Averages'!$AV$8:$AV$343,0)),1)),"",(LEFT(INDEX('Mens Averages'!$AU$8:$AU$343,MATCH('Weekly Top 10'!R53,'Mens Averages'!$AV$8:$AV$343,0)),1)))</f>
        <v>4</v>
      </c>
      <c r="P53" s="142" t="str">
        <f t="array" ref="P53">IF(ISERROR(RIGHT(LEFT(INDEX('Mens Averages'!$AU$8:$AU$343,MATCH('Weekly Top 10'!R53,'Mens Averages'!$AV$8:$AV$343,0)),3),1)),"",(RIGHT(LEFT(INDEX('Mens Averages'!$AU$8:$AU$343,MATCH('Weekly Top 10'!R53,'Mens Averages'!$AV$8:$AV$343,0)),3),1)))</f>
        <v>0</v>
      </c>
      <c r="Q53" s="141">
        <f t="array" ref="Q53">IF(ISNUMBER(R53),INDEX('Mens Averages'!$V$8:$V$343,SMALL(IF('Mens Averages'!$AV$8:$AV$343=R53,ROW('Mens Averages'!$AV$8:$AV$343)-ROW('Mens Averages'!$AV$8)+1),COUNTIF(R$53:R62,R53))),"")</f>
        <v>30.83</v>
      </c>
      <c r="R53" s="143">
        <f>IF(ISERROR(LARGE('Mens Averages'!$AV$8:$AV$343,1)),"",(LARGE('Mens Averages'!$AV$8:$AV$343,1)))</f>
        <v>31.83</v>
      </c>
      <c r="S53" s="1"/>
      <c r="T53" s="2"/>
      <c r="U53" s="2"/>
      <c r="V53" s="2"/>
      <c r="W53" s="2"/>
      <c r="X53" s="2"/>
      <c r="Y53" s="2"/>
      <c r="Z53" s="79"/>
      <c r="AA53" s="79"/>
      <c r="AB53" s="1"/>
      <c r="AC53" s="1"/>
      <c r="AD53" s="1"/>
      <c r="AE53" s="1"/>
    </row>
    <row r="54" spans="1:31" ht="16.5" customHeight="1" x14ac:dyDescent="0.2">
      <c r="A54" s="1"/>
      <c r="B54" s="68">
        <f>IF(ISERROR(RANK(I54,I53:I62)),"",(RANK(I54,I53:I62)))</f>
        <v>2</v>
      </c>
      <c r="C54" s="144" t="str">
        <f t="array" ref="C54">IF(ISNUMBER(I54),INDEX('Mens Averages'!$G$8:$G$343,SMALL(IF('Mens Averages'!$AL$8:$AL$343=I54,ROW('Mens Averages'!$AL$8:$AL$343)-ROW('Mens Averages'!$AL$8)+1),COUNTIF(I$53:I54,I54))),"")</f>
        <v>Scott Mitchell</v>
      </c>
      <c r="D54" s="145" t="str">
        <f t="array" ref="D54">IF(ISNUMBER(I54),INDEX('Mens Averages'!$H$8:$H$343,SMALL(IF('Mens Averages'!$AL$8:$AL$343=I54,ROW('Mens Averages'!$AL$8:$AL$343)-ROW('Mens Averages'!$AL$8)+1),COUNTIF(I$53:I54,I54))),"")</f>
        <v>Lyt</v>
      </c>
      <c r="E54" s="146" t="str">
        <f t="array" ref="E54">IF(ISERROR(IF(LEFT(INDEX('Mens Averages'!$AK$8:$AK$343,MATCH('Weekly Top 10'!I54,'Mens Averages'!$AL$8:$AL$343,0)),1)="4","Y","N")),"",(IF(LEFT(INDEX('Mens Averages'!$AK$8:$AK$343,MATCH('Weekly Top 10'!I54,'Mens Averages'!$AL$8:$AL$343,0)),1)="4","Y","N")))</f>
        <v>Y</v>
      </c>
      <c r="F54" s="146" t="str">
        <f t="array" ref="F54">IF(ISERROR(LEFT(INDEX('Mens Averages'!$AK$8:$AK$343,MATCH('Weekly Top 10'!I54,'Mens Averages'!$AL$8:$AL$343,0)),1)),"",(LEFT(INDEX('Mens Averages'!$AK$8:$AK$343,MATCH('Weekly Top 10'!I54,'Mens Averages'!$AL$8:$AL$343,0)),1)))</f>
        <v>4</v>
      </c>
      <c r="G54" s="146" t="str">
        <f t="array" ref="G54">IF(ISERROR(RIGHT(LEFT(INDEX('Mens Averages'!$AK$8:$AK$343,MATCH('Weekly Top 10'!I54,'Mens Averages'!$AL$8:$AL$343,0)),3),1)),"",(RIGHT(LEFT(INDEX('Mens Averages'!$AK$8:$AK$343,MATCH('Weekly Top 10'!I54,'Mens Averages'!$AL$8:$AL$343,0)),3),1)))</f>
        <v>0</v>
      </c>
      <c r="H54" s="145">
        <f t="array" ref="H54">IF(ISNUMBER(I54),INDEX('Mens Averages'!$Q$8:$Q$343,SMALL(IF('Mens Averages'!$AL$8:$AL$343=I54,ROW('Mens Averages'!$AL$8:$AL$343)-ROW('Mens Averages'!$AL$8)+1),COUNTIF(I$53:I63,I54))),"")</f>
        <v>30.36</v>
      </c>
      <c r="I54" s="147">
        <f>IF(ISERROR(LARGE('Mens Averages'!$AL$8:$AL$343,2)),"",(LARGE('Mens Averages'!$AL$8:$AL$343,2)))</f>
        <v>31.36</v>
      </c>
      <c r="J54" s="1"/>
      <c r="K54" s="68">
        <f>IF(ISERROR(RANK(R54,R53:R62)),"",(RANK(R54,R53:R62)))</f>
        <v>2</v>
      </c>
      <c r="L54" s="144" t="str">
        <f t="array" ref="L54">IF(ISNUMBER(R54),INDEX('Mens Averages'!$G$8:$G$343,SMALL(IF('Mens Averages'!$AV$8:$AV$343=R54,ROW('Mens Averages'!$AV$8:$AV$343)-ROW('Mens Averages'!$AV$8)+1),COUNTIF(R$53:R54,R54))),"")</f>
        <v>Carl Beattie</v>
      </c>
      <c r="M54" s="145" t="str">
        <f t="array" ref="M54">IF(ISNUMBER(R54),INDEX('Mens Averages'!$H$8:$H$343,SMALL(IF('Mens Averages'!$AV$8:$AV$343=R54,ROW('Mens Averages'!$AV$8:$AV$343)-ROW('Mens Averages'!$AV$8)+1),COUNTIF(R$53:R54,R54))),"")</f>
        <v>Poo</v>
      </c>
      <c r="N54" s="146" t="str">
        <f t="array" ref="N54">IF(ISERROR(IF(LEFT(INDEX('Mens Averages'!$AU$8:$AU$343,MATCH('Weekly Top 10'!R54,'Mens Averages'!$AV$8:$AV$343,0)),1)="4","Y","N")),"",(IF(LEFT(INDEX('Mens Averages'!$AU$8:$AU$343,MATCH('Weekly Top 10'!R54,'Mens Averages'!$AV$8:$AV$343,0)),1)="4","Y","N")))</f>
        <v>Y</v>
      </c>
      <c r="O54" s="146" t="str">
        <f t="array" ref="O54">IF(ISERROR(LEFT(INDEX('Mens Averages'!$AU$8:$AU$343,MATCH('Weekly Top 10'!R54,'Mens Averages'!$AV$8:$AV$343,0)),1)),"",(LEFT(INDEX('Mens Averages'!$AU$8:$AU$343,MATCH('Weekly Top 10'!R54,'Mens Averages'!$AV$8:$AV$343,0)),1)))</f>
        <v>4</v>
      </c>
      <c r="P54" s="146" t="str">
        <f t="array" ref="P54">IF(ISERROR(RIGHT(LEFT(INDEX('Mens Averages'!$AU$8:$AU$343,MATCH('Weekly Top 10'!R54,'Mens Averages'!$AV$8:$AV$343,0)),3),1)),"",(RIGHT(LEFT(INDEX('Mens Averages'!$AU$8:$AU$343,MATCH('Weekly Top 10'!R54,'Mens Averages'!$AV$8:$AV$343,0)),3),1)))</f>
        <v>0</v>
      </c>
      <c r="Q54" s="145">
        <f t="array" ref="Q54">IF(ISNUMBER(R54),INDEX('Mens Averages'!$V$8:$V$343,SMALL(IF('Mens Averages'!$AV$8:$AV$343=R54,ROW('Mens Averages'!$AV$8:$AV$343)-ROW('Mens Averages'!$AV$8)+1),COUNTIF(R$53:R63,R54))),"")</f>
        <v>27.45</v>
      </c>
      <c r="R54" s="147">
        <f>IF(ISERROR(LARGE('Mens Averages'!$AV$8:$AV$343,2)),"",(LARGE('Mens Averages'!$AV$8:$AV$343,2)))</f>
        <v>28.45</v>
      </c>
      <c r="S54" s="1"/>
      <c r="T54" s="2"/>
      <c r="U54" s="2"/>
      <c r="V54" s="2"/>
      <c r="W54" s="2"/>
      <c r="X54" s="2"/>
      <c r="Y54" s="2"/>
      <c r="Z54" s="79"/>
      <c r="AA54" s="79"/>
      <c r="AB54" s="1"/>
      <c r="AC54" s="1"/>
      <c r="AD54" s="1"/>
      <c r="AE54" s="1"/>
    </row>
    <row r="55" spans="1:31" ht="16.5" customHeight="1" x14ac:dyDescent="0.2">
      <c r="A55" s="1"/>
      <c r="B55" s="68">
        <f>IF(ISERROR(RANK(I55,I53:I62)),"",(RANK(I55,I53:I62)))</f>
        <v>3</v>
      </c>
      <c r="C55" s="144" t="str">
        <f t="array" ref="C55">IF(ISNUMBER(I55),INDEX('Mens Averages'!$G$8:$G$343,SMALL(IF('Mens Averages'!$AL$8:$AL$343=I55,ROW('Mens Averages'!$AL$8:$AL$343)-ROW('Mens Averages'!$AL$8)+1),COUNTIF(I$53:I55,I55))),"")</f>
        <v>Daniel Perry</v>
      </c>
      <c r="D55" s="145" t="str">
        <f t="array" ref="D55">IF(ISNUMBER(I55),INDEX('Mens Averages'!$H$8:$H$343,SMALL(IF('Mens Averages'!$AL$8:$AL$343=I55,ROW('Mens Averages'!$AL$8:$AL$343)-ROW('Mens Averages'!$AL$8)+1),COUNTIF(I$53:I55,I55))),"")</f>
        <v>Lyt</v>
      </c>
      <c r="E55" s="146" t="str">
        <f t="array" ref="E55">IF(ISERROR(IF(LEFT(INDEX('Mens Averages'!$AK$8:$AK$343,MATCH('Weekly Top 10'!I55,'Mens Averages'!$AL$8:$AL$343,0)),1)="4","Y","N")),"",(IF(LEFT(INDEX('Mens Averages'!$AK$8:$AK$343,MATCH('Weekly Top 10'!I55,'Mens Averages'!$AL$8:$AL$343,0)),1)="4","Y","N")))</f>
        <v>Y</v>
      </c>
      <c r="F55" s="146" t="str">
        <f t="array" ref="F55">IF(ISERROR(LEFT(INDEX('Mens Averages'!$AK$8:$AK$343,MATCH('Weekly Top 10'!I55,'Mens Averages'!$AL$8:$AL$343,0)),1)),"",(LEFT(INDEX('Mens Averages'!$AK$8:$AK$343,MATCH('Weekly Top 10'!I55,'Mens Averages'!$AL$8:$AL$343,0)),1)))</f>
        <v>4</v>
      </c>
      <c r="G55" s="146" t="str">
        <f t="array" ref="G55">IF(ISERROR(RIGHT(LEFT(INDEX('Mens Averages'!$AK$8:$AK$343,MATCH('Weekly Top 10'!I55,'Mens Averages'!$AL$8:$AL$343,0)),3),1)),"",(RIGHT(LEFT(INDEX('Mens Averages'!$AK$8:$AK$343,MATCH('Weekly Top 10'!I55,'Mens Averages'!$AL$8:$AL$343,0)),3),1)))</f>
        <v>0</v>
      </c>
      <c r="H55" s="145">
        <f t="array" ref="H55">IF(ISNUMBER(I55),INDEX('Mens Averages'!$Q$8:$Q$343,SMALL(IF('Mens Averages'!$AL$8:$AL$343=I55,ROW('Mens Averages'!$AL$8:$AL$343)-ROW('Mens Averages'!$AL$8)+1),COUNTIF(I$53:I64,I55))),"")</f>
        <v>27.08</v>
      </c>
      <c r="I55" s="147">
        <f>IF(ISERROR(LARGE('Mens Averages'!$AL$8:$AL$343,3)),"",(LARGE('Mens Averages'!$AL$8:$AL$343,3)))</f>
        <v>28.08</v>
      </c>
      <c r="J55" s="1"/>
      <c r="K55" s="68">
        <f>IF(ISERROR(RANK(R55,R53:R62)),"",(RANK(R55,R53:R62)))</f>
        <v>3</v>
      </c>
      <c r="L55" s="144" t="str">
        <f t="array" ref="L55">IF(ISNUMBER(R55),INDEX('Mens Averages'!$G$8:$G$343,SMALL(IF('Mens Averages'!$AV$8:$AV$343=R55,ROW('Mens Averages'!$AV$8:$AV$343)-ROW('Mens Averages'!$AV$8)+1),COUNTIF(R$53:R55,R55))),"")</f>
        <v>Ryan Cross</v>
      </c>
      <c r="M55" s="145" t="str">
        <f t="array" ref="M55">IF(ISNUMBER(R55),INDEX('Mens Averages'!$H$8:$H$343,SMALL(IF('Mens Averages'!$AV$8:$AV$343=R55,ROW('Mens Averages'!$AV$8:$AV$343)-ROW('Mens Averages'!$AV$8)+1),COUNTIF(R$53:R55,R55))),"")</f>
        <v>Bri</v>
      </c>
      <c r="N55" s="146" t="str">
        <f t="array" ref="N55">IF(ISERROR(IF(LEFT(INDEX('Mens Averages'!$AU$8:$AU$343,MATCH('Weekly Top 10'!R55,'Mens Averages'!$AV$8:$AV$343,0)),1)="4","Y","N")),"",(IF(LEFT(INDEX('Mens Averages'!$AU$8:$AU$343,MATCH('Weekly Top 10'!R55,'Mens Averages'!$AV$8:$AV$343,0)),1)="4","Y","N")))</f>
        <v>Y</v>
      </c>
      <c r="O55" s="146" t="str">
        <f t="array" ref="O55">IF(ISERROR(LEFT(INDEX('Mens Averages'!$AU$8:$AU$343,MATCH('Weekly Top 10'!R55,'Mens Averages'!$AV$8:$AV$343,0)),1)),"",(LEFT(INDEX('Mens Averages'!$AU$8:$AU$343,MATCH('Weekly Top 10'!R55,'Mens Averages'!$AV$8:$AV$343,0)),1)))</f>
        <v>4</v>
      </c>
      <c r="P55" s="146" t="str">
        <f t="array" ref="P55">IF(ISERROR(RIGHT(LEFT(INDEX('Mens Averages'!$AU$8:$AU$343,MATCH('Weekly Top 10'!R55,'Mens Averages'!$AV$8:$AV$343,0)),3),1)),"",(RIGHT(LEFT(INDEX('Mens Averages'!$AU$8:$AU$343,MATCH('Weekly Top 10'!R55,'Mens Averages'!$AV$8:$AV$343,0)),3),1)))</f>
        <v>1</v>
      </c>
      <c r="Q55" s="145">
        <f t="array" ref="Q55">IF(ISNUMBER(R55),INDEX('Mens Averages'!$V$8:$V$343,SMALL(IF('Mens Averages'!$AV$8:$AV$343=R55,ROW('Mens Averages'!$AV$8:$AV$343)-ROW('Mens Averages'!$AV$8)+1),COUNTIF(R$53:R64,R55))),"")</f>
        <v>27.24</v>
      </c>
      <c r="R55" s="147">
        <f>IF(ISERROR(LARGE('Mens Averages'!$AV$8:$AV$343,3)),"",(LARGE('Mens Averages'!$AV$8:$AV$343,3)))</f>
        <v>28.24</v>
      </c>
      <c r="S55" s="1"/>
      <c r="T55" s="2"/>
      <c r="U55" s="2"/>
      <c r="V55" s="2"/>
      <c r="W55" s="2"/>
      <c r="X55" s="2"/>
      <c r="Y55" s="2"/>
      <c r="Z55" s="79"/>
      <c r="AA55" s="79"/>
      <c r="AB55" s="1"/>
      <c r="AC55" s="1"/>
      <c r="AD55" s="1"/>
      <c r="AE55" s="1"/>
    </row>
    <row r="56" spans="1:31" ht="16.5" customHeight="1" x14ac:dyDescent="0.2">
      <c r="A56" s="1"/>
      <c r="B56" s="68">
        <f>IF(ISERROR(RANK(I56,I53:I62)),"",(RANK(I56,I53:I62)))</f>
        <v>4</v>
      </c>
      <c r="C56" s="144" t="str">
        <f t="array" ref="C56">IF(ISNUMBER(I56),INDEX('Mens Averages'!$G$8:$G$343,SMALL(IF('Mens Averages'!$AL$8:$AL$343=I56,ROW('Mens Averages'!$AL$8:$AL$343)-ROW('Mens Averages'!$AL$8)+1),COUNTIF(I$53:I56,I56))),"")</f>
        <v>Ian Spann</v>
      </c>
      <c r="D56" s="145" t="str">
        <f t="array" ref="D56">IF(ISNUMBER(I56),INDEX('Mens Averages'!$H$8:$H$343,SMALL(IF('Mens Averages'!$AL$8:$AL$343=I56,ROW('Mens Averages'!$AL$8:$AL$343)-ROW('Mens Averages'!$AL$8)+1),COUNTIF(I$53:I56,I56))),"")</f>
        <v>Wey</v>
      </c>
      <c r="E56" s="146" t="str">
        <f t="array" ref="E56">IF(ISERROR(IF(LEFT(INDEX('Mens Averages'!$AK$8:$AK$343,MATCH('Weekly Top 10'!I56,'Mens Averages'!$AL$8:$AL$343,0)),1)="4","Y","N")),"",(IF(LEFT(INDEX('Mens Averages'!$AK$8:$AK$343,MATCH('Weekly Top 10'!I56,'Mens Averages'!$AL$8:$AL$343,0)),1)="4","Y","N")))</f>
        <v>Y</v>
      </c>
      <c r="F56" s="146" t="str">
        <f t="array" ref="F56">IF(ISERROR(LEFT(INDEX('Mens Averages'!$AK$8:$AK$343,MATCH('Weekly Top 10'!I56,'Mens Averages'!$AL$8:$AL$343,0)),1)),"",(LEFT(INDEX('Mens Averages'!$AK$8:$AK$343,MATCH('Weekly Top 10'!I56,'Mens Averages'!$AL$8:$AL$343,0)),1)))</f>
        <v>4</v>
      </c>
      <c r="G56" s="146" t="str">
        <f t="array" ref="G56">IF(ISERROR(RIGHT(LEFT(INDEX('Mens Averages'!$AK$8:$AK$343,MATCH('Weekly Top 10'!I56,'Mens Averages'!$AL$8:$AL$343,0)),3),1)),"",(RIGHT(LEFT(INDEX('Mens Averages'!$AK$8:$AK$343,MATCH('Weekly Top 10'!I56,'Mens Averages'!$AL$8:$AL$343,0)),3),1)))</f>
        <v>1</v>
      </c>
      <c r="H56" s="145">
        <f t="array" ref="H56">IF(ISNUMBER(I56),INDEX('Mens Averages'!$Q$8:$Q$343,SMALL(IF('Mens Averages'!$AL$8:$AL$343=I56,ROW('Mens Averages'!$AL$8:$AL$343)-ROW('Mens Averages'!$AL$8)+1),COUNTIF(I$53:I65,I56))),"")</f>
        <v>26.72</v>
      </c>
      <c r="I56" s="147">
        <f>IF(ISERROR(LARGE('Mens Averages'!$AL$8:$AL$343,4)),"",(LARGE('Mens Averages'!$AL$8:$AL$343,4)))</f>
        <v>27.72</v>
      </c>
      <c r="J56" s="1"/>
      <c r="K56" s="68">
        <f>IF(ISERROR(RANK(R56,R53:R62)),"",(RANK(R56,R53:R62)))</f>
        <v>4</v>
      </c>
      <c r="L56" s="144" t="str">
        <f t="array" ref="L56">IF(ISNUMBER(R56),INDEX('Mens Averages'!$G$8:$G$343,SMALL(IF('Mens Averages'!$AV$8:$AV$343=R56,ROW('Mens Averages'!$AV$8:$AV$343)-ROW('Mens Averages'!$AV$8)+1),COUNTIF(R$53:R56,R56))),"")</f>
        <v>Steve O'marah</v>
      </c>
      <c r="M56" s="145" t="str">
        <f t="array" ref="M56">IF(ISNUMBER(R56),INDEX('Mens Averages'!$H$8:$H$343,SMALL(IF('Mens Averages'!$AV$8:$AV$343=R56,ROW('Mens Averages'!$AV$8:$AV$343)-ROW('Mens Averages'!$AV$8)+1),COUNTIF(R$53:R56,R56))),"")</f>
        <v>Ald</v>
      </c>
      <c r="N56" s="146" t="str">
        <f t="array" ref="N56">IF(ISERROR(IF(LEFT(INDEX('Mens Averages'!$AU$8:$AU$343,MATCH('Weekly Top 10'!R56,'Mens Averages'!$AV$8:$AV$343,0)),1)="4","Y","N")),"",(IF(LEFT(INDEX('Mens Averages'!$AU$8:$AU$343,MATCH('Weekly Top 10'!R56,'Mens Averages'!$AV$8:$AV$343,0)),1)="4","Y","N")))</f>
        <v>Y</v>
      </c>
      <c r="O56" s="146" t="str">
        <f t="array" ref="O56">IF(ISERROR(LEFT(INDEX('Mens Averages'!$AU$8:$AU$343,MATCH('Weekly Top 10'!R56,'Mens Averages'!$AV$8:$AV$343,0)),1)),"",(LEFT(INDEX('Mens Averages'!$AU$8:$AU$343,MATCH('Weekly Top 10'!R56,'Mens Averages'!$AV$8:$AV$343,0)),1)))</f>
        <v>4</v>
      </c>
      <c r="P56" s="146" t="str">
        <f t="array" ref="P56">IF(ISERROR(RIGHT(LEFT(INDEX('Mens Averages'!$AU$8:$AU$343,MATCH('Weekly Top 10'!R56,'Mens Averages'!$AV$8:$AV$343,0)),3),1)),"",(RIGHT(LEFT(INDEX('Mens Averages'!$AU$8:$AU$343,MATCH('Weekly Top 10'!R56,'Mens Averages'!$AV$8:$AV$343,0)),3),1)))</f>
        <v>0</v>
      </c>
      <c r="Q56" s="145">
        <f t="array" ref="Q56">IF(ISNUMBER(R56),INDEX('Mens Averages'!$V$8:$V$343,SMALL(IF('Mens Averages'!$AV$8:$AV$343=R56,ROW('Mens Averages'!$AV$8:$AV$343)-ROW('Mens Averages'!$AV$8)+1),COUNTIF(R$53:R65,R56))),"")</f>
        <v>26.72</v>
      </c>
      <c r="R56" s="147">
        <f>IF(ISERROR(LARGE('Mens Averages'!$AV$8:$AV$343,4)),"",(LARGE('Mens Averages'!$AV$8:$AV$343,4)))</f>
        <v>27.72</v>
      </c>
      <c r="S56" s="1"/>
      <c r="T56" s="2"/>
      <c r="U56" s="2"/>
      <c r="V56" s="2"/>
      <c r="W56" s="2"/>
      <c r="X56" s="2"/>
      <c r="Y56" s="2"/>
      <c r="Z56" s="79"/>
      <c r="AA56" s="79"/>
      <c r="AB56" s="1"/>
      <c r="AC56" s="1"/>
      <c r="AD56" s="1"/>
      <c r="AE56" s="1"/>
    </row>
    <row r="57" spans="1:31" ht="16.5" customHeight="1" x14ac:dyDescent="0.2">
      <c r="A57" s="1"/>
      <c r="B57" s="68">
        <f>IF(ISERROR(RANK(I57,I53:I62)),"",(RANK(I57,I53:I62)))</f>
        <v>5</v>
      </c>
      <c r="C57" s="144" t="str">
        <f t="array" ref="C57">IF(ISNUMBER(I57),INDEX('Mens Averages'!$G$8:$G$343,SMALL(IF('Mens Averages'!$AL$8:$AL$343=I57,ROW('Mens Averages'!$AL$8:$AL$343)-ROW('Mens Averages'!$AL$8)+1),COUNTIF(I$53:I57,I57))),"")</f>
        <v>Tommy Morris</v>
      </c>
      <c r="D57" s="145" t="str">
        <f t="array" ref="D57">IF(ISNUMBER(I57),INDEX('Mens Averages'!$H$8:$H$343,SMALL(IF('Mens Averages'!$AL$8:$AL$343=I57,ROW('Mens Averages'!$AL$8:$AL$343)-ROW('Mens Averages'!$AL$8)+1),COUNTIF(I$53:I57,I57))),"")</f>
        <v>Chr</v>
      </c>
      <c r="E57" s="146" t="str">
        <f t="array" ref="E57">IF(ISERROR(IF(LEFT(INDEX('Mens Averages'!$AK$8:$AK$343,MATCH('Weekly Top 10'!I57,'Mens Averages'!$AL$8:$AL$343,0)),1)="4","Y","N")),"",(IF(LEFT(INDEX('Mens Averages'!$AK$8:$AK$343,MATCH('Weekly Top 10'!I57,'Mens Averages'!$AL$8:$AL$343,0)),1)="4","Y","N")))</f>
        <v>Y</v>
      </c>
      <c r="F57" s="146" t="str">
        <f t="array" ref="F57">IF(ISERROR(LEFT(INDEX('Mens Averages'!$AK$8:$AK$343,MATCH('Weekly Top 10'!I57,'Mens Averages'!$AL$8:$AL$343,0)),1)),"",(LEFT(INDEX('Mens Averages'!$AK$8:$AK$343,MATCH('Weekly Top 10'!I57,'Mens Averages'!$AL$8:$AL$343,0)),1)))</f>
        <v>4</v>
      </c>
      <c r="G57" s="146" t="str">
        <f t="array" ref="G57">IF(ISERROR(RIGHT(LEFT(INDEX('Mens Averages'!$AK$8:$AK$343,MATCH('Weekly Top 10'!I57,'Mens Averages'!$AL$8:$AL$343,0)),3),1)),"",(RIGHT(LEFT(INDEX('Mens Averages'!$AK$8:$AK$343,MATCH('Weekly Top 10'!I57,'Mens Averages'!$AL$8:$AL$343,0)),3),1)))</f>
        <v>2</v>
      </c>
      <c r="H57" s="145">
        <f t="array" ref="H57">IF(ISNUMBER(I57),INDEX('Mens Averages'!$Q$8:$Q$343,SMALL(IF('Mens Averages'!$AL$8:$AL$343=I57,ROW('Mens Averages'!$AL$8:$AL$343)-ROW('Mens Averages'!$AL$8)+1),COUNTIF(I$53:I66,I57))),"")</f>
        <v>26.18</v>
      </c>
      <c r="I57" s="147">
        <f>IF(ISERROR(LARGE('Mens Averages'!$AL$8:$AL$343,5)),"",(LARGE('Mens Averages'!$AL$8:$AL$343,5)))</f>
        <v>27.18</v>
      </c>
      <c r="J57" s="1"/>
      <c r="K57" s="68">
        <f>IF(ISERROR(RANK(R57,R53:R62)),"",(RANK(R57,R53:R62)))</f>
        <v>5</v>
      </c>
      <c r="L57" s="144" t="str">
        <f t="array" ref="L57">IF(ISNUMBER(R57),INDEX('Mens Averages'!$G$8:$G$343,SMALL(IF('Mens Averages'!$AV$8:$AV$343=R57,ROW('Mens Averages'!$AV$8:$AV$343)-ROW('Mens Averages'!$AV$8)+1),COUNTIF(R$53:R57,R57))),"")</f>
        <v>Tim Clothier</v>
      </c>
      <c r="M57" s="145" t="str">
        <f t="array" ref="M57">IF(ISNUMBER(R57),INDEX('Mens Averages'!$H$8:$H$343,SMALL(IF('Mens Averages'!$AV$8:$AV$343=R57,ROW('Mens Averages'!$AV$8:$AV$343)-ROW('Mens Averages'!$AV$8)+1),COUNTIF(R$53:R57,R57))),"")</f>
        <v>Ald</v>
      </c>
      <c r="N57" s="146" t="str">
        <f t="array" ref="N57">IF(ISERROR(IF(LEFT(INDEX('Mens Averages'!$AU$8:$AU$343,MATCH('Weekly Top 10'!R57,'Mens Averages'!$AV$8:$AV$343,0)),1)="4","Y","N")),"",(IF(LEFT(INDEX('Mens Averages'!$AU$8:$AU$343,MATCH('Weekly Top 10'!R57,'Mens Averages'!$AV$8:$AV$343,0)),1)="4","Y","N")))</f>
        <v>Y</v>
      </c>
      <c r="O57" s="146" t="str">
        <f t="array" ref="O57">IF(ISERROR(LEFT(INDEX('Mens Averages'!$AU$8:$AU$343,MATCH('Weekly Top 10'!R57,'Mens Averages'!$AV$8:$AV$343,0)),1)),"",(LEFT(INDEX('Mens Averages'!$AU$8:$AU$343,MATCH('Weekly Top 10'!R57,'Mens Averages'!$AV$8:$AV$343,0)),1)))</f>
        <v>4</v>
      </c>
      <c r="P57" s="146" t="str">
        <f t="array" ref="P57">IF(ISERROR(RIGHT(LEFT(INDEX('Mens Averages'!$AU$8:$AU$343,MATCH('Weekly Top 10'!R57,'Mens Averages'!$AV$8:$AV$343,0)),3),1)),"",(RIGHT(LEFT(INDEX('Mens Averages'!$AU$8:$AU$343,MATCH('Weekly Top 10'!R57,'Mens Averages'!$AV$8:$AV$343,0)),3),1)))</f>
        <v>1</v>
      </c>
      <c r="Q57" s="145">
        <f t="array" ref="Q57">IF(ISNUMBER(R57),INDEX('Mens Averages'!$V$8:$V$343,SMALL(IF('Mens Averages'!$AV$8:$AV$343=R57,ROW('Mens Averages'!$AV$8:$AV$343)-ROW('Mens Averages'!$AV$8)+1),COUNTIF(R$53:R66,R57))),"")</f>
        <v>26.22</v>
      </c>
      <c r="R57" s="147">
        <f>IF(ISERROR(LARGE('Mens Averages'!$AV$8:$AV$343,5)),"",(LARGE('Mens Averages'!$AV$8:$AV$343,5)))</f>
        <v>27.22</v>
      </c>
      <c r="S57" s="1"/>
      <c r="T57" s="2"/>
      <c r="U57" s="2"/>
      <c r="V57" s="2"/>
      <c r="W57" s="2"/>
      <c r="X57" s="2"/>
      <c r="Y57" s="2"/>
      <c r="Z57" s="79"/>
      <c r="AA57" s="79"/>
      <c r="AB57" s="1"/>
      <c r="AC57" s="1"/>
      <c r="AD57" s="1"/>
      <c r="AE57" s="1"/>
    </row>
    <row r="58" spans="1:31" ht="16.5" customHeight="1" x14ac:dyDescent="0.2">
      <c r="A58" s="1"/>
      <c r="B58" s="68">
        <f>IF(ISERROR(RANK(I58,I53:I62)),"",(RANK(I58,I53:I62)))</f>
        <v>6</v>
      </c>
      <c r="C58" s="144" t="str">
        <f t="array" ref="C58">IF(ISNUMBER(I58),INDEX('Mens Averages'!$G$8:$G$343,SMALL(IF('Mens Averages'!$AL$8:$AL$343=I58,ROW('Mens Averages'!$AL$8:$AL$343)-ROW('Mens Averages'!$AL$8)+1),COUNTIF(I$53:I58,I58))),"")</f>
        <v>Matt Read</v>
      </c>
      <c r="D58" s="145" t="str">
        <f t="array" ref="D58">IF(ISNUMBER(I58),INDEX('Mens Averages'!$H$8:$H$343,SMALL(IF('Mens Averages'!$AL$8:$AL$343=I58,ROW('Mens Averages'!$AL$8:$AL$343)-ROW('Mens Averages'!$AL$8)+1),COUNTIF(I$53:I58,I58))),"")</f>
        <v>Dor</v>
      </c>
      <c r="E58" s="146" t="str">
        <f t="array" ref="E58">IF(ISERROR(IF(LEFT(INDEX('Mens Averages'!$AK$8:$AK$343,MATCH('Weekly Top 10'!I58,'Mens Averages'!$AL$8:$AL$343,0)),1)="4","Y","N")),"",(IF(LEFT(INDEX('Mens Averages'!$AK$8:$AK$343,MATCH('Weekly Top 10'!I58,'Mens Averages'!$AL$8:$AL$343,0)),1)="4","Y","N")))</f>
        <v>Y</v>
      </c>
      <c r="F58" s="146" t="str">
        <f t="array" ref="F58">IF(ISERROR(LEFT(INDEX('Mens Averages'!$AK$8:$AK$343,MATCH('Weekly Top 10'!I58,'Mens Averages'!$AL$8:$AL$343,0)),1)),"",(LEFT(INDEX('Mens Averages'!$AK$8:$AK$343,MATCH('Weekly Top 10'!I58,'Mens Averages'!$AL$8:$AL$343,0)),1)))</f>
        <v>4</v>
      </c>
      <c r="G58" s="146" t="str">
        <f t="array" ref="G58">IF(ISERROR(RIGHT(LEFT(INDEX('Mens Averages'!$AK$8:$AK$343,MATCH('Weekly Top 10'!I58,'Mens Averages'!$AL$8:$AL$343,0)),3),1)),"",(RIGHT(LEFT(INDEX('Mens Averages'!$AK$8:$AK$343,MATCH('Weekly Top 10'!I58,'Mens Averages'!$AL$8:$AL$343,0)),3),1)))</f>
        <v>2</v>
      </c>
      <c r="H58" s="145">
        <f t="array" ref="H58">IF(ISNUMBER(I58),INDEX('Mens Averages'!$Q$8:$Q$343,SMALL(IF('Mens Averages'!$AL$8:$AL$343=I58,ROW('Mens Averages'!$AL$8:$AL$343)-ROW('Mens Averages'!$AL$8)+1),COUNTIF(I$53:I67,I58))),"")</f>
        <v>25.41</v>
      </c>
      <c r="I58" s="147">
        <f>IF(ISERROR(LARGE('Mens Averages'!$AL$8:$AL$343,6)),"",(LARGE('Mens Averages'!$AL$8:$AL$343,6)))</f>
        <v>26.41</v>
      </c>
      <c r="J58" s="1"/>
      <c r="K58" s="68">
        <f>IF(ISERROR(RANK(R58,R53:R62)),"",(RANK(R58,R53:R62)))</f>
        <v>6</v>
      </c>
      <c r="L58" s="144" t="str">
        <f t="array" ref="L58">IF(ISNUMBER(R58),INDEX('Mens Averages'!$G$8:$G$343,SMALL(IF('Mens Averages'!$AV$8:$AV$343=R58,ROW('Mens Averages'!$AV$8:$AV$343)-ROW('Mens Averages'!$AV$8)+1),COUNTIF(R$53:R58,R58))),"")</f>
        <v>Ian Spann</v>
      </c>
      <c r="M58" s="145" t="str">
        <f t="array" ref="M58">IF(ISNUMBER(R58),INDEX('Mens Averages'!$H$8:$H$343,SMALL(IF('Mens Averages'!$AV$8:$AV$343=R58,ROW('Mens Averages'!$AV$8:$AV$343)-ROW('Mens Averages'!$AV$8)+1),COUNTIF(R$53:R58,R58))),"")</f>
        <v>Wey</v>
      </c>
      <c r="N58" s="146" t="str">
        <f t="array" ref="N58">IF(ISERROR(IF(LEFT(INDEX('Mens Averages'!$AU$8:$AU$343,MATCH('Weekly Top 10'!R58,'Mens Averages'!$AV$8:$AV$343,0)),1)="4","Y","N")),"",(IF(LEFT(INDEX('Mens Averages'!$AU$8:$AU$343,MATCH('Weekly Top 10'!R58,'Mens Averages'!$AV$8:$AV$343,0)),1)="4","Y","N")))</f>
        <v>Y</v>
      </c>
      <c r="O58" s="146" t="str">
        <f t="array" ref="O58">IF(ISERROR(LEFT(INDEX('Mens Averages'!$AU$8:$AU$343,MATCH('Weekly Top 10'!R58,'Mens Averages'!$AV$8:$AV$343,0)),1)),"",(LEFT(INDEX('Mens Averages'!$AU$8:$AU$343,MATCH('Weekly Top 10'!R58,'Mens Averages'!$AV$8:$AV$343,0)),1)))</f>
        <v>4</v>
      </c>
      <c r="P58" s="146" t="str">
        <f t="array" ref="P58">IF(ISERROR(RIGHT(LEFT(INDEX('Mens Averages'!$AU$8:$AU$343,MATCH('Weekly Top 10'!R58,'Mens Averages'!$AV$8:$AV$343,0)),3),1)),"",(RIGHT(LEFT(INDEX('Mens Averages'!$AU$8:$AU$343,MATCH('Weekly Top 10'!R58,'Mens Averages'!$AV$8:$AV$343,0)),3),1)))</f>
        <v>2</v>
      </c>
      <c r="Q58" s="145">
        <f t="array" ref="Q58">IF(ISNUMBER(R58),INDEX('Mens Averages'!$V$8:$V$343,SMALL(IF('Mens Averages'!$AV$8:$AV$343=R58,ROW('Mens Averages'!$AV$8:$AV$343)-ROW('Mens Averages'!$AV$8)+1),COUNTIF(R$53:R67,R58))),"")</f>
        <v>26.11</v>
      </c>
      <c r="R58" s="147">
        <f>IF(ISERROR(LARGE('Mens Averages'!$AV$8:$AV$343,6)),"",(LARGE('Mens Averages'!$AV$8:$AV$343,6)))</f>
        <v>27.11</v>
      </c>
      <c r="S58" s="1"/>
      <c r="T58" s="2"/>
      <c r="U58" s="2"/>
      <c r="V58" s="2"/>
      <c r="W58" s="2"/>
      <c r="X58" s="2"/>
      <c r="Y58" s="2"/>
      <c r="Z58" s="79"/>
      <c r="AA58" s="79"/>
      <c r="AB58" s="1"/>
      <c r="AC58" s="1"/>
      <c r="AD58" s="1"/>
      <c r="AE58" s="1"/>
    </row>
    <row r="59" spans="1:31" ht="16.5" customHeight="1" x14ac:dyDescent="0.2">
      <c r="A59" s="1"/>
      <c r="B59" s="68">
        <f>IF(ISERROR(RANK(I59,I53:I62)),"",(RANK(I59,I53:I62)))</f>
        <v>7</v>
      </c>
      <c r="C59" s="144" t="str">
        <f t="array" ref="C59">IF(ISNUMBER(I59),INDEX('Mens Averages'!$G$8:$G$343,SMALL(IF('Mens Averages'!$AL$8:$AL$343=I59,ROW('Mens Averages'!$AL$8:$AL$343)-ROW('Mens Averages'!$AL$8)+1),COUNTIF(I$53:I59,I59))),"")</f>
        <v>Sean Williams</v>
      </c>
      <c r="D59" s="145" t="str">
        <f t="array" ref="D59">IF(ISNUMBER(I59),INDEX('Mens Averages'!$H$8:$H$343,SMALL(IF('Mens Averages'!$AL$8:$AL$343=I59,ROW('Mens Averages'!$AL$8:$AL$343)-ROW('Mens Averages'!$AL$8)+1),COUNTIF(I$53:I59,I59))),"")</f>
        <v>Por</v>
      </c>
      <c r="E59" s="146" t="str">
        <f t="array" ref="E59">IF(ISERROR(IF(LEFT(INDEX('Mens Averages'!$AK$8:$AK$343,MATCH('Weekly Top 10'!I59,'Mens Averages'!$AL$8:$AL$343,0)),1)="4","Y","N")),"",(IF(LEFT(INDEX('Mens Averages'!$AK$8:$AK$343,MATCH('Weekly Top 10'!I59,'Mens Averages'!$AL$8:$AL$343,0)),1)="4","Y","N")))</f>
        <v>Y</v>
      </c>
      <c r="F59" s="146" t="str">
        <f t="array" ref="F59">IF(ISERROR(LEFT(INDEX('Mens Averages'!$AK$8:$AK$343,MATCH('Weekly Top 10'!I59,'Mens Averages'!$AL$8:$AL$343,0)),1)),"",(LEFT(INDEX('Mens Averages'!$AK$8:$AK$343,MATCH('Weekly Top 10'!I59,'Mens Averages'!$AL$8:$AL$343,0)),1)))</f>
        <v>4</v>
      </c>
      <c r="G59" s="146" t="str">
        <f t="array" ref="G59">IF(ISERROR(RIGHT(LEFT(INDEX('Mens Averages'!$AK$8:$AK$343,MATCH('Weekly Top 10'!I59,'Mens Averages'!$AL$8:$AL$343,0)),3),1)),"",(RIGHT(LEFT(INDEX('Mens Averages'!$AK$8:$AK$343,MATCH('Weekly Top 10'!I59,'Mens Averages'!$AL$8:$AL$343,0)),3),1)))</f>
        <v>0</v>
      </c>
      <c r="H59" s="145">
        <f t="array" ref="H59">IF(ISNUMBER(I59),INDEX('Mens Averages'!$Q$8:$Q$343,SMALL(IF('Mens Averages'!$AL$8:$AL$343=I59,ROW('Mens Averages'!$AL$8:$AL$343)-ROW('Mens Averages'!$AL$8)+1),COUNTIF(I$53:I62,I59))),"")</f>
        <v>25.37</v>
      </c>
      <c r="I59" s="147">
        <f>IF(ISERROR(LARGE('Mens Averages'!$AL$8:$AL$343,7)),"",(LARGE('Mens Averages'!$AL$8:$AL$343,7)))</f>
        <v>26.37</v>
      </c>
      <c r="J59" s="1"/>
      <c r="K59" s="68">
        <f>IF(ISERROR(RANK(R59,R53:R62)),"",(RANK(R59,R53:R62)))</f>
        <v>7</v>
      </c>
      <c r="L59" s="144" t="str">
        <f t="array" ref="L59">IF(ISNUMBER(R59),INDEX('Mens Averages'!$G$8:$G$343,SMALL(IF('Mens Averages'!$AV$8:$AV$343=R59,ROW('Mens Averages'!$AV$8:$AV$343)-ROW('Mens Averages'!$AV$8)+1),COUNTIF(R$53:R59,R59))),"")</f>
        <v>Mark Grimes</v>
      </c>
      <c r="M59" s="145" t="str">
        <f t="array" ref="M59">IF(ISNUMBER(R59),INDEX('Mens Averages'!$H$8:$H$343,SMALL(IF('Mens Averages'!$AV$8:$AV$343=R59,ROW('Mens Averages'!$AV$8:$AV$343)-ROW('Mens Averages'!$AV$8)+1),COUNTIF(R$53:R59,R59))),"")</f>
        <v>Chr</v>
      </c>
      <c r="N59" s="146" t="str">
        <f t="array" ref="N59">IF(ISERROR(IF(LEFT(INDEX('Mens Averages'!$AU$8:$AU$343,MATCH('Weekly Top 10'!R59,'Mens Averages'!$AV$8:$AV$343,0)),1)="4","Y","N")),"",(IF(LEFT(INDEX('Mens Averages'!$AU$8:$AU$343,MATCH('Weekly Top 10'!R59,'Mens Averages'!$AV$8:$AV$343,0)),1)="4","Y","N")))</f>
        <v>Y</v>
      </c>
      <c r="O59" s="146" t="str">
        <f t="array" ref="O59">IF(ISERROR(LEFT(INDEX('Mens Averages'!$AU$8:$AU$343,MATCH('Weekly Top 10'!R59,'Mens Averages'!$AV$8:$AV$343,0)),1)),"",(LEFT(INDEX('Mens Averages'!$AU$8:$AU$343,MATCH('Weekly Top 10'!R59,'Mens Averages'!$AV$8:$AV$343,0)),1)))</f>
        <v>4</v>
      </c>
      <c r="P59" s="146" t="str">
        <f t="array" ref="P59">IF(ISERROR(RIGHT(LEFT(INDEX('Mens Averages'!$AU$8:$AU$343,MATCH('Weekly Top 10'!R59,'Mens Averages'!$AV$8:$AV$343,0)),3),1)),"",(RIGHT(LEFT(INDEX('Mens Averages'!$AU$8:$AU$343,MATCH('Weekly Top 10'!R59,'Mens Averages'!$AV$8:$AV$343,0)),3),1)))</f>
        <v>0</v>
      </c>
      <c r="Q59" s="145">
        <f t="array" ref="Q59">IF(ISNUMBER(R59),INDEX('Mens Averages'!$V$8:$V$343,SMALL(IF('Mens Averages'!$AV$8:$AV$343=R59,ROW('Mens Averages'!$AV$8:$AV$343)-ROW('Mens Averages'!$AV$8)+1),COUNTIF(R$53:R68,R59))),"")</f>
        <v>26.03</v>
      </c>
      <c r="R59" s="147">
        <f>IF(ISERROR(LARGE('Mens Averages'!$AV$8:$AV$343,7)),"",(LARGE('Mens Averages'!$AV$8:$AV$343,7)))</f>
        <v>27.03</v>
      </c>
      <c r="S59" s="1"/>
      <c r="T59" s="2"/>
      <c r="U59" s="2"/>
      <c r="V59" s="2"/>
      <c r="W59" s="2"/>
      <c r="X59" s="2"/>
      <c r="Y59" s="2"/>
      <c r="Z59" s="79"/>
      <c r="AA59" s="79"/>
      <c r="AB59" s="1"/>
      <c r="AC59" s="1"/>
      <c r="AD59" s="1"/>
      <c r="AE59" s="1"/>
    </row>
    <row r="60" spans="1:31" ht="16.5" customHeight="1" x14ac:dyDescent="0.2">
      <c r="A60" s="1"/>
      <c r="B60" s="68">
        <f>IF(ISERROR(RANK(I60,I53:I62)),"",(RANK(I60,I53:I62)))</f>
        <v>8</v>
      </c>
      <c r="C60" s="144" t="str">
        <f t="array" ref="C60">IF(ISNUMBER(I60),INDEX('Mens Averages'!$G$8:$G$343,SMALL(IF('Mens Averages'!$AL$8:$AL$343=I60,ROW('Mens Averages'!$AL$8:$AL$343)-ROW('Mens Averages'!$AL$8)+1),COUNTIF(I$53:I60,I60))),"")</f>
        <v>Daniel Rawlings</v>
      </c>
      <c r="D60" s="145" t="str">
        <f t="array" ref="D60">IF(ISNUMBER(I60),INDEX('Mens Averages'!$H$8:$H$343,SMALL(IF('Mens Averages'!$AL$8:$AL$343=I60,ROW('Mens Averages'!$AL$8:$AL$343)-ROW('Mens Averages'!$AL$8)+1),COUNTIF(I$53:I60,I60))),"")</f>
        <v>Bri</v>
      </c>
      <c r="E60" s="146" t="str">
        <f t="array" ref="E60">IF(ISERROR(IF(LEFT(INDEX('Mens Averages'!$AK$8:$AK$343,MATCH('Weekly Top 10'!I60,'Mens Averages'!$AL$8:$AL$343,0)),1)="4","Y","N")),"",(IF(LEFT(INDEX('Mens Averages'!$AK$8:$AK$343,MATCH('Weekly Top 10'!I60,'Mens Averages'!$AL$8:$AL$343,0)),1)="4","Y","N")))</f>
        <v>Y</v>
      </c>
      <c r="F60" s="146" t="str">
        <f t="array" ref="F60">IF(ISERROR(LEFT(INDEX('Mens Averages'!$AK$8:$AK$343,MATCH('Weekly Top 10'!I60,'Mens Averages'!$AL$8:$AL$343,0)),1)),"",(LEFT(INDEX('Mens Averages'!$AK$8:$AK$343,MATCH('Weekly Top 10'!I60,'Mens Averages'!$AL$8:$AL$343,0)),1)))</f>
        <v>4</v>
      </c>
      <c r="G60" s="146" t="str">
        <f t="array" ref="G60">IF(ISERROR(RIGHT(LEFT(INDEX('Mens Averages'!$AK$8:$AK$343,MATCH('Weekly Top 10'!I60,'Mens Averages'!$AL$8:$AL$343,0)),3),1)),"",(RIGHT(LEFT(INDEX('Mens Averages'!$AK$8:$AK$343,MATCH('Weekly Top 10'!I60,'Mens Averages'!$AL$8:$AL$343,0)),3),1)))</f>
        <v>0</v>
      </c>
      <c r="H60" s="145">
        <f t="array" ref="H60">IF(ISNUMBER(I60),INDEX('Mens Averages'!$Q$8:$Q$343,SMALL(IF('Mens Averages'!$AL$8:$AL$343=I60,ROW('Mens Averages'!$AL$8:$AL$343)-ROW('Mens Averages'!$AL$8)+1),COUNTIF(I$53:I69,I60))),"")</f>
        <v>25.05</v>
      </c>
      <c r="I60" s="147">
        <f>IF(ISERROR(LARGE('Mens Averages'!$AL$8:$AL$343,8)),"",(LARGE('Mens Averages'!$AL$8:$AL$343,8)))</f>
        <v>26.05</v>
      </c>
      <c r="J60" s="1"/>
      <c r="K60" s="68">
        <f>IF(ISERROR(RANK(R60,R53:R62)),"",(RANK(R60,R53:R62)))</f>
        <v>7</v>
      </c>
      <c r="L60" s="144" t="str">
        <f t="array" ref="L60">IF(ISNUMBER(R60),INDEX('Mens Averages'!$G$8:$G$343,SMALL(IF('Mens Averages'!$AV$8:$AV$343=R60,ROW('Mens Averages'!$AV$8:$AV$343)-ROW('Mens Averages'!$AV$8)+1),COUNTIF(R$53:R60,R60))),"")</f>
        <v>Danny Pearce</v>
      </c>
      <c r="M60" s="145" t="str">
        <f t="array" ref="M60">IF(ISNUMBER(R60),INDEX('Mens Averages'!$H$8:$H$343,SMALL(IF('Mens Averages'!$AV$8:$AV$343=R60,ROW('Mens Averages'!$AV$8:$AV$343)-ROW('Mens Averages'!$AV$8)+1),COUNTIF(R$53:R60,R60))),"")</f>
        <v>Lyt</v>
      </c>
      <c r="N60" s="146" t="str">
        <f t="array" ref="N60">IF(ISERROR(IF(LEFT(INDEX('Mens Averages'!$AU$8:$AU$343,MATCH('Weekly Top 10'!R60,'Mens Averages'!$AV$8:$AV$343,0)),1)="4","Y","N")),"",(IF(LEFT(INDEX('Mens Averages'!$AU$8:$AU$343,MATCH('Weekly Top 10'!R60,'Mens Averages'!$AV$8:$AV$343,0)),1)="4","Y","N")))</f>
        <v>Y</v>
      </c>
      <c r="O60" s="146" t="str">
        <f t="array" ref="O60">IF(ISERROR(LEFT(INDEX('Mens Averages'!$AU$8:$AU$343,MATCH('Weekly Top 10'!R60,'Mens Averages'!$AV$8:$AV$343,0)),1)),"",(LEFT(INDEX('Mens Averages'!$AU$8:$AU$343,MATCH('Weekly Top 10'!R60,'Mens Averages'!$AV$8:$AV$343,0)),1)))</f>
        <v>4</v>
      </c>
      <c r="P60" s="146" t="str">
        <f t="array" ref="P60">IF(ISERROR(RIGHT(LEFT(INDEX('Mens Averages'!$AU$8:$AU$343,MATCH('Weekly Top 10'!R60,'Mens Averages'!$AV$8:$AV$343,0)),3),1)),"",(RIGHT(LEFT(INDEX('Mens Averages'!$AU$8:$AU$343,MATCH('Weekly Top 10'!R60,'Mens Averages'!$AV$8:$AV$343,0)),3),1)))</f>
        <v>0</v>
      </c>
      <c r="Q60" s="145">
        <f t="array" ref="Q60">IF(ISNUMBER(R60),INDEX('Mens Averages'!$V$8:$V$343,SMALL(IF('Mens Averages'!$AV$8:$AV$343=R60,ROW('Mens Averages'!$AV$8:$AV$343)-ROW('Mens Averages'!$AV$8)+1),COUNTIF(R$53:R69,R60))),"")</f>
        <v>26.03</v>
      </c>
      <c r="R60" s="147">
        <f>IF(ISERROR(LARGE('Mens Averages'!$AV$8:$AV$343,8)),"",(LARGE('Mens Averages'!$AV$8:$AV$343,8)))</f>
        <v>27.03</v>
      </c>
      <c r="S60" s="1"/>
      <c r="T60" s="2"/>
      <c r="U60" s="2"/>
      <c r="V60" s="2"/>
      <c r="W60" s="2"/>
      <c r="X60" s="2"/>
      <c r="Y60" s="2"/>
      <c r="Z60" s="79"/>
      <c r="AA60" s="79"/>
      <c r="AB60" s="1"/>
      <c r="AC60" s="1"/>
      <c r="AD60" s="1"/>
      <c r="AE60" s="1"/>
    </row>
    <row r="61" spans="1:31" ht="16.5" customHeight="1" x14ac:dyDescent="0.2">
      <c r="A61" s="1"/>
      <c r="B61" s="68">
        <f>IF(ISERROR(RANK(I61,I53:I62)),"",(RANK(I61,I53:I62)))</f>
        <v>9</v>
      </c>
      <c r="C61" s="144" t="str">
        <f t="array" ref="C61">IF(ISNUMBER(I61),INDEX('Mens Averages'!$G$8:$G$343,SMALL(IF('Mens Averages'!$AL$8:$AL$343=I61,ROW('Mens Averages'!$AL$8:$AL$343)-ROW('Mens Averages'!$AL$8)+1),COUNTIF(I$53:I61,I61))),"")</f>
        <v>Carl Beattie</v>
      </c>
      <c r="D61" s="145" t="str">
        <f t="array" ref="D61">IF(ISNUMBER(I61),INDEX('Mens Averages'!$H$8:$H$343,SMALL(IF('Mens Averages'!$AL$8:$AL$343=I61,ROW('Mens Averages'!$AL$8:$AL$343)-ROW('Mens Averages'!$AL$8)+1),COUNTIF(I$53:I61,I61))),"")</f>
        <v>Poo</v>
      </c>
      <c r="E61" s="146" t="str">
        <f t="array" ref="E61">IF(ISERROR(IF(LEFT(INDEX('Mens Averages'!$AK$8:$AK$343,MATCH('Weekly Top 10'!I61,'Mens Averages'!$AL$8:$AL$343,0)),1)="4","Y","N")),"",(IF(LEFT(INDEX('Mens Averages'!$AK$8:$AK$343,MATCH('Weekly Top 10'!I61,'Mens Averages'!$AL$8:$AL$343,0)),1)="4","Y","N")))</f>
        <v>Y</v>
      </c>
      <c r="F61" s="146" t="str">
        <f t="array" ref="F61">IF(ISERROR(LEFT(INDEX('Mens Averages'!$AK$8:$AK$343,MATCH('Weekly Top 10'!I61,'Mens Averages'!$AL$8:$AL$343,0)),1)),"",(LEFT(INDEX('Mens Averages'!$AK$8:$AK$343,MATCH('Weekly Top 10'!I61,'Mens Averages'!$AL$8:$AL$343,0)),1)))</f>
        <v>4</v>
      </c>
      <c r="G61" s="146" t="str">
        <f t="array" ref="G61">IF(ISERROR(RIGHT(LEFT(INDEX('Mens Averages'!$AK$8:$AK$343,MATCH('Weekly Top 10'!I61,'Mens Averages'!$AL$8:$AL$343,0)),3),1)),"",(RIGHT(LEFT(INDEX('Mens Averages'!$AK$8:$AK$343,MATCH('Weekly Top 10'!I61,'Mens Averages'!$AL$8:$AL$343,0)),3),1)))</f>
        <v>2</v>
      </c>
      <c r="H61" s="145">
        <f t="array" ref="H61">IF(ISNUMBER(I61),INDEX('Mens Averages'!$Q$8:$Q$343,SMALL(IF('Mens Averages'!$AL$8:$AL$343=I61,ROW('Mens Averages'!$AL$8:$AL$343)-ROW('Mens Averages'!$AL$8)+1),COUNTIF(I$53:I62,I61))),"")</f>
        <v>25.04</v>
      </c>
      <c r="I61" s="147">
        <f>IF(ISERROR(LARGE('Mens Averages'!$AL$8:$AL$343,9)),"",(LARGE('Mens Averages'!$AL$8:$AL$343,9)))</f>
        <v>26.04</v>
      </c>
      <c r="J61" s="1"/>
      <c r="K61" s="68">
        <f>IF(ISERROR(RANK(R61,R53:R62)),"",(RANK(R61,R53:R62)))</f>
        <v>9</v>
      </c>
      <c r="L61" s="144" t="str">
        <f t="array" ref="L61">IF(ISNUMBER(R61),INDEX('Mens Averages'!$G$8:$G$343,SMALL(IF('Mens Averages'!$AV$8:$AV$343=R61,ROW('Mens Averages'!$AV$8:$AV$343)-ROW('Mens Averages'!$AV$8)+1),COUNTIF(R$53:R61,R61))),"")</f>
        <v>Damian Mudge</v>
      </c>
      <c r="M61" s="145" t="str">
        <f t="array" ref="M61">IF(ISNUMBER(R61),INDEX('Mens Averages'!$H$8:$H$343,SMALL(IF('Mens Averages'!$AV$8:$AV$343=R61,ROW('Mens Averages'!$AV$8:$AV$343)-ROW('Mens Averages'!$AV$8)+1),COUNTIF(R$53:R61,R61))),"")</f>
        <v>Poo</v>
      </c>
      <c r="N61" s="146" t="str">
        <f t="array" ref="N61">IF(ISERROR(IF(LEFT(INDEX('Mens Averages'!$AU$8:$AU$343,MATCH('Weekly Top 10'!R61,'Mens Averages'!$AV$8:$AV$343,0)),1)="4","Y","N")),"",(IF(LEFT(INDEX('Mens Averages'!$AU$8:$AU$343,MATCH('Weekly Top 10'!R61,'Mens Averages'!$AV$8:$AV$343,0)),1)="4","Y","N")))</f>
        <v>Y</v>
      </c>
      <c r="O61" s="146" t="str">
        <f t="array" ref="O61">IF(ISERROR(LEFT(INDEX('Mens Averages'!$AU$8:$AU$343,MATCH('Weekly Top 10'!R61,'Mens Averages'!$AV$8:$AV$343,0)),1)),"",(LEFT(INDEX('Mens Averages'!$AU$8:$AU$343,MATCH('Weekly Top 10'!R61,'Mens Averages'!$AV$8:$AV$343,0)),1)))</f>
        <v>4</v>
      </c>
      <c r="P61" s="146" t="str">
        <f t="array" ref="P61">IF(ISERROR(RIGHT(LEFT(INDEX('Mens Averages'!$AU$8:$AU$343,MATCH('Weekly Top 10'!R61,'Mens Averages'!$AV$8:$AV$343,0)),3),1)),"",(RIGHT(LEFT(INDEX('Mens Averages'!$AU$8:$AU$343,MATCH('Weekly Top 10'!R61,'Mens Averages'!$AV$8:$AV$343,0)),3),1)))</f>
        <v>0</v>
      </c>
      <c r="Q61" s="145">
        <f t="array" ref="Q61">IF(ISNUMBER(R61),INDEX('Mens Averages'!$V$8:$V$343,SMALL(IF('Mens Averages'!$AV$8:$AV$343=R61,ROW('Mens Averages'!$AV$8:$AV$343)-ROW('Mens Averages'!$AV$8)+1),COUNTIF(R$53:R70,R61))),"")</f>
        <v>26.02</v>
      </c>
      <c r="R61" s="147">
        <f>IF(ISERROR(LARGE('Mens Averages'!$AV$8:$AV$343,9)),"",(LARGE('Mens Averages'!$AV$8:$AV$343,9)))</f>
        <v>27.02</v>
      </c>
      <c r="S61" s="1"/>
      <c r="T61" s="2"/>
      <c r="U61" s="2"/>
      <c r="V61" s="2"/>
      <c r="W61" s="2"/>
      <c r="X61" s="2"/>
      <c r="Y61" s="2"/>
      <c r="Z61" s="79"/>
      <c r="AA61" s="79"/>
      <c r="AB61" s="1"/>
      <c r="AC61" s="1"/>
      <c r="AD61" s="1"/>
      <c r="AE61" s="1"/>
    </row>
    <row r="62" spans="1:31" ht="16.5" customHeight="1" x14ac:dyDescent="0.2">
      <c r="A62" s="1"/>
      <c r="B62" s="73">
        <f>IF(ISERROR(RANK(I62,I53:I62)),"",(RANK(I62,I53:I62)))</f>
        <v>10</v>
      </c>
      <c r="C62" s="148" t="str">
        <f t="array" ref="C62">IF(ISNUMBER(I62),INDEX('Mens Averages'!$G$8:$G$343,SMALL(IF('Mens Averages'!$AL$8:$AL$343=I62,ROW('Mens Averages'!$AL$8:$AL$343)-ROW('Mens Averages'!$AL$8)+1),COUNTIF(I$53:I62,I62))),"")</f>
        <v>Lee Matthews</v>
      </c>
      <c r="D62" s="149" t="str">
        <f t="array" ref="D62">IF(ISNUMBER(I62),INDEX('Mens Averages'!$H$8:$H$343,SMALL(IF('Mens Averages'!$AL$8:$AL$343=I62,ROW('Mens Averages'!$AL$8:$AL$343)-ROW('Mens Averages'!$AL$8)+1),COUNTIF(I$53:I62,I62))),"")</f>
        <v>Lyt</v>
      </c>
      <c r="E62" s="150" t="str">
        <f t="array" ref="E62">IF(ISERROR(IF(LEFT(INDEX('Mens Averages'!$AK$8:$AK$343,MATCH('Weekly Top 10'!I62,'Mens Averages'!$AL$8:$AL$343,0)),1)="4","Y","N")),"",(IF(LEFT(INDEX('Mens Averages'!$AK$8:$AK$343,MATCH('Weekly Top 10'!I62,'Mens Averages'!$AL$8:$AL$343,0)),1)="4","Y","N")))</f>
        <v>Y</v>
      </c>
      <c r="F62" s="150" t="str">
        <f t="array" ref="F62">IF(ISERROR(LEFT(INDEX('Mens Averages'!$AK$8:$AK$343,MATCH('Weekly Top 10'!I62,'Mens Averages'!$AL$8:$AL$343,0)),1)),"",(LEFT(INDEX('Mens Averages'!$AK$8:$AK$343,MATCH('Weekly Top 10'!I62,'Mens Averages'!$AL$8:$AL$343,0)),1)))</f>
        <v>4</v>
      </c>
      <c r="G62" s="150" t="str">
        <f t="array" ref="G62">IF(ISERROR(RIGHT(LEFT(INDEX('Mens Averages'!$AK$8:$AK$343,MATCH('Weekly Top 10'!I62,'Mens Averages'!$AL$8:$AL$343,0)),3),1)),"",(RIGHT(LEFT(INDEX('Mens Averages'!$AK$8:$AK$343,MATCH('Weekly Top 10'!I62,'Mens Averages'!$AL$8:$AL$343,0)),3),1)))</f>
        <v>1</v>
      </c>
      <c r="H62" s="149">
        <f t="array" ref="H62">IF(ISNUMBER(I62),INDEX('Mens Averages'!$Q$8:$Q$343,SMALL(IF('Mens Averages'!$AL$8:$AL$343=I62,ROW('Mens Averages'!$AL$8:$AL$343)-ROW('Mens Averages'!$AL$8)+1),COUNTIF(I$53:I71,I62))),"")</f>
        <v>24.84</v>
      </c>
      <c r="I62" s="151">
        <f>IF(ISERROR(LARGE('Mens Averages'!$AL$8:$AL$343,10)),"",(LARGE('Mens Averages'!$AL$8:$AL$343,10)))</f>
        <v>25.84</v>
      </c>
      <c r="J62" s="1"/>
      <c r="K62" s="73">
        <f>IF(ISERROR(RANK(R62,R53:R62)),"",(RANK(R62,R53:R62)))</f>
        <v>10</v>
      </c>
      <c r="L62" s="148" t="str">
        <f t="array" ref="L62">IF(ISNUMBER(R62),INDEX('Mens Averages'!$G$8:$G$343,SMALL(IF('Mens Averages'!$AV$8:$AV$343=R62,ROW('Mens Averages'!$AV$8:$AV$343)-ROW('Mens Averages'!$AV$8)+1),COUNTIF(R$53:R62,R62))),"")</f>
        <v>Ryan Mabey</v>
      </c>
      <c r="M62" s="149" t="str">
        <f t="array" ref="M62">IF(ISNUMBER(R62),INDEX('Mens Averages'!$H$8:$H$343,SMALL(IF('Mens Averages'!$AV$8:$AV$343=R62,ROW('Mens Averages'!$AV$8:$AV$343)-ROW('Mens Averages'!$AV$8)+1),COUNTIF(R$53:R62,R62))),"")</f>
        <v>Lyt</v>
      </c>
      <c r="N62" s="150" t="str">
        <f t="array" ref="N62">IF(ISERROR(IF(LEFT(INDEX('Mens Averages'!$AU$8:$AU$343,MATCH('Weekly Top 10'!R62,'Mens Averages'!$AV$8:$AV$343,0)),1)="4","Y","N")),"",(IF(LEFT(INDEX('Mens Averages'!$AU$8:$AU$343,MATCH('Weekly Top 10'!R62,'Mens Averages'!$AV$8:$AV$343,0)),1)="4","Y","N")))</f>
        <v>Y</v>
      </c>
      <c r="O62" s="150" t="str">
        <f t="array" ref="O62">IF(ISERROR(LEFT(INDEX('Mens Averages'!$AU$8:$AU$343,MATCH('Weekly Top 10'!R62,'Mens Averages'!$AV$8:$AV$343,0)),1)),"",(LEFT(INDEX('Mens Averages'!$AU$8:$AU$343,MATCH('Weekly Top 10'!R62,'Mens Averages'!$AV$8:$AV$343,0)),1)))</f>
        <v>4</v>
      </c>
      <c r="P62" s="150" t="str">
        <f t="array" ref="P62">IF(ISERROR(RIGHT(LEFT(INDEX('Mens Averages'!$AU$8:$AU$343,MATCH('Weekly Top 10'!R62,'Mens Averages'!$AV$8:$AV$343,0)),3),1)),"",(RIGHT(LEFT(INDEX('Mens Averages'!$AU$8:$AU$343,MATCH('Weekly Top 10'!R62,'Mens Averages'!$AV$8:$AV$343,0)),3),1)))</f>
        <v>1</v>
      </c>
      <c r="Q62" s="149">
        <f t="array" ref="Q62">IF(ISNUMBER(R62),INDEX('Mens Averages'!$V$8:$V$343,SMALL(IF('Mens Averages'!$AV$8:$AV$343=R62,ROW('Mens Averages'!$AV$8:$AV$343)-ROW('Mens Averages'!$AV$8)+1),COUNTIF(R$53:R71,R62))),"")</f>
        <v>25.49</v>
      </c>
      <c r="R62" s="151">
        <f>IF(ISERROR(LARGE('Mens Averages'!$AV$8:$AV$343,10)),"",(LARGE('Mens Averages'!$AV$8:$AV$343,10)))</f>
        <v>26.49</v>
      </c>
      <c r="S62" s="1"/>
      <c r="T62" s="2"/>
      <c r="U62" s="2"/>
      <c r="V62" s="2"/>
      <c r="W62" s="2"/>
      <c r="X62" s="2"/>
      <c r="Y62" s="2"/>
      <c r="Z62" s="79"/>
      <c r="AA62" s="79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222" t="s">
        <v>381</v>
      </c>
      <c r="C66" s="224" t="s">
        <v>369</v>
      </c>
      <c r="D66" s="224" t="s">
        <v>6</v>
      </c>
      <c r="E66" s="224" t="s">
        <v>8</v>
      </c>
      <c r="F66" s="224" t="s">
        <v>64</v>
      </c>
      <c r="G66" s="224" t="s">
        <v>65</v>
      </c>
      <c r="H66" s="224" t="s">
        <v>9</v>
      </c>
      <c r="I66" s="227" t="s">
        <v>370</v>
      </c>
      <c r="J66" s="36"/>
      <c r="K66" s="222" t="s">
        <v>382</v>
      </c>
      <c r="L66" s="224" t="s">
        <v>369</v>
      </c>
      <c r="M66" s="224" t="s">
        <v>6</v>
      </c>
      <c r="N66" s="224" t="s">
        <v>8</v>
      </c>
      <c r="O66" s="224" t="s">
        <v>64</v>
      </c>
      <c r="P66" s="224" t="s">
        <v>65</v>
      </c>
      <c r="Q66" s="224" t="s">
        <v>9</v>
      </c>
      <c r="R66" s="227" t="s">
        <v>370</v>
      </c>
      <c r="S66" s="36"/>
      <c r="T66" s="226"/>
      <c r="U66" s="226"/>
      <c r="V66" s="226"/>
      <c r="W66" s="226"/>
      <c r="X66" s="226"/>
      <c r="Y66" s="226"/>
      <c r="Z66" s="226"/>
      <c r="AA66" s="226"/>
      <c r="AB66" s="1"/>
      <c r="AC66" s="1"/>
      <c r="AD66" s="1"/>
      <c r="AE66" s="1"/>
    </row>
    <row r="67" spans="1:31" ht="12" customHeight="1" x14ac:dyDescent="0.2">
      <c r="A67" s="1"/>
      <c r="B67" s="223"/>
      <c r="C67" s="225"/>
      <c r="D67" s="225"/>
      <c r="E67" s="225"/>
      <c r="F67" s="225"/>
      <c r="G67" s="225"/>
      <c r="H67" s="225"/>
      <c r="I67" s="228"/>
      <c r="J67" s="36"/>
      <c r="K67" s="223"/>
      <c r="L67" s="225"/>
      <c r="M67" s="225"/>
      <c r="N67" s="225"/>
      <c r="O67" s="225"/>
      <c r="P67" s="225"/>
      <c r="Q67" s="225"/>
      <c r="R67" s="228"/>
      <c r="S67" s="36"/>
      <c r="T67" s="170"/>
      <c r="U67" s="170"/>
      <c r="V67" s="170"/>
      <c r="W67" s="170"/>
      <c r="X67" s="170"/>
      <c r="Y67" s="170"/>
      <c r="Z67" s="170"/>
      <c r="AA67" s="170"/>
      <c r="AB67" s="1"/>
      <c r="AC67" s="1"/>
      <c r="AD67" s="1"/>
      <c r="AE67" s="1"/>
    </row>
    <row r="68" spans="1:31" ht="16.5" customHeight="1" x14ac:dyDescent="0.2">
      <c r="A68" s="1"/>
      <c r="B68" s="62">
        <f>IF(ISERROR(RANK(I68,I68:I77)),"",(RANK(I68,I68:I77)))</f>
        <v>1</v>
      </c>
      <c r="C68" s="140" t="str">
        <f t="array" ref="C68">IF(ISNUMBER(I68),INDEX('Mens Averages'!$G$8:$G$343,SMALL(IF('Mens Averages'!$AN$8:$AN$343=I68,ROW('Mens Averages'!$AN$8:$AN$343)-ROW('Mens Averages'!$AN$8)+1),COUNTIF(I$68:I68,I68))),"")</f>
        <v>Mark Grimes</v>
      </c>
      <c r="D68" s="141" t="str">
        <f t="array" ref="D68">IF(ISNUMBER(I68),INDEX('Mens Averages'!$H$8:$H$343,SMALL(IF('Mens Averages'!$AN$8:$AN$343=I68,ROW('Mens Averages'!$AN$8:$AN$343)-ROW('Mens Averages'!$AN$8)+1),COUNTIF(I$68:I68,I68))),"")</f>
        <v>Chr</v>
      </c>
      <c r="E68" s="142" t="str">
        <f t="array" ref="E68">IF(ISERROR(IF(LEFT(INDEX('Mens Averages'!$AM$8:$AM$343,MATCH('Weekly Top 10'!I68,'Mens Averages'!$AN$8:$AN$343,0)),1)="4","Y","N")),"",(IF(LEFT(INDEX('Mens Averages'!$AM$8:$AM$343,MATCH('Weekly Top 10'!I68,'Mens Averages'!$AN$8:$AN$343,0)),1)="4","Y","N")))</f>
        <v>Y</v>
      </c>
      <c r="F68" s="142" t="str">
        <f t="array" ref="F68">IF(ISERROR(LEFT(INDEX('Mens Averages'!$AM$8:$AM$343,MATCH('Weekly Top 10'!I68,'Mens Averages'!$AN$8:$AN$343,0)),1)),"",(LEFT(INDEX('Mens Averages'!$AM$8:$AM$343,MATCH('Weekly Top 10'!I68,'Mens Averages'!$AN$8:$AN$343,0)),1)))</f>
        <v>4</v>
      </c>
      <c r="G68" s="142" t="str">
        <f t="array" ref="G68">IF(ISERROR(RIGHT(LEFT(INDEX('Mens Averages'!$AM$8:$AM$343,MATCH('Weekly Top 10'!I68,'Mens Averages'!$AN$8:$AN$343,0)),3),1)),"",(RIGHT(LEFT(INDEX('Mens Averages'!$AM$8:$AM$343,MATCH('Weekly Top 10'!I68,'Mens Averages'!$AN$8:$AN$343,0)),3),1)))</f>
        <v>0</v>
      </c>
      <c r="H68" s="141">
        <f t="array" ref="H68">IF(ISNUMBER(I68),INDEX('Mens Averages'!$R$8:$R$343,SMALL(IF('Mens Averages'!$AN$8:$AN$343=I68,ROW('Mens Averages'!$AN$8:$AN$343)-ROW('Mens Averages'!$AN$8)+1),COUNTIF(I$68:I77,I68))),"")</f>
        <v>30.36</v>
      </c>
      <c r="I68" s="143">
        <f>IF(ISERROR(LARGE('Mens Averages'!$AN$8:$AN$343,1)),"",(LARGE('Mens Averages'!$AN$8:$AN$343,1)))</f>
        <v>31.36</v>
      </c>
      <c r="J68" s="1"/>
      <c r="K68" s="62">
        <f>IF(ISERROR(RANK(R68,R68:R77)),"",(RANK(R68,R68:R77)))</f>
        <v>1</v>
      </c>
      <c r="L68" s="140" t="str">
        <f t="array" ref="L68">IF(ISNUMBER(R68),INDEX('Mens Averages'!$G$8:$G$343,SMALL(IF('Mens Averages'!$AX$8:$AX$343=R68,ROW('Mens Averages'!$AX$8:$AX$343)-ROW('Mens Averages'!$AX$8)+1),COUNTIF(R$68:R68,R68))),"")</f>
        <v>Scott Mitchell</v>
      </c>
      <c r="M68" s="141" t="str">
        <f t="array" ref="M68">IF(ISNUMBER(R68),INDEX('Mens Averages'!$H$8:$H$343,SMALL(IF('Mens Averages'!$AX$8:$AX$343=R68,ROW('Mens Averages'!$AX$8:$AX$343)-ROW('Mens Averages'!$AX$8)+1),COUNTIF(R$68:R68,R68))),"")</f>
        <v>Lyt</v>
      </c>
      <c r="N68" s="142" t="str">
        <f t="array" ref="N68">IF(ISERROR(IF(LEFT(INDEX('Mens Averages'!$AW$8:$AW$343,MATCH('Weekly Top 10'!R68,'Mens Averages'!$AX$8:$AX$343,0)),1)="4","Y","N")),"",(IF(LEFT(INDEX('Mens Averages'!$AW$8:$AW$343,MATCH('Weekly Top 10'!R68,'Mens Averages'!$AX$8:$AX$343,0)),1)="4","Y","N")))</f>
        <v>Y</v>
      </c>
      <c r="O68" s="142" t="str">
        <f t="array" ref="O68">IF(ISERROR(LEFT(INDEX('Mens Averages'!$AW$8:$AW$343,MATCH('Weekly Top 10'!R68,'Mens Averages'!$AX$8:$AX$343,0)),1)),"",(LEFT(INDEX('Mens Averages'!$AW$8:$AW$343,MATCH('Weekly Top 10'!R68,'Mens Averages'!$AX$8:$AX$343,0)),1)))</f>
        <v>4</v>
      </c>
      <c r="P68" s="142" t="str">
        <f t="array" ref="P68">IF(ISERROR(RIGHT(LEFT(INDEX('Mens Averages'!$AW$8:$AW$343,MATCH('Weekly Top 10'!R68,'Mens Averages'!$AX$8:$AX$343,0)),3),1)),"",(RIGHT(LEFT(INDEX('Mens Averages'!$AW$8:$AW$343,MATCH('Weekly Top 10'!R68,'Mens Averages'!$AX$8:$AX$343,0)),3),1)))</f>
        <v>1</v>
      </c>
      <c r="Q68" s="141">
        <f t="array" ref="Q68">IF(ISNUMBER(R68),INDEX('Mens Averages'!$W$8:$W$343,SMALL(IF('Mens Averages'!$AX$8:$AX$343=R68,ROW('Mens Averages'!$AX$8:$AX$343)-ROW('Mens Averages'!$AX$8)+1),COUNTIF(R$68:R77,R68))),"")</f>
        <v>32.200000000000003</v>
      </c>
      <c r="R68" s="143">
        <f>IF(ISERROR(LARGE('Mens Averages'!$AX$8:$AX$343,1)),"",(LARGE('Mens Averages'!$AX$8:$AX$343,1)))</f>
        <v>33.200000000000003</v>
      </c>
      <c r="S68" s="1"/>
      <c r="T68" s="2"/>
      <c r="U68" s="2"/>
      <c r="V68" s="2"/>
      <c r="W68" s="2"/>
      <c r="X68" s="2"/>
      <c r="Y68" s="2"/>
      <c r="Z68" s="79"/>
      <c r="AA68" s="79"/>
      <c r="AB68" s="1"/>
      <c r="AC68" s="1"/>
      <c r="AD68" s="1"/>
      <c r="AE68" s="1"/>
    </row>
    <row r="69" spans="1:31" ht="16.5" customHeight="1" x14ac:dyDescent="0.2">
      <c r="A69" s="1"/>
      <c r="B69" s="68">
        <f>IF(ISERROR(RANK(I69,I68:I77)),"",(RANK(I69,I68:I77)))</f>
        <v>2</v>
      </c>
      <c r="C69" s="144" t="str">
        <f t="array" ref="C69">IF(ISNUMBER(I69),INDEX('Mens Averages'!$G$8:$G$343,SMALL(IF('Mens Averages'!$AN$8:$AN$343=I69,ROW('Mens Averages'!$AN$8:$AN$343)-ROW('Mens Averages'!$AN$8)+1),COUNTIF(I$68:I69,I69))),"")</f>
        <v>Carl Beattie</v>
      </c>
      <c r="D69" s="145" t="str">
        <f t="array" ref="D69">IF(ISNUMBER(I69),INDEX('Mens Averages'!$H$8:$H$343,SMALL(IF('Mens Averages'!$AN$8:$AN$343=I69,ROW('Mens Averages'!$AN$8:$AN$343)-ROW('Mens Averages'!$AN$8)+1),COUNTIF(I$68:I69,I69))),"")</f>
        <v>Poo</v>
      </c>
      <c r="E69" s="146" t="str">
        <f t="array" ref="E69">IF(ISERROR(IF(LEFT(INDEX('Mens Averages'!$AM$8:$AM$343,MATCH('Weekly Top 10'!I69,'Mens Averages'!$AN$8:$AN$343,0)),1)="4","Y","N")),"",(IF(LEFT(INDEX('Mens Averages'!$AM$8:$AM$343,MATCH('Weekly Top 10'!I69,'Mens Averages'!$AN$8:$AN$343,0)),1)="4","Y","N")))</f>
        <v>Y</v>
      </c>
      <c r="F69" s="146" t="str">
        <f t="array" ref="F69">IF(ISERROR(LEFT(INDEX('Mens Averages'!$AM$8:$AM$343,MATCH('Weekly Top 10'!I69,'Mens Averages'!$AN$8:$AN$343,0)),1)),"",(LEFT(INDEX('Mens Averages'!$AM$8:$AM$343,MATCH('Weekly Top 10'!I69,'Mens Averages'!$AN$8:$AN$343,0)),1)))</f>
        <v>4</v>
      </c>
      <c r="G69" s="146" t="str">
        <f t="array" ref="G69">IF(ISERROR(RIGHT(LEFT(INDEX('Mens Averages'!$AM$8:$AM$343,MATCH('Weekly Top 10'!I69,'Mens Averages'!$AN$8:$AN$343,0)),3),1)),"",(RIGHT(LEFT(INDEX('Mens Averages'!$AM$8:$AM$343,MATCH('Weekly Top 10'!I69,'Mens Averages'!$AN$8:$AN$343,0)),3),1)))</f>
        <v>1</v>
      </c>
      <c r="H69" s="145">
        <f t="array" ref="H69">IF(ISNUMBER(I69),INDEX('Mens Averages'!$R$8:$R$343,SMALL(IF('Mens Averages'!$AN$8:$AN$343=I69,ROW('Mens Averages'!$AN$8:$AN$343)-ROW('Mens Averages'!$AN$8)+1),COUNTIF(I$68:I78,I69))),"")</f>
        <v>28.27</v>
      </c>
      <c r="I69" s="147">
        <f>IF(ISERROR(LARGE('Mens Averages'!$AN$8:$AN$343,2)),"",(LARGE('Mens Averages'!$AN$8:$AN$343,2)))</f>
        <v>29.27</v>
      </c>
      <c r="J69" s="1"/>
      <c r="K69" s="68">
        <f>IF(ISERROR(RANK(R69,R68:R77)),"",(RANK(R69,R68:R77)))</f>
        <v>2</v>
      </c>
      <c r="L69" s="144" t="str">
        <f t="array" ref="L69">IF(ISNUMBER(R69),INDEX('Mens Averages'!$G$8:$G$343,SMALL(IF('Mens Averages'!$AX$8:$AX$343=R69,ROW('Mens Averages'!$AX$8:$AX$343)-ROW('Mens Averages'!$AX$8)+1),COUNTIF(R$68:R69,R69))),"")</f>
        <v>Daniel Perry</v>
      </c>
      <c r="M69" s="145" t="str">
        <f t="array" ref="M69">IF(ISNUMBER(R69),INDEX('Mens Averages'!$H$8:$H$343,SMALL(IF('Mens Averages'!$AX$8:$AX$343=R69,ROW('Mens Averages'!$AX$8:$AX$343)-ROW('Mens Averages'!$AX$8)+1),COUNTIF(R$68:R69,R69))),"")</f>
        <v>Lyt</v>
      </c>
      <c r="N69" s="146" t="str">
        <f t="array" ref="N69">IF(ISERROR(IF(LEFT(INDEX('Mens Averages'!$AW$8:$AW$343,MATCH('Weekly Top 10'!R69,'Mens Averages'!$AX$8:$AX$343,0)),1)="4","Y","N")),"",(IF(LEFT(INDEX('Mens Averages'!$AW$8:$AW$343,MATCH('Weekly Top 10'!R69,'Mens Averages'!$AX$8:$AX$343,0)),1)="4","Y","N")))</f>
        <v>Y</v>
      </c>
      <c r="O69" s="146" t="str">
        <f t="array" ref="O69">IF(ISERROR(LEFT(INDEX('Mens Averages'!$AW$8:$AW$343,MATCH('Weekly Top 10'!R69,'Mens Averages'!$AX$8:$AX$343,0)),1)),"",(LEFT(INDEX('Mens Averages'!$AW$8:$AW$343,MATCH('Weekly Top 10'!R69,'Mens Averages'!$AX$8:$AX$343,0)),1)))</f>
        <v>4</v>
      </c>
      <c r="P69" s="146" t="str">
        <f t="array" ref="P69">IF(ISERROR(RIGHT(LEFT(INDEX('Mens Averages'!$AW$8:$AW$343,MATCH('Weekly Top 10'!R69,'Mens Averages'!$AX$8:$AX$343,0)),3),1)),"",(RIGHT(LEFT(INDEX('Mens Averages'!$AW$8:$AW$343,MATCH('Weekly Top 10'!R69,'Mens Averages'!$AX$8:$AX$343,0)),3),1)))</f>
        <v>0</v>
      </c>
      <c r="Q69" s="145">
        <f t="array" ref="Q69">IF(ISNUMBER(R69),INDEX('Mens Averages'!$W$8:$W$343,SMALL(IF('Mens Averages'!$AX$8:$AX$343=R69,ROW('Mens Averages'!$AX$8:$AX$343)-ROW('Mens Averages'!$AX$8)+1),COUNTIF(R$68:R78,R69))),"")</f>
        <v>29.47</v>
      </c>
      <c r="R69" s="147">
        <f>IF(ISERROR(LARGE('Mens Averages'!$AX$8:$AX$343,2)),"",(LARGE('Mens Averages'!$AX$8:$AX$343,2)))</f>
        <v>30.47</v>
      </c>
      <c r="S69" s="1"/>
      <c r="T69" s="2"/>
      <c r="U69" s="2"/>
      <c r="V69" s="2"/>
      <c r="W69" s="2"/>
      <c r="X69" s="2"/>
      <c r="Y69" s="2"/>
      <c r="Z69" s="79"/>
      <c r="AA69" s="79"/>
      <c r="AB69" s="1"/>
      <c r="AC69" s="1"/>
      <c r="AD69" s="1"/>
      <c r="AE69" s="1"/>
    </row>
    <row r="70" spans="1:31" ht="16.5" customHeight="1" x14ac:dyDescent="0.2">
      <c r="A70" s="1"/>
      <c r="B70" s="68">
        <f>IF(ISERROR(RANK(I70,I68:I77)),"",(RANK(I70,I68:I77)))</f>
        <v>3</v>
      </c>
      <c r="C70" s="144" t="str">
        <f t="array" ref="C70">IF(ISNUMBER(I70),INDEX('Mens Averages'!$G$8:$G$343,SMALL(IF('Mens Averages'!$AN$8:$AN$343=I70,ROW('Mens Averages'!$AN$8:$AN$343)-ROW('Mens Averages'!$AN$8)+1),COUNTIF(I$68:I70,I70))),"")</f>
        <v>Scott Mitchell</v>
      </c>
      <c r="D70" s="145" t="str">
        <f t="array" ref="D70">IF(ISNUMBER(I70),INDEX('Mens Averages'!$H$8:$H$343,SMALL(IF('Mens Averages'!$AN$8:$AN$343=I70,ROW('Mens Averages'!$AN$8:$AN$343)-ROW('Mens Averages'!$AN$8)+1),COUNTIF(I$68:I70,I70))),"")</f>
        <v>Lyt</v>
      </c>
      <c r="E70" s="146" t="str">
        <f t="array" ref="E70">IF(ISERROR(IF(LEFT(INDEX('Mens Averages'!$AM$8:$AM$343,MATCH('Weekly Top 10'!I70,'Mens Averages'!$AN$8:$AN$343,0)),1)="4","Y","N")),"",(IF(LEFT(INDEX('Mens Averages'!$AM$8:$AM$343,MATCH('Weekly Top 10'!I70,'Mens Averages'!$AN$8:$AN$343,0)),1)="4","Y","N")))</f>
        <v>Y</v>
      </c>
      <c r="F70" s="146" t="str">
        <f t="array" ref="F70">IF(ISERROR(LEFT(INDEX('Mens Averages'!$AM$8:$AM$343,MATCH('Weekly Top 10'!I70,'Mens Averages'!$AN$8:$AN$343,0)),1)),"",(LEFT(INDEX('Mens Averages'!$AM$8:$AM$343,MATCH('Weekly Top 10'!I70,'Mens Averages'!$AN$8:$AN$343,0)),1)))</f>
        <v>4</v>
      </c>
      <c r="G70" s="146" t="str">
        <f t="array" ref="G70">IF(ISERROR(RIGHT(LEFT(INDEX('Mens Averages'!$AM$8:$AM$343,MATCH('Weekly Top 10'!I70,'Mens Averages'!$AN$8:$AN$343,0)),3),1)),"",(RIGHT(LEFT(INDEX('Mens Averages'!$AM$8:$AM$343,MATCH('Weekly Top 10'!I70,'Mens Averages'!$AN$8:$AN$343,0)),3),1)))</f>
        <v>1</v>
      </c>
      <c r="H70" s="145">
        <f t="array" ref="H70">IF(ISNUMBER(I70),INDEX('Mens Averages'!$R$8:$R$343,SMALL(IF('Mens Averages'!$AN$8:$AN$343=I70,ROW('Mens Averages'!$AN$8:$AN$343)-ROW('Mens Averages'!$AN$8)+1),COUNTIF(I$68:I79,I70))),"")</f>
        <v>27.72</v>
      </c>
      <c r="I70" s="147">
        <f>IF(ISERROR(LARGE('Mens Averages'!$AN$8:$AN$343,3)),"",(LARGE('Mens Averages'!$AN$8:$AN$343,3)))</f>
        <v>28.72</v>
      </c>
      <c r="J70" s="1"/>
      <c r="K70" s="68">
        <f>IF(ISERROR(RANK(R70,R68:R77)),"",(RANK(R70,R68:R77)))</f>
        <v>3</v>
      </c>
      <c r="L70" s="144" t="str">
        <f t="array" ref="L70">IF(ISNUMBER(R70),INDEX('Mens Averages'!$G$8:$G$343,SMALL(IF('Mens Averages'!$AX$8:$AX$343=R70,ROW('Mens Averages'!$AX$8:$AX$343)-ROW('Mens Averages'!$AX$8)+1),COUNTIF(R$68:R70,R70))),"")</f>
        <v>Tommy Morris</v>
      </c>
      <c r="M70" s="145" t="str">
        <f t="array" ref="M70">IF(ISNUMBER(R70),INDEX('Mens Averages'!$H$8:$H$343,SMALL(IF('Mens Averages'!$AX$8:$AX$343=R70,ROW('Mens Averages'!$AX$8:$AX$343)-ROW('Mens Averages'!$AX$8)+1),COUNTIF(R$68:R70,R70))),"")</f>
        <v>Chr</v>
      </c>
      <c r="N70" s="146" t="str">
        <f t="array" ref="N70">IF(ISERROR(IF(LEFT(INDEX('Mens Averages'!$AW$8:$AW$343,MATCH('Weekly Top 10'!R70,'Mens Averages'!$AX$8:$AX$343,0)),1)="4","Y","N")),"",(IF(LEFT(INDEX('Mens Averages'!$AW$8:$AW$343,MATCH('Weekly Top 10'!R70,'Mens Averages'!$AX$8:$AX$343,0)),1)="4","Y","N")))</f>
        <v>Y</v>
      </c>
      <c r="O70" s="146" t="str">
        <f t="array" ref="O70">IF(ISERROR(LEFT(INDEX('Mens Averages'!$AW$8:$AW$343,MATCH('Weekly Top 10'!R70,'Mens Averages'!$AX$8:$AX$343,0)),1)),"",(LEFT(INDEX('Mens Averages'!$AW$8:$AW$343,MATCH('Weekly Top 10'!R70,'Mens Averages'!$AX$8:$AX$343,0)),1)))</f>
        <v>4</v>
      </c>
      <c r="P70" s="146" t="str">
        <f t="array" ref="P70">IF(ISERROR(RIGHT(LEFT(INDEX('Mens Averages'!$AW$8:$AW$343,MATCH('Weekly Top 10'!R70,'Mens Averages'!$AX$8:$AX$343,0)),3),1)),"",(RIGHT(LEFT(INDEX('Mens Averages'!$AW$8:$AW$343,MATCH('Weekly Top 10'!R70,'Mens Averages'!$AX$8:$AX$343,0)),3),1)))</f>
        <v>0</v>
      </c>
      <c r="Q70" s="145">
        <f t="array" ref="Q70">IF(ISNUMBER(R70),INDEX('Mens Averages'!$W$8:$W$343,SMALL(IF('Mens Averages'!$AX$8:$AX$343=R70,ROW('Mens Averages'!$AX$8:$AX$343)-ROW('Mens Averages'!$AX$8)+1),COUNTIF(R$68:R79,R70))),"")</f>
        <v>28.23</v>
      </c>
      <c r="R70" s="147">
        <f>IF(ISERROR(LARGE('Mens Averages'!$AX$8:$AX$343,3)),"",(LARGE('Mens Averages'!$AX$8:$AX$343,3)))</f>
        <v>29.23</v>
      </c>
      <c r="S70" s="1"/>
      <c r="T70" s="2"/>
      <c r="U70" s="2"/>
      <c r="V70" s="2"/>
      <c r="W70" s="2"/>
      <c r="X70" s="2"/>
      <c r="Y70" s="2"/>
      <c r="Z70" s="79"/>
      <c r="AA70" s="79"/>
      <c r="AB70" s="1"/>
      <c r="AC70" s="1"/>
      <c r="AD70" s="1"/>
      <c r="AE70" s="1"/>
    </row>
    <row r="71" spans="1:31" ht="16.5" customHeight="1" x14ac:dyDescent="0.2">
      <c r="A71" s="1"/>
      <c r="B71" s="68">
        <f>IF(ISERROR(RANK(I71,I68:I77)),"",(RANK(I71,I68:I77)))</f>
        <v>4</v>
      </c>
      <c r="C71" s="144" t="str">
        <f t="array" ref="C71">IF(ISNUMBER(I71),INDEX('Mens Averages'!$G$8:$G$343,SMALL(IF('Mens Averages'!$AN$8:$AN$343=I71,ROW('Mens Averages'!$AN$8:$AN$343)-ROW('Mens Averages'!$AN$8)+1),COUNTIF(I$68:I71,I71))),"")</f>
        <v>Ricky King</v>
      </c>
      <c r="D71" s="145" t="str">
        <f t="array" ref="D71">IF(ISNUMBER(I71),INDEX('Mens Averages'!$H$8:$H$343,SMALL(IF('Mens Averages'!$AN$8:$AN$343=I71,ROW('Mens Averages'!$AN$8:$AN$343)-ROW('Mens Averages'!$AN$8)+1),COUNTIF(I$68:I71,I71))),"")</f>
        <v>Swa</v>
      </c>
      <c r="E71" s="146" t="str">
        <f t="array" ref="E71">IF(ISERROR(IF(LEFT(INDEX('Mens Averages'!$AM$8:$AM$343,MATCH('Weekly Top 10'!I71,'Mens Averages'!$AN$8:$AN$343,0)),1)="4","Y","N")),"",(IF(LEFT(INDEX('Mens Averages'!$AM$8:$AM$343,MATCH('Weekly Top 10'!I71,'Mens Averages'!$AN$8:$AN$343,0)),1)="4","Y","N")))</f>
        <v>Y</v>
      </c>
      <c r="F71" s="146" t="str">
        <f t="array" ref="F71">IF(ISERROR(LEFT(INDEX('Mens Averages'!$AM$8:$AM$343,MATCH('Weekly Top 10'!I71,'Mens Averages'!$AN$8:$AN$343,0)),1)),"",(LEFT(INDEX('Mens Averages'!$AM$8:$AM$343,MATCH('Weekly Top 10'!I71,'Mens Averages'!$AN$8:$AN$343,0)),1)))</f>
        <v>4</v>
      </c>
      <c r="G71" s="146" t="str">
        <f t="array" ref="G71">IF(ISERROR(RIGHT(LEFT(INDEX('Mens Averages'!$AM$8:$AM$343,MATCH('Weekly Top 10'!I71,'Mens Averages'!$AN$8:$AN$343,0)),3),1)),"",(RIGHT(LEFT(INDEX('Mens Averages'!$AM$8:$AM$343,MATCH('Weekly Top 10'!I71,'Mens Averages'!$AN$8:$AN$343,0)),3),1)))</f>
        <v>1</v>
      </c>
      <c r="H71" s="145">
        <f t="array" ref="H71">IF(ISNUMBER(I71),INDEX('Mens Averages'!$R$8:$R$343,SMALL(IF('Mens Averages'!$AN$8:$AN$343=I71,ROW('Mens Averages'!$AN$8:$AN$343)-ROW('Mens Averages'!$AN$8)+1),COUNTIF(I$68:I80,I71))),"")</f>
        <v>27.64</v>
      </c>
      <c r="I71" s="147">
        <f>IF(ISERROR(LARGE('Mens Averages'!$AN$8:$AN$343,4)),"",(LARGE('Mens Averages'!$AN$8:$AN$343,4)))</f>
        <v>28.64</v>
      </c>
      <c r="J71" s="1"/>
      <c r="K71" s="68">
        <f>IF(ISERROR(RANK(R71,R68:R77)),"",(RANK(R71,R68:R77)))</f>
        <v>4</v>
      </c>
      <c r="L71" s="144" t="str">
        <f t="array" ref="L71">IF(ISNUMBER(R71),INDEX('Mens Averages'!$G$8:$G$343,SMALL(IF('Mens Averages'!$AX$8:$AX$343=R71,ROW('Mens Averages'!$AX$8:$AX$343)-ROW('Mens Averages'!$AX$8)+1),COUNTIF(R$68:R71,R71))),"")</f>
        <v>Owen Bowden</v>
      </c>
      <c r="M71" s="145" t="str">
        <f t="array" ref="M71">IF(ISNUMBER(R71),INDEX('Mens Averages'!$H$8:$H$343,SMALL(IF('Mens Averages'!$AX$8:$AX$343=R71,ROW('Mens Averages'!$AX$8:$AX$343)-ROW('Mens Averages'!$AX$8)+1),COUNTIF(R$68:R71,R71))),"")</f>
        <v>Sha</v>
      </c>
      <c r="N71" s="146" t="str">
        <f t="array" ref="N71">IF(ISERROR(IF(LEFT(INDEX('Mens Averages'!$AW$8:$AW$343,MATCH('Weekly Top 10'!R71,'Mens Averages'!$AX$8:$AX$343,0)),1)="4","Y","N")),"",(IF(LEFT(INDEX('Mens Averages'!$AW$8:$AW$343,MATCH('Weekly Top 10'!R71,'Mens Averages'!$AX$8:$AX$343,0)),1)="4","Y","N")))</f>
        <v>Y</v>
      </c>
      <c r="O71" s="146" t="str">
        <f t="array" ref="O71">IF(ISERROR(LEFT(INDEX('Mens Averages'!$AW$8:$AW$343,MATCH('Weekly Top 10'!R71,'Mens Averages'!$AX$8:$AX$343,0)),1)),"",(LEFT(INDEX('Mens Averages'!$AW$8:$AW$343,MATCH('Weekly Top 10'!R71,'Mens Averages'!$AX$8:$AX$343,0)),1)))</f>
        <v>4</v>
      </c>
      <c r="P71" s="146" t="str">
        <f t="array" ref="P71">IF(ISERROR(RIGHT(LEFT(INDEX('Mens Averages'!$AW$8:$AW$343,MATCH('Weekly Top 10'!R71,'Mens Averages'!$AX$8:$AX$343,0)),3),1)),"",(RIGHT(LEFT(INDEX('Mens Averages'!$AW$8:$AW$343,MATCH('Weekly Top 10'!R71,'Mens Averages'!$AX$8:$AX$343,0)),3),1)))</f>
        <v>1</v>
      </c>
      <c r="Q71" s="145">
        <f t="array" ref="Q71">IF(ISNUMBER(R71),INDEX('Mens Averages'!$W$8:$W$343,SMALL(IF('Mens Averages'!$AX$8:$AX$343=R71,ROW('Mens Averages'!$AX$8:$AX$343)-ROW('Mens Averages'!$AX$8)+1),COUNTIF(R$68:R80,R71))),"")</f>
        <v>28.1</v>
      </c>
      <c r="R71" s="147">
        <f>IF(ISERROR(LARGE('Mens Averages'!$AX$8:$AX$343,4)),"",(LARGE('Mens Averages'!$AX$8:$AX$343,4)))</f>
        <v>29.1</v>
      </c>
      <c r="S71" s="1"/>
      <c r="T71" s="2"/>
      <c r="U71" s="2"/>
      <c r="V71" s="2"/>
      <c r="W71" s="2"/>
      <c r="X71" s="2"/>
      <c r="Y71" s="2"/>
      <c r="Z71" s="79"/>
      <c r="AA71" s="79"/>
      <c r="AB71" s="1"/>
      <c r="AC71" s="1"/>
      <c r="AD71" s="1"/>
      <c r="AE71" s="1"/>
    </row>
    <row r="72" spans="1:31" ht="16.5" customHeight="1" x14ac:dyDescent="0.2">
      <c r="A72" s="1"/>
      <c r="B72" s="68">
        <f>IF(ISERROR(RANK(I72,I68:I77)),"",(RANK(I72,I68:I77)))</f>
        <v>5</v>
      </c>
      <c r="C72" s="144" t="str">
        <f t="array" ref="C72">IF(ISNUMBER(I72),INDEX('Mens Averages'!$G$8:$G$343,SMALL(IF('Mens Averages'!$AN$8:$AN$343=I72,ROW('Mens Averages'!$AN$8:$AN$343)-ROW('Mens Averages'!$AN$8)+1),COUNTIF(I$68:I72,I72))),"")</f>
        <v>Tony Dunning</v>
      </c>
      <c r="D72" s="145" t="str">
        <f t="array" ref="D72">IF(ISNUMBER(I72),INDEX('Mens Averages'!$H$8:$H$343,SMALL(IF('Mens Averages'!$AN$8:$AN$343=I72,ROW('Mens Averages'!$AN$8:$AN$343)-ROW('Mens Averages'!$AN$8)+1),COUNTIF(I$68:I72,I72))),"")</f>
        <v>Chr</v>
      </c>
      <c r="E72" s="146" t="str">
        <f t="array" ref="E72">IF(ISERROR(IF(LEFT(INDEX('Mens Averages'!$AM$8:$AM$343,MATCH('Weekly Top 10'!I72,'Mens Averages'!$AN$8:$AN$343,0)),1)="4","Y","N")),"",(IF(LEFT(INDEX('Mens Averages'!$AM$8:$AM$343,MATCH('Weekly Top 10'!I72,'Mens Averages'!$AN$8:$AN$343,0)),1)="4","Y","N")))</f>
        <v>Y</v>
      </c>
      <c r="F72" s="146" t="str">
        <f t="array" ref="F72">IF(ISERROR(LEFT(INDEX('Mens Averages'!$AM$8:$AM$343,MATCH('Weekly Top 10'!I72,'Mens Averages'!$AN$8:$AN$343,0)),1)),"",(LEFT(INDEX('Mens Averages'!$AM$8:$AM$343,MATCH('Weekly Top 10'!I72,'Mens Averages'!$AN$8:$AN$343,0)),1)))</f>
        <v>4</v>
      </c>
      <c r="G72" s="146" t="str">
        <f t="array" ref="G72">IF(ISERROR(RIGHT(LEFT(INDEX('Mens Averages'!$AM$8:$AM$343,MATCH('Weekly Top 10'!I72,'Mens Averages'!$AN$8:$AN$343,0)),3),1)),"",(RIGHT(LEFT(INDEX('Mens Averages'!$AM$8:$AM$343,MATCH('Weekly Top 10'!I72,'Mens Averages'!$AN$8:$AN$343,0)),3),1)))</f>
        <v>0</v>
      </c>
      <c r="H72" s="145">
        <f t="array" ref="H72">IF(ISNUMBER(I72),INDEX('Mens Averages'!$R$8:$R$343,SMALL(IF('Mens Averages'!$AN$8:$AN$343=I72,ROW('Mens Averages'!$AN$8:$AN$343)-ROW('Mens Averages'!$AN$8)+1),COUNTIF(I$68:I81,I72))),"")</f>
        <v>27.45</v>
      </c>
      <c r="I72" s="147">
        <f>IF(ISERROR(LARGE('Mens Averages'!$AN$8:$AN$343,5)),"",(LARGE('Mens Averages'!$AN$8:$AN$343,5)))</f>
        <v>28.45</v>
      </c>
      <c r="J72" s="1"/>
      <c r="K72" s="68">
        <f>IF(ISERROR(RANK(R72,R68:R77)),"",(RANK(R72,R68:R77)))</f>
        <v>5</v>
      </c>
      <c r="L72" s="144" t="str">
        <f t="array" ref="L72">IF(ISNUMBER(R72),INDEX('Mens Averages'!$G$8:$G$343,SMALL(IF('Mens Averages'!$AX$8:$AX$343=R72,ROW('Mens Averages'!$AX$8:$AX$343)-ROW('Mens Averages'!$AX$8)+1),COUNTIF(R$68:R72,R72))),"")</f>
        <v>Richard Gomm</v>
      </c>
      <c r="M72" s="145" t="str">
        <f t="array" ref="M72">IF(ISNUMBER(R72),INDEX('Mens Averages'!$H$8:$H$343,SMALL(IF('Mens Averages'!$AX$8:$AX$343=R72,ROW('Mens Averages'!$AX$8:$AX$343)-ROW('Mens Averages'!$AX$8)+1),COUNTIF(R$68:R72,R72))),"")</f>
        <v>Wey</v>
      </c>
      <c r="N72" s="146" t="str">
        <f t="array" ref="N72">IF(ISERROR(IF(LEFT(INDEX('Mens Averages'!$AW$8:$AW$343,MATCH('Weekly Top 10'!R72,'Mens Averages'!$AX$8:$AX$343,0)),1)="4","Y","N")),"",(IF(LEFT(INDEX('Mens Averages'!$AW$8:$AW$343,MATCH('Weekly Top 10'!R72,'Mens Averages'!$AX$8:$AX$343,0)),1)="4","Y","N")))</f>
        <v>Y</v>
      </c>
      <c r="O72" s="146" t="str">
        <f t="array" ref="O72">IF(ISERROR(LEFT(INDEX('Mens Averages'!$AW$8:$AW$343,MATCH('Weekly Top 10'!R72,'Mens Averages'!$AX$8:$AX$343,0)),1)),"",(LEFT(INDEX('Mens Averages'!$AW$8:$AW$343,MATCH('Weekly Top 10'!R72,'Mens Averages'!$AX$8:$AX$343,0)),1)))</f>
        <v>4</v>
      </c>
      <c r="P72" s="146" t="str">
        <f t="array" ref="P72">IF(ISERROR(RIGHT(LEFT(INDEX('Mens Averages'!$AW$8:$AW$343,MATCH('Weekly Top 10'!R72,'Mens Averages'!$AX$8:$AX$343,0)),3),1)),"",(RIGHT(LEFT(INDEX('Mens Averages'!$AW$8:$AW$343,MATCH('Weekly Top 10'!R72,'Mens Averages'!$AX$8:$AX$343,0)),3),1)))</f>
        <v>0</v>
      </c>
      <c r="Q72" s="145">
        <f t="array" ref="Q72">IF(ISNUMBER(R72),INDEX('Mens Averages'!$W$8:$W$343,SMALL(IF('Mens Averages'!$AX$8:$AX$343=R72,ROW('Mens Averages'!$AX$8:$AX$343)-ROW('Mens Averages'!$AX$8)+1),COUNTIF(R$68:R81,R72))),"")</f>
        <v>27.83</v>
      </c>
      <c r="R72" s="147">
        <f>IF(ISERROR(LARGE('Mens Averages'!$AX$8:$AX$343,5)),"",(LARGE('Mens Averages'!$AX$8:$AX$343,5)))</f>
        <v>28.83</v>
      </c>
      <c r="S72" s="1"/>
      <c r="T72" s="2"/>
      <c r="U72" s="2"/>
      <c r="V72" s="2"/>
      <c r="W72" s="2"/>
      <c r="X72" s="2"/>
      <c r="Y72" s="2"/>
      <c r="Z72" s="79"/>
      <c r="AA72" s="79"/>
      <c r="AB72" s="1"/>
      <c r="AC72" s="1"/>
      <c r="AD72" s="1"/>
      <c r="AE72" s="1"/>
    </row>
    <row r="73" spans="1:31" ht="16.5" customHeight="1" x14ac:dyDescent="0.2">
      <c r="A73" s="1"/>
      <c r="B73" s="68">
        <f>IF(ISERROR(RANK(I73,I68:I77)),"",(RANK(I73,I68:I77)))</f>
        <v>5</v>
      </c>
      <c r="C73" s="144" t="str">
        <f t="array" ref="C73">IF(ISNUMBER(I73),INDEX('Mens Averages'!$G$8:$G$343,SMALL(IF('Mens Averages'!$AN$8:$AN$343=I73,ROW('Mens Averages'!$AN$8:$AN$343)-ROW('Mens Averages'!$AN$8)+1),COUNTIF(I$68:I73,I73))),"")</f>
        <v>Tom Moors</v>
      </c>
      <c r="D73" s="145" t="str">
        <f t="array" ref="D73">IF(ISNUMBER(I73),INDEX('Mens Averages'!$H$8:$H$343,SMALL(IF('Mens Averages'!$AN$8:$AN$343=I73,ROW('Mens Averages'!$AN$8:$AN$343)-ROW('Mens Averages'!$AN$8)+1),COUNTIF(I$68:I73,I73))),"")</f>
        <v>Ald</v>
      </c>
      <c r="E73" s="146" t="str">
        <f t="array" ref="E73">IF(ISERROR(IF(LEFT(INDEX('Mens Averages'!$AM$8:$AM$343,MATCH('Weekly Top 10'!I73,'Mens Averages'!$AN$8:$AN$343,0)),1)="4","Y","N")),"",(IF(LEFT(INDEX('Mens Averages'!$AM$8:$AM$343,MATCH('Weekly Top 10'!I73,'Mens Averages'!$AN$8:$AN$343,0)),1)="4","Y","N")))</f>
        <v>Y</v>
      </c>
      <c r="F73" s="146" t="str">
        <f t="array" ref="F73">IF(ISERROR(LEFT(INDEX('Mens Averages'!$AM$8:$AM$343,MATCH('Weekly Top 10'!I73,'Mens Averages'!$AN$8:$AN$343,0)),1)),"",(LEFT(INDEX('Mens Averages'!$AM$8:$AM$343,MATCH('Weekly Top 10'!I73,'Mens Averages'!$AN$8:$AN$343,0)),1)))</f>
        <v>4</v>
      </c>
      <c r="G73" s="146" t="str">
        <f t="array" ref="G73">IF(ISERROR(RIGHT(LEFT(INDEX('Mens Averages'!$AM$8:$AM$343,MATCH('Weekly Top 10'!I73,'Mens Averages'!$AN$8:$AN$343,0)),3),1)),"",(RIGHT(LEFT(INDEX('Mens Averages'!$AM$8:$AM$343,MATCH('Weekly Top 10'!I73,'Mens Averages'!$AN$8:$AN$343,0)),3),1)))</f>
        <v>0</v>
      </c>
      <c r="H73" s="145">
        <f t="array" ref="H73">IF(ISNUMBER(I73),INDEX('Mens Averages'!$R$8:$R$343,SMALL(IF('Mens Averages'!$AN$8:$AN$343=I73,ROW('Mens Averages'!$AN$8:$AN$343)-ROW('Mens Averages'!$AN$8)+1),COUNTIF(I$68:I82,I73))),"")</f>
        <v>27.45</v>
      </c>
      <c r="I73" s="147">
        <f>IF(ISERROR(LARGE('Mens Averages'!$AN$8:$AN$343,6)),"",(LARGE('Mens Averages'!$AN$8:$AN$343,6)))</f>
        <v>28.45</v>
      </c>
      <c r="J73" s="1"/>
      <c r="K73" s="68">
        <f>IF(ISERROR(RANK(R73,R68:R77)),"",(RANK(R73,R68:R77)))</f>
        <v>6</v>
      </c>
      <c r="L73" s="144" t="str">
        <f t="array" ref="L73">IF(ISNUMBER(R73),INDEX('Mens Averages'!$G$8:$G$343,SMALL(IF('Mens Averages'!$AX$8:$AX$343=R73,ROW('Mens Averages'!$AX$8:$AX$343)-ROW('Mens Averages'!$AX$8)+1),COUNTIF(R$68:R73,R73))),"")</f>
        <v>Ricky King</v>
      </c>
      <c r="M73" s="145" t="str">
        <f t="array" ref="M73">IF(ISNUMBER(R73),INDEX('Mens Averages'!$H$8:$H$343,SMALL(IF('Mens Averages'!$AX$8:$AX$343=R73,ROW('Mens Averages'!$AX$8:$AX$343)-ROW('Mens Averages'!$AX$8)+1),COUNTIF(R$68:R73,R73))),"")</f>
        <v>Swa</v>
      </c>
      <c r="N73" s="146" t="str">
        <f t="array" ref="N73">IF(ISERROR(IF(LEFT(INDEX('Mens Averages'!$AW$8:$AW$343,MATCH('Weekly Top 10'!R73,'Mens Averages'!$AX$8:$AX$343,0)),1)="4","Y","N")),"",(IF(LEFT(INDEX('Mens Averages'!$AW$8:$AW$343,MATCH('Weekly Top 10'!R73,'Mens Averages'!$AX$8:$AX$343,0)),1)="4","Y","N")))</f>
        <v>N</v>
      </c>
      <c r="O73" s="146" t="str">
        <f t="array" ref="O73">IF(ISERROR(LEFT(INDEX('Mens Averages'!$AW$8:$AW$343,MATCH('Weekly Top 10'!R73,'Mens Averages'!$AX$8:$AX$343,0)),1)),"",(LEFT(INDEX('Mens Averages'!$AW$8:$AW$343,MATCH('Weekly Top 10'!R73,'Mens Averages'!$AX$8:$AX$343,0)),1)))</f>
        <v>3</v>
      </c>
      <c r="P73" s="146" t="str">
        <f t="array" ref="P73">IF(ISERROR(RIGHT(LEFT(INDEX('Mens Averages'!$AW$8:$AW$343,MATCH('Weekly Top 10'!R73,'Mens Averages'!$AX$8:$AX$343,0)),3),1)),"",(RIGHT(LEFT(INDEX('Mens Averages'!$AW$8:$AW$343,MATCH('Weekly Top 10'!R73,'Mens Averages'!$AX$8:$AX$343,0)),3),1)))</f>
        <v>4</v>
      </c>
      <c r="Q73" s="145">
        <f t="array" ref="Q73">IF(ISNUMBER(R73),INDEX('Mens Averages'!$W$8:$W$343,SMALL(IF('Mens Averages'!$AX$8:$AX$343=R73,ROW('Mens Averages'!$AX$8:$AX$343)-ROW('Mens Averages'!$AX$8)+1),COUNTIF(R$68:R82,R73))),"")</f>
        <v>28.48</v>
      </c>
      <c r="R73" s="147">
        <f>IF(ISERROR(LARGE('Mens Averages'!$AX$8:$AX$343,6)),"",(LARGE('Mens Averages'!$AX$8:$AX$343,6)))</f>
        <v>28.48</v>
      </c>
      <c r="S73" s="1"/>
      <c r="T73" s="2"/>
      <c r="U73" s="2"/>
      <c r="V73" s="2"/>
      <c r="W73" s="2"/>
      <c r="X73" s="2"/>
      <c r="Y73" s="2"/>
      <c r="Z73" s="79"/>
      <c r="AA73" s="79"/>
      <c r="AB73" s="1"/>
      <c r="AC73" s="1"/>
      <c r="AD73" s="1"/>
      <c r="AE73" s="1"/>
    </row>
    <row r="74" spans="1:31" ht="16.5" customHeight="1" x14ac:dyDescent="0.2">
      <c r="A74" s="1"/>
      <c r="B74" s="68">
        <f>IF(ISERROR(RANK(I74,I68:I77)),"",(RANK(I74,I68:I77)))</f>
        <v>7</v>
      </c>
      <c r="C74" s="144" t="str">
        <f t="array" ref="C74">IF(ISNUMBER(I74),INDEX('Mens Averages'!$G$8:$G$343,SMALL(IF('Mens Averages'!$AN$8:$AN$343=I74,ROW('Mens Averages'!$AN$8:$AN$343)-ROW('Mens Averages'!$AN$8)+1),COUNTIF(I$68:I74,I74))),"")</f>
        <v>Colin Mutter</v>
      </c>
      <c r="D74" s="145" t="str">
        <f t="array" ref="D74">IF(ISNUMBER(I74),INDEX('Mens Averages'!$H$8:$H$343,SMALL(IF('Mens Averages'!$AN$8:$AN$343=I74,ROW('Mens Averages'!$AN$8:$AN$343)-ROW('Mens Averages'!$AN$8)+1),COUNTIF(I$68:I74,I74))),"")</f>
        <v>Swa</v>
      </c>
      <c r="E74" s="146" t="str">
        <f t="array" ref="E74">IF(ISERROR(IF(LEFT(INDEX('Mens Averages'!$AM$8:$AM$343,MATCH('Weekly Top 10'!I74,'Mens Averages'!$AN$8:$AN$343,0)),1)="4","Y","N")),"",(IF(LEFT(INDEX('Mens Averages'!$AM$8:$AM$343,MATCH('Weekly Top 10'!I74,'Mens Averages'!$AN$8:$AN$343,0)),1)="4","Y","N")))</f>
        <v>Y</v>
      </c>
      <c r="F74" s="146" t="str">
        <f t="array" ref="F74">IF(ISERROR(LEFT(INDEX('Mens Averages'!$AM$8:$AM$343,MATCH('Weekly Top 10'!I74,'Mens Averages'!$AN$8:$AN$343,0)),1)),"",(LEFT(INDEX('Mens Averages'!$AM$8:$AM$343,MATCH('Weekly Top 10'!I74,'Mens Averages'!$AN$8:$AN$343,0)),1)))</f>
        <v>4</v>
      </c>
      <c r="G74" s="146" t="str">
        <f t="array" ref="G74">IF(ISERROR(RIGHT(LEFT(INDEX('Mens Averages'!$AM$8:$AM$343,MATCH('Weekly Top 10'!I74,'Mens Averages'!$AN$8:$AN$343,0)),3),1)),"",(RIGHT(LEFT(INDEX('Mens Averages'!$AM$8:$AM$343,MATCH('Weekly Top 10'!I74,'Mens Averages'!$AN$8:$AN$343,0)),3),1)))</f>
        <v>0</v>
      </c>
      <c r="H74" s="145">
        <f t="array" ref="H74">IF(ISNUMBER(I74),INDEX('Mens Averages'!$R$8:$R$343,SMALL(IF('Mens Averages'!$AN$8:$AN$343=I74,ROW('Mens Averages'!$AN$8:$AN$343)-ROW('Mens Averages'!$AN$8)+1),COUNTIF(I$68:I83,I74))),"")</f>
        <v>27.08</v>
      </c>
      <c r="I74" s="147">
        <f>IF(ISERROR(LARGE('Mens Averages'!$AN$8:$AN$343,7)),"",(LARGE('Mens Averages'!$AN$8:$AN$343,7)))</f>
        <v>28.08</v>
      </c>
      <c r="J74" s="1"/>
      <c r="K74" s="68">
        <f>IF(ISERROR(RANK(R74,R68:R77)),"",(RANK(R74,R68:R77)))</f>
        <v>7</v>
      </c>
      <c r="L74" s="144" t="str">
        <f t="array" ref="L74">IF(ISNUMBER(R74),INDEX('Mens Averages'!$G$8:$G$343,SMALL(IF('Mens Averages'!$AX$8:$AX$343=R74,ROW('Mens Averages'!$AX$8:$AX$343)-ROW('Mens Averages'!$AX$8)+1),COUNTIF(R$68:R74,R74))),"")</f>
        <v>Mark Grimes</v>
      </c>
      <c r="M74" s="145" t="str">
        <f t="array" ref="M74">IF(ISNUMBER(R74),INDEX('Mens Averages'!$H$8:$H$343,SMALL(IF('Mens Averages'!$AX$8:$AX$343=R74,ROW('Mens Averages'!$AX$8:$AX$343)-ROW('Mens Averages'!$AX$8)+1),COUNTIF(R$68:R74,R74))),"")</f>
        <v>Chr</v>
      </c>
      <c r="N74" s="146" t="str">
        <f t="array" ref="N74">IF(ISERROR(IF(LEFT(INDEX('Mens Averages'!$AW$8:$AW$343,MATCH('Weekly Top 10'!R74,'Mens Averages'!$AX$8:$AX$343,0)),1)="4","Y","N")),"",(IF(LEFT(INDEX('Mens Averages'!$AW$8:$AW$343,MATCH('Weekly Top 10'!R74,'Mens Averages'!$AX$8:$AX$343,0)),1)="4","Y","N")))</f>
        <v>Y</v>
      </c>
      <c r="O74" s="146" t="str">
        <f t="array" ref="O74">IF(ISERROR(LEFT(INDEX('Mens Averages'!$AW$8:$AW$343,MATCH('Weekly Top 10'!R74,'Mens Averages'!$AX$8:$AX$343,0)),1)),"",(LEFT(INDEX('Mens Averages'!$AW$8:$AW$343,MATCH('Weekly Top 10'!R74,'Mens Averages'!$AX$8:$AX$343,0)),1)))</f>
        <v>4</v>
      </c>
      <c r="P74" s="146" t="str">
        <f t="array" ref="P74">IF(ISERROR(RIGHT(LEFT(INDEX('Mens Averages'!$AW$8:$AW$343,MATCH('Weekly Top 10'!R74,'Mens Averages'!$AX$8:$AX$343,0)),3),1)),"",(RIGHT(LEFT(INDEX('Mens Averages'!$AW$8:$AW$343,MATCH('Weekly Top 10'!R74,'Mens Averages'!$AX$8:$AX$343,0)),3),1)))</f>
        <v>3</v>
      </c>
      <c r="Q74" s="145">
        <f t="array" ref="Q74">IF(ISNUMBER(R74),INDEX('Mens Averages'!$W$8:$W$343,SMALL(IF('Mens Averages'!$AX$8:$AX$343=R74,ROW('Mens Averages'!$AX$8:$AX$343)-ROW('Mens Averages'!$AX$8)+1),COUNTIF(R$68:R83,R74))),"")</f>
        <v>27.46</v>
      </c>
      <c r="R74" s="147">
        <f>IF(ISERROR(LARGE('Mens Averages'!$AX$8:$AX$343,7)),"",(LARGE('Mens Averages'!$AX$8:$AX$343,7)))</f>
        <v>28.46</v>
      </c>
      <c r="S74" s="1"/>
      <c r="T74" s="2"/>
      <c r="U74" s="2"/>
      <c r="V74" s="2"/>
      <c r="W74" s="2"/>
      <c r="X74" s="2"/>
      <c r="Y74" s="2"/>
      <c r="Z74" s="79"/>
      <c r="AA74" s="79"/>
      <c r="AB74" s="1"/>
      <c r="AC74" s="1"/>
      <c r="AD74" s="1"/>
      <c r="AE74" s="1"/>
    </row>
    <row r="75" spans="1:31" ht="16.5" customHeight="1" x14ac:dyDescent="0.2">
      <c r="A75" s="1"/>
      <c r="B75" s="68">
        <f>IF(ISERROR(RANK(I75,I68:I77)),"",(RANK(I75,I68:I77)))</f>
        <v>8</v>
      </c>
      <c r="C75" s="144" t="str">
        <f t="array" ref="C75">IF(ISNUMBER(I75),INDEX('Mens Averages'!$G$8:$G$343,SMALL(IF('Mens Averages'!$AN$8:$AN$343=I75,ROW('Mens Averages'!$AN$8:$AN$343)-ROW('Mens Averages'!$AN$8)+1),COUNTIF(I$68:I75,I75))),"")</f>
        <v>Lee Matthews</v>
      </c>
      <c r="D75" s="145" t="str">
        <f t="array" ref="D75">IF(ISNUMBER(I75),INDEX('Mens Averages'!$H$8:$H$343,SMALL(IF('Mens Averages'!$AN$8:$AN$343=I75,ROW('Mens Averages'!$AN$8:$AN$343)-ROW('Mens Averages'!$AN$8)+1),COUNTIF(I$68:I75,I75))),"")</f>
        <v>Lyt</v>
      </c>
      <c r="E75" s="146" t="str">
        <f t="array" ref="E75">IF(ISERROR(IF(LEFT(INDEX('Mens Averages'!$AM$8:$AM$343,MATCH('Weekly Top 10'!I75,'Mens Averages'!$AN$8:$AN$343,0)),1)="4","Y","N")),"",(IF(LEFT(INDEX('Mens Averages'!$AM$8:$AM$343,MATCH('Weekly Top 10'!I75,'Mens Averages'!$AN$8:$AN$343,0)),1)="4","Y","N")))</f>
        <v>Y</v>
      </c>
      <c r="F75" s="146" t="str">
        <f t="array" ref="F75">IF(ISERROR(LEFT(INDEX('Mens Averages'!$AM$8:$AM$343,MATCH('Weekly Top 10'!I75,'Mens Averages'!$AN$8:$AN$343,0)),1)),"",(LEFT(INDEX('Mens Averages'!$AM$8:$AM$343,MATCH('Weekly Top 10'!I75,'Mens Averages'!$AN$8:$AN$343,0)),1)))</f>
        <v>4</v>
      </c>
      <c r="G75" s="146" t="str">
        <f t="array" ref="G75">IF(ISERROR(RIGHT(LEFT(INDEX('Mens Averages'!$AM$8:$AM$343,MATCH('Weekly Top 10'!I75,'Mens Averages'!$AN$8:$AN$343,0)),3),1)),"",(RIGHT(LEFT(INDEX('Mens Averages'!$AM$8:$AM$343,MATCH('Weekly Top 10'!I75,'Mens Averages'!$AN$8:$AN$343,0)),3),1)))</f>
        <v>3</v>
      </c>
      <c r="H75" s="145">
        <f t="array" ref="H75">IF(ISNUMBER(I75),INDEX('Mens Averages'!$R$8:$R$343,SMALL(IF('Mens Averages'!$AN$8:$AN$343=I75,ROW('Mens Averages'!$AN$8:$AN$343)-ROW('Mens Averages'!$AN$8)+1),COUNTIF(I$68:I84,I75))),"")</f>
        <v>26.59</v>
      </c>
      <c r="I75" s="147">
        <f>IF(ISERROR(LARGE('Mens Averages'!$AN$8:$AN$343,8)),"",(LARGE('Mens Averages'!$AN$8:$AN$343,8)))</f>
        <v>27.59</v>
      </c>
      <c r="J75" s="1"/>
      <c r="K75" s="68">
        <f>IF(ISERROR(RANK(R75,R68:R77)),"",(RANK(R75,R68:R77)))</f>
        <v>8</v>
      </c>
      <c r="L75" s="144" t="str">
        <f t="array" ref="L75">IF(ISNUMBER(R75),INDEX('Mens Averages'!$G$8:$G$343,SMALL(IF('Mens Averages'!$AX$8:$AX$343=R75,ROW('Mens Averages'!$AX$8:$AX$343)-ROW('Mens Averages'!$AX$8)+1),COUNTIF(R$68:R75,R75))),"")</f>
        <v>Robbie Martin</v>
      </c>
      <c r="M75" s="145" t="str">
        <f t="array" ref="M75">IF(ISNUMBER(R75),INDEX('Mens Averages'!$H$8:$H$343,SMALL(IF('Mens Averages'!$AX$8:$AX$343=R75,ROW('Mens Averages'!$AX$8:$AX$343)-ROW('Mens Averages'!$AX$8)+1),COUNTIF(R$68:R75,R75))),"")</f>
        <v>Ald</v>
      </c>
      <c r="N75" s="146" t="str">
        <f t="array" ref="N75">IF(ISERROR(IF(LEFT(INDEX('Mens Averages'!$AW$8:$AW$343,MATCH('Weekly Top 10'!R75,'Mens Averages'!$AX$8:$AX$343,0)),1)="4","Y","N")),"",(IF(LEFT(INDEX('Mens Averages'!$AW$8:$AW$343,MATCH('Weekly Top 10'!R75,'Mens Averages'!$AX$8:$AX$343,0)),1)="4","Y","N")))</f>
        <v>Y</v>
      </c>
      <c r="O75" s="146" t="str">
        <f t="array" ref="O75">IF(ISERROR(LEFT(INDEX('Mens Averages'!$AW$8:$AW$343,MATCH('Weekly Top 10'!R75,'Mens Averages'!$AX$8:$AX$343,0)),1)),"",(LEFT(INDEX('Mens Averages'!$AW$8:$AW$343,MATCH('Weekly Top 10'!R75,'Mens Averages'!$AX$8:$AX$343,0)),1)))</f>
        <v>4</v>
      </c>
      <c r="P75" s="146" t="str">
        <f t="array" ref="P75">IF(ISERROR(RIGHT(LEFT(INDEX('Mens Averages'!$AW$8:$AW$343,MATCH('Weekly Top 10'!R75,'Mens Averages'!$AX$8:$AX$343,0)),3),1)),"",(RIGHT(LEFT(INDEX('Mens Averages'!$AW$8:$AW$343,MATCH('Weekly Top 10'!R75,'Mens Averages'!$AX$8:$AX$343,0)),3),1)))</f>
        <v>1</v>
      </c>
      <c r="Q75" s="145">
        <f t="array" ref="Q75">IF(ISNUMBER(R75),INDEX('Mens Averages'!$W$8:$W$343,SMALL(IF('Mens Averages'!$AX$8:$AX$343=R75,ROW('Mens Averages'!$AX$8:$AX$343)-ROW('Mens Averages'!$AX$8)+1),COUNTIF(R$68:R84,R75))),"")</f>
        <v>27.39</v>
      </c>
      <c r="R75" s="147">
        <f>IF(ISERROR(LARGE('Mens Averages'!$AX$8:$AX$343,8)),"",(LARGE('Mens Averages'!$AX$8:$AX$343,8)))</f>
        <v>28.39</v>
      </c>
      <c r="S75" s="1"/>
      <c r="T75" s="2"/>
      <c r="U75" s="2"/>
      <c r="V75" s="2"/>
      <c r="W75" s="2"/>
      <c r="X75" s="2"/>
      <c r="Y75" s="2"/>
      <c r="Z75" s="79"/>
      <c r="AA75" s="79"/>
      <c r="AB75" s="1"/>
      <c r="AC75" s="1"/>
      <c r="AD75" s="1"/>
      <c r="AE75" s="1"/>
    </row>
    <row r="76" spans="1:31" ht="16.5" customHeight="1" x14ac:dyDescent="0.2">
      <c r="A76" s="1"/>
      <c r="B76" s="68">
        <f>IF(ISERROR(RANK(I76,I68:I77)),"",(RANK(I76,I68:I77)))</f>
        <v>9</v>
      </c>
      <c r="C76" s="144" t="str">
        <f t="array" ref="C76">IF(ISNUMBER(I76),INDEX('Mens Averages'!$G$8:$G$343,SMALL(IF('Mens Averages'!$AN$8:$AN$343=I76,ROW('Mens Averages'!$AN$8:$AN$343)-ROW('Mens Averages'!$AN$8)+1),COUNTIF(I$68:I76,I76))),"")</f>
        <v>Geordie Grant</v>
      </c>
      <c r="D76" s="145" t="str">
        <f t="array" ref="D76">IF(ISNUMBER(I76),INDEX('Mens Averages'!$H$8:$H$343,SMALL(IF('Mens Averages'!$AN$8:$AN$343=I76,ROW('Mens Averages'!$AN$8:$AN$343)-ROW('Mens Averages'!$AN$8)+1),COUNTIF(I$68:I76,I76))),"")</f>
        <v>Aly</v>
      </c>
      <c r="E76" s="146" t="str">
        <f t="array" ref="E76">IF(ISERROR(IF(LEFT(INDEX('Mens Averages'!$AM$8:$AM$343,MATCH('Weekly Top 10'!I76,'Mens Averages'!$AN$8:$AN$343,0)),1)="4","Y","N")),"",(IF(LEFT(INDEX('Mens Averages'!$AM$8:$AM$343,MATCH('Weekly Top 10'!I76,'Mens Averages'!$AN$8:$AN$343,0)),1)="4","Y","N")))</f>
        <v>Y</v>
      </c>
      <c r="F76" s="146" t="str">
        <f t="array" ref="F76">IF(ISERROR(LEFT(INDEX('Mens Averages'!$AM$8:$AM$343,MATCH('Weekly Top 10'!I76,'Mens Averages'!$AN$8:$AN$343,0)),1)),"",(LEFT(INDEX('Mens Averages'!$AM$8:$AM$343,MATCH('Weekly Top 10'!I76,'Mens Averages'!$AN$8:$AN$343,0)),1)))</f>
        <v>4</v>
      </c>
      <c r="G76" s="146" t="str">
        <f t="array" ref="G76">IF(ISERROR(RIGHT(LEFT(INDEX('Mens Averages'!$AM$8:$AM$343,MATCH('Weekly Top 10'!I76,'Mens Averages'!$AN$8:$AN$343,0)),3),1)),"",(RIGHT(LEFT(INDEX('Mens Averages'!$AM$8:$AM$343,MATCH('Weekly Top 10'!I76,'Mens Averages'!$AN$8:$AN$343,0)),3),1)))</f>
        <v>1</v>
      </c>
      <c r="H76" s="145">
        <f t="array" ref="H76">IF(ISNUMBER(I76),INDEX('Mens Averages'!$R$8:$R$343,SMALL(IF('Mens Averages'!$AN$8:$AN$343=I76,ROW('Mens Averages'!$AN$8:$AN$343)-ROW('Mens Averages'!$AN$8)+1),COUNTIF(I$68:I85,I76))),"")</f>
        <v>26.52</v>
      </c>
      <c r="I76" s="147">
        <f>IF(ISERROR(LARGE('Mens Averages'!$AN$8:$AN$343,9)),"",(LARGE('Mens Averages'!$AN$8:$AN$343,9)))</f>
        <v>27.52</v>
      </c>
      <c r="J76" s="1"/>
      <c r="K76" s="68">
        <f>IF(ISERROR(RANK(R76,R68:R77)),"",(RANK(R76,R68:R77)))</f>
        <v>9</v>
      </c>
      <c r="L76" s="144" t="str">
        <f t="array" ref="L76">IF(ISNUMBER(R76),INDEX('Mens Averages'!$G$8:$G$343,SMALL(IF('Mens Averages'!$AX$8:$AX$343=R76,ROW('Mens Averages'!$AX$8:$AX$343)-ROW('Mens Averages'!$AX$8)+1),COUNTIF(R$68:R76,R76))),"")</f>
        <v>Colin Freeman</v>
      </c>
      <c r="M76" s="145" t="str">
        <f t="array" ref="M76">IF(ISNUMBER(R76),INDEX('Mens Averages'!$H$8:$H$343,SMALL(IF('Mens Averages'!$AX$8:$AX$343=R76,ROW('Mens Averages'!$AX$8:$AX$343)-ROW('Mens Averages'!$AX$8)+1),COUNTIF(R$68:R76,R76))),"")</f>
        <v>Bos</v>
      </c>
      <c r="N76" s="146" t="str">
        <f t="array" ref="N76">IF(ISERROR(IF(LEFT(INDEX('Mens Averages'!$AW$8:$AW$343,MATCH('Weekly Top 10'!R76,'Mens Averages'!$AX$8:$AX$343,0)),1)="4","Y","N")),"",(IF(LEFT(INDEX('Mens Averages'!$AW$8:$AW$343,MATCH('Weekly Top 10'!R76,'Mens Averages'!$AX$8:$AX$343,0)),1)="4","Y","N")))</f>
        <v>Y</v>
      </c>
      <c r="O76" s="146" t="str">
        <f t="array" ref="O76">IF(ISERROR(LEFT(INDEX('Mens Averages'!$AW$8:$AW$343,MATCH('Weekly Top 10'!R76,'Mens Averages'!$AX$8:$AX$343,0)),1)),"",(LEFT(INDEX('Mens Averages'!$AW$8:$AW$343,MATCH('Weekly Top 10'!R76,'Mens Averages'!$AX$8:$AX$343,0)),1)))</f>
        <v>4</v>
      </c>
      <c r="P76" s="146" t="str">
        <f t="array" ref="P76">IF(ISERROR(RIGHT(LEFT(INDEX('Mens Averages'!$AW$8:$AW$343,MATCH('Weekly Top 10'!R76,'Mens Averages'!$AX$8:$AX$343,0)),3),1)),"",(RIGHT(LEFT(INDEX('Mens Averages'!$AW$8:$AW$343,MATCH('Weekly Top 10'!R76,'Mens Averages'!$AX$8:$AX$343,0)),3),1)))</f>
        <v>0</v>
      </c>
      <c r="Q76" s="145">
        <f t="array" ref="Q76">IF(ISNUMBER(R76),INDEX('Mens Averages'!$W$8:$W$343,SMALL(IF('Mens Averages'!$AX$8:$AX$343=R76,ROW('Mens Averages'!$AX$8:$AX$343)-ROW('Mens Averages'!$AX$8)+1),COUNTIF(R$68:R85,R76))),"")</f>
        <v>26.72</v>
      </c>
      <c r="R76" s="147">
        <f>IF(ISERROR(LARGE('Mens Averages'!$AX$8:$AX$343,9)),"",(LARGE('Mens Averages'!$AX$8:$AX$343,9)))</f>
        <v>27.72</v>
      </c>
      <c r="S76" s="1"/>
      <c r="T76" s="2"/>
      <c r="U76" s="2"/>
      <c r="V76" s="2"/>
      <c r="W76" s="2"/>
      <c r="X76" s="2"/>
      <c r="Y76" s="2"/>
      <c r="Z76" s="79"/>
      <c r="AA76" s="79"/>
      <c r="AB76" s="1"/>
      <c r="AC76" s="1"/>
      <c r="AD76" s="1"/>
      <c r="AE76" s="1"/>
    </row>
    <row r="77" spans="1:31" ht="16.5" customHeight="1" x14ac:dyDescent="0.2">
      <c r="A77" s="1"/>
      <c r="B77" s="73">
        <f>IF(ISERROR(RANK(I77,I68:I77)),"",(RANK(I77,I68:I77)))</f>
        <v>10</v>
      </c>
      <c r="C77" s="148" t="str">
        <f t="array" ref="C77">IF(ISNUMBER(I77),INDEX('Mens Averages'!$G$8:$G$343,SMALL(IF('Mens Averages'!$AN$8:$AN$343=I77,ROW('Mens Averages'!$AN$8:$AN$343)-ROW('Mens Averages'!$AN$8)+1),COUNTIF(I$68:I77,I77))),"")</f>
        <v>Dale Masterman</v>
      </c>
      <c r="D77" s="149" t="str">
        <f t="array" ref="D77">IF(ISNUMBER(I77),INDEX('Mens Averages'!$H$8:$H$343,SMALL(IF('Mens Averages'!$AN$8:$AN$343=I77,ROW('Mens Averages'!$AN$8:$AN$343)-ROW('Mens Averages'!$AN$8)+1),COUNTIF(I$68:I77,I77))),"")</f>
        <v>Lyt</v>
      </c>
      <c r="E77" s="150" t="str">
        <f t="array" ref="E77">IF(ISERROR(IF(LEFT(INDEX('Mens Averages'!$AM$8:$AM$343,MATCH('Weekly Top 10'!I77,'Mens Averages'!$AN$8:$AN$343,0)),1)="4","Y","N")),"",(IF(LEFT(INDEX('Mens Averages'!$AM$8:$AM$343,MATCH('Weekly Top 10'!I77,'Mens Averages'!$AN$8:$AN$343,0)),1)="4","Y","N")))</f>
        <v>Y</v>
      </c>
      <c r="F77" s="150" t="str">
        <f t="array" ref="F77">IF(ISERROR(LEFT(INDEX('Mens Averages'!$AM$8:$AM$343,MATCH('Weekly Top 10'!I77,'Mens Averages'!$AN$8:$AN$343,0)),1)),"",(LEFT(INDEX('Mens Averages'!$AM$8:$AM$343,MATCH('Weekly Top 10'!I77,'Mens Averages'!$AN$8:$AN$343,0)),1)))</f>
        <v>4</v>
      </c>
      <c r="G77" s="150" t="str">
        <f t="array" ref="G77">IF(ISERROR(RIGHT(LEFT(INDEX('Mens Averages'!$AM$8:$AM$343,MATCH('Weekly Top 10'!I77,'Mens Averages'!$AN$8:$AN$343,0)),3),1)),"",(RIGHT(LEFT(INDEX('Mens Averages'!$AM$8:$AM$343,MATCH('Weekly Top 10'!I77,'Mens Averages'!$AN$8:$AN$343,0)),3),1)))</f>
        <v>1</v>
      </c>
      <c r="H77" s="149">
        <f t="array" ref="H77">IF(ISNUMBER(I77),INDEX('Mens Averages'!$R$8:$R$343,SMALL(IF('Mens Averages'!$AN$8:$AN$343=I77,ROW('Mens Averages'!$AN$8:$AN$343)-ROW('Mens Averages'!$AN$8)+1),COUNTIF(I$68:I86,I77))),"")</f>
        <v>26.24</v>
      </c>
      <c r="I77" s="151">
        <f>IF(ISERROR(LARGE('Mens Averages'!$AN$8:$AN$343,10)),"",(LARGE('Mens Averages'!$AN$8:$AN$343,10)))</f>
        <v>27.24</v>
      </c>
      <c r="J77" s="1"/>
      <c r="K77" s="73">
        <f>IF(ISERROR(RANK(R77,R68:R77)),"",(RANK(R77,R68:R77)))</f>
        <v>10</v>
      </c>
      <c r="L77" s="148" t="str">
        <f t="array" ref="L77">IF(ISNUMBER(R77),INDEX('Mens Averages'!$G$8:$G$343,SMALL(IF('Mens Averages'!$AX$8:$AX$343=R77,ROW('Mens Averages'!$AX$8:$AX$343)-ROW('Mens Averages'!$AX$8)+1),COUNTIF(R$68:R77,R77))),"")</f>
        <v>Carl Beattie</v>
      </c>
      <c r="M77" s="149" t="str">
        <f t="array" ref="M77">IF(ISNUMBER(R77),INDEX('Mens Averages'!$H$8:$H$343,SMALL(IF('Mens Averages'!$AX$8:$AX$343=R77,ROW('Mens Averages'!$AX$8:$AX$343)-ROW('Mens Averages'!$AX$8)+1),COUNTIF(R$68:R77,R77))),"")</f>
        <v>Poo</v>
      </c>
      <c r="N77" s="150" t="str">
        <f t="array" ref="N77">IF(ISERROR(IF(LEFT(INDEX('Mens Averages'!$AW$8:$AW$343,MATCH('Weekly Top 10'!R77,'Mens Averages'!$AX$8:$AX$343,0)),1)="4","Y","N")),"",(IF(LEFT(INDEX('Mens Averages'!$AW$8:$AW$343,MATCH('Weekly Top 10'!R77,'Mens Averages'!$AX$8:$AX$343,0)),1)="4","Y","N")))</f>
        <v>Y</v>
      </c>
      <c r="O77" s="150" t="str">
        <f t="array" ref="O77">IF(ISERROR(LEFT(INDEX('Mens Averages'!$AW$8:$AW$343,MATCH('Weekly Top 10'!R77,'Mens Averages'!$AX$8:$AX$343,0)),1)),"",(LEFT(INDEX('Mens Averages'!$AW$8:$AW$343,MATCH('Weekly Top 10'!R77,'Mens Averages'!$AX$8:$AX$343,0)),1)))</f>
        <v>4</v>
      </c>
      <c r="P77" s="150" t="str">
        <f t="array" ref="P77">IF(ISERROR(RIGHT(LEFT(INDEX('Mens Averages'!$AW$8:$AW$343,MATCH('Weekly Top 10'!R77,'Mens Averages'!$AX$8:$AX$343,0)),3),1)),"",(RIGHT(LEFT(INDEX('Mens Averages'!$AW$8:$AW$343,MATCH('Weekly Top 10'!R77,'Mens Averages'!$AX$8:$AX$343,0)),3),1)))</f>
        <v>0</v>
      </c>
      <c r="Q77" s="149">
        <f t="array" ref="Q77">IF(ISNUMBER(R77),INDEX('Mens Averages'!$W$8:$W$343,SMALL(IF('Mens Averages'!$AX$8:$AX$343=R77,ROW('Mens Averages'!$AX$8:$AX$343)-ROW('Mens Averages'!$AX$8)+1),COUNTIF(R$68:R86,R77))),"")</f>
        <v>26.31</v>
      </c>
      <c r="R77" s="151">
        <f>IF(ISERROR(LARGE('Mens Averages'!$AX$8:$AX$343,10)),"",(LARGE('Mens Averages'!$AX$8:$AX$343,10)))</f>
        <v>27.31</v>
      </c>
      <c r="S77" s="1"/>
      <c r="T77" s="2"/>
      <c r="U77" s="2"/>
      <c r="V77" s="2"/>
      <c r="W77" s="2"/>
      <c r="X77" s="2"/>
      <c r="Y77" s="2"/>
      <c r="Z77" s="79"/>
      <c r="AA77" s="79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 x14ac:dyDescent="0.2"/>
    <row r="279" spans="1:31" ht="15.75" customHeight="1" x14ac:dyDescent="0.2"/>
    <row r="280" spans="1:31" ht="15.75" customHeight="1" x14ac:dyDescent="0.2"/>
    <row r="281" spans="1:31" ht="15.75" customHeight="1" x14ac:dyDescent="0.2"/>
    <row r="282" spans="1:31" ht="15.75" customHeight="1" x14ac:dyDescent="0.2"/>
    <row r="283" spans="1:31" ht="15.75" customHeight="1" x14ac:dyDescent="0.2"/>
    <row r="284" spans="1:31" ht="15.75" customHeight="1" x14ac:dyDescent="0.2"/>
    <row r="285" spans="1:31" ht="15.75" customHeight="1" x14ac:dyDescent="0.2"/>
    <row r="286" spans="1:31" ht="15.75" customHeight="1" x14ac:dyDescent="0.2"/>
    <row r="287" spans="1:31" ht="15.75" customHeight="1" x14ac:dyDescent="0.2"/>
    <row r="288" spans="1:31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21">
    <mergeCell ref="X6:X7"/>
    <mergeCell ref="Y6:Y7"/>
    <mergeCell ref="Z6:Z7"/>
    <mergeCell ref="AA6:AA7"/>
    <mergeCell ref="B2:AA3"/>
    <mergeCell ref="B6:B7"/>
    <mergeCell ref="C6:C7"/>
    <mergeCell ref="D6:D7"/>
    <mergeCell ref="E6:E7"/>
    <mergeCell ref="F6:F7"/>
    <mergeCell ref="G6:G7"/>
    <mergeCell ref="K6:K7"/>
    <mergeCell ref="L6:L7"/>
    <mergeCell ref="M6:M7"/>
    <mergeCell ref="N6:N7"/>
    <mergeCell ref="O6:O7"/>
    <mergeCell ref="P6:P7"/>
    <mergeCell ref="Q6:Q7"/>
    <mergeCell ref="R6:R7"/>
    <mergeCell ref="T6:T7"/>
    <mergeCell ref="U6:U7"/>
    <mergeCell ref="V6:V7"/>
    <mergeCell ref="W6:W7"/>
    <mergeCell ref="H6:H7"/>
    <mergeCell ref="X21:X22"/>
    <mergeCell ref="Y21:Y22"/>
    <mergeCell ref="Z21:Z22"/>
    <mergeCell ref="AA21:AA22"/>
    <mergeCell ref="G21:G22"/>
    <mergeCell ref="H21:H22"/>
    <mergeCell ref="K21:K22"/>
    <mergeCell ref="L21:L22"/>
    <mergeCell ref="M21:M22"/>
    <mergeCell ref="N21:N22"/>
    <mergeCell ref="O21:O22"/>
    <mergeCell ref="R21:R22"/>
    <mergeCell ref="T21:T22"/>
    <mergeCell ref="U21:U22"/>
    <mergeCell ref="V21:V22"/>
    <mergeCell ref="W21:W22"/>
    <mergeCell ref="I6:I7"/>
    <mergeCell ref="C21:C22"/>
    <mergeCell ref="D21:D22"/>
    <mergeCell ref="E21:E22"/>
    <mergeCell ref="F21:F22"/>
    <mergeCell ref="I21:I22"/>
    <mergeCell ref="I51:I52"/>
    <mergeCell ref="K51:K52"/>
    <mergeCell ref="L51:L52"/>
    <mergeCell ref="H36:H37"/>
    <mergeCell ref="I36:I37"/>
    <mergeCell ref="K36:K37"/>
    <mergeCell ref="L36:L37"/>
    <mergeCell ref="K66:K67"/>
    <mergeCell ref="L66:L67"/>
    <mergeCell ref="M66:M67"/>
    <mergeCell ref="N66:N67"/>
    <mergeCell ref="O66:O67"/>
    <mergeCell ref="P66:P67"/>
    <mergeCell ref="M51:M52"/>
    <mergeCell ref="N51:N52"/>
    <mergeCell ref="O51:O52"/>
    <mergeCell ref="P51:P52"/>
    <mergeCell ref="AA36:AA37"/>
    <mergeCell ref="P36:P37"/>
    <mergeCell ref="Q36:Q37"/>
    <mergeCell ref="R36:R37"/>
    <mergeCell ref="T36:T37"/>
    <mergeCell ref="U36:U37"/>
    <mergeCell ref="V36:V37"/>
    <mergeCell ref="W36:W37"/>
    <mergeCell ref="Q66:Q67"/>
    <mergeCell ref="R66:R67"/>
    <mergeCell ref="B21:B22"/>
    <mergeCell ref="B36:B37"/>
    <mergeCell ref="C36:C37"/>
    <mergeCell ref="D36:D37"/>
    <mergeCell ref="E36:E37"/>
    <mergeCell ref="F36:F37"/>
    <mergeCell ref="G36:G37"/>
    <mergeCell ref="Y51:Y52"/>
    <mergeCell ref="Z51:Z52"/>
    <mergeCell ref="M36:M37"/>
    <mergeCell ref="N36:N37"/>
    <mergeCell ref="O36:O37"/>
    <mergeCell ref="X36:X37"/>
    <mergeCell ref="Y36:Y37"/>
    <mergeCell ref="Z36:Z37"/>
    <mergeCell ref="B51:B52"/>
    <mergeCell ref="C51:C52"/>
    <mergeCell ref="D51:D52"/>
    <mergeCell ref="E51:E52"/>
    <mergeCell ref="F51:F52"/>
    <mergeCell ref="G51:G52"/>
    <mergeCell ref="H51:H52"/>
    <mergeCell ref="P21:P22"/>
    <mergeCell ref="Q21:Q22"/>
    <mergeCell ref="B66:B67"/>
    <mergeCell ref="C66:C67"/>
    <mergeCell ref="D66:D67"/>
    <mergeCell ref="E66:E67"/>
    <mergeCell ref="F66:F67"/>
    <mergeCell ref="G66:G67"/>
    <mergeCell ref="H66:H67"/>
    <mergeCell ref="AA51:AA52"/>
    <mergeCell ref="Q51:Q52"/>
    <mergeCell ref="R51:R52"/>
    <mergeCell ref="T51:T52"/>
    <mergeCell ref="U51:U52"/>
    <mergeCell ref="V51:V52"/>
    <mergeCell ref="W51:W52"/>
    <mergeCell ref="X51:X52"/>
    <mergeCell ref="T66:T67"/>
    <mergeCell ref="U66:U67"/>
    <mergeCell ref="V66:V67"/>
    <mergeCell ref="W66:W67"/>
    <mergeCell ref="X66:X67"/>
    <mergeCell ref="Y66:Y67"/>
    <mergeCell ref="Z66:Z67"/>
    <mergeCell ref="AA66:AA67"/>
    <mergeCell ref="I66:I67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33CCCC"/>
  </sheetPr>
  <dimension ref="A1:AK1000"/>
  <sheetViews>
    <sheetView showGridLines="0" workbookViewId="0"/>
  </sheetViews>
  <sheetFormatPr defaultColWidth="14.42578125" defaultRowHeight="15" customHeight="1" x14ac:dyDescent="0.2"/>
  <cols>
    <col min="1" max="1" width="9.140625" customWidth="1"/>
    <col min="2" max="2" width="25.85546875" customWidth="1"/>
    <col min="3" max="9" width="9.140625" customWidth="1"/>
    <col min="10" max="10" width="1.85546875" customWidth="1"/>
    <col min="11" max="25" width="9.140625" customWidth="1"/>
    <col min="26" max="37" width="8" customWidth="1"/>
  </cols>
  <sheetData>
    <row r="1" spans="1:37" ht="12" customHeight="1" x14ac:dyDescent="0.2"/>
    <row r="2" spans="1:37" ht="16.5" customHeight="1" x14ac:dyDescent="0.2">
      <c r="A2" s="154"/>
      <c r="B2" s="236" t="s">
        <v>383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8"/>
      <c r="Y2" s="154"/>
    </row>
    <row r="3" spans="1:37" ht="16.5" customHeight="1" x14ac:dyDescent="0.2">
      <c r="A3" s="154"/>
      <c r="B3" s="237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4"/>
      <c r="Y3" s="154"/>
    </row>
    <row r="4" spans="1:37" ht="6.75" customHeight="1" x14ac:dyDescent="0.2"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ht="16.5" customHeight="1" x14ac:dyDescent="0.2">
      <c r="A5" s="5"/>
      <c r="B5" s="5" t="s">
        <v>384</v>
      </c>
      <c r="C5" s="5" t="s">
        <v>7</v>
      </c>
      <c r="D5" s="5" t="s">
        <v>8</v>
      </c>
      <c r="E5" s="5" t="s">
        <v>319</v>
      </c>
      <c r="F5" s="5" t="s">
        <v>63</v>
      </c>
      <c r="G5" s="5" t="s">
        <v>64</v>
      </c>
      <c r="H5" s="5" t="s">
        <v>65</v>
      </c>
      <c r="I5" s="5" t="s">
        <v>66</v>
      </c>
      <c r="J5" s="5"/>
      <c r="K5" s="5">
        <v>1</v>
      </c>
      <c r="L5" s="5">
        <v>2</v>
      </c>
      <c r="M5" s="5">
        <v>3</v>
      </c>
      <c r="N5" s="5">
        <v>4</v>
      </c>
      <c r="O5" s="5">
        <v>5</v>
      </c>
      <c r="P5" s="5">
        <v>6</v>
      </c>
      <c r="Q5" s="5">
        <v>7</v>
      </c>
      <c r="R5" s="5">
        <v>8</v>
      </c>
      <c r="S5" s="5">
        <v>9</v>
      </c>
      <c r="T5" s="5">
        <v>10</v>
      </c>
      <c r="U5" s="5">
        <v>11</v>
      </c>
      <c r="V5" s="5">
        <v>12</v>
      </c>
      <c r="W5" s="5">
        <v>13</v>
      </c>
      <c r="X5" s="5" t="s">
        <v>337</v>
      </c>
    </row>
    <row r="6" spans="1:37" ht="3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AA6" s="6" t="s">
        <v>385</v>
      </c>
      <c r="AB6" s="6" t="s">
        <v>386</v>
      </c>
      <c r="AC6" s="6" t="s">
        <v>6</v>
      </c>
      <c r="AD6" s="6" t="s">
        <v>387</v>
      </c>
      <c r="AE6" s="6" t="s">
        <v>388</v>
      </c>
      <c r="AF6" s="6" t="s">
        <v>389</v>
      </c>
      <c r="AG6" s="6" t="s">
        <v>390</v>
      </c>
    </row>
    <row r="7" spans="1:37" ht="16.5" customHeight="1" x14ac:dyDescent="0.2">
      <c r="B7" s="238" t="s">
        <v>22</v>
      </c>
      <c r="C7" s="240">
        <f>IF(SUM(SUM(Alderholt!$AO$21:$AQ$21))=0,0,SUM(Alderholt!$AO$21:$AQ$21))</f>
        <v>13</v>
      </c>
      <c r="D7" s="240">
        <f>IF(Alderholt!$AO$21="","",Alderholt!$AO$21)</f>
        <v>6</v>
      </c>
      <c r="E7" s="240">
        <f>IF(Alderholt!$AP$21="","",Alderholt!$AP$21)</f>
        <v>1</v>
      </c>
      <c r="F7" s="240">
        <f>IF(Alderholt!$AQ$21="","",Alderholt!$AQ$21)</f>
        <v>6</v>
      </c>
      <c r="G7" s="240">
        <f>IF(Alderholt!$AR$21="","",Alderholt!$AR$21)</f>
        <v>80</v>
      </c>
      <c r="H7" s="240">
        <f>IF(Alderholt!$AS$21="","",Alderholt!$AS$21)</f>
        <v>76</v>
      </c>
      <c r="I7" s="241">
        <f>SUM(Alderholt!$AA$7:$AA$48)</f>
        <v>27</v>
      </c>
      <c r="J7" s="2"/>
      <c r="K7" s="155">
        <f>IF(ISERROR(AVERAGE(Alderholt!$M$7,Alderholt!$M$9,Alderholt!$M$11,Alderholt!$M$13,Alderholt!$M$15,Alderholt!$M$17,Alderholt!$M$19,Alderholt!$M$21,Alderholt!$M$23,Alderholt!$M$25,Alderholt!$M$27,Alderholt!$M$29,Alderholt!$M$31,Alderholt!$M$33,Alderholt!$M$35,Alderholt!$M$37,Alderholt!$M$39,Alderholt!$M$41,Alderholt!$M$43,Alderholt!$M$45,Alderholt!$M$47)),"",(AVERAGE(Alderholt!$M$7,Alderholt!$M$9,Alderholt!$M$11,Alderholt!$M$13,Alderholt!$M$15,Alderholt!$M$17,Alderholt!$M$19,Alderholt!$M$21,Alderholt!$M$23,Alderholt!$M$25,Alderholt!$M$27,Alderholt!$M$29,Alderholt!$M$31,Alderholt!$M$33,Alderholt!$M$35,Alderholt!$M$37,Alderholt!$M$39,Alderholt!$M$41,Alderholt!$M$43,Alderholt!$M$45,Alderholt!$M$47)))</f>
        <v>20.486250000000002</v>
      </c>
      <c r="L7" s="156">
        <f>IF(ISERROR(AVERAGE(Alderholt!$N$7,Alderholt!$N$9,Alderholt!$N$11,Alderholt!$N$13,Alderholt!$N$15,Alderholt!$N$17,Alderholt!$N$19,Alderholt!$N$21,Alderholt!$N$23,Alderholt!$N$25,Alderholt!$N$27,Alderholt!$N$29,Alderholt!$N$31,Alderholt!$N$33,Alderholt!$N$35,Alderholt!$N$37,Alderholt!$N$39,Alderholt!$N$41,Alderholt!$N$43,Alderholt!$N$45,Alderholt!$N$47)),"",(AVERAGE(Alderholt!$N$7,Alderholt!$N$9,Alderholt!$N$11,Alderholt!$N$13,Alderholt!$N$15,Alderholt!$N$17,Alderholt!$N$19,Alderholt!$N$21,Alderholt!$N$23,Alderholt!$N$25,Alderholt!$N$27,Alderholt!$N$29,Alderholt!$N$31,Alderholt!$N$33,Alderholt!$N$35,Alderholt!$N$37,Alderholt!$N$39,Alderholt!$N$41,Alderholt!$N$43,Alderholt!$N$45,Alderholt!$N$47)))</f>
        <v>21.543749999999999</v>
      </c>
      <c r="M7" s="156">
        <f>IF(ISERROR(AVERAGE(Alderholt!$O$7,Alderholt!$O$9,Alderholt!$O$11,Alderholt!$O$13,Alderholt!$O$15,Alderholt!$O$17,Alderholt!$O$19,Alderholt!$O$21,Alderholt!$O$23,Alderholt!$O$25,Alderholt!$O$27,Alderholt!$O$29,Alderholt!$O$31,Alderholt!$O$33,Alderholt!$O$35,Alderholt!$O$37,Alderholt!$O$39,Alderholt!$O$41,Alderholt!$O$43,Alderholt!$O$45,Alderholt!$O$47)),"",(AVERAGE(Alderholt!$O$7,Alderholt!$O$9,Alderholt!$O$11,Alderholt!$O$13,Alderholt!$O$15,Alderholt!$O$17,Alderholt!$O$19,Alderholt!$O$21,Alderholt!$O$23,Alderholt!$O$25,Alderholt!$O$27,Alderholt!$O$29,Alderholt!$O$31,Alderholt!$O$33,Alderholt!$O$35,Alderholt!$O$37,Alderholt!$O$39,Alderholt!$O$41,Alderholt!$O$43,Alderholt!$O$45,Alderholt!$O$47)))</f>
        <v>23.263749999999998</v>
      </c>
      <c r="N7" s="156">
        <f>IF(ISERROR(AVERAGE(Alderholt!$P$7,Alderholt!$P$9,Alderholt!$P$11,Alderholt!$P$13,Alderholt!$P$15,Alderholt!$P$17,Alderholt!$P$19,Alderholt!$P$21,Alderholt!$P$23,Alderholt!$P$25,Alderholt!$P$27,Alderholt!$P$29,Alderholt!$P$31,Alderholt!$P$33,Alderholt!$P$35,Alderholt!$P$37,Alderholt!$P$39,Alderholt!$P$41,Alderholt!$P$43,Alderholt!$P$45,Alderholt!$P$47)),"",(AVERAGE(Alderholt!$P$7,Alderholt!$P$9,Alderholt!$P$11,Alderholt!$P$13,Alderholt!$P$15,Alderholt!$P$17,Alderholt!$P$19,Alderholt!$P$21,Alderholt!$P$23,Alderholt!$P$25,Alderholt!$P$27,Alderholt!$P$29,Alderholt!$P$31,Alderholt!$P$33,Alderholt!$P$35,Alderholt!$P$37,Alderholt!$P$39,Alderholt!$P$41,Alderholt!$P$43,Alderholt!$P$45,Alderholt!$P$47)))</f>
        <v>19.179999999999996</v>
      </c>
      <c r="O7" s="156">
        <f>IF(ISERROR(AVERAGE(Alderholt!$Q$7,Alderholt!$Q$9,Alderholt!$Q$11,Alderholt!$Q$13,Alderholt!$Q$15,Alderholt!$Q$17,Alderholt!$Q$19,Alderholt!$Q$21,Alderholt!$Q$23,Alderholt!$Q$25,Alderholt!$Q$27,Alderholt!$Q$29,Alderholt!$Q$31,Alderholt!$Q$33,Alderholt!$Q$35,Alderholt!$Q$37,Alderholt!$Q$39,Alderholt!$Q$41,Alderholt!$Q$43,Alderholt!$Q$45,Alderholt!$Q$47)),"",(AVERAGE(Alderholt!$Q$7,Alderholt!$Q$9,Alderholt!$Q$11,Alderholt!$Q$13,Alderholt!$Q$15,Alderholt!$Q$17,Alderholt!$Q$19,Alderholt!$Q$21,Alderholt!$Q$23,Alderholt!$Q$25,Alderholt!$Q$27,Alderholt!$Q$29,Alderholt!$Q$31,Alderholt!$Q$33,Alderholt!$Q$35,Alderholt!$Q$37,Alderholt!$Q$39,Alderholt!$Q$41,Alderholt!$Q$43,Alderholt!$Q$45,Alderholt!$Q$47)))</f>
        <v>23.66375</v>
      </c>
      <c r="P7" s="156">
        <f>IF(ISERROR(AVERAGE(Alderholt!$R$7,Alderholt!$R$9,Alderholt!$R$11,Alderholt!$R$13,Alderholt!$R$15,Alderholt!$R$17,Alderholt!$R$19,Alderholt!$R$21,Alderholt!$R$23,Alderholt!$R$25,Alderholt!$R$27,Alderholt!$R$29,Alderholt!$R$31,Alderholt!$R$33,Alderholt!$R$35,Alderholt!$R$37,Alderholt!$R$39,Alderholt!$R$41,Alderholt!$R$43,Alderholt!$R$45,Alderholt!$R$47)),"",(AVERAGE(Alderholt!$R$7,Alderholt!$R$9,Alderholt!$R$11,Alderholt!$R$13,Alderholt!$R$15,Alderholt!$R$17,Alderholt!$R$19,Alderholt!$R$21,Alderholt!$R$23,Alderholt!$R$25,Alderholt!$R$27,Alderholt!$R$29,Alderholt!$R$31,Alderholt!$R$33,Alderholt!$R$35,Alderholt!$R$37,Alderholt!$R$39,Alderholt!$R$41,Alderholt!$R$43,Alderholt!$R$45,Alderholt!$R$47)))</f>
        <v>21.265000000000001</v>
      </c>
      <c r="Q7" s="156">
        <f>IF(ISERROR(AVERAGE(Alderholt!$S$7,Alderholt!$S$9,Alderholt!$S$11,Alderholt!$S$13,Alderholt!$S$15,Alderholt!$S$17,Alderholt!$S$19,Alderholt!$S$21,Alderholt!$S$23,Alderholt!$S$25,Alderholt!$S$27,Alderholt!$S$29,Alderholt!$S$31,Alderholt!$S$33,Alderholt!$S$35,Alderholt!$S$37,Alderholt!$S$39,Alderholt!$S$41,Alderholt!$S$43,Alderholt!$S$45,Alderholt!$S$47)),"",(AVERAGE(Alderholt!$S$7,Alderholt!$S$9,Alderholt!$S$11,Alderholt!$S$13,Alderholt!$S$15,Alderholt!$S$17,Alderholt!$S$19,Alderholt!$S$21,Alderholt!$S$23,Alderholt!$S$25,Alderholt!$S$27,Alderholt!$S$29,Alderholt!$S$31,Alderholt!$S$33,Alderholt!$S$35,Alderholt!$S$37,Alderholt!$S$39,Alderholt!$S$41,Alderholt!$S$43,Alderholt!$S$45,Alderholt!$S$47)))</f>
        <v>21.560000000000002</v>
      </c>
      <c r="R7" s="156">
        <f>IF(ISERROR(AVERAGE(Alderholt!$T$7,Alderholt!$T$9,Alderholt!$T$11,Alderholt!$T$13,Alderholt!$T$15,Alderholt!$T$17,Alderholt!$T$19,Alderholt!$T$21,Alderholt!$T$23,Alderholt!$T$25,Alderholt!$T$27,Alderholt!$T$29,Alderholt!$T$31,Alderholt!$T$33,Alderholt!$T$35,Alderholt!$T$37,Alderholt!$T$39,Alderholt!$T$41,Alderholt!$T$43,Alderholt!$T$45,Alderholt!$T$47)),"",(AVERAGE(Alderholt!$T$7,Alderholt!$T$9,Alderholt!$T$11,Alderholt!$T$13,Alderholt!$T$15,Alderholt!$T$17,Alderholt!$T$19,Alderholt!$T$21,Alderholt!$T$23,Alderholt!$T$25,Alderholt!$T$27,Alderholt!$T$29,Alderholt!$T$31,Alderholt!$T$33,Alderholt!$T$35,Alderholt!$T$37,Alderholt!$T$39,Alderholt!$T$41,Alderholt!$T$43,Alderholt!$T$45,Alderholt!$T$47)))</f>
        <v>22.884999999999998</v>
      </c>
      <c r="S7" s="156">
        <f>IF(ISERROR(AVERAGE(Alderholt!$U$7,Alderholt!$U$9,Alderholt!$U$11,Alderholt!$U$13,Alderholt!$U$15,Alderholt!$U$17,Alderholt!$U$19,Alderholt!$U$21,Alderholt!$U$23,Alderholt!$U$25,Alderholt!$U$27,Alderholt!$U$29,Alderholt!$U$31,Alderholt!$U$33,Alderholt!$U$35,Alderholt!$U$37,Alderholt!$U$39,Alderholt!$U$41,Alderholt!$U$43,Alderholt!$U$45,Alderholt!$U$47)),"",(AVERAGE(Alderholt!$U$7,Alderholt!$U$9,Alderholt!$U$11,Alderholt!$U$13,Alderholt!$U$15,Alderholt!$U$17,Alderholt!$U$19,Alderholt!$U$21,Alderholt!$U$23,Alderholt!$U$25,Alderholt!$U$27,Alderholt!$U$29,Alderholt!$U$31,Alderholt!$U$33,Alderholt!$U$35,Alderholt!$U$37,Alderholt!$U$39,Alderholt!$U$41,Alderholt!$U$43,Alderholt!$U$45,Alderholt!$U$47)))</f>
        <v>22.488749999999996</v>
      </c>
      <c r="T7" s="156">
        <f>IF(ISERROR(AVERAGE(Alderholt!$V$7,Alderholt!$V$9,Alderholt!$V$11,Alderholt!$V$13,Alderholt!$V$15,Alderholt!$V$17,Alderholt!$V$19,Alderholt!$V$21,Alderholt!$V$23,Alderholt!$V$25,Alderholt!V27,Alderholt!$V$29,Alderholt!$V$31,Alderholt!$V$33,Alderholt!$V$35,Alderholt!$V$37,Alderholt!$V$39,Alderholt!$V$41,Alderholt!$V$43,Alderholt!$V$45,Alderholt!$V$47)),"",(AVERAGE(Alderholt!$V$7,Alderholt!$V$9,Alderholt!$V$11,Alderholt!$V$13,Alderholt!$V$15,Alderholt!$V$17,Alderholt!$V$19,Alderholt!$V$21,Alderholt!$V$23,Alderholt!$V$25,Alderholt!V27,Alderholt!$V$29,Alderholt!$V$31,Alderholt!$V$33,Alderholt!$V$35,Alderholt!$V$37,Alderholt!$V$39,Alderholt!$V$41,Alderholt!$V$43,Alderholt!$V$45,Alderholt!$V$47)))</f>
        <v>21.852500000000003</v>
      </c>
      <c r="U7" s="156">
        <f>IF(ISERROR(AVERAGE(Alderholt!$W$7,Alderholt!$W$9,Alderholt!$W$11,Alderholt!$W$13,Alderholt!$W$15,Alderholt!$W$17,Alderholt!$W$19,Alderholt!$W$21,Alderholt!$W$23,Alderholt!$W$25,Alderholt!$W$27,Alderholt!$W$29,Alderholt!$W$31,Alderholt!$W$33,Alderholt!$W$35,Alderholt!$W$37,Alderholt!$W$39,Alderholt!$W$41,Alderholt!$W$43,Alderholt!$W$45,Alderholt!$W$47)),"",(AVERAGE(Alderholt!$W$7,Alderholt!$W$9,Alderholt!$W$11,Alderholt!$W$13,Alderholt!$W$15,Alderholt!$W$17,Alderholt!$W$19,Alderholt!$W$21,Alderholt!$W$23,Alderholt!$W$25,Alderholt!$W$27,Alderholt!$W$29,Alderholt!$W$31,Alderholt!$W$33,Alderholt!$W$35,Alderholt!$W$37,Alderholt!$W$39,Alderholt!$W$41,Alderholt!$W$43,Alderholt!$W$45,Alderholt!$W$47)))</f>
        <v>23.243749999999995</v>
      </c>
      <c r="V7" s="156">
        <f>IF(ISERROR(AVERAGE(Alderholt!$X$7,Alderholt!$X$9,Alderholt!$X$11,Alderholt!$X$13,Alderholt!$X$15,Alderholt!$X$17,Alderholt!$X$19,Alderholt!$X$21,Alderholt!$X$23,Alderholt!$X$25,Alderholt!$X$27,Alderholt!$X$29,Alderholt!$X$31,Alderholt!$X$33,Alderholt!$X$35,Alderholt!$X$37,Alderholt!$X$39,Alderholt!$X$41,Alderholt!$X$43,Alderholt!$X$45,Alderholt!$X$47)),"",(AVERAGE(Alderholt!$X$7,Alderholt!$X$9,Alderholt!$X$11,Alderholt!$X$13,Alderholt!$X$15,Alderholt!$X$17,Alderholt!$X$19,Alderholt!$X$21,Alderholt!$X$23,Alderholt!$X$25,Alderholt!$X$27,Alderholt!$X$29,Alderholt!$X$31,Alderholt!$X$33,Alderholt!$X$35,Alderholt!$X$37,Alderholt!$X$39,Alderholt!$X$41,Alderholt!$X$43,Alderholt!$X$45,Alderholt!$X$47)))</f>
        <v>19.94125</v>
      </c>
      <c r="W7" s="156">
        <f>IF(ISERROR(AVERAGE(Alderholt!$Y$7,Alderholt!$Y$9,Alderholt!$Y$11,Alderholt!$Y$13,Alderholt!$Y$15,Alderholt!$Y$17,Alderholt!$Y$19,Alderholt!$Y$21,Alderholt!$Y$23,Alderholt!$Y$25,Alderholt!$Y$27,Alderholt!$Y$29,Alderholt!$Y$31,Alderholt!$Y$33,Alderholt!$Y$35,Alderholt!$Y$37,Alderholt!$Y$39,Alderholt!$Y$41,Alderholt!$Y$43,Alderholt!$Y$45,Alderholt!$Y$47)),"",(AVERAGE(Alderholt!$Y$7,Alderholt!$Y$9,Alderholt!$Y$11,Alderholt!$Y$13,Alderholt!$Y$15,Alderholt!$Y$17,Alderholt!$Y$19,Alderholt!$Y$21,Alderholt!$Y$23,Alderholt!$Y$25,Alderholt!$Y$27,Alderholt!$Y$29,Alderholt!$Y$31,Alderholt!$Y$33,Alderholt!$Y$35,Alderholt!$Y$37,Alderholt!$Y$39,Alderholt!$Y$41,Alderholt!$Y$43,Alderholt!$Y$45,Alderholt!$Y$47)))</f>
        <v>22.42625</v>
      </c>
      <c r="X7" s="234">
        <f>IF(ISERROR(AVERAGE(K7:W7)),"",(AVERAGE(K7:W7)))</f>
        <v>21.830769230769228</v>
      </c>
      <c r="AA7" s="231">
        <f t="shared" ref="AA7:AB7" si="0">G7</f>
        <v>80</v>
      </c>
      <c r="AB7" s="231">
        <f t="shared" si="0"/>
        <v>76</v>
      </c>
      <c r="AC7" s="231" t="str">
        <f t="shared" ref="AC7:AE7" si="1">B7</f>
        <v>Alderholt</v>
      </c>
      <c r="AD7" s="231">
        <f t="shared" si="1"/>
        <v>13</v>
      </c>
      <c r="AE7" s="231">
        <f t="shared" si="1"/>
        <v>6</v>
      </c>
      <c r="AF7" s="231">
        <f>F7</f>
        <v>6</v>
      </c>
      <c r="AG7" s="231">
        <f>I7</f>
        <v>27</v>
      </c>
      <c r="AH7" s="231"/>
      <c r="AI7" s="231"/>
      <c r="AJ7" s="231"/>
      <c r="AK7" s="231"/>
    </row>
    <row r="8" spans="1:37" ht="16.5" customHeight="1" x14ac:dyDescent="0.2">
      <c r="B8" s="239"/>
      <c r="C8" s="182"/>
      <c r="D8" s="182"/>
      <c r="E8" s="182"/>
      <c r="F8" s="182"/>
      <c r="G8" s="182"/>
      <c r="H8" s="182"/>
      <c r="I8" s="233"/>
      <c r="J8" s="2"/>
      <c r="K8" s="157" t="str">
        <f>Alderholt!$AR$7&amp;"*"&amp;Alderholt!$AS$7</f>
        <v>6*6</v>
      </c>
      <c r="L8" s="44" t="str">
        <f>Alderholt!$AR$8&amp;"*"&amp;Alderholt!$AS$8</f>
        <v>4*8</v>
      </c>
      <c r="M8" s="44" t="str">
        <f>Alderholt!$AR$9&amp;"*"&amp;Alderholt!$AS$9</f>
        <v>3*9</v>
      </c>
      <c r="N8" s="44" t="str">
        <f>Alderholt!$AR$10&amp;"*"&amp;Alderholt!$AS$10</f>
        <v>0*12</v>
      </c>
      <c r="O8" s="44" t="str">
        <f>Alderholt!$AR$11&amp;"*"&amp;Alderholt!$AS$11</f>
        <v>11*1</v>
      </c>
      <c r="P8" s="44" t="str">
        <f>Alderholt!$AR$12&amp;"*"&amp;Alderholt!$AS$12</f>
        <v>8*4</v>
      </c>
      <c r="Q8" s="44" t="str">
        <f>Alderholt!$AR$13&amp;"*"&amp;Alderholt!$AS$13</f>
        <v>8*4</v>
      </c>
      <c r="R8" s="44" t="str">
        <f>Alderholt!$AR$14&amp;"*"&amp;Alderholt!$AS$14</f>
        <v>9*3</v>
      </c>
      <c r="S8" s="44" t="str">
        <f>Alderholt!$AR$15&amp;"*"&amp;Alderholt!$AS$15</f>
        <v>10*2</v>
      </c>
      <c r="T8" s="44" t="str">
        <f>Alderholt!$AR$16&amp;"*"&amp;Alderholt!$AS$16</f>
        <v>8*4</v>
      </c>
      <c r="U8" s="44" t="str">
        <f>Alderholt!$AR$17&amp;"*"&amp;Alderholt!$AS$17</f>
        <v>4*8</v>
      </c>
      <c r="V8" s="44" t="str">
        <f>Alderholt!$AR$18&amp;"*"&amp;Alderholt!$AS$18</f>
        <v>4*8</v>
      </c>
      <c r="W8" s="44" t="str">
        <f>Alderholt!$AR$19&amp;"*"&amp;Alderholt!$AS$19</f>
        <v>5*7</v>
      </c>
      <c r="X8" s="235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</row>
    <row r="9" spans="1:37" ht="16.5" customHeight="1" x14ac:dyDescent="0.2">
      <c r="B9" s="242" t="s">
        <v>16</v>
      </c>
      <c r="C9" s="185">
        <f>IF(SUM(SUM(Alderney!$AO$21:$AQ$21))=0,0,SUM(Alderney!$AO$21:$AQ$21))</f>
        <v>13</v>
      </c>
      <c r="D9" s="185">
        <f>IF(Alderney!$AO$21="","",Alderney!$AO$21)</f>
        <v>0</v>
      </c>
      <c r="E9" s="185">
        <f>IF(Alderney!$AP$21="","",Alderney!$AP$21)</f>
        <v>1</v>
      </c>
      <c r="F9" s="185">
        <f>IF(Alderney!$AQ$21="","",Alderney!$AQ$21)</f>
        <v>12</v>
      </c>
      <c r="G9" s="185">
        <f>IF(Alderney!$AR$21="","",Alderney!$AR$21)</f>
        <v>41</v>
      </c>
      <c r="H9" s="185">
        <f>IF(Alderney!$AS$21="","",Alderney!$AS$21)</f>
        <v>115</v>
      </c>
      <c r="I9" s="232">
        <f>SUM(Alderney!$AA$7:$AA$48)</f>
        <v>16</v>
      </c>
      <c r="J9" s="2"/>
      <c r="K9" s="155">
        <f>IF(ISERROR(AVERAGE(Alderney!$M$7,Alderney!$M$9,Alderney!$M$11,Alderney!$M$13,Alderney!$M$15,Alderney!$M$17,Alderney!$M$19,Alderney!$M$21,Alderney!$M$23,Alderney!$M$25,Alderney!$M$27,Alderney!$M$29,Alderney!$M$31,Alderney!$M$33,Alderney!$M$35,Alderney!$M$37,Alderney!$M$39,Alderney!$M$41,Alderney!$M$43,Alderney!$M$45,Alderney!$M$47)),"",(AVERAGE(Alderney!$M$7,Alderney!$M$9,Alderney!$M$11,Alderney!$M$13,Alderney!$M$15,Alderney!$M$17,Alderney!$M$19,Alderney!$M$21,Alderney!$M$23,Alderney!$M$25,Alderney!$M$27,Alderney!$M$29,Alderney!$M$31,Alderney!$M$33,Alderney!$M$35,Alderney!$M$37,Alderney!$M$39,Alderney!$M$41,Alderney!$M$43,Alderney!$M$45,Alderney!$M$47)))</f>
        <v>17.791249999999998</v>
      </c>
      <c r="L9" s="156">
        <f>IF(ISERROR(AVERAGE(Alderney!$N$7,Alderney!$N$9,Alderney!$N$11,Alderney!$N$13,Alderney!$N$15,Alderney!$N$17,Alderney!$N$19,Alderney!$N$21,Alderney!$N$23,Alderney!$N$25,Alderney!$N$27,Alderney!$N$29,Alderney!$N$31,Alderney!$N$33,Alderney!$N$35,Alderney!$N$37,Alderney!$N$39,Alderney!$N$41,Alderney!$N$43,Alderney!$N$45,Alderney!$N$47)),"",(AVERAGE(Alderney!$N$7,Alderney!$N$9,Alderney!$N$11,Alderney!$N$13,Alderney!$N$15,Alderney!$N$17,Alderney!$N$19,Alderney!$N$21,Alderney!$N$23,Alderney!$N$25,Alderney!$N$27,Alderney!$N$29,Alderney!$N$31,Alderney!$N$33,Alderney!$N$35,Alderney!$N$37,Alderney!$N$39,Alderney!$N$41,Alderney!$N$43,Alderney!$N$45,Alderney!$N$47)))</f>
        <v>18.75714285714286</v>
      </c>
      <c r="M9" s="156">
        <f>IF(ISERROR(AVERAGE(Alderney!$O$7,Alderney!$O$9,Alderney!$O$11,Alderney!$O$13,Alderney!$O$15,Alderney!$O$17,Alderney!$O$19,Alderney!$O$21,Alderney!$O$23,Alderney!$O$25,Alderney!$O$27,Alderney!$O$29,Alderney!$O$31,Alderney!$O$33,Alderney!$O$35,Alderney!$O$37,Alderney!$O$39,Alderney!$O$41,Alderney!$O$43,Alderney!$O$45,Alderney!$O$47)),"",(AVERAGE(Alderney!$O$7,Alderney!$O$9,Alderney!$O$11,Alderney!$O$13,Alderney!$O$15,Alderney!$O$17,Alderney!$O$19,Alderney!$O$21,Alderney!$O$23,Alderney!$O$25,Alderney!$O$27,Alderney!$O$29,Alderney!$O$31,Alderney!$O$33,Alderney!$O$35,Alderney!$O$37,Alderney!$O$39,Alderney!$O$41,Alderney!$O$43,Alderney!$O$45,Alderney!$O$47)))</f>
        <v>19.830000000000002</v>
      </c>
      <c r="N9" s="156">
        <f>IF(ISERROR(AVERAGE(Alderney!$P$7,Alderney!$P$9,Alderney!$P$11,Alderney!$P$13,Alderney!$P$15,Alderney!$P$17,Alderney!$P$19,Alderney!$P$21,Alderney!$P$23,Alderney!$P$25,Alderney!$P$27,Alderney!$P$29,Alderney!$P$31,Alderney!$P$33,Alderney!$P$35,Alderney!$P$37,Alderney!$P$39,Alderney!$P$41,Alderney!$P$43,Alderney!$P$45,Alderney!$P$47)),"",(AVERAGE(Alderney!$P$7,Alderney!$P$9,Alderney!$P$11,Alderney!$P$13,Alderney!$P$15,Alderney!$P$17,Alderney!$P$19,Alderney!$P$21,Alderney!$P$23,Alderney!$P$25,Alderney!$P$27,Alderney!$P$29,Alderney!$P$31,Alderney!$P$33,Alderney!$P$35,Alderney!$P$37,Alderney!$P$39,Alderney!$P$41,Alderney!$P$43,Alderney!$P$45,Alderney!$P$47)))</f>
        <v>18.666249999999998</v>
      </c>
      <c r="O9" s="156">
        <f>IF(ISERROR(AVERAGE(Alderney!$Q$7,Alderney!$Q$9,Alderney!$Q$11,Alderney!$Q$13,Alderney!$Q$15,Alderney!$Q$17,Alderney!$Q$19,Alderney!$Q$21,Alderney!$Q$23,Alderney!$Q$25,Alderney!$Q$27,Alderney!$Q$29,Alderney!$Q$31,Alderney!$Q$33,Alderney!$Q$35,Alderney!$Q$37,Alderney!$Q$39,Alderney!$Q$41,Alderney!$Q$43,Alderney!$Q$45,Alderney!$Q$47)),"",(AVERAGE(Alderney!$Q$7,Alderney!$Q$9,Alderney!$Q$11,Alderney!$Q$13,Alderney!$Q$15,Alderney!$Q$17,Alderney!$Q$19,Alderney!$Q$21,Alderney!$Q$23,Alderney!$Q$25,Alderney!$Q$27,Alderney!$Q$29,Alderney!$Q$31,Alderney!$Q$33,Alderney!$Q$35,Alderney!$Q$37,Alderney!$Q$39,Alderney!$Q$41,Alderney!$Q$43,Alderney!$Q$45,Alderney!$Q$47)))</f>
        <v>20.26125</v>
      </c>
      <c r="P9" s="156">
        <f>IF(ISERROR(AVERAGE(Alderney!$R$7,Alderney!$R$9,Alderney!$R$11,Alderney!$R$13,Alderney!$R$15,Alderney!$R$17,Alderney!$R$19,Alderney!$R$21,Alderney!$R$23,Alderney!$R$25,Alderney!$R$27,Alderney!$R$29,Alderney!$R$31,Alderney!$R$33,Alderney!$R$35,Alderney!$R$37,Alderney!$R$39,Alderney!$R$41,Alderney!$R$43,Alderney!$R$45,Alderney!$R$47)),"",(AVERAGE(Alderney!$R$7,Alderney!$R$9,Alderney!$R$11,Alderney!$R$13,Alderney!$R$15,Alderney!$R$17,Alderney!$R$19,Alderney!$R$21,Alderney!$R$23,Alderney!$R$25,Alderney!$R$27,Alderney!$R$29,Alderney!$R$31,Alderney!$R$33,Alderney!$R$35,Alderney!$R$37,Alderney!$R$39,Alderney!$R$41,Alderney!$R$43,Alderney!$R$45,Alderney!$R$47)))</f>
        <v>18.533749999999998</v>
      </c>
      <c r="Q9" s="156">
        <f>IF(ISERROR(AVERAGE(Alderney!$S$7,Alderney!$S$9,Alderney!$S$11,Alderney!$S$13,Alderney!$S$15,Alderney!$S$17,Alderney!$S$19,Alderney!$S$21,Alderney!$S$23,Alderney!$S$25,Alderney!$S$27,Alderney!$S$29,Alderney!$S$31,Alderney!$S$33,Alderney!$S$35,Alderney!$S$37,Alderney!$S$39,Alderney!$S$41,Alderney!$S$43,Alderney!$S$45,Alderney!$S$47)),"",(AVERAGE(Alderney!$S$7,Alderney!$S$9,Alderney!$S$11,Alderney!$S$13,Alderney!$S$15,Alderney!$S$17,Alderney!$S$19,Alderney!$S$21,Alderney!$S$23,Alderney!$S$25,Alderney!$S$27,Alderney!$S$29,Alderney!$S$31,Alderney!$S$33,Alderney!$S$35,Alderney!$S$37,Alderney!$S$39,Alderney!$S$41,Alderney!$S$43,Alderney!$S$45,Alderney!$S$47)))</f>
        <v>18.447499999999998</v>
      </c>
      <c r="R9" s="156">
        <f>IF(ISERROR(AVERAGE(Alderney!$T$7,Alderney!$T$9,Alderney!$T$11,Alderney!$T$13,Alderney!$T$15,Alderney!$T$17,Alderney!$T$19,Alderney!$T$21,Alderney!$T$23,Alderney!$T$25,Alderney!$T$27,Alderney!$T$29,Alderney!$T$31,Alderney!$T$33,Alderney!$T$35,Alderney!$T$37,Alderney!$T$39,Alderney!$T$41,Alderney!$T$43,Alderney!$T$45,Alderney!$T$47)),"",(AVERAGE(Alderney!$T$7,Alderney!$T$9,Alderney!$T$11,Alderney!$T$13,Alderney!$T$15,Alderney!$T$17,Alderney!$T$19,Alderney!$T$21,Alderney!$T$23,Alderney!$T$25,Alderney!$T$27,Alderney!$T$29,Alderney!$T$31,Alderney!$T$33,Alderney!$T$35,Alderney!$T$37,Alderney!$T$39,Alderney!$T$41,Alderney!$T$43,Alderney!$T$45,Alderney!$T$47)))</f>
        <v>20.064999999999998</v>
      </c>
      <c r="S9" s="156">
        <f>IF(ISERROR(AVERAGE(Alderney!$U$7,Alderney!$U$9,Alderney!$U$11,Alderney!$U$13,Alderney!$U$15,Alderney!$U$17,Alderney!$U$19,Alderney!$U$21,Alderney!$U$23,Alderney!$U$25,Alderney!$U$27,Alderney!$U$29,Alderney!$U$31,Alderney!$U$33,Alderney!$U$35,Alderney!$U$37,Alderney!$U$39,Alderney!$U$41,Alderney!$U$43,Alderney!$U$45,Alderney!$U$47)),"",(AVERAGE(Alderney!$U$7,Alderney!$U$9,Alderney!$U$11,Alderney!$U$13,Alderney!$U$15,Alderney!$U$17,Alderney!$U$19,Alderney!$U$21,Alderney!$U$23,Alderney!$U$25,Alderney!$U$27,Alderney!$U$29,Alderney!$U$31,Alderney!$U$33,Alderney!$U$35,Alderney!$U$37,Alderney!$U$39,Alderney!$U$41,Alderney!$U$43,Alderney!$U$45,Alderney!$U$47)))</f>
        <v>20.487499999999997</v>
      </c>
      <c r="T9" s="156">
        <f>IF(ISERROR(AVERAGE(Alderney!$V$7,Alderney!$V$9,Alderney!$V$11,Alderney!$V$13,Alderney!$V$15,Alderney!$V$17,Alderney!$V$19,Alderney!$V$21,Alderney!$V$23,Alderney!$V$25,Alderney!V31,Alderney!$V$29,Alderney!$V$31,Alderney!$V$33,Alderney!$V$35,Alderney!$V$37,Alderney!$V$39,Alderney!$V$41,Alderney!$V$43,Alderney!$V$45,Alderney!$V$47)),"",(AVERAGE(Alderney!$V$7,Alderney!$V$9,Alderney!$V$11,Alderney!$V$13,Alderney!$V$15,Alderney!$V$17,Alderney!$V$19,Alderney!$V$21,Alderney!$V$23,Alderney!$V$25,Alderney!V31,Alderney!$V$29,Alderney!$V$31,Alderney!$V$33,Alderney!$V$35,Alderney!$V$37,Alderney!$V$39,Alderney!$V$41,Alderney!$V$43,Alderney!$V$45,Alderney!$V$47)))</f>
        <v>19.427142857142858</v>
      </c>
      <c r="U9" s="156">
        <f>IF(ISERROR(AVERAGE(Alderney!$W$7,Alderney!$W$9,Alderney!$W$11,Alderney!$W$13,Alderney!$W$15,Alderney!$W$17,Alderney!$W$19,Alderney!$W$21,Alderney!$W$23,Alderney!$W$25,Alderney!$W$27,Alderney!$W$29,Alderney!$W$31,Alderney!$W$33,Alderney!$W$35,Alderney!$W$37,Alderney!$W$39,Alderney!$W$41,Alderney!$W$43,Alderney!$W$45,Alderney!$W$47)),"",(AVERAGE(Alderney!$W$7,Alderney!$W$9,Alderney!$W$11,Alderney!$W$13,Alderney!$W$15,Alderney!$W$17,Alderney!$W$19,Alderney!$W$21,Alderney!$W$23,Alderney!$W$25,Alderney!$W$27,Alderney!$W$29,Alderney!$W$31,Alderney!$W$33,Alderney!$W$35,Alderney!$W$37,Alderney!$W$39,Alderney!$W$41,Alderney!$W$43,Alderney!$W$45,Alderney!$W$47)))</f>
        <v>20.171250000000001</v>
      </c>
      <c r="V9" s="156">
        <f>IF(ISERROR(AVERAGE(Alderney!$X$7,Alderney!$X$9,Alderney!$X$11,Alderney!$X$13,Alderney!$X$15,Alderney!$X$17,Alderney!$X$19,Alderney!$X$21,Alderney!$X$23,Alderney!$X$25,Alderney!$X$27,Alderney!$X$29,Alderney!$X$31,Alderney!$X$33,Alderney!$X$35,Alderney!$X$37,Alderney!$X$39,Alderney!$X$41,Alderney!$X$43,Alderney!$X$45,Alderney!$X$47)),"",(AVERAGE(Alderney!$X$7,Alderney!$X$9,Alderney!$X$11,Alderney!$X$13,Alderney!$X$15,Alderney!$X$17,Alderney!$X$19,Alderney!$X$21,Alderney!$X$23,Alderney!$X$25,Alderney!$X$27,Alderney!$X$29,Alderney!$X$31,Alderney!$X$33,Alderney!$X$35,Alderney!$X$37,Alderney!$X$39,Alderney!$X$41,Alderney!$X$43,Alderney!$X$45,Alderney!$X$47)))</f>
        <v>20.287500000000001</v>
      </c>
      <c r="W9" s="156">
        <f>IF(ISERROR(AVERAGE(Alderney!$Y$7,Alderney!$Y$9,Alderney!$Y$11,Alderney!$Y$13,Alderney!$Y$15,Alderney!$Y$17,Alderney!$Y$19,Alderney!$Y$21,Alderney!$Y$23,Alderney!$Y$25,Alderney!$Y$27,Alderney!$Y$29,Alderney!$Y$31,Alderney!$Y$33,Alderney!$Y$35,Alderney!$Y$37,Alderney!$Y$39,Alderney!$Y$41,Alderney!$Y$43,Alderney!$Y$45,Alderney!$Y$47)),"",(AVERAGE(Alderney!$Y$7,Alderney!$Y$9,Alderney!$Y$11,Alderney!$Y$13,Alderney!$Y$15,Alderney!$Y$17,Alderney!$Y$19,Alderney!$Y$21,Alderney!$Y$23,Alderney!$Y$25,Alderney!$Y$27,Alderney!$Y$29,Alderney!$Y$31,Alderney!$Y$33,Alderney!$Y$35,Alderney!$Y$37,Alderney!$Y$39,Alderney!$Y$41,Alderney!$Y$43,Alderney!$Y$45,Alderney!$Y$47)))</f>
        <v>19.993749999999999</v>
      </c>
      <c r="X9" s="234">
        <f>IF(ISERROR(AVERAGE(K9:W9)),"",(AVERAGE(K9:W9)))</f>
        <v>19.439945054945056</v>
      </c>
      <c r="AA9" s="231">
        <f t="shared" ref="AA9:AB9" si="2">G9</f>
        <v>41</v>
      </c>
      <c r="AB9" s="231">
        <f t="shared" si="2"/>
        <v>115</v>
      </c>
      <c r="AC9" s="231" t="str">
        <f t="shared" ref="AC9:AE9" si="3">B9</f>
        <v>Alderney</v>
      </c>
      <c r="AD9" s="231">
        <f t="shared" si="3"/>
        <v>13</v>
      </c>
      <c r="AE9" s="231">
        <f t="shared" si="3"/>
        <v>0</v>
      </c>
      <c r="AF9" s="231">
        <f>F9</f>
        <v>12</v>
      </c>
      <c r="AG9" s="231">
        <f>I9</f>
        <v>16</v>
      </c>
      <c r="AK9" s="231"/>
    </row>
    <row r="10" spans="1:37" ht="16.5" customHeight="1" x14ac:dyDescent="0.2">
      <c r="B10" s="239"/>
      <c r="C10" s="182"/>
      <c r="D10" s="182"/>
      <c r="E10" s="182"/>
      <c r="F10" s="182"/>
      <c r="G10" s="182"/>
      <c r="H10" s="182"/>
      <c r="I10" s="233"/>
      <c r="J10" s="2"/>
      <c r="K10" s="157" t="str">
        <f>Alderney!$AR$7&amp;"*"&amp;Alderney!$AS$7</f>
        <v>5*7</v>
      </c>
      <c r="L10" s="44" t="str">
        <f>Alderney!$AR$8&amp;"*"&amp;Alderney!$AS$8</f>
        <v>4*8</v>
      </c>
      <c r="M10" s="44" t="str">
        <f>Alderney!$AR$9&amp;"*"&amp;Alderney!$AS$9</f>
        <v>0*12</v>
      </c>
      <c r="N10" s="44" t="str">
        <f>Alderney!$AR$10&amp;"*"&amp;Alderney!$AS$10</f>
        <v>5*7</v>
      </c>
      <c r="O10" s="44" t="str">
        <f>Alderney!$AR$11&amp;"*"&amp;Alderney!$AS$11</f>
        <v>2*10</v>
      </c>
      <c r="P10" s="44" t="str">
        <f>Alderney!$AR$12&amp;"*"&amp;Alderney!$AS$12</f>
        <v>3*9</v>
      </c>
      <c r="Q10" s="44" t="str">
        <f>Alderney!$AR$13&amp;"*"&amp;Alderney!$AS$13</f>
        <v>6*6</v>
      </c>
      <c r="R10" s="44" t="str">
        <f>Alderney!$AR$14&amp;"*"&amp;Alderney!$AS$14</f>
        <v>4*8</v>
      </c>
      <c r="S10" s="44" t="str">
        <f>Alderney!$AR$15&amp;"*"&amp;Alderney!$AS$15</f>
        <v>2*10</v>
      </c>
      <c r="T10" s="44" t="str">
        <f>Alderney!$AR$16&amp;"*"&amp;Alderney!$AS$16</f>
        <v>1*11</v>
      </c>
      <c r="U10" s="44" t="str">
        <f>Alderney!$AR$17&amp;"*"&amp;Alderney!$AS$17</f>
        <v>0*12</v>
      </c>
      <c r="V10" s="44" t="str">
        <f>Alderney!$AR$18&amp;"*"&amp;Alderney!$AS$18</f>
        <v>5*7</v>
      </c>
      <c r="W10" s="44" t="str">
        <f>Alderney!$AR$19&amp;"*"&amp;Alderney!$AS$19</f>
        <v>4*8</v>
      </c>
      <c r="X10" s="235"/>
      <c r="AA10" s="170"/>
      <c r="AB10" s="170"/>
      <c r="AC10" s="170"/>
      <c r="AD10" s="170"/>
      <c r="AE10" s="170"/>
      <c r="AF10" s="170"/>
      <c r="AG10" s="170"/>
      <c r="AK10" s="170"/>
    </row>
    <row r="11" spans="1:37" ht="16.5" customHeight="1" x14ac:dyDescent="0.2">
      <c r="B11" s="242" t="s">
        <v>19</v>
      </c>
      <c r="C11" s="185">
        <f>IF(SUM(SUM(Boscombe!$AO$21:$AQ$21))=0,0,SUM(Boscombe!$AO$21:$AQ$21))</f>
        <v>13</v>
      </c>
      <c r="D11" s="185">
        <f>IF(Boscombe!$AO$21="","",Boscombe!$AO$21)</f>
        <v>5</v>
      </c>
      <c r="E11" s="185">
        <f>IF(Boscombe!$AP$21="","",Boscombe!$AP$21)</f>
        <v>0</v>
      </c>
      <c r="F11" s="185">
        <f>IF(Boscombe!$AQ$21="","",Boscombe!$AQ$21)</f>
        <v>8</v>
      </c>
      <c r="G11" s="185">
        <f>IF(Boscombe!$AR$21="","",Boscombe!$AR$21)</f>
        <v>65</v>
      </c>
      <c r="H11" s="185">
        <f>IF(Boscombe!$AS$21="","",Boscombe!$AS$21)</f>
        <v>91</v>
      </c>
      <c r="I11" s="232">
        <f>SUM(Boscombe!$AA$7:$AA$48)</f>
        <v>22</v>
      </c>
      <c r="J11" s="2"/>
      <c r="K11" s="155">
        <f>IF(ISERROR(AVERAGE(Boscombe!$M$7,Boscombe!$M$9,Boscombe!$M$11,Boscombe!$M$13,Boscombe!$M$15,Boscombe!$M$17,Boscombe!$M$19,Boscombe!$M$21,Boscombe!$M$23,Boscombe!$M$25,Boscombe!$M$27,Boscombe!$M$29,Boscombe!$M$31,Boscombe!$M$33,Boscombe!$M$35,Boscombe!$M$37,Boscombe!$M$39,Boscombe!$M$41,Boscombe!$M$43,Boscombe!$M$45,Boscombe!$M$47)),"",(AVERAGE(Boscombe!$M$7,Boscombe!$M$9,Boscombe!$M$11,Boscombe!$M$13,Boscombe!$M$15,Boscombe!$M$17,Boscombe!$M$19,Boscombe!$M$21,Boscombe!$M$23,Boscombe!$M$25,Boscombe!$M$27,Boscombe!$M$29,Boscombe!$M$31,Boscombe!$M$33,Boscombe!$M$35,Boscombe!$M$37,Boscombe!$M$39,Boscombe!$M$41,Boscombe!$M$43,Boscombe!$M$45,Boscombe!$M$47)))</f>
        <v>21.262500000000003</v>
      </c>
      <c r="L11" s="156">
        <f>IF(ISERROR(AVERAGE(Boscombe!$N$7,Boscombe!$N$9,Boscombe!$N$11,Boscombe!$N$13,Boscombe!$N$15,Boscombe!$N$17,Boscombe!$N$19,Boscombe!$N$21,Boscombe!$N$23,Boscombe!$N$25,Boscombe!$N$27,Boscombe!$N$29,Boscombe!$N$31,Boscombe!$N$33,Boscombe!$N$35,Boscombe!$N$37,Boscombe!$N$39,Boscombe!$N$41,Boscombe!$N$43,Boscombe!$N$45,Boscombe!$N$47)),"",(AVERAGE(Boscombe!$N$7,Boscombe!$N$9,Boscombe!$N$11,Boscombe!$N$13,Boscombe!$N$15,Boscombe!$N$17,Boscombe!$N$19,Boscombe!$N$21,Boscombe!$N$23,Boscombe!$N$25,Boscombe!$N$27,Boscombe!$N$29,Boscombe!$N$31,Boscombe!$N$33,Boscombe!$N$35,Boscombe!$N$37,Boscombe!$N$39,Boscombe!$N$41,Boscombe!$N$43,Boscombe!$N$45,Boscombe!$N$47)))</f>
        <v>20.191250000000004</v>
      </c>
      <c r="M11" s="156">
        <f>IF(ISERROR(AVERAGE(Boscombe!$O$7,Boscombe!$O$9,Boscombe!$O$11,Boscombe!$O$13,Boscombe!$O$15,Boscombe!$O$17,Boscombe!$O$19,Boscombe!$O$21,Boscombe!$O$23,Boscombe!$O$25,Boscombe!$O$27,Boscombe!$O$29,Boscombe!$O$31,Boscombe!$O$33,Boscombe!$O$35,Boscombe!$O$37,Boscombe!$O$39,Boscombe!$O$41,Boscombe!$O$43,Boscombe!$O$45,Boscombe!$O$47)),"",(AVERAGE(Boscombe!$O$7,Boscombe!$O$9,Boscombe!$O$11,Boscombe!$O$13,Boscombe!$O$15,Boscombe!$O$17,Boscombe!$O$19,Boscombe!$O$21,Boscombe!$O$23,Boscombe!$O$25,Boscombe!$O$27,Boscombe!$O$29,Boscombe!$O$31,Boscombe!$O$33,Boscombe!$O$35,Boscombe!$O$37,Boscombe!$O$39,Boscombe!$O$41,Boscombe!$O$43,Boscombe!$O$45,Boscombe!$O$47)))</f>
        <v>20.383749999999999</v>
      </c>
      <c r="N11" s="156">
        <f>IF(ISERROR(AVERAGE(Boscombe!$P$7,Boscombe!$P$9,Boscombe!$P$11,Boscombe!$P$13,Boscombe!$P$15,Boscombe!$P$17,Boscombe!$P$19,Boscombe!$P$21,Boscombe!$P$23,Boscombe!$P$25,Boscombe!$P$27,Boscombe!$P$29,Boscombe!$P$31,Boscombe!$P$33,Boscombe!$P$35,Boscombe!$P$37,Boscombe!$P$39,Boscombe!$P$41,Boscombe!$P$43,Boscombe!$P$45,Boscombe!$P$47)),"",(AVERAGE(Boscombe!$P$7,Boscombe!$P$9,Boscombe!$P$11,Boscombe!$P$13,Boscombe!$P$15,Boscombe!$P$17,Boscombe!$P$19,Boscombe!$P$21,Boscombe!$P$23,Boscombe!$P$25,Boscombe!$P$27,Boscombe!$P$29,Boscombe!$P$31,Boscombe!$P$33,Boscombe!$P$35,Boscombe!$P$37,Boscombe!$P$39,Boscombe!$P$41,Boscombe!$P$43,Boscombe!$P$45,Boscombe!$P$47)))</f>
        <v>20.212500000000002</v>
      </c>
      <c r="O11" s="156">
        <f>IF(ISERROR(AVERAGE(Boscombe!$Q$7,Boscombe!$Q$9,Boscombe!$Q$11,Boscombe!$Q$13,Boscombe!$Q$15,Boscombe!$Q$17,Boscombe!$Q$19,Boscombe!$Q$21,Boscombe!$Q$23,Boscombe!$Q$25,Boscombe!$Q$27,Boscombe!$Q$29,Boscombe!$Q$31,Boscombe!$Q$33,Boscombe!$Q$35,Boscombe!$Q$37,Boscombe!$Q$39,Boscombe!$Q$41,Boscombe!$Q$43,Boscombe!$Q$45,Boscombe!$Q$47)),"",(AVERAGE(Boscombe!$Q$7,Boscombe!$Q$9,Boscombe!$Q$11,Boscombe!$Q$13,Boscombe!$Q$15,Boscombe!$Q$17,Boscombe!$Q$19,Boscombe!$Q$21,Boscombe!$Q$23,Boscombe!$Q$25,Boscombe!$Q$27,Boscombe!$Q$29,Boscombe!$Q$31,Boscombe!$Q$33,Boscombe!$Q$35,Boscombe!$Q$37,Boscombe!$Q$39,Boscombe!$Q$41,Boscombe!$Q$43,Boscombe!$Q$45,Boscombe!$Q$47)))</f>
        <v>20.903749999999999</v>
      </c>
      <c r="P11" s="156">
        <f>IF(ISERROR(AVERAGE(Boscombe!$R$7,Boscombe!$R$9,Boscombe!$R$11,Boscombe!$R$13,Boscombe!$R$15,Boscombe!$R$17,Boscombe!$R$19,Boscombe!$R$21,Boscombe!$R$23,Boscombe!$R$25,Boscombe!$R$27,Boscombe!$R$29,Boscombe!$R$31,Boscombe!$R$33,Boscombe!$R$35,Boscombe!$R$37,Boscombe!$R$39,Boscombe!$R$41,Boscombe!$R$43,Boscombe!$R$45,Boscombe!$R$47)),"",(AVERAGE(Boscombe!$R$7,Boscombe!$R$9,Boscombe!$R$11,Boscombe!$R$13,Boscombe!$R$15,Boscombe!$R$17,Boscombe!$R$19,Boscombe!$R$21,Boscombe!$R$23,Boscombe!$R$25,Boscombe!$R$27,Boscombe!$R$29,Boscombe!$R$31,Boscombe!$R$33,Boscombe!$R$35,Boscombe!$R$37,Boscombe!$R$39,Boscombe!$R$41,Boscombe!$R$43,Boscombe!$R$45,Boscombe!$R$47)))</f>
        <v>20.311250000000001</v>
      </c>
      <c r="Q11" s="156">
        <f>IF(ISERROR(AVERAGE(Boscombe!$S$7,Boscombe!$S$9,Boscombe!$S$11,Boscombe!$S$13,Boscombe!$S$15,Boscombe!$S$17,Boscombe!$S$19,Boscombe!$S$21,Boscombe!$S$23,Boscombe!$S$25,Boscombe!$S$27,Boscombe!$S$29,Boscombe!$S$31,Boscombe!$S$33,Boscombe!$S$35,Boscombe!$S$37,Boscombe!$S$39,Boscombe!$S$41,Boscombe!$S$43,Boscombe!$S$45,Boscombe!$S$47)),"",(AVERAGE(Boscombe!$S$7,Boscombe!$S$9,Boscombe!$S$11,Boscombe!$S$13,Boscombe!$S$15,Boscombe!$S$17,Boscombe!$S$19,Boscombe!$S$21,Boscombe!$S$23,Boscombe!$S$25,Boscombe!$S$27,Boscombe!$S$29,Boscombe!$S$31,Boscombe!$S$33,Boscombe!$S$35,Boscombe!$S$37,Boscombe!$S$39,Boscombe!$S$41,Boscombe!$S$43,Boscombe!$S$45,Boscombe!$S$47)))</f>
        <v>21.25</v>
      </c>
      <c r="R11" s="156">
        <f>IF(ISERROR(AVERAGE(Boscombe!$T$7,Boscombe!$T$9,Boscombe!$T$11,Boscombe!$T$13,Boscombe!$T$15,Boscombe!$T$17,Boscombe!$T$19,Boscombe!$T$21,Boscombe!$T$23,Boscombe!$T$25,Boscombe!$T$27,Boscombe!$T$29,Boscombe!$T$31,Boscombe!$T$33,Boscombe!$T$35,Boscombe!$T$37,Boscombe!$T$39,Boscombe!$T$41,Boscombe!$T$43,Boscombe!$T$45,Boscombe!$T$47)),"",(AVERAGE(Boscombe!$T$7,Boscombe!$T$9,Boscombe!$T$11,Boscombe!$T$13,Boscombe!$T$15,Boscombe!$T$17,Boscombe!$T$19,Boscombe!$T$21,Boscombe!$T$23,Boscombe!$T$25,Boscombe!$T$27,Boscombe!$T$29,Boscombe!$T$31,Boscombe!$T$33,Boscombe!$T$35,Boscombe!$T$37,Boscombe!$T$39,Boscombe!$T$41,Boscombe!$T$43,Boscombe!$T$45,Boscombe!$T$47)))</f>
        <v>22.328749999999999</v>
      </c>
      <c r="S11" s="156">
        <f>IF(ISERROR(AVERAGE(Boscombe!$U$7,Boscombe!$U$9,Boscombe!$U$11,Boscombe!$U$13,Boscombe!$U$15,Boscombe!$U$17,Boscombe!$U$19,Boscombe!$U$21,Boscombe!$U$23,Boscombe!$U$25,Boscombe!$U$27,Boscombe!$U$29,Boscombe!$U$31,Boscombe!$U$33,Boscombe!$U$35,Boscombe!$U$37,Boscombe!$U$39,Boscombe!$U$41,Boscombe!$U$43,Boscombe!$U$45,Boscombe!$U$47)),"",(AVERAGE(Boscombe!$U$7,Boscombe!$U$9,Boscombe!$U$11,Boscombe!$U$13,Boscombe!$U$15,Boscombe!$U$17,Boscombe!$U$19,Boscombe!$U$21,Boscombe!$U$23,Boscombe!$U$25,Boscombe!$U$27,Boscombe!$U$29,Boscombe!$U$31,Boscombe!$U$33,Boscombe!$U$35,Boscombe!$U$37,Boscombe!$U$39,Boscombe!$U$41,Boscombe!$U$43,Boscombe!$U$45,Boscombe!$U$47)))</f>
        <v>20.258749999999999</v>
      </c>
      <c r="T11" s="156">
        <f>IF(ISERROR(AVERAGE(Boscombe!$V$7,Boscombe!$V$9,Boscombe!$V$11,Boscombe!$V$13,Boscombe!$V$15,Boscombe!$V$17,Boscombe!$V$19,Boscombe!$V$21,Boscombe!$V$23,Boscombe!$V$25,Boscombe!V33,Boscombe!$V$29,Boscombe!$V$31,Boscombe!$V$33,Boscombe!$V$35,Boscombe!$V$37,Boscombe!$V$39,Boscombe!$V$41,Boscombe!$V$43,Boscombe!$V$45,Boscombe!$V$47)),"",(AVERAGE(Boscombe!$V$7,Boscombe!$V$9,Boscombe!$V$11,Boscombe!$V$13,Boscombe!$V$15,Boscombe!$V$17,Boscombe!$V$19,Boscombe!$V$21,Boscombe!$V$23,Boscombe!$V$25,Boscombe!V33,Boscombe!$V$29,Boscombe!$V$31,Boscombe!$V$33,Boscombe!$V$35,Boscombe!$V$37,Boscombe!$V$39,Boscombe!$V$41,Boscombe!$V$43,Boscombe!$V$45,Boscombe!$V$47)))</f>
        <v>20.397500000000001</v>
      </c>
      <c r="U11" s="156">
        <f>IF(ISERROR(AVERAGE(Boscombe!$W$7,Boscombe!$W$9,Boscombe!$W$11,Boscombe!$W$13,Boscombe!$W$15,Boscombe!$W$17,Boscombe!$W$19,Boscombe!$W$21,Boscombe!$W$23,Boscombe!$W$25,Boscombe!$W$27,Boscombe!$W$29,Boscombe!$W$31,Boscombe!$W$33,Boscombe!$W$35,Boscombe!$W$37,Boscombe!$W$39,Boscombe!$W$41,Boscombe!$W$43,Boscombe!$W$45,Boscombe!$W$47)),"",(AVERAGE(Boscombe!$W$7,Boscombe!$W$9,Boscombe!$W$11,Boscombe!$W$13,Boscombe!$W$15,Boscombe!$W$17,Boscombe!$W$19,Boscombe!$W$21,Boscombe!$W$23,Boscombe!$W$25,Boscombe!$W$27,Boscombe!$W$29,Boscombe!$W$31,Boscombe!$W$33,Boscombe!$W$35,Boscombe!$W$37,Boscombe!$W$39,Boscombe!$W$41,Boscombe!$W$43,Boscombe!$W$45,Boscombe!$W$47)))</f>
        <v>21.738749999999996</v>
      </c>
      <c r="V11" s="156">
        <f>IF(ISERROR(AVERAGE(Boscombe!$X$7,Boscombe!$X$9,Boscombe!$X$11,Boscombe!$X$13,Boscombe!$X$15,Boscombe!$X$17,Boscombe!$X$19,Boscombe!$X$21,Boscombe!$X$23,Boscombe!$X$25,Boscombe!$X$27,Boscombe!$X$29,Boscombe!$X$31,Boscombe!$X$33,Boscombe!$X$35,Boscombe!$X$37,Boscombe!$X$39,Boscombe!$X$41,Boscombe!$X$43,Boscombe!$X$45,Boscombe!$X$47)),"",(AVERAGE(Boscombe!$X$7,Boscombe!$X$9,Boscombe!$X$11,Boscombe!$X$13,Boscombe!$X$15,Boscombe!$X$17,Boscombe!$X$19,Boscombe!$X$21,Boscombe!$X$23,Boscombe!$X$25,Boscombe!$X$27,Boscombe!$X$29,Boscombe!$X$31,Boscombe!$X$33,Boscombe!$X$35,Boscombe!$X$37,Boscombe!$X$39,Boscombe!$X$41,Boscombe!$X$43,Boscombe!$X$45,Boscombe!$X$47)))</f>
        <v>20.396250000000002</v>
      </c>
      <c r="W11" s="156">
        <f>IF(ISERROR(AVERAGE(Boscombe!$Y$7,Boscombe!$Y$9,Boscombe!$Y$11,Boscombe!$Y$13,Boscombe!$Y$15,Boscombe!$Y$17,Boscombe!$Y$19,Boscombe!$Y$21,Boscombe!$Y$23,Boscombe!$Y$25,Boscombe!$Y$27,Boscombe!$Y$29,Boscombe!$Y$31,Boscombe!$Y$33,Boscombe!$Y$35,Boscombe!$Y$37,Boscombe!$Y$39,Boscombe!$Y$41,Boscombe!$Y$43,Boscombe!$Y$45,Boscombe!$Y$47)),"",(AVERAGE(Boscombe!$Y$7,Boscombe!$Y$9,Boscombe!$Y$11,Boscombe!$Y$13,Boscombe!$Y$15,Boscombe!$Y$17,Boscombe!$Y$19,Boscombe!$Y$21,Boscombe!$Y$23,Boscombe!$Y$25,Boscombe!$Y$27,Boscombe!$Y$29,Boscombe!$Y$31,Boscombe!$Y$33,Boscombe!$Y$35,Boscombe!$Y$37,Boscombe!$Y$39,Boscombe!$Y$41,Boscombe!$Y$43,Boscombe!$Y$45,Boscombe!$Y$47)))</f>
        <v>21.483750000000001</v>
      </c>
      <c r="X11" s="234">
        <f>IF(ISERROR(AVERAGE(K11:W11)),"",(AVERAGE(K11:W11)))</f>
        <v>20.855288461538461</v>
      </c>
      <c r="AA11" s="231">
        <f t="shared" ref="AA11:AB11" si="4">G11</f>
        <v>65</v>
      </c>
      <c r="AB11" s="231">
        <f t="shared" si="4"/>
        <v>91</v>
      </c>
      <c r="AC11" s="231" t="str">
        <f t="shared" ref="AC11:AE11" si="5">B11</f>
        <v>Boscombe</v>
      </c>
      <c r="AD11" s="231">
        <f t="shared" si="5"/>
        <v>13</v>
      </c>
      <c r="AE11" s="231">
        <f t="shared" si="5"/>
        <v>5</v>
      </c>
      <c r="AF11" s="231">
        <f>F11</f>
        <v>8</v>
      </c>
      <c r="AG11" s="231">
        <f>I11</f>
        <v>22</v>
      </c>
      <c r="AK11" s="231"/>
    </row>
    <row r="12" spans="1:37" ht="16.5" customHeight="1" x14ac:dyDescent="0.2">
      <c r="B12" s="239"/>
      <c r="C12" s="182"/>
      <c r="D12" s="182"/>
      <c r="E12" s="182"/>
      <c r="F12" s="182"/>
      <c r="G12" s="182"/>
      <c r="H12" s="182"/>
      <c r="I12" s="233"/>
      <c r="J12" s="2"/>
      <c r="K12" s="157" t="str">
        <f>Boscombe!$AR$7&amp;"*"&amp;Boscombe!$AS$7</f>
        <v>0*12</v>
      </c>
      <c r="L12" s="44" t="str">
        <f>Boscombe!$AR$8&amp;"*"&amp;Boscombe!$AS$8</f>
        <v>7*5</v>
      </c>
      <c r="M12" s="44" t="str">
        <f>Boscombe!$AR$9&amp;"*"&amp;Boscombe!$AS$9</f>
        <v>3*9</v>
      </c>
      <c r="N12" s="44" t="str">
        <f>Boscombe!$AR$10&amp;"*"&amp;Boscombe!$AS$10</f>
        <v>4*8</v>
      </c>
      <c r="O12" s="44" t="str">
        <f>Boscombe!$AR$11&amp;"*"&amp;Boscombe!$AS$11</f>
        <v>4*8</v>
      </c>
      <c r="P12" s="44" t="str">
        <f>Boscombe!$AR$12&amp;"*"&amp;Boscombe!$AS$12</f>
        <v>9*3</v>
      </c>
      <c r="Q12" s="44" t="str">
        <f>Boscombe!$AR$13&amp;"*"&amp;Boscombe!$AS$13</f>
        <v>8*4</v>
      </c>
      <c r="R12" s="44" t="str">
        <f>Boscombe!$AR$14&amp;"*"&amp;Boscombe!$AS$14</f>
        <v>3*9</v>
      </c>
      <c r="S12" s="44" t="str">
        <f>Boscombe!$AR$15&amp;"*"&amp;Boscombe!$AS$15</f>
        <v>3*9</v>
      </c>
      <c r="T12" s="44" t="str">
        <f>Boscombe!$AR$16&amp;"*"&amp;Boscombe!$AS$16</f>
        <v>7*5</v>
      </c>
      <c r="U12" s="44" t="str">
        <f>Boscombe!$AR$17&amp;"*"&amp;Boscombe!$AS$17</f>
        <v>5*7</v>
      </c>
      <c r="V12" s="44" t="str">
        <f>Boscombe!$AR$18&amp;"*"&amp;Boscombe!$AS$18</f>
        <v>8*4</v>
      </c>
      <c r="W12" s="44" t="str">
        <f>Boscombe!$AR$19&amp;"*"&amp;Boscombe!$AS$19</f>
        <v>4*8</v>
      </c>
      <c r="X12" s="235"/>
      <c r="AA12" s="170"/>
      <c r="AB12" s="170"/>
      <c r="AC12" s="170"/>
      <c r="AD12" s="170"/>
      <c r="AE12" s="170"/>
      <c r="AF12" s="170"/>
      <c r="AG12" s="170"/>
      <c r="AK12" s="170"/>
    </row>
    <row r="13" spans="1:37" ht="16.5" customHeight="1" x14ac:dyDescent="0.2">
      <c r="B13" s="242" t="s">
        <v>27</v>
      </c>
      <c r="C13" s="185">
        <f>IF(SUM(SUM(Bournemouth!$AO$21:$AQ$21))=0,0,SUM(Bournemouth!$AO$21:$AQ$21))</f>
        <v>13</v>
      </c>
      <c r="D13" s="185">
        <f>IF(Bournemouth!$AO$21="","",Bournemouth!$AO$21)</f>
        <v>4</v>
      </c>
      <c r="E13" s="185">
        <f>IF(Bournemouth!$AP$21="","",Bournemouth!$AP$21)</f>
        <v>1</v>
      </c>
      <c r="F13" s="185">
        <f>IF(Bournemouth!$AQ$21="","",Bournemouth!$AQ$21)</f>
        <v>8</v>
      </c>
      <c r="G13" s="185">
        <f>IF(Bournemouth!$AR$21="","",Bournemouth!$AR$21)</f>
        <v>61</v>
      </c>
      <c r="H13" s="185">
        <f>IF(Bournemouth!$AS$21="","",Bournemouth!$AS$21)</f>
        <v>95</v>
      </c>
      <c r="I13" s="232">
        <f>SUM(Bournemouth!$AA$7:$AA$48)</f>
        <v>18</v>
      </c>
      <c r="J13" s="2"/>
      <c r="K13" s="155">
        <f>IF(ISERROR(AVERAGE(Bournemouth!$M$7,Bournemouth!$M$9,Bournemouth!$M$11,Bournemouth!$M$13,Bournemouth!$M$15,Bournemouth!$M$17,Bournemouth!$M$19,Bournemouth!$M$21,Bournemouth!$M$23,Bournemouth!$M$25,Bournemouth!$M$27,Bournemouth!$M$29,Bournemouth!$M$31,Bournemouth!$M$33,Bournemouth!$M$35,Bournemouth!$M$37,Bournemouth!$M$39,Bournemouth!$M$41,Bournemouth!$M$43,Bournemouth!$M$45,Bournemouth!$M$47)),"",(AVERAGE(Bournemouth!$M$7,Bournemouth!$M$9,Bournemouth!$M$11,Bournemouth!$M$13,Bournemouth!$M$15,Bournemouth!$M$17,Bournemouth!$M$19,Bournemouth!$M$21,Bournemouth!$M$23,Bournemouth!$M$25,Bournemouth!$M$27,Bournemouth!$M$29,Bournemouth!$M$31,Bournemouth!$M$33,Bournemouth!$M$35,Bournemouth!$M$37,Bournemouth!$M$39,Bournemouth!$M$41,Bournemouth!$M$43,Bournemouth!$M$45,Bournemouth!$M$47)))</f>
        <v>18.822500000000002</v>
      </c>
      <c r="L13" s="156">
        <f>IF(ISERROR(AVERAGE(Bournemouth!$N$7,Bournemouth!$N$9,Bournemouth!$N$11,Bournemouth!$N$13,Bournemouth!$N$15,Bournemouth!$N$17,Bournemouth!$N$19,Bournemouth!$N$21,Bournemouth!$N$23,Bournemouth!$N$25,Bournemouth!$N$27,Bournemouth!$N$29,Bournemouth!$N$31,Bournemouth!$N$33,Bournemouth!$N$35,Bournemouth!$N$37,Bournemouth!$N$39,Bournemouth!$N$41,Bournemouth!$N$43,Bournemouth!$N$45,Bournemouth!$N$47)),"",(AVERAGE(Bournemouth!$N$7,Bournemouth!$N$9,Bournemouth!$N$11,Bournemouth!$N$13,Bournemouth!$N$15,Bournemouth!$N$17,Bournemouth!$N$19,Bournemouth!$N$21,Bournemouth!$N$23,Bournemouth!$N$25,Bournemouth!$N$27,Bournemouth!$N$29,Bournemouth!$N$31,Bournemouth!$N$33,Bournemouth!$N$35,Bournemouth!$N$37,Bournemouth!$N$39,Bournemouth!$N$41,Bournemouth!$N$43,Bournemouth!$N$45,Bournemouth!$N$47)))</f>
        <v>20.046250000000001</v>
      </c>
      <c r="M13" s="156">
        <f>IF(ISERROR(AVERAGE(Bournemouth!$O$7,Bournemouth!$O$9,Bournemouth!$O$11,Bournemouth!$O$13,Bournemouth!$O$15,Bournemouth!$O$17,Bournemouth!$O$19,Bournemouth!$O$21,Bournemouth!$O$23,Bournemouth!$O$25,Bournemouth!$O$27,Bournemouth!$O$29,Bournemouth!$O$31,Bournemouth!$O$33,Bournemouth!$O$35,Bournemouth!$O$37,Bournemouth!$O$39,Bournemouth!$O$41,Bournemouth!$O$43,Bournemouth!$O$45,Bournemouth!$O$47)),"",(AVERAGE(Bournemouth!$O$7,Bournemouth!$O$9,Bournemouth!$O$11,Bournemouth!$O$13,Bournemouth!$O$15,Bournemouth!$O$17,Bournemouth!$O$19,Bournemouth!$O$21,Bournemouth!$O$23,Bournemouth!$O$25,Bournemouth!$O$27,Bournemouth!$O$29,Bournemouth!$O$31,Bournemouth!$O$33,Bournemouth!$O$35,Bournemouth!$O$37,Bournemouth!$O$39,Bournemouth!$O$41,Bournemouth!$O$43,Bournemouth!$O$45,Bournemouth!$O$47)))</f>
        <v>20.356249999999996</v>
      </c>
      <c r="N13" s="156">
        <f>IF(ISERROR(AVERAGE(Bournemouth!$P$7,Bournemouth!$P$9,Bournemouth!$P$11,Bournemouth!$P$13,Bournemouth!$P$15,Bournemouth!$P$17,Bournemouth!$P$19,Bournemouth!$P$21,Bournemouth!$P$23,Bournemouth!$P$25,Bournemouth!$P$27,Bournemouth!$P$29,Bournemouth!$P$31,Bournemouth!$P$33,Bournemouth!$P$35,Bournemouth!$P$37,Bournemouth!$P$39,Bournemouth!$P$41,Bournemouth!$P$43,Bournemouth!$P$45,Bournemouth!$P$47)),"",(AVERAGE(Bournemouth!$P$7,Bournemouth!$P$9,Bournemouth!$P$11,Bournemouth!$P$13,Bournemouth!$P$15,Bournemouth!$P$17,Bournemouth!$P$19,Bournemouth!$P$21,Bournemouth!$P$23,Bournemouth!$P$25,Bournemouth!$P$27,Bournemouth!$P$29,Bournemouth!$P$31,Bournemouth!$P$33,Bournemouth!$P$35,Bournemouth!$P$37,Bournemouth!$P$39,Bournemouth!$P$41,Bournemouth!$P$43,Bournemouth!$P$45,Bournemouth!$P$47)))</f>
        <v>20.244999999999997</v>
      </c>
      <c r="O13" s="156">
        <f>IF(ISERROR(AVERAGE(Bournemouth!$Q$7,Bournemouth!$Q$9,Bournemouth!$Q$11,Bournemouth!$Q$13,Bournemouth!$Q$15,Bournemouth!$Q$17,Bournemouth!$Q$19,Bournemouth!$Q$21,Bournemouth!$Q$23,Bournemouth!$Q$25,Bournemouth!$Q$27,Bournemouth!$Q$29,Bournemouth!$Q$31,Bournemouth!$Q$33,Bournemouth!$Q$35,Bournemouth!$Q$37,Bournemouth!$Q$39,Bournemouth!$Q$41,Bournemouth!$Q$43,Bournemouth!$Q$45,Bournemouth!$Q$47)),"",(AVERAGE(Bournemouth!$Q$7,Bournemouth!$Q$9,Bournemouth!$Q$11,Bournemouth!$Q$13,Bournemouth!$Q$15,Bournemouth!$Q$17,Bournemouth!$Q$19,Bournemouth!$Q$21,Bournemouth!$Q$23,Bournemouth!$Q$25,Bournemouth!$Q$27,Bournemouth!$Q$29,Bournemouth!$Q$31,Bournemouth!$Q$33,Bournemouth!$Q$35,Bournemouth!$Q$37,Bournemouth!$Q$39,Bournemouth!$Q$41,Bournemouth!$Q$43,Bournemouth!$Q$45,Bournemouth!$Q$47)))</f>
        <v>20.657499999999999</v>
      </c>
      <c r="P13" s="156">
        <f>IF(ISERROR(AVERAGE(Bournemouth!$R$7,Bournemouth!$R$9,Bournemouth!$R$11,Bournemouth!$R$13,Bournemouth!$R$15,Bournemouth!$R$17,Bournemouth!$R$19,Bournemouth!$R$21,Bournemouth!$R$23,Bournemouth!$R$25,Bournemouth!$R$27,Bournemouth!$R$29,Bournemouth!$R$31,Bournemouth!$R$33,Bournemouth!$R$35,Bournemouth!$R$37,Bournemouth!$R$39,Bournemouth!$R$41,Bournemouth!$R$43,Bournemouth!$R$45,Bournemouth!$R$47)),"",(AVERAGE(Bournemouth!$R$7,Bournemouth!$R$9,Bournemouth!$R$11,Bournemouth!$R$13,Bournemouth!$R$15,Bournemouth!$R$17,Bournemouth!$R$19,Bournemouth!$R$21,Bournemouth!$R$23,Bournemouth!$R$25,Bournemouth!$R$27,Bournemouth!$R$29,Bournemouth!$R$31,Bournemouth!$R$33,Bournemouth!$R$35,Bournemouth!$R$37,Bournemouth!$R$39,Bournemouth!$R$41,Bournemouth!$R$43,Bournemouth!$R$45,Bournemouth!$R$47)))</f>
        <v>20.617500000000003</v>
      </c>
      <c r="Q13" s="156">
        <f>IF(ISERROR(AVERAGE(Bournemouth!$S$7,Bournemouth!$S$9,Bournemouth!$S$11,Bournemouth!$S$13,Bournemouth!$S$15,Bournemouth!$S$17,Bournemouth!$S$19,Bournemouth!$S$21,Bournemouth!$S$23,Bournemouth!$S$25,Bournemouth!$S$27,Bournemouth!$S$29,Bournemouth!$S$31,Bournemouth!$S$33,Bournemouth!$S$35,Bournemouth!$S$37,Bournemouth!$S$39,Bournemouth!$S$41,Bournemouth!$S$43,Bournemouth!$S$45,Bournemouth!$S$47)),"",(AVERAGE(Bournemouth!$S$7,Bournemouth!$S$9,Bournemouth!$S$11,Bournemouth!$S$13,Bournemouth!$S$15,Bournemouth!$S$17,Bournemouth!$S$19,Bournemouth!$S$21,Bournemouth!$S$23,Bournemouth!$S$25,Bournemouth!$S$27,Bournemouth!$S$29,Bournemouth!$S$31,Bournemouth!$S$33,Bournemouth!$S$35,Bournemouth!$S$37,Bournemouth!$S$39,Bournemouth!$S$41,Bournemouth!$S$43,Bournemouth!$S$45,Bournemouth!$S$47)))</f>
        <v>19.8825</v>
      </c>
      <c r="R13" s="156">
        <f>IF(ISERROR(AVERAGE(Bournemouth!$T$7,Bournemouth!$T$9,Bournemouth!$T$11,Bournemouth!$T$13,Bournemouth!$T$15,Bournemouth!$T$17,Bournemouth!$T$19,Bournemouth!$T$21,Bournemouth!$T$23,Bournemouth!$T$25,Bournemouth!$T$27,Bournemouth!$T$29,Bournemouth!$T$31,Bournemouth!$T$33,Bournemouth!$T$35,Bournemouth!$T$37,Bournemouth!$T$39,Bournemouth!$T$41,Bournemouth!$T$43,Bournemouth!$T$45,Bournemouth!$T$47)),"",(AVERAGE(Bournemouth!$T$7,Bournemouth!$T$9,Bournemouth!$T$11,Bournemouth!$T$13,Bournemouth!$T$15,Bournemouth!$T$17,Bournemouth!$T$19,Bournemouth!$T$21,Bournemouth!$T$23,Bournemouth!$T$25,Bournemouth!$T$27,Bournemouth!$T$29,Bournemouth!$T$31,Bournemouth!$T$33,Bournemouth!$T$35,Bournemouth!$T$37,Bournemouth!$T$39,Bournemouth!$T$41,Bournemouth!$T$43,Bournemouth!$T$45,Bournemouth!$T$47)))</f>
        <v>19.899999999999999</v>
      </c>
      <c r="S13" s="156">
        <f>IF(ISERROR(AVERAGE(Bournemouth!$U$7,Bournemouth!$U$9,Bournemouth!$U$11,Bournemouth!$U$13,Bournemouth!$U$15,Bournemouth!$U$17,Bournemouth!$U$19,Bournemouth!$U$21,Bournemouth!$U$23,Bournemouth!$U$25,Bournemouth!$U$27,Bournemouth!$U$29,Bournemouth!$U$31,Bournemouth!$U$33,Bournemouth!$U$35,Bournemouth!$U$37,Bournemouth!$U$39,Bournemouth!$U$41,Bournemouth!$U$43,Bournemouth!$U$45,Bournemouth!$U$47)),"",(AVERAGE(Bournemouth!$U$7,Bournemouth!$U$9,Bournemouth!$U$11,Bournemouth!$U$13,Bournemouth!$U$15,Bournemouth!$U$17,Bournemouth!$U$19,Bournemouth!$U$21,Bournemouth!$U$23,Bournemouth!$U$25,Bournemouth!$U$27,Bournemouth!$U$29,Bournemouth!$U$31,Bournemouth!$U$33,Bournemouth!$U$35,Bournemouth!$U$37,Bournemouth!$U$39,Bournemouth!$U$41,Bournemouth!$U$43,Bournemouth!$U$45,Bournemouth!$U$47)))</f>
        <v>19.307500000000001</v>
      </c>
      <c r="T13" s="156">
        <f>IF(ISERROR(AVERAGE(Bournemouth!$V$7,Bournemouth!$V$9,Bournemouth!$V$11,Bournemouth!$V$13,Bournemouth!$V$15,Bournemouth!$V$17,Bournemouth!$V$19,Bournemouth!$V$21,Bournemouth!$V$23,Bournemouth!$V$25,Bournemouth!V35,Bournemouth!$V$29,Bournemouth!$V$31,Bournemouth!$V$33,Bournemouth!$V$35,Bournemouth!$V$37,Bournemouth!$V$39,Bournemouth!$V$41,Bournemouth!$V$43,Bournemouth!$V$45,Bournemouth!$V$47)),"",(AVERAGE(Bournemouth!$V$7,Bournemouth!$V$9,Bournemouth!$V$11,Bournemouth!$V$13,Bournemouth!$V$15,Bournemouth!$V$17,Bournemouth!$V$19,Bournemouth!$V$21,Bournemouth!$V$23,Bournemouth!$V$25,Bournemouth!V35,Bournemouth!$V$29,Bournemouth!$V$31,Bournemouth!$V$33,Bournemouth!$V$35,Bournemouth!$V$37,Bournemouth!$V$39,Bournemouth!$V$41,Bournemouth!$V$43,Bournemouth!$V$45,Bournemouth!$V$47)))</f>
        <v>19.077500000000001</v>
      </c>
      <c r="U13" s="156">
        <f>IF(ISERROR(AVERAGE(Bournemouth!$W$7,Bournemouth!$W$9,Bournemouth!$W$11,Bournemouth!$W$13,Bournemouth!$W$15,Bournemouth!$W$17,Bournemouth!$W$19,Bournemouth!$W$21,Bournemouth!$W$23,Bournemouth!$W$25,Bournemouth!$W$27,Bournemouth!$W$29,Bournemouth!$W$31,Bournemouth!$W$33,Bournemouth!$W$35,Bournemouth!$W$37,Bournemouth!$W$39,Bournemouth!$W$41,Bournemouth!$W$43,Bournemouth!$W$45,Bournemouth!$W$47)),"",(AVERAGE(Bournemouth!$W$7,Bournemouth!$W$9,Bournemouth!$W$11,Bournemouth!$W$13,Bournemouth!$W$15,Bournemouth!$W$17,Bournemouth!$W$19,Bournemouth!$W$21,Bournemouth!$W$23,Bournemouth!$W$25,Bournemouth!$W$27,Bournemouth!$W$29,Bournemouth!$W$31,Bournemouth!$W$33,Bournemouth!$W$35,Bournemouth!$W$37,Bournemouth!$W$39,Bournemouth!$W$41,Bournemouth!$W$43,Bournemouth!$W$45,Bournemouth!$W$47)))</f>
        <v>20.452500000000001</v>
      </c>
      <c r="V13" s="156">
        <f>IF(ISERROR(AVERAGE(Bournemouth!$X$7,Bournemouth!$X$9,Bournemouth!$X$11,Bournemouth!$X$13,Bournemouth!$X$15,Bournemouth!$X$17,Bournemouth!$X$19,Bournemouth!$X$21,Bournemouth!$X$23,Bournemouth!$X$25,Bournemouth!$X$27,Bournemouth!$X$29,Bournemouth!$X$31,Bournemouth!$X$33,Bournemouth!$X$35,Bournemouth!$X$37,Bournemouth!$X$39,Bournemouth!$X$41,Bournemouth!$X$43,Bournemouth!$X$45,Bournemouth!$X$47)),"",(AVERAGE(Bournemouth!$X$7,Bournemouth!$X$9,Bournemouth!$X$11,Bournemouth!$X$13,Bournemouth!$X$15,Bournemouth!$X$17,Bournemouth!$X$19,Bournemouth!$X$21,Bournemouth!$X$23,Bournemouth!$X$25,Bournemouth!$X$27,Bournemouth!$X$29,Bournemouth!$X$31,Bournemouth!$X$33,Bournemouth!$X$35,Bournemouth!$X$37,Bournemouth!$X$39,Bournemouth!$X$41,Bournemouth!$X$43,Bournemouth!$X$45,Bournemouth!$X$47)))</f>
        <v>20.794999999999998</v>
      </c>
      <c r="W13" s="156">
        <f>IF(ISERROR(AVERAGE(Bournemouth!$Y$7,Bournemouth!$Y$9,Bournemouth!$Y$11,Bournemouth!$Y$13,Bournemouth!$Y$15,Bournemouth!$Y$17,Bournemouth!$Y$19,Bournemouth!$Y$21,Bournemouth!$Y$23,Bournemouth!$Y$25,Bournemouth!$Y$27,Bournemouth!$Y$29,Bournemouth!$Y$31,Bournemouth!$Y$33,Bournemouth!$Y$35,Bournemouth!$Y$37,Bournemouth!$Y$39,Bournemouth!$Y$41,Bournemouth!$Y$43,Bournemouth!$Y$45,Bournemouth!$Y$47)),"",(AVERAGE(Bournemouth!$Y$7,Bournemouth!$Y$9,Bournemouth!$Y$11,Bournemouth!$Y$13,Bournemouth!$Y$15,Bournemouth!$Y$17,Bournemouth!$Y$19,Bournemouth!$Y$21,Bournemouth!$Y$23,Bournemouth!$Y$25,Bournemouth!$Y$27,Bournemouth!$Y$29,Bournemouth!$Y$31,Bournemouth!$Y$33,Bournemouth!$Y$35,Bournemouth!$Y$37,Bournemouth!$Y$39,Bournemouth!$Y$41,Bournemouth!$Y$43,Bournemouth!$Y$45,Bournemouth!$Y$47)))</f>
        <v>20.12125</v>
      </c>
      <c r="X13" s="234">
        <f>IF(ISERROR(AVERAGE(K13:W13)),"",(AVERAGE(K13:W13)))</f>
        <v>20.021634615384617</v>
      </c>
      <c r="AA13" s="231">
        <f t="shared" ref="AA13:AB13" si="6">G13</f>
        <v>61</v>
      </c>
      <c r="AB13" s="231">
        <f t="shared" si="6"/>
        <v>95</v>
      </c>
      <c r="AC13" s="231" t="str">
        <f t="shared" ref="AC13:AE13" si="7">B13</f>
        <v>Bournemouth</v>
      </c>
      <c r="AD13" s="231">
        <f t="shared" si="7"/>
        <v>13</v>
      </c>
      <c r="AE13" s="231">
        <f t="shared" si="7"/>
        <v>4</v>
      </c>
      <c r="AF13" s="231">
        <f>F13</f>
        <v>8</v>
      </c>
      <c r="AG13" s="231">
        <f>I13</f>
        <v>18</v>
      </c>
      <c r="AK13" s="231"/>
    </row>
    <row r="14" spans="1:37" ht="16.5" customHeight="1" x14ac:dyDescent="0.2">
      <c r="B14" s="239"/>
      <c r="C14" s="182"/>
      <c r="D14" s="182"/>
      <c r="E14" s="182"/>
      <c r="F14" s="182"/>
      <c r="G14" s="182"/>
      <c r="H14" s="182"/>
      <c r="I14" s="233"/>
      <c r="J14" s="2"/>
      <c r="K14" s="157" t="str">
        <f>Bournemouth!$AR$7&amp;"*"&amp;Bournemouth!$AS$7</f>
        <v>7*5</v>
      </c>
      <c r="L14" s="44" t="str">
        <f>Bournemouth!$AR$8&amp;"*"&amp;Bournemouth!$AS$8</f>
        <v>9*3</v>
      </c>
      <c r="M14" s="44" t="str">
        <f>Bournemouth!$AR$9&amp;"*"&amp;Bournemouth!$AS$9</f>
        <v>0*12</v>
      </c>
      <c r="N14" s="44" t="str">
        <f>Bournemouth!$AR$10&amp;"*"&amp;Bournemouth!$AS$10</f>
        <v>8*4</v>
      </c>
      <c r="O14" s="44" t="str">
        <f>Bournemouth!$AR$11&amp;"*"&amp;Bournemouth!$AS$11</f>
        <v>4*8</v>
      </c>
      <c r="P14" s="44" t="str">
        <f>Bournemouth!$AR$12&amp;"*"&amp;Bournemouth!$AS$12</f>
        <v>6*6</v>
      </c>
      <c r="Q14" s="44" t="str">
        <f>Bournemouth!$AR$13&amp;"*"&amp;Bournemouth!$AS$13</f>
        <v>4*8</v>
      </c>
      <c r="R14" s="44" t="str">
        <f>Bournemouth!$AR$14&amp;"*"&amp;Bournemouth!$AS$14</f>
        <v>4*8</v>
      </c>
      <c r="S14" s="44" t="str">
        <f>Bournemouth!$AR$15&amp;"*"&amp;Bournemouth!$AS$15</f>
        <v>2*10</v>
      </c>
      <c r="T14" s="44" t="str">
        <f>Bournemouth!$AR$16&amp;"*"&amp;Bournemouth!$AS$16</f>
        <v>2*10</v>
      </c>
      <c r="U14" s="44" t="str">
        <f>Bournemouth!$AR$17&amp;"*"&amp;Bournemouth!$AS$17</f>
        <v>4*8</v>
      </c>
      <c r="V14" s="44" t="str">
        <f>Bournemouth!$AR$18&amp;"*"&amp;Bournemouth!$AS$18</f>
        <v>3*9</v>
      </c>
      <c r="W14" s="44" t="str">
        <f>Bournemouth!$AR$19&amp;"*"&amp;Bournemouth!$AS$19</f>
        <v>8*4</v>
      </c>
      <c r="X14" s="235"/>
      <c r="AA14" s="170"/>
      <c r="AB14" s="170"/>
      <c r="AC14" s="170"/>
      <c r="AD14" s="170"/>
      <c r="AE14" s="170"/>
      <c r="AF14" s="170"/>
      <c r="AG14" s="170"/>
      <c r="AK14" s="170"/>
    </row>
    <row r="15" spans="1:37" ht="16.5" customHeight="1" x14ac:dyDescent="0.2">
      <c r="B15" s="242" t="s">
        <v>20</v>
      </c>
      <c r="C15" s="185">
        <f>IF(SUM(SUM(Bridport!$AO$21:$AQ$21))=0,0,SUM(Bridport!$AO$21:$AQ$21))</f>
        <v>13</v>
      </c>
      <c r="D15" s="185">
        <f>IF(Bridport!$AO$21="","",Bridport!$AO$21)</f>
        <v>6</v>
      </c>
      <c r="E15" s="185">
        <f>IF(Bridport!$AP$21="","",Bridport!$AP$21)</f>
        <v>2</v>
      </c>
      <c r="F15" s="185">
        <f>IF(Bridport!$AQ$21="","",Bridport!$AQ$21)</f>
        <v>5</v>
      </c>
      <c r="G15" s="185">
        <f>IF(Bridport!$AR$21="","",Bridport!$AR$21)</f>
        <v>75</v>
      </c>
      <c r="H15" s="185">
        <f>IF(Bridport!$AS$21="","",Bridport!$AS$21)</f>
        <v>81</v>
      </c>
      <c r="I15" s="232">
        <f>SUM(Bridport!$AA$7:$AA$48)</f>
        <v>19</v>
      </c>
      <c r="J15" s="2"/>
      <c r="K15" s="155">
        <f>IF(ISERROR(AVERAGE(Bridport!$M$7,Bridport!$M$9,Bridport!$M$11,Bridport!$M$13,Bridport!$M$15,Bridport!$M$17,Bridport!$M$19,Bridport!$M$21,Bridport!$M$23,Bridport!$M$25,Bridport!$M$27,Bridport!$M$29,Bridport!$M$31,Bridport!$M$33,Bridport!$M$35,Bridport!$M$37,Bridport!$M$39,Bridport!$M$41,Bridport!$M$43,Bridport!$M$45,Bridport!$M$47)),"",(AVERAGE(Bridport!$M$7,Bridport!$M$9,Bridport!$M$11,Bridport!$M$13,Bridport!$M$15,Bridport!$M$17,Bridport!$M$19,Bridport!$M$21,Bridport!$M$23,Bridport!$M$25,Bridport!$M$27,Bridport!$M$29,Bridport!$M$31,Bridport!$M$33,Bridport!$M$35,Bridport!$M$37,Bridport!$M$39,Bridport!$M$41,Bridport!$M$43,Bridport!$M$45,Bridport!$M$47)))</f>
        <v>20.18375</v>
      </c>
      <c r="L15" s="156">
        <f>IF(ISERROR(AVERAGE(Bridport!$N$7,Bridport!$N$9,Bridport!$N$11,Bridport!$N$13,Bridport!$N$15,Bridport!$N$17,Bridport!$N$19,Bridport!$N$21,Bridport!$N$23,Bridport!$N$25,Bridport!$N$27,Bridport!$N$29,Bridport!$N$31,Bridport!$N$33,Bridport!$N$35,Bridport!$N$37,Bridport!$N$39,Bridport!$N$41,Bridport!$N$43,Bridport!$N$45,Bridport!$N$47)),"",(AVERAGE(Bridport!$N$7,Bridport!$N$9,Bridport!$N$11,Bridport!$N$13,Bridport!$N$15,Bridport!$N$17,Bridport!$N$19,Bridport!$N$21,Bridport!$N$23,Bridport!$N$25,Bridport!$N$27,Bridport!$N$29,Bridport!$N$31,Bridport!$N$33,Bridport!$N$35,Bridport!$N$37,Bridport!$N$39,Bridport!$N$41,Bridport!$N$43,Bridport!$N$45,Bridport!$N$47)))</f>
        <v>21.463749999999997</v>
      </c>
      <c r="M15" s="156">
        <f>IF(ISERROR(AVERAGE(Bridport!$O$7,Bridport!$O$9,Bridport!$O$11,Bridport!$O$13,Bridport!$O$15,Bridport!$O$17,Bridport!$O$19,Bridport!$O$21,Bridport!$O$23,Bridport!$O$25,Bridport!$O$27,Bridport!$O$29,Bridport!$O$31,Bridport!$O$33,Bridport!$O$35,Bridport!$O$37,Bridport!$O$39,Bridport!$O$41,Bridport!$O$43,Bridport!$O$45,Bridport!$O$47)),"",(AVERAGE(Bridport!$O$7,Bridport!$O$9,Bridport!$O$11,Bridport!$O$13,Bridport!$O$15,Bridport!$O$17,Bridport!$O$19,Bridport!$O$21,Bridport!$O$23,Bridport!$O$25,Bridport!$O$27,Bridport!$O$29,Bridport!$O$31,Bridport!$O$33,Bridport!$O$35,Bridport!$O$37,Bridport!$O$39,Bridport!$O$41,Bridport!$O$43,Bridport!$O$45,Bridport!$O$47)))</f>
        <v>20.3125</v>
      </c>
      <c r="N15" s="156">
        <f>IF(ISERROR(AVERAGE(Bridport!$P$7,Bridport!$P$9,Bridport!$P$11,Bridport!$P$13,Bridport!$P$15,Bridport!$P$17,Bridport!$P$19,Bridport!$P$21,Bridport!$P$23,Bridport!$P$25,Bridport!$P$27,Bridport!$P$29,Bridport!$P$31,Bridport!$P$33,Bridport!$P$35,Bridport!$P$37,Bridport!$P$39,Bridport!$P$41,Bridport!$P$43,Bridport!$P$45,Bridport!$P$47)),"",(AVERAGE(Bridport!$P$7,Bridport!$P$9,Bridport!$P$11,Bridport!$P$13,Bridport!$P$15,Bridport!$P$17,Bridport!$P$19,Bridport!$P$21,Bridport!$P$23,Bridport!$P$25,Bridport!$P$27,Bridport!$P$29,Bridport!$P$31,Bridport!$P$33,Bridport!$P$35,Bridport!$P$37,Bridport!$P$39,Bridport!$P$41,Bridport!$P$43,Bridport!$P$45,Bridport!$P$47)))</f>
        <v>21.254999999999999</v>
      </c>
      <c r="O15" s="156">
        <f>IF(ISERROR(AVERAGE(Bridport!$Q$7,Bridport!$Q$9,Bridport!$Q$11,Bridport!$Q$13,Bridport!$Q$15,Bridport!$Q$17,Bridport!$Q$19,Bridport!$Q$21,Bridport!$Q$23,Bridport!$Q$25,Bridport!$Q$27,Bridport!$Q$29,Bridport!$Q$31,Bridport!$Q$33,Bridport!$Q$35,Bridport!$Q$37,Bridport!$Q$39,Bridport!$Q$41,Bridport!$Q$43,Bridport!$Q$45,Bridport!$Q$47)),"",(AVERAGE(Bridport!$Q$7,Bridport!$Q$9,Bridport!$Q$11,Bridport!$Q$13,Bridport!$Q$15,Bridport!$Q$17,Bridport!$Q$19,Bridport!$Q$21,Bridport!$Q$23,Bridport!$Q$25,Bridport!$Q$27,Bridport!$Q$29,Bridport!$Q$31,Bridport!$Q$33,Bridport!$Q$35,Bridport!$Q$37,Bridport!$Q$39,Bridport!$Q$41,Bridport!$Q$43,Bridport!$Q$45,Bridport!$Q$47)))</f>
        <v>21.317500000000003</v>
      </c>
      <c r="P15" s="156">
        <f>IF(ISERROR(AVERAGE(Bridport!$R$7,Bridport!$R$9,Bridport!$R$11,Bridport!$R$13,Bridport!$R$15,Bridport!$R$17,Bridport!$R$19,Bridport!$R$21,Bridport!$R$23,Bridport!$R$25,Bridport!$R$27,Bridport!$R$29,Bridport!$R$31,Bridport!$R$33,Bridport!$R$35,Bridport!$R$37,Bridport!$R$39,Bridport!$R$41,Bridport!$R$43,Bridport!$R$45,Bridport!$R$47)),"",(AVERAGE(Bridport!$R$7,Bridport!$R$9,Bridport!$R$11,Bridport!$R$13,Bridport!$R$15,Bridport!$R$17,Bridport!$R$19,Bridport!$R$21,Bridport!$R$23,Bridport!$R$25,Bridport!$R$27,Bridport!$R$29,Bridport!$R$31,Bridport!$R$33,Bridport!$R$35,Bridport!$R$37,Bridport!$R$39,Bridport!$R$41,Bridport!$R$43,Bridport!$R$45,Bridport!$R$47)))</f>
        <v>20.938749999999999</v>
      </c>
      <c r="Q15" s="156">
        <f>IF(ISERROR(AVERAGE(Bridport!$S$7,Bridport!$S$9,Bridport!$S$11,Bridport!$S$13,Bridport!$S$15,Bridport!$S$17,Bridport!$S$19,Bridport!$S$21,Bridport!$S$23,Bridport!$S$25,Bridport!$S$27,Bridport!$S$29,Bridport!$S$31,Bridport!$S$33,Bridport!$S$35,Bridport!$S$37,Bridport!$S$39,Bridport!$S$41,Bridport!$S$43,Bridport!$S$45,Bridport!$S$47)),"",(AVERAGE(Bridport!$S$7,Bridport!$S$9,Bridport!$S$11,Bridport!$S$13,Bridport!$S$15,Bridport!$S$17,Bridport!$S$19,Bridport!$S$21,Bridport!$S$23,Bridport!$S$25,Bridport!$S$27,Bridport!$S$29,Bridport!$S$31,Bridport!$S$33,Bridport!$S$35,Bridport!$S$37,Bridport!$S$39,Bridport!$S$41,Bridport!$S$43,Bridport!$S$45,Bridport!$S$47)))</f>
        <v>19.049999999999997</v>
      </c>
      <c r="R15" s="156">
        <f>IF(ISERROR(AVERAGE(Bridport!$T$7,Bridport!$T$9,Bridport!$T$11,Bridport!$T$13,Bridport!$T$15,Bridport!$T$17,Bridport!$T$19,Bridport!$T$21,Bridport!$T$23,Bridport!$T$25,Bridport!$T$27,Bridport!$T$29,Bridport!$T$31,Bridport!$T$33,Bridport!$T$35,Bridport!$T$37,Bridport!$T$39,Bridport!$T$41,Bridport!$T$43,Bridport!$T$45,Bridport!$T$47)),"",(AVERAGE(Bridport!$T$7,Bridport!$T$9,Bridport!$T$11,Bridport!$T$13,Bridport!$T$15,Bridport!$T$17,Bridport!$T$19,Bridport!$T$21,Bridport!$T$23,Bridport!$T$25,Bridport!$T$27,Bridport!$T$29,Bridport!$T$31,Bridport!$T$33,Bridport!$T$35,Bridport!$T$37,Bridport!$T$39,Bridport!$T$41,Bridport!$T$43,Bridport!$T$45,Bridport!$T$47)))</f>
        <v>19.846250000000001</v>
      </c>
      <c r="S15" s="156">
        <f>IF(ISERROR(AVERAGE(Bridport!$U$7,Bridport!$U$9,Bridport!$U$11,Bridport!$U$13,Bridport!$U$15,Bridport!$U$17,Bridport!$U$19,Bridport!$U$21,Bridport!$U$23,Bridport!$U$25,Bridport!$U$27,Bridport!$U$29,Bridport!$U$31,Bridport!$U$33,Bridport!$U$35,Bridport!$U$37,Bridport!$U$39,Bridport!$U$41,Bridport!$U$43,Bridport!$U$45,Bridport!$U$47)),"",(AVERAGE(Bridport!$U$7,Bridport!$U$9,Bridport!$U$11,Bridport!$U$13,Bridport!$U$15,Bridport!$U$17,Bridport!$U$19,Bridport!$U$21,Bridport!$U$23,Bridport!$U$25,Bridport!$U$27,Bridport!$U$29,Bridport!$U$31,Bridport!$U$33,Bridport!$U$35,Bridport!$U$37,Bridport!$U$39,Bridport!$U$41,Bridport!$U$43,Bridport!$U$45,Bridport!$U$47)))</f>
        <v>20.916249999999998</v>
      </c>
      <c r="T15" s="156">
        <f>IF(ISERROR(AVERAGE(Bridport!$V$7,Bridport!$V$9,Bridport!$V$11,Bridport!$V$13,Bridport!$V$15,Bridport!$V$17,Bridport!$V$19,Bridport!$V$21,Bridport!$V$23,Bridport!$V$25,Bridport!V37,Bridport!$V$29,Bridport!$V$31,Bridport!$V$33,Bridport!$V$35,Bridport!$V$37,Bridport!$V$39,Bridport!$V$41,Bridport!$V$43,Bridport!$V$45,Bridport!$V$47)),"",(AVERAGE(Bridport!$V$7,Bridport!$V$9,Bridport!$V$11,Bridport!$V$13,Bridport!$V$15,Bridport!$V$17,Bridport!$V$19,Bridport!$V$21,Bridport!$V$23,Bridport!$V$25,Bridport!V37,Bridport!$V$29,Bridport!$V$31,Bridport!$V$33,Bridport!$V$35,Bridport!$V$37,Bridport!$V$39,Bridport!$V$41,Bridport!$V$43,Bridport!$V$45,Bridport!$V$47)))</f>
        <v>19.828571428571429</v>
      </c>
      <c r="U15" s="156">
        <f>IF(ISERROR(AVERAGE(Bridport!$W$7,Bridport!$W$9,Bridport!$W$11,Bridport!$W$13,Bridport!$W$15,Bridport!$W$17,Bridport!$W$19,Bridport!$W$21,Bridport!$W$23,Bridport!$W$25,Bridport!$W$27,Bridport!$W$29,Bridport!$W$31,Bridport!$W$33,Bridport!$W$35,Bridport!$W$37,Bridport!$W$39,Bridport!$W$41,Bridport!$W$43,Bridport!$W$45,Bridport!$W$47)),"",(AVERAGE(Bridport!$W$7,Bridport!$W$9,Bridport!$W$11,Bridport!$W$13,Bridport!$W$15,Bridport!$W$17,Bridport!$W$19,Bridport!$W$21,Bridport!$W$23,Bridport!$W$25,Bridport!$W$27,Bridport!$W$29,Bridport!$W$31,Bridport!$W$33,Bridport!$W$35,Bridport!$W$37,Bridport!$W$39,Bridport!$W$41,Bridport!$W$43,Bridport!$W$45,Bridport!$W$47)))</f>
        <v>22.013749999999998</v>
      </c>
      <c r="V15" s="156">
        <f>IF(ISERROR(AVERAGE(Bridport!$X$7,Bridport!$X$9,Bridport!$X$11,Bridport!$X$13,Bridport!$X$15,Bridport!$X$17,Bridport!$X$19,Bridport!$X$21,Bridport!$X$23,Bridport!$X$25,Bridport!$X$27,Bridport!$X$29,Bridport!$X$31,Bridport!$X$33,Bridport!$X$35,Bridport!$X$37,Bridport!$X$39,Bridport!$X$41,Bridport!$X$43,Bridport!$X$45,Bridport!$X$47)),"",(AVERAGE(Bridport!$X$7,Bridport!$X$9,Bridport!$X$11,Bridport!$X$13,Bridport!$X$15,Bridport!$X$17,Bridport!$X$19,Bridport!$X$21,Bridport!$X$23,Bridport!$X$25,Bridport!$X$27,Bridport!$X$29,Bridport!$X$31,Bridport!$X$33,Bridport!$X$35,Bridport!$X$37,Bridport!$X$39,Bridport!$X$41,Bridport!$X$43,Bridport!$X$45,Bridport!$X$47)))</f>
        <v>20.283750000000001</v>
      </c>
      <c r="W15" s="156">
        <f>IF(ISERROR(AVERAGE(Bridport!$Y$7,Bridport!$Y$9,Bridport!$Y$11,Bridport!$Y$13,Bridport!$Y$15,Bridport!$Y$17,Bridport!$Y$19,Bridport!$Y$21,Bridport!$Y$23,Bridport!$Y$25,Bridport!$Y$27,Bridport!$Y$29,Bridport!$Y$31,Bridport!$Y$33,Bridport!$Y$35,Bridport!$Y$37,Bridport!$Y$39,Bridport!$Y$41,Bridport!$Y$43,Bridport!$Y$45,Bridport!$Y$47)),"",(AVERAGE(Bridport!$Y$7,Bridport!$Y$9,Bridport!$Y$11,Bridport!$Y$13,Bridport!$Y$15,Bridport!$Y$17,Bridport!$Y$19,Bridport!$Y$21,Bridport!$Y$23,Bridport!$Y$25,Bridport!$Y$27,Bridport!$Y$29,Bridport!$Y$31,Bridport!$Y$33,Bridport!$Y$35,Bridport!$Y$37,Bridport!$Y$39,Bridport!$Y$41,Bridport!$Y$43,Bridport!$Y$45,Bridport!$Y$47)))</f>
        <v>21.811250000000001</v>
      </c>
      <c r="X15" s="234">
        <f>IF(ISERROR(AVERAGE(K15:W15)),"",(AVERAGE(K15:W15)))</f>
        <v>20.709313186813183</v>
      </c>
      <c r="AA15" s="231">
        <f t="shared" ref="AA15:AB15" si="8">G15</f>
        <v>75</v>
      </c>
      <c r="AB15" s="231">
        <f t="shared" si="8"/>
        <v>81</v>
      </c>
      <c r="AC15" s="231" t="str">
        <f t="shared" ref="AC15:AE15" si="9">B15</f>
        <v>Bridport</v>
      </c>
      <c r="AD15" s="231">
        <f t="shared" si="9"/>
        <v>13</v>
      </c>
      <c r="AE15" s="231">
        <f t="shared" si="9"/>
        <v>6</v>
      </c>
      <c r="AF15" s="231">
        <f>F15</f>
        <v>5</v>
      </c>
      <c r="AG15" s="231">
        <f>I15</f>
        <v>19</v>
      </c>
      <c r="AK15" s="231"/>
    </row>
    <row r="16" spans="1:37" ht="16.5" customHeight="1" x14ac:dyDescent="0.2">
      <c r="B16" s="239"/>
      <c r="C16" s="182"/>
      <c r="D16" s="182"/>
      <c r="E16" s="182"/>
      <c r="F16" s="182"/>
      <c r="G16" s="182"/>
      <c r="H16" s="182"/>
      <c r="I16" s="233"/>
      <c r="J16" s="2"/>
      <c r="K16" s="157" t="str">
        <f>Bridport!$AR$7&amp;"*"&amp;Bridport!$AS$7</f>
        <v>3*9</v>
      </c>
      <c r="L16" s="44" t="str">
        <f>Bridport!$AR$8&amp;"*"&amp;Bridport!$AS$8</f>
        <v>1*11</v>
      </c>
      <c r="M16" s="44" t="str">
        <f>Bridport!$AR$9&amp;"*"&amp;Bridport!$AS$9</f>
        <v>10*2</v>
      </c>
      <c r="N16" s="44" t="str">
        <f>Bridport!$AR$10&amp;"*"&amp;Bridport!$AS$10</f>
        <v>7*5</v>
      </c>
      <c r="O16" s="44" t="str">
        <f>Bridport!$AR$11&amp;"*"&amp;Bridport!$AS$11</f>
        <v>8*4</v>
      </c>
      <c r="P16" s="44" t="str">
        <f>Bridport!$AR$12&amp;"*"&amp;Bridport!$AS$12</f>
        <v>5*7</v>
      </c>
      <c r="Q16" s="44" t="str">
        <f>Bridport!$AR$13&amp;"*"&amp;Bridport!$AS$13</f>
        <v>6*6</v>
      </c>
      <c r="R16" s="44" t="str">
        <f>Bridport!$AR$14&amp;"*"&amp;Bridport!$AS$14</f>
        <v>7*5</v>
      </c>
      <c r="S16" s="44" t="str">
        <f>Bridport!$AR$15&amp;"*"&amp;Bridport!$AS$15</f>
        <v>2*10</v>
      </c>
      <c r="T16" s="44" t="str">
        <f>Bridport!$AR$16&amp;"*"&amp;Bridport!$AS$16</f>
        <v>5*7</v>
      </c>
      <c r="U16" s="44" t="str">
        <f>Bridport!$AR$17&amp;"*"&amp;Bridport!$AS$17</f>
        <v>8*4</v>
      </c>
      <c r="V16" s="44" t="str">
        <f>Bridport!$AR$18&amp;"*"&amp;Bridport!$AS$18</f>
        <v>6*6</v>
      </c>
      <c r="W16" s="44" t="str">
        <f>Bridport!$AR$19&amp;"*"&amp;Bridport!$AS$19</f>
        <v>7*5</v>
      </c>
      <c r="X16" s="235"/>
      <c r="AA16" s="170"/>
      <c r="AB16" s="170"/>
      <c r="AC16" s="170"/>
      <c r="AD16" s="170"/>
      <c r="AE16" s="170"/>
      <c r="AF16" s="170"/>
      <c r="AG16" s="170"/>
      <c r="AK16" s="170"/>
    </row>
    <row r="17" spans="2:37" ht="16.5" customHeight="1" x14ac:dyDescent="0.2">
      <c r="B17" s="242" t="s">
        <v>28</v>
      </c>
      <c r="C17" s="185">
        <f>IF(SUM(SUM(Christchurch!$AO$21:$AQ$21))=0,0,SUM(Christchurch!$AO$21:$AQ$21))</f>
        <v>13</v>
      </c>
      <c r="D17" s="185">
        <f>IF(Christchurch!$AO$21="","",Christchurch!$AO$21)</f>
        <v>10</v>
      </c>
      <c r="E17" s="185">
        <f>IF(Christchurch!$AP$21="","",Christchurch!$AP$21)</f>
        <v>1</v>
      </c>
      <c r="F17" s="185">
        <f>IF(Christchurch!$AQ$21="","",Christchurch!$AQ$21)</f>
        <v>2</v>
      </c>
      <c r="G17" s="185">
        <f>IF(Christchurch!$AR$21="","",Christchurch!$AR$21)</f>
        <v>110</v>
      </c>
      <c r="H17" s="185">
        <f>IF(Christchurch!$AS$21="","",Christchurch!$AS$21)</f>
        <v>46</v>
      </c>
      <c r="I17" s="232">
        <f>SUM(Christchurch!$AA$7:$AA$48)</f>
        <v>39</v>
      </c>
      <c r="J17" s="2"/>
      <c r="K17" s="155">
        <f>IF(ISERROR(AVERAGE(Christchurch!$M$7,Christchurch!$M$9,Christchurch!$M$11,Christchurch!$M$13,Christchurch!$M$15,Christchurch!$M$17,Christchurch!$M$19,Christchurch!$M$21,Christchurch!$M$23,Christchurch!$M$25,Christchurch!$M$27,Christchurch!$M$29,Christchurch!$M$31,Christchurch!$M$33,Christchurch!$M$35,Christchurch!$M$37,Christchurch!$M$39,Christchurch!$M$41,Christchurch!$M$43,Christchurch!$M$45,Christchurch!$M$47)),"",(AVERAGE(Christchurch!$M$7,Christchurch!$M$9,Christchurch!$M$11,Christchurch!$M$13,Christchurch!$M$15,Christchurch!$M$17,Christchurch!$M$19,Christchurch!$M$21,Christchurch!$M$23,Christchurch!$M$25,Christchurch!$M$27,Christchurch!$M$29,Christchurch!$M$31,Christchurch!$M$33,Christchurch!$M$35,Christchurch!$M$37,Christchurch!$M$39,Christchurch!$M$41,Christchurch!$M$43,Christchurch!$M$45,Christchurch!$M$47)))</f>
        <v>22.991250000000001</v>
      </c>
      <c r="L17" s="156">
        <f>IF(ISERROR(AVERAGE(Christchurch!$N$7,Christchurch!$N$9,Christchurch!$N$11,Christchurch!$N$13,Christchurch!$N$15,Christchurch!$N$17,Christchurch!$N$19,Christchurch!$N$21,Christchurch!$N$23,Christchurch!$N$25,Christchurch!$N$27,Christchurch!$N$29,Christchurch!$N$31,Christchurch!$N$33,Christchurch!$N$35,Christchurch!$N$37,Christchurch!$N$39,Christchurch!$N$41,Christchurch!$N$43,Christchurch!$N$45,Christchurch!$N$47)),"",(AVERAGE(Christchurch!$N$7,Christchurch!$N$9,Christchurch!$N$11,Christchurch!$N$13,Christchurch!$N$15,Christchurch!$N$17,Christchurch!$N$19,Christchurch!$N$21,Christchurch!$N$23,Christchurch!$N$25,Christchurch!$N$27,Christchurch!$N$29,Christchurch!$N$31,Christchurch!$N$33,Christchurch!$N$35,Christchurch!$N$37,Christchurch!$N$39,Christchurch!$N$41,Christchurch!$N$43,Christchurch!$N$45,Christchurch!$N$47)))</f>
        <v>22.49</v>
      </c>
      <c r="M17" s="156">
        <f>IF(ISERROR(AVERAGE(Christchurch!$O$7,Christchurch!$O$9,Christchurch!$O$11,Christchurch!$O$13,Christchurch!$O$15,Christchurch!$O$17,Christchurch!$O$19,Christchurch!$O$21,Christchurch!$O$23,Christchurch!$O$25,Christchurch!$O$27,Christchurch!$O$29,Christchurch!$O$31,Christchurch!$O$33,Christchurch!$O$35,Christchurch!$O$37,Christchurch!$O$39,Christchurch!$O$41,Christchurch!$O$43,Christchurch!$O$45,Christchurch!$O$47)),"",(AVERAGE(Christchurch!$O$7,Christchurch!$O$9,Christchurch!$O$11,Christchurch!$O$13,Christchurch!$O$15,Christchurch!$O$17,Christchurch!$O$19,Christchurch!$O$21,Christchurch!$O$23,Christchurch!$O$25,Christchurch!$O$27,Christchurch!$O$29,Christchurch!$O$31,Christchurch!$O$33,Christchurch!$O$35,Christchurch!$O$37,Christchurch!$O$39,Christchurch!$O$41,Christchurch!$O$43,Christchurch!$O$45,Christchurch!$O$47)))</f>
        <v>24.5625</v>
      </c>
      <c r="N17" s="156">
        <f>IF(ISERROR(AVERAGE(Christchurch!$P$7,Christchurch!$P$9,Christchurch!$P$11,Christchurch!$P$13,Christchurch!$P$15,Christchurch!$P$17,Christchurch!$P$19,Christchurch!$P$21,Christchurch!$P$23,Christchurch!$P$25,Christchurch!$P$27,Christchurch!$P$29,Christchurch!$P$31,Christchurch!$P$33,Christchurch!$P$35,Christchurch!$P$37,Christchurch!$P$39,Christchurch!$P$41,Christchurch!$P$43,Christchurch!$P$45,Christchurch!$P$47)),"",(AVERAGE(Christchurch!$P$7,Christchurch!$P$9,Christchurch!$P$11,Christchurch!$P$13,Christchurch!$P$15,Christchurch!$P$17,Christchurch!$P$19,Christchurch!$P$21,Christchurch!$P$23,Christchurch!$P$25,Christchurch!$P$27,Christchurch!$P$29,Christchurch!$P$31,Christchurch!$P$33,Christchurch!$P$35,Christchurch!$P$37,Christchurch!$P$39,Christchurch!$P$41,Christchurch!$P$43,Christchurch!$P$45,Christchurch!$P$47)))</f>
        <v>22.478750000000002</v>
      </c>
      <c r="O17" s="156">
        <f>IF(ISERROR(AVERAGE(Christchurch!$Q$7,Christchurch!$Q$9,Christchurch!$Q$11,Christchurch!$Q$13,Christchurch!$Q$15,Christchurch!$Q$17,Christchurch!$Q$19,Christchurch!$Q$21,Christchurch!$Q$23,Christchurch!$Q$25,Christchurch!$Q$27,Christchurch!$Q$29,Christchurch!$Q$31,Christchurch!$Q$33,Christchurch!$Q$35,Christchurch!$Q$37,Christchurch!$Q$39,Christchurch!$Q$41,Christchurch!$Q$43,Christchurch!$Q$45,Christchurch!$Q$47)),"",(AVERAGE(Christchurch!$Q$7,Christchurch!$Q$9,Christchurch!$Q$11,Christchurch!$Q$13,Christchurch!$Q$15,Christchurch!$Q$17,Christchurch!$Q$19,Christchurch!$Q$21,Christchurch!$Q$23,Christchurch!$Q$25,Christchurch!$Q$27,Christchurch!$Q$29,Christchurch!$Q$31,Christchurch!$Q$33,Christchurch!$Q$35,Christchurch!$Q$37,Christchurch!$Q$39,Christchurch!$Q$41,Christchurch!$Q$43,Christchurch!$Q$45,Christchurch!$Q$47)))</f>
        <v>23.737500000000001</v>
      </c>
      <c r="P17" s="156">
        <f>IF(ISERROR(AVERAGE(Christchurch!$R$7,Christchurch!$R$9,Christchurch!$R$11,Christchurch!$R$13,Christchurch!$R$15,Christchurch!$R$17,Christchurch!$R$19,Christchurch!$R$21,Christchurch!$R$23,Christchurch!$R$25,Christchurch!$R$27,Christchurch!$R$29,Christchurch!$R$31,Christchurch!$R$33,Christchurch!$R$35,Christchurch!$R$37,Christchurch!$R$39,Christchurch!$R$41,Christchurch!$R$43,Christchurch!$R$45,Christchurch!$R$47)),"",(AVERAGE(Christchurch!$R$7,Christchurch!$R$9,Christchurch!$R$11,Christchurch!$R$13,Christchurch!$R$15,Christchurch!$R$17,Christchurch!$R$19,Christchurch!$R$21,Christchurch!$R$23,Christchurch!$R$25,Christchurch!$R$27,Christchurch!$R$29,Christchurch!$R$31,Christchurch!$R$33,Christchurch!$R$35,Christchurch!$R$37,Christchurch!$R$39,Christchurch!$R$41,Christchurch!$R$43,Christchurch!$R$45,Christchurch!$R$47)))</f>
        <v>23.1525</v>
      </c>
      <c r="Q17" s="156">
        <f>IF(ISERROR(AVERAGE(Christchurch!$S$7,Christchurch!$S$9,Christchurch!$S$11,Christchurch!$S$13,Christchurch!$S$15,Christchurch!$S$17,Christchurch!$S$19,Christchurch!$S$21,Christchurch!$S$23,Christchurch!$S$25,Christchurch!$S$27,Christchurch!$S$29,Christchurch!$S$31,Christchurch!$S$33,Christchurch!$S$35,Christchurch!$S$37,Christchurch!$S$39,Christchurch!$S$41,Christchurch!$S$43,Christchurch!$S$45,Christchurch!$S$47)),"",(AVERAGE(Christchurch!$S$7,Christchurch!$S$9,Christchurch!$S$11,Christchurch!$S$13,Christchurch!$S$15,Christchurch!$S$17,Christchurch!$S$19,Christchurch!$S$21,Christchurch!$S$23,Christchurch!$S$25,Christchurch!$S$27,Christchurch!$S$29,Christchurch!$S$31,Christchurch!$S$33,Christchurch!$S$35,Christchurch!$S$37,Christchurch!$S$39,Christchurch!$S$41,Christchurch!$S$43,Christchurch!$S$45,Christchurch!$S$47)))</f>
        <v>24.517499999999998</v>
      </c>
      <c r="R17" s="156">
        <f>IF(ISERROR(AVERAGE(Christchurch!$T$7,Christchurch!$T$9,Christchurch!$T$11,Christchurch!$T$13,Christchurch!$T$15,Christchurch!$T$17,Christchurch!$T$19,Christchurch!$T$21,Christchurch!$T$23,Christchurch!$T$25,Christchurch!$T$27,Christchurch!$T$29,Christchurch!$T$31,Christchurch!$T$33,Christchurch!$T$35,Christchurch!$T$37,Christchurch!$T$39,Christchurch!$T$41,Christchurch!$T$43,Christchurch!$T$45,Christchurch!$T$47)),"",(AVERAGE(Christchurch!$T$7,Christchurch!$T$9,Christchurch!$T$11,Christchurch!$T$13,Christchurch!$T$15,Christchurch!$T$17,Christchurch!$T$19,Christchurch!$T$21,Christchurch!$T$23,Christchurch!$T$25,Christchurch!$T$27,Christchurch!$T$29,Christchurch!$T$31,Christchurch!$T$33,Christchurch!$T$35,Christchurch!$T$37,Christchurch!$T$39,Christchurch!$T$41,Christchurch!$T$43,Christchurch!$T$45,Christchurch!$T$47)))</f>
        <v>22.79</v>
      </c>
      <c r="S17" s="156">
        <f>IF(ISERROR(AVERAGE(Christchurch!$U$7,Christchurch!$U$9,Christchurch!$U$11,Christchurch!$U$13,Christchurch!$U$15,Christchurch!$U$17,Christchurch!$U$19,Christchurch!$U$21,Christchurch!$U$23,Christchurch!$U$25,Christchurch!$U$27,Christchurch!$U$29,Christchurch!$U$31,Christchurch!$U$33,Christchurch!$U$35,Christchurch!$U$37,Christchurch!$U$39,Christchurch!$U$41,Christchurch!$U$43,Christchurch!$U$45,Christchurch!$U$47)),"",(AVERAGE(Christchurch!$U$7,Christchurch!$U$9,Christchurch!$U$11,Christchurch!$U$13,Christchurch!$U$15,Christchurch!$U$17,Christchurch!$U$19,Christchurch!$U$21,Christchurch!$U$23,Christchurch!$U$25,Christchurch!$U$27,Christchurch!$U$29,Christchurch!$U$31,Christchurch!$U$33,Christchurch!$U$35,Christchurch!$U$37,Christchurch!$U$39,Christchurch!$U$41,Christchurch!$U$43,Christchurch!$U$45,Christchurch!$U$47)))</f>
        <v>21.837499999999999</v>
      </c>
      <c r="T17" s="156">
        <f>IF(ISERROR(AVERAGE(Christchurch!$V$7,Christchurch!$V$9,Christchurch!$V$11,Christchurch!$V$13,Christchurch!$V$15,Christchurch!$V$17,Christchurch!$V$19,Christchurch!$V$21,Christchurch!$V$23,Christchurch!$V$25,Christchurch!V39,Christchurch!$V$29,Christchurch!$V$31,Christchurch!$V$33,Christchurch!$V$35,Christchurch!$V$37,Christchurch!$V$39,Christchurch!$V$41,Christchurch!$V$43,Christchurch!$V$45,Christchurch!$V$47)),"",(AVERAGE(Christchurch!$V$7,Christchurch!$V$9,Christchurch!$V$11,Christchurch!$V$13,Christchurch!$V$15,Christchurch!$V$17,Christchurch!$V$19,Christchurch!$V$21,Christchurch!$V$23,Christchurch!$V$25,Christchurch!V39,Christchurch!$V$29,Christchurch!$V$31,Christchurch!$V$33,Christchurch!$V$35,Christchurch!$V$37,Christchurch!$V$39,Christchurch!$V$41,Christchurch!$V$43,Christchurch!$V$45,Christchurch!$V$47)))</f>
        <v>23.536249999999999</v>
      </c>
      <c r="U17" s="156">
        <f>IF(ISERROR(AVERAGE(Christchurch!$W$7,Christchurch!$W$9,Christchurch!$W$11,Christchurch!$W$13,Christchurch!$W$15,Christchurch!$W$17,Christchurch!$W$19,Christchurch!$W$21,Christchurch!$W$23,Christchurch!$W$25,Christchurch!$W$27,Christchurch!$W$29,Christchurch!$W$31,Christchurch!$W$33,Christchurch!$W$35,Christchurch!$W$37,Christchurch!$W$39,Christchurch!$W$41,Christchurch!$W$43,Christchurch!$W$45,Christchurch!$W$47)),"",(AVERAGE(Christchurch!$W$7,Christchurch!$W$9,Christchurch!$W$11,Christchurch!$W$13,Christchurch!$W$15,Christchurch!$W$17,Christchurch!$W$19,Christchurch!$W$21,Christchurch!$W$23,Christchurch!$W$25,Christchurch!$W$27,Christchurch!$W$29,Christchurch!$W$31,Christchurch!$W$33,Christchurch!$W$35,Christchurch!$W$37,Christchurch!$W$39,Christchurch!$W$41,Christchurch!$W$43,Christchurch!$W$45,Christchurch!$W$47)))</f>
        <v>21.446249999999999</v>
      </c>
      <c r="V17" s="156">
        <f>IF(ISERROR(AVERAGE(Christchurch!$X$7,Christchurch!$X$9,Christchurch!$X$11,Christchurch!$X$13,Christchurch!$X$15,Christchurch!$X$17,Christchurch!$X$19,Christchurch!$X$21,Christchurch!$X$23,Christchurch!$X$25,Christchurch!$X$27,Christchurch!$X$29,Christchurch!$X$31,Christchurch!$X$33,Christchurch!$X$35,Christchurch!$X$37,Christchurch!$X$39,Christchurch!$X$41,Christchurch!$X$43,Christchurch!$X$45,Christchurch!$X$47)),"",(AVERAGE(Christchurch!$X$7,Christchurch!$X$9,Christchurch!$X$11,Christchurch!$X$13,Christchurch!$X$15,Christchurch!$X$17,Christchurch!$X$19,Christchurch!$X$21,Christchurch!$X$23,Christchurch!$X$25,Christchurch!$X$27,Christchurch!$X$29,Christchurch!$X$31,Christchurch!$X$33,Christchurch!$X$35,Christchurch!$X$37,Christchurch!$X$39,Christchurch!$X$41,Christchurch!$X$43,Christchurch!$X$45,Christchurch!$X$47)))</f>
        <v>23.043749999999999</v>
      </c>
      <c r="W17" s="156">
        <f>IF(ISERROR(AVERAGE(Christchurch!$Y$7,Christchurch!$Y$9,Christchurch!$Y$11,Christchurch!$Y$13,Christchurch!$Y$15,Christchurch!$Y$17,Christchurch!$Y$19,Christchurch!$Y$21,Christchurch!$Y$23,Christchurch!$Y$25,Christchurch!$Y$27,Christchurch!$Y$29,Christchurch!$Y$31,Christchurch!$Y$33,Christchurch!$Y$35,Christchurch!$Y$37,Christchurch!$Y$39,Christchurch!$Y$41,Christchurch!$Y$43,Christchurch!$Y$45,Christchurch!$Y$47)),"",(AVERAGE(Christchurch!$Y$7,Christchurch!$Y$9,Christchurch!$Y$11,Christchurch!$Y$13,Christchurch!$Y$15,Christchurch!$Y$17,Christchurch!$Y$19,Christchurch!$Y$21,Christchurch!$Y$23,Christchurch!$Y$25,Christchurch!$Y$27,Christchurch!$Y$29,Christchurch!$Y$31,Christchurch!$Y$33,Christchurch!$Y$35,Christchurch!$Y$37,Christchurch!$Y$39,Christchurch!$Y$41,Christchurch!$Y$43,Christchurch!$Y$45,Christchurch!$Y$47)))</f>
        <v>23.83625</v>
      </c>
      <c r="X17" s="234">
        <f>IF(ISERROR(AVERAGE(K17:W17)),"",(AVERAGE(K17:W17)))</f>
        <v>23.10923076923077</v>
      </c>
      <c r="AA17" s="231">
        <f t="shared" ref="AA17:AB17" si="10">G17</f>
        <v>110</v>
      </c>
      <c r="AB17" s="231">
        <f t="shared" si="10"/>
        <v>46</v>
      </c>
      <c r="AC17" s="231" t="str">
        <f t="shared" ref="AC17:AE17" si="11">B17</f>
        <v>Christchurch</v>
      </c>
      <c r="AD17" s="231">
        <f t="shared" si="11"/>
        <v>13</v>
      </c>
      <c r="AE17" s="231">
        <f t="shared" si="11"/>
        <v>10</v>
      </c>
      <c r="AF17" s="231">
        <f>F17</f>
        <v>2</v>
      </c>
      <c r="AG17" s="231">
        <f>I17</f>
        <v>39</v>
      </c>
      <c r="AK17" s="231"/>
    </row>
    <row r="18" spans="2:37" ht="16.5" customHeight="1" x14ac:dyDescent="0.2">
      <c r="B18" s="239"/>
      <c r="C18" s="182"/>
      <c r="D18" s="182"/>
      <c r="E18" s="182"/>
      <c r="F18" s="182"/>
      <c r="G18" s="182"/>
      <c r="H18" s="182"/>
      <c r="I18" s="233"/>
      <c r="J18" s="2"/>
      <c r="K18" s="157" t="str">
        <f>Christchurch!$AR$7&amp;"*"&amp;Christchurch!$AS$7</f>
        <v>10*2</v>
      </c>
      <c r="L18" s="44" t="str">
        <f>Christchurch!$AR$8&amp;"*"&amp;Christchurch!$AS$8</f>
        <v>8*4</v>
      </c>
      <c r="M18" s="44" t="str">
        <f>Christchurch!$AR$9&amp;"*"&amp;Christchurch!$AS$9</f>
        <v>12*0</v>
      </c>
      <c r="N18" s="44" t="str">
        <f>Christchurch!$AR$10&amp;"*"&amp;Christchurch!$AS$10</f>
        <v>10*2</v>
      </c>
      <c r="O18" s="44" t="str">
        <f>Christchurch!$AR$11&amp;"*"&amp;Christchurch!$AS$11</f>
        <v>7*5</v>
      </c>
      <c r="P18" s="44" t="str">
        <f>Christchurch!$AR$12&amp;"*"&amp;Christchurch!$AS$12</f>
        <v>4*8</v>
      </c>
      <c r="Q18" s="44" t="str">
        <f>Christchurch!$AR$13&amp;"*"&amp;Christchurch!$AS$13</f>
        <v>6*6</v>
      </c>
      <c r="R18" s="44" t="str">
        <f>Christchurch!$AR$14&amp;"*"&amp;Christchurch!$AS$14</f>
        <v>12*0</v>
      </c>
      <c r="S18" s="44" t="str">
        <f>Christchurch!$AR$15&amp;"*"&amp;Christchurch!$AS$15</f>
        <v>9*3</v>
      </c>
      <c r="T18" s="44" t="str">
        <f>Christchurch!$AR$16&amp;"*"&amp;Christchurch!$AS$16</f>
        <v>11*1</v>
      </c>
      <c r="U18" s="44" t="str">
        <f>Christchurch!$AR$17&amp;"*"&amp;Christchurch!$AS$17</f>
        <v>4*8</v>
      </c>
      <c r="V18" s="44" t="str">
        <f>Christchurch!$AR$18&amp;"*"&amp;Christchurch!$AS$18</f>
        <v>9*3</v>
      </c>
      <c r="W18" s="44" t="str">
        <f>Christchurch!$AR$19&amp;"*"&amp;Christchurch!$AS$19</f>
        <v>8*4</v>
      </c>
      <c r="X18" s="235"/>
      <c r="AA18" s="170"/>
      <c r="AB18" s="170"/>
      <c r="AC18" s="170"/>
      <c r="AD18" s="170"/>
      <c r="AE18" s="170"/>
      <c r="AF18" s="170"/>
      <c r="AG18" s="170"/>
      <c r="AK18" s="170"/>
    </row>
    <row r="19" spans="2:37" ht="16.5" customHeight="1" x14ac:dyDescent="0.2">
      <c r="B19" s="242" t="s">
        <v>18</v>
      </c>
      <c r="C19" s="185">
        <f>IF(SUM(SUM(Dorchester!$AO$21:$AQ$21))=0,0,SUM(Dorchester!$AO$21:$AQ$21))</f>
        <v>13</v>
      </c>
      <c r="D19" s="185">
        <f>IF(Dorchester!$AO$21="","",Dorchester!$AO$21)</f>
        <v>11</v>
      </c>
      <c r="E19" s="185">
        <f>IF(Dorchester!$AP$21="","",Dorchester!$AP$21)</f>
        <v>1</v>
      </c>
      <c r="F19" s="185">
        <f>IF(Dorchester!$AQ$21="","",Dorchester!$AQ$21)</f>
        <v>1</v>
      </c>
      <c r="G19" s="185">
        <f>IF(Dorchester!$AR$21="","",Dorchester!$AR$21)</f>
        <v>110</v>
      </c>
      <c r="H19" s="185">
        <f>IF(Dorchester!$AS$21="","",Dorchester!$AS$21)</f>
        <v>46</v>
      </c>
      <c r="I19" s="232">
        <f>SUM(Dorchester!$AA$7:$AA$48)</f>
        <v>27</v>
      </c>
      <c r="J19" s="2"/>
      <c r="K19" s="155">
        <f>IF(ISERROR(AVERAGE(Dorchester!$M$7,Dorchester!$M$9,Dorchester!$M$11,Dorchester!$M$13,Dorchester!$M$15,Dorchester!$M$17,Dorchester!$M$19,Dorchester!$M$21,Dorchester!$M$23,Dorchester!$M$25,Dorchester!$M$27,Dorchester!$M$29,Dorchester!$M$31,Dorchester!$M$33,Dorchester!$M$35,Dorchester!$M$37,Dorchester!$M$39,Dorchester!$M$41,Dorchester!$M$43,Dorchester!$M$45,Dorchester!$M$47)),"",(AVERAGE(Dorchester!$M$7,Dorchester!$M$9,Dorchester!$M$11,Dorchester!$M$13,Dorchester!$M$15,Dorchester!$M$17,Dorchester!$M$19,Dorchester!$M$21,Dorchester!$M$23,Dorchester!$M$25,Dorchester!$M$27,Dorchester!$M$29,Dorchester!$M$31,Dorchester!$M$33,Dorchester!$M$35,Dorchester!$M$37,Dorchester!$M$39,Dorchester!$M$41,Dorchester!$M$43,Dorchester!$M$45,Dorchester!$M$47)))</f>
        <v>21.453749999999999</v>
      </c>
      <c r="L19" s="156">
        <f>IF(ISERROR(AVERAGE(Dorchester!$N$7,Dorchester!$N$9,Dorchester!$N$11,Dorchester!$N$13,Dorchester!$N$15,Dorchester!$N$17,Dorchester!$N$19,Dorchester!$N$21,Dorchester!$N$23,Dorchester!$N$25,Dorchester!$N$27,Dorchester!$N$29,Dorchester!$N$31,Dorchester!$N$33,Dorchester!$N$35,Dorchester!$N$37,Dorchester!$N$39,Dorchester!$N$41,Dorchester!$N$43,Dorchester!$N$45,Dorchester!$N$47)),"",(AVERAGE(Dorchester!$N$7,Dorchester!$N$9,Dorchester!$N$11,Dorchester!$N$13,Dorchester!$N$15,Dorchester!$N$17,Dorchester!$N$19,Dorchester!$N$21,Dorchester!$N$23,Dorchester!$N$25,Dorchester!$N$27,Dorchester!$N$29,Dorchester!$N$31,Dorchester!$N$33,Dorchester!$N$35,Dorchester!$N$37,Dorchester!$N$39,Dorchester!$N$41,Dorchester!$N$43,Dorchester!$N$45,Dorchester!$N$47)))</f>
        <v>22.9925</v>
      </c>
      <c r="M19" s="156">
        <f>IF(ISERROR(AVERAGE(Dorchester!$O$7,Dorchester!$O$9,Dorchester!$O$11,Dorchester!$O$13,Dorchester!$O$15,Dorchester!$O$17,Dorchester!$O$19,Dorchester!$O$21,Dorchester!$O$23,Dorchester!$O$25,Dorchester!$O$27,Dorchester!$O$29,Dorchester!$O$31,Dorchester!$O$33,Dorchester!$O$35,Dorchester!$O$37,Dorchester!$O$39,Dorchester!$O$41,Dorchester!$O$43,Dorchester!$O$45,Dorchester!$O$47)),"",(AVERAGE(Dorchester!$O$7,Dorchester!$O$9,Dorchester!$O$11,Dorchester!$O$13,Dorchester!$O$15,Dorchester!$O$17,Dorchester!$O$19,Dorchester!$O$21,Dorchester!$O$23,Dorchester!$O$25,Dorchester!$O$27,Dorchester!$O$29,Dorchester!$O$31,Dorchester!$O$33,Dorchester!$O$35,Dorchester!$O$37,Dorchester!$O$39,Dorchester!$O$41,Dorchester!$O$43,Dorchester!$O$45,Dorchester!$O$47)))</f>
        <v>24.83625</v>
      </c>
      <c r="N19" s="156">
        <f>IF(ISERROR(AVERAGE(Dorchester!$P$7,Dorchester!$P$9,Dorchester!$P$11,Dorchester!$P$13,Dorchester!$P$15,Dorchester!$P$17,Dorchester!$P$19,Dorchester!$P$21,Dorchester!$P$23,Dorchester!$P$25,Dorchester!$P$27,Dorchester!$P$29,Dorchester!$P$31,Dorchester!$P$33,Dorchester!$P$35,Dorchester!$P$37,Dorchester!$P$39,Dorchester!$P$41,Dorchester!$P$43,Dorchester!$P$45,Dorchester!$P$47)),"",(AVERAGE(Dorchester!$P$7,Dorchester!$P$9,Dorchester!$P$11,Dorchester!$P$13,Dorchester!$P$15,Dorchester!$P$17,Dorchester!$P$19,Dorchester!$P$21,Dorchester!$P$23,Dorchester!$P$25,Dorchester!$P$27,Dorchester!$P$29,Dorchester!$P$31,Dorchester!$P$33,Dorchester!$P$35,Dorchester!$P$37,Dorchester!$P$39,Dorchester!$P$41,Dorchester!$P$43,Dorchester!$P$45,Dorchester!$P$47)))</f>
        <v>23.1675</v>
      </c>
      <c r="O19" s="156">
        <f>IF(ISERROR(AVERAGE(Dorchester!$Q$7,Dorchester!$Q$9,Dorchester!$Q$11,Dorchester!$Q$13,Dorchester!$Q$15,Dorchester!$Q$17,Dorchester!$Q$19,Dorchester!$Q$21,Dorchester!$Q$23,Dorchester!$Q$25,Dorchester!$Q$27,Dorchester!$Q$29,Dorchester!$Q$31,Dorchester!$Q$33,Dorchester!$Q$35,Dorchester!$Q$37,Dorchester!$Q$39,Dorchester!$Q$41,Dorchester!$Q$43,Dorchester!$Q$45,Dorchester!$Q$47)),"",(AVERAGE(Dorchester!$Q$7,Dorchester!$Q$9,Dorchester!$Q$11,Dorchester!$Q$13,Dorchester!$Q$15,Dorchester!$Q$17,Dorchester!$Q$19,Dorchester!$Q$21,Dorchester!$Q$23,Dorchester!$Q$25,Dorchester!$Q$27,Dorchester!$Q$29,Dorchester!$Q$31,Dorchester!$Q$33,Dorchester!$Q$35,Dorchester!$Q$37,Dorchester!$Q$39,Dorchester!$Q$41,Dorchester!$Q$43,Dorchester!$Q$45,Dorchester!$Q$47)))</f>
        <v>22.756250000000001</v>
      </c>
      <c r="P19" s="156">
        <f>IF(ISERROR(AVERAGE(Dorchester!$R$7,Dorchester!$R$9,Dorchester!$R$11,Dorchester!$R$13,Dorchester!$R$15,Dorchester!$R$17,Dorchester!$R$19,Dorchester!$R$21,Dorchester!$R$23,Dorchester!$R$25,Dorchester!$R$27,Dorchester!$R$29,Dorchester!$R$31,Dorchester!$R$33,Dorchester!$R$35,Dorchester!$R$37,Dorchester!$R$39,Dorchester!$R$41,Dorchester!$R$43,Dorchester!$R$45,Dorchester!$R$47)),"",(AVERAGE(Dorchester!$R$7,Dorchester!$R$9,Dorchester!$R$11,Dorchester!$R$13,Dorchester!$R$15,Dorchester!$R$17,Dorchester!$R$19,Dorchester!$R$21,Dorchester!$R$23,Dorchester!$R$25,Dorchester!$R$27,Dorchester!$R$29,Dorchester!$R$31,Dorchester!$R$33,Dorchester!$R$35,Dorchester!$R$37,Dorchester!$R$39,Dorchester!$R$41,Dorchester!$R$43,Dorchester!$R$45,Dorchester!$R$47)))</f>
        <v>24.013750000000002</v>
      </c>
      <c r="Q19" s="156">
        <f>IF(ISERROR(AVERAGE(Dorchester!$S$7,Dorchester!$S$9,Dorchester!$S$11,Dorchester!$S$13,Dorchester!$S$15,Dorchester!$S$17,Dorchester!$S$19,Dorchester!$S$21,Dorchester!$S$23,Dorchester!$S$25,Dorchester!$S$27,Dorchester!$S$29,Dorchester!$S$31,Dorchester!$S$33,Dorchester!$S$35,Dorchester!$S$37,Dorchester!$S$39,Dorchester!$S$41,Dorchester!$S$43,Dorchester!$S$45,Dorchester!$S$47)),"",(AVERAGE(Dorchester!$S$7,Dorchester!$S$9,Dorchester!$S$11,Dorchester!$S$13,Dorchester!$S$15,Dorchester!$S$17,Dorchester!$S$19,Dorchester!$S$21,Dorchester!$S$23,Dorchester!$S$25,Dorchester!$S$27,Dorchester!$S$29,Dorchester!$S$31,Dorchester!$S$33,Dorchester!$S$35,Dorchester!$S$37,Dorchester!$S$39,Dorchester!$S$41,Dorchester!$S$43,Dorchester!$S$45,Dorchester!$S$47)))</f>
        <v>23.55875</v>
      </c>
      <c r="R19" s="156">
        <f>IF(ISERROR(AVERAGE(Dorchester!$T$7,Dorchester!$T$9,Dorchester!$T$11,Dorchester!$T$13,Dorchester!$T$15,Dorchester!$T$17,Dorchester!$T$19,Dorchester!$T$21,Dorchester!$T$23,Dorchester!$T$25,Dorchester!$T$27,Dorchester!$T$29,Dorchester!$T$31,Dorchester!$T$33,Dorchester!$T$35,Dorchester!$T$37,Dorchester!$T$39,Dorchester!$T$41,Dorchester!$T$43,Dorchester!$T$45,Dorchester!$T$47)),"",(AVERAGE(Dorchester!$T$7,Dorchester!$T$9,Dorchester!$T$11,Dorchester!$T$13,Dorchester!$T$15,Dorchester!$T$17,Dorchester!$T$19,Dorchester!$T$21,Dorchester!$T$23,Dorchester!$T$25,Dorchester!$T$27,Dorchester!$T$29,Dorchester!$T$31,Dorchester!$T$33,Dorchester!$T$35,Dorchester!$T$37,Dorchester!$T$39,Dorchester!$T$41,Dorchester!$T$43,Dorchester!$T$45,Dorchester!$T$47)))</f>
        <v>24.2225</v>
      </c>
      <c r="S19" s="156">
        <f>IF(ISERROR(AVERAGE(Dorchester!$U$7,Dorchester!$U$9,Dorchester!$U$11,Dorchester!$U$13,Dorchester!$U$15,Dorchester!$U$17,Dorchester!$U$19,Dorchester!$U$21,Dorchester!$U$23,Dorchester!$U$25,Dorchester!$U$27,Dorchester!$U$29,Dorchester!$U$31,Dorchester!$U$33,Dorchester!$U$35,Dorchester!$U$37,Dorchester!$U$39,Dorchester!$U$41,Dorchester!$U$43,Dorchester!$U$45,Dorchester!$U$47)),"",(AVERAGE(Dorchester!$U$7,Dorchester!$U$9,Dorchester!$U$11,Dorchester!$U$13,Dorchester!$U$15,Dorchester!$U$17,Dorchester!$U$19,Dorchester!$U$21,Dorchester!$U$23,Dorchester!$U$25,Dorchester!$U$27,Dorchester!$U$29,Dorchester!$U$31,Dorchester!$U$33,Dorchester!$U$35,Dorchester!$U$37,Dorchester!$U$39,Dorchester!$U$41,Dorchester!$U$43,Dorchester!$U$45,Dorchester!$U$47)))</f>
        <v>21.525000000000002</v>
      </c>
      <c r="T19" s="156">
        <f>IF(ISERROR(AVERAGE(Dorchester!$V$7,Dorchester!$V$9,Dorchester!$V$11,Dorchester!$V$13,Dorchester!$V$15,Dorchester!$V$17,Dorchester!$V$19,Dorchester!$V$21,Dorchester!$V$23,Dorchester!$V$25,Dorchester!V41,Dorchester!$V$29,Dorchester!$V$31,Dorchester!$V$33,Dorchester!$V$35,Dorchester!$V$37,Dorchester!$V$39,Dorchester!$V$41,Dorchester!$V$43,Dorchester!$V$45,Dorchester!$V$47)),"",(AVERAGE(Dorchester!$V$7,Dorchester!$V$9,Dorchester!$V$11,Dorchester!$V$13,Dorchester!$V$15,Dorchester!$V$17,Dorchester!$V$19,Dorchester!$V$21,Dorchester!$V$23,Dorchester!$V$25,Dorchester!V41,Dorchester!$V$29,Dorchester!$V$31,Dorchester!$V$33,Dorchester!$V$35,Dorchester!$V$37,Dorchester!$V$39,Dorchester!$V$41,Dorchester!$V$43,Dorchester!$V$45,Dorchester!$V$47)))</f>
        <v>22.798750000000002</v>
      </c>
      <c r="U19" s="156">
        <f>IF(ISERROR(AVERAGE(Dorchester!$W$7,Dorchester!$W$9,Dorchester!$W$11,Dorchester!$W$13,Dorchester!$W$15,Dorchester!$W$17,Dorchester!$W$19,Dorchester!$W$21,Dorchester!$W$23,Dorchester!$W$25,Dorchester!$W$27,Dorchester!$W$29,Dorchester!$W$31,Dorchester!$W$33,Dorchester!$W$35,Dorchester!$W$37,Dorchester!$W$39,Dorchester!$W$41,Dorchester!$W$43,Dorchester!$W$45,Dorchester!$W$47)),"",(AVERAGE(Dorchester!$W$7,Dorchester!$W$9,Dorchester!$W$11,Dorchester!$W$13,Dorchester!$W$15,Dorchester!$W$17,Dorchester!$W$19,Dorchester!$W$21,Dorchester!$W$23,Dorchester!$W$25,Dorchester!$W$27,Dorchester!$W$29,Dorchester!$W$31,Dorchester!$W$33,Dorchester!$W$35,Dorchester!$W$37,Dorchester!$W$39,Dorchester!$W$41,Dorchester!$W$43,Dorchester!$W$45,Dorchester!$W$47)))</f>
        <v>24.287500000000001</v>
      </c>
      <c r="V19" s="156">
        <f>IF(ISERROR(AVERAGE(Dorchester!$X$7,Dorchester!$X$9,Dorchester!$X$11,Dorchester!$X$13,Dorchester!$X$15,Dorchester!$X$17,Dorchester!$X$19,Dorchester!$X$21,Dorchester!$X$23,Dorchester!$X$25,Dorchester!$X$27,Dorchester!$X$29,Dorchester!$X$31,Dorchester!$X$33,Dorchester!$X$35,Dorchester!$X$37,Dorchester!$X$39,Dorchester!$X$41,Dorchester!$X$43,Dorchester!$X$45,Dorchester!$X$47)),"",(AVERAGE(Dorchester!$X$7,Dorchester!$X$9,Dorchester!$X$11,Dorchester!$X$13,Dorchester!$X$15,Dorchester!$X$17,Dorchester!$X$19,Dorchester!$X$21,Dorchester!$X$23,Dorchester!$X$25,Dorchester!$X$27,Dorchester!$X$29,Dorchester!$X$31,Dorchester!$X$33,Dorchester!$X$35,Dorchester!$X$37,Dorchester!$X$39,Dorchester!$X$41,Dorchester!$X$43,Dorchester!$X$45,Dorchester!$X$47)))</f>
        <v>22.305</v>
      </c>
      <c r="W19" s="156">
        <f>IF(ISERROR(AVERAGE(Dorchester!$Y$7,Dorchester!$Y$9,Dorchester!$Y$11,Dorchester!$Y$13,Dorchester!$Y$15,Dorchester!$Y$17,Dorchester!$Y$19,Dorchester!$Y$21,Dorchester!$Y$23,Dorchester!$Y$25,Dorchester!$Y$27,Dorchester!$Y$29,Dorchester!$Y$31,Dorchester!$Y$33,Dorchester!$Y$35,Dorchester!$Y$37,Dorchester!$Y$39,Dorchester!$Y$41,Dorchester!$Y$43,Dorchester!$Y$45,Dorchester!$Y$47)),"",(AVERAGE(Dorchester!$Y$7,Dorchester!$Y$9,Dorchester!$Y$11,Dorchester!$Y$13,Dorchester!$Y$15,Dorchester!$Y$17,Dorchester!$Y$19,Dorchester!$Y$21,Dorchester!$Y$23,Dorchester!$Y$25,Dorchester!$Y$27,Dorchester!$Y$29,Dorchester!$Y$31,Dorchester!$Y$33,Dorchester!$Y$35,Dorchester!$Y$37,Dorchester!$Y$39,Dorchester!$Y$41,Dorchester!$Y$43,Dorchester!$Y$45,Dorchester!$Y$47)))</f>
        <v>21.037500000000001</v>
      </c>
      <c r="X19" s="234">
        <f>IF(ISERROR(AVERAGE(K19:W19)),"",(AVERAGE(K19:W19)))</f>
        <v>22.996538461538464</v>
      </c>
      <c r="AA19" s="231">
        <f t="shared" ref="AA19:AB19" si="12">G19</f>
        <v>110</v>
      </c>
      <c r="AB19" s="231">
        <f t="shared" si="12"/>
        <v>46</v>
      </c>
      <c r="AC19" s="231" t="str">
        <f t="shared" ref="AC19:AE19" si="13">B19</f>
        <v>Dorchester</v>
      </c>
      <c r="AD19" s="231">
        <f t="shared" si="13"/>
        <v>13</v>
      </c>
      <c r="AE19" s="231">
        <f t="shared" si="13"/>
        <v>11</v>
      </c>
      <c r="AF19" s="231">
        <f>F19</f>
        <v>1</v>
      </c>
      <c r="AG19" s="231">
        <f>I19</f>
        <v>27</v>
      </c>
      <c r="AK19" s="231"/>
    </row>
    <row r="20" spans="2:37" ht="16.5" customHeight="1" x14ac:dyDescent="0.2">
      <c r="B20" s="239"/>
      <c r="C20" s="182"/>
      <c r="D20" s="182"/>
      <c r="E20" s="182"/>
      <c r="F20" s="182"/>
      <c r="G20" s="182"/>
      <c r="H20" s="182"/>
      <c r="I20" s="233"/>
      <c r="J20" s="2"/>
      <c r="K20" s="157" t="str">
        <f>Dorchester!$AR$7&amp;"*"&amp;Dorchester!$AS$7</f>
        <v>9*3</v>
      </c>
      <c r="L20" s="44" t="str">
        <f>Dorchester!$AR$8&amp;"*"&amp;Dorchester!$AS$8</f>
        <v>7*5</v>
      </c>
      <c r="M20" s="44" t="str">
        <f>Dorchester!$AR$9&amp;"*"&amp;Dorchester!$AS$9</f>
        <v>12*0</v>
      </c>
      <c r="N20" s="44" t="str">
        <f>Dorchester!$AR$10&amp;"*"&amp;Dorchester!$AS$10</f>
        <v>8*4</v>
      </c>
      <c r="O20" s="44" t="str">
        <f>Dorchester!$AR$11&amp;"*"&amp;Dorchester!$AS$11</f>
        <v>10*2</v>
      </c>
      <c r="P20" s="44" t="str">
        <f>Dorchester!$AR$12&amp;"*"&amp;Dorchester!$AS$12</f>
        <v>8*4</v>
      </c>
      <c r="Q20" s="44" t="str">
        <f>Dorchester!$AR$13&amp;"*"&amp;Dorchester!$AS$13</f>
        <v>6*6</v>
      </c>
      <c r="R20" s="44" t="str">
        <f>Dorchester!$AR$14&amp;"*"&amp;Dorchester!$AS$14</f>
        <v>9*3</v>
      </c>
      <c r="S20" s="44" t="str">
        <f>Dorchester!$AR$15&amp;"*"&amp;Dorchester!$AS$15</f>
        <v>10*2</v>
      </c>
      <c r="T20" s="44" t="str">
        <f>Dorchester!$AR$16&amp;"*"&amp;Dorchester!$AS$16</f>
        <v>10*2</v>
      </c>
      <c r="U20" s="44" t="str">
        <f>Dorchester!$AR$17&amp;"*"&amp;Dorchester!$AS$17</f>
        <v>8*4</v>
      </c>
      <c r="V20" s="44" t="str">
        <f>Dorchester!$AR$18&amp;"*"&amp;Dorchester!$AS$18</f>
        <v>8*4</v>
      </c>
      <c r="W20" s="44" t="str">
        <f>Dorchester!$AR$19&amp;"*"&amp;Dorchester!$AS$19</f>
        <v>5*7</v>
      </c>
      <c r="X20" s="235"/>
      <c r="AA20" s="170"/>
      <c r="AB20" s="170"/>
      <c r="AC20" s="170"/>
      <c r="AD20" s="170"/>
      <c r="AE20" s="170"/>
      <c r="AF20" s="170"/>
      <c r="AG20" s="170"/>
      <c r="AK20" s="170"/>
    </row>
    <row r="21" spans="2:37" ht="16.5" customHeight="1" x14ac:dyDescent="0.2">
      <c r="B21" s="242" t="s">
        <v>24</v>
      </c>
      <c r="C21" s="185">
        <f>IF(SUM(SUM(Lytchett!$AO$21:$AQ$21))=0,0,SUM(Lytchett!$AO$21:$AQ$21))</f>
        <v>13</v>
      </c>
      <c r="D21" s="185">
        <f>IF(Lytchett!$AO$21="","",Lytchett!$AO$21)</f>
        <v>13</v>
      </c>
      <c r="E21" s="185">
        <f>IF(Lytchett!$AP$21="","",Lytchett!$AP$21)</f>
        <v>0</v>
      </c>
      <c r="F21" s="185">
        <f>IF(Lytchett!$AQ$21="","",Lytchett!$AQ$21)</f>
        <v>0</v>
      </c>
      <c r="G21" s="185">
        <f>IF(Lytchett!$AR$21="","",Lytchett!$AR$21)</f>
        <v>126</v>
      </c>
      <c r="H21" s="185">
        <f>IF(Lytchett!$AS$21="","",Lytchett!$AS$21)</f>
        <v>30</v>
      </c>
      <c r="I21" s="232">
        <f>SUM(Lytchett!$AA$7:$AA$48)</f>
        <v>52</v>
      </c>
      <c r="J21" s="2"/>
      <c r="K21" s="155">
        <f>IF(ISERROR(AVERAGE(Lytchett!$M$7,Lytchett!$M$9,Lytchett!$M$11,Lytchett!$M$13,Lytchett!$M$15,Lytchett!$M$17,Lytchett!$M$19,Lytchett!$M$21,Lytchett!$M$23,Lytchett!$M$25,Lytchett!$M$27,Lytchett!$M$29,Lytchett!$M$31,Lytchett!$M$33,Lytchett!$M$35,Lytchett!$M$37,Lytchett!$M$39,Lytchett!$M$41,Lytchett!$M$43,Lytchett!$M$45,Lytchett!$M$47)),"",(AVERAGE(Lytchett!$M$7,Lytchett!$M$9,Lytchett!$M$11,Lytchett!$M$13,Lytchett!$M$15,Lytchett!$M$17,Lytchett!$M$19,Lytchett!$M$21,Lytchett!$M$23,Lytchett!$M$25,Lytchett!$M$27,Lytchett!$M$29,Lytchett!$M$31,Lytchett!$M$33,Lytchett!$M$35,Lytchett!$M$37,Lytchett!$M$39,Lytchett!$M$41,Lytchett!$M$43,Lytchett!$M$45,Lytchett!$M$47)))</f>
        <v>23.483750000000001</v>
      </c>
      <c r="L21" s="156">
        <f>IF(ISERROR(AVERAGE(Lytchett!$N$7,Lytchett!$N$9,Lytchett!$N$11,Lytchett!$N$13,Lytchett!$N$15,Lytchett!$N$17,Lytchett!$N$19,Lytchett!$N$21,Lytchett!$N$23,Lytchett!$N$25,Lytchett!$N$27,Lytchett!$N$29,Lytchett!$N$31,Lytchett!$N$33,Lytchett!$N$35,Lytchett!$N$37,Lytchett!$N$39,Lytchett!$N$41,Lytchett!$N$43,Lytchett!$N$45,Lytchett!$N$47)),"",(AVERAGE(Lytchett!$N$7,Lytchett!$N$9,Lytchett!$N$11,Lytchett!$N$13,Lytchett!$N$15,Lytchett!$N$17,Lytchett!$N$19,Lytchett!$N$21,Lytchett!$N$23,Lytchett!$N$25,Lytchett!$N$27,Lytchett!$N$29,Lytchett!$N$31,Lytchett!$N$33,Lytchett!$N$35,Lytchett!$N$37,Lytchett!$N$39,Lytchett!$N$41,Lytchett!$N$43,Lytchett!$N$45,Lytchett!$N$47)))</f>
        <v>23.772500000000004</v>
      </c>
      <c r="M21" s="156">
        <f>IF(ISERROR(AVERAGE(Lytchett!$O$7,Lytchett!$O$9,Lytchett!$O$11,Lytchett!$O$13,Lytchett!$O$15,Lytchett!$O$17,Lytchett!$O$19,Lytchett!$O$21,Lytchett!$O$23,Lytchett!$O$25,Lytchett!$O$27,Lytchett!$O$29,Lytchett!$O$31,Lytchett!$O$33,Lytchett!$O$35,Lytchett!$O$37,Lytchett!$O$39,Lytchett!$O$41,Lytchett!$O$43,Lytchett!$O$45,Lytchett!$O$47)),"",(AVERAGE(Lytchett!$O$7,Lytchett!$O$9,Lytchett!$O$11,Lytchett!$O$13,Lytchett!$O$15,Lytchett!$O$17,Lytchett!$O$19,Lytchett!$O$21,Lytchett!$O$23,Lytchett!$O$25,Lytchett!$O$27,Lytchett!$O$29,Lytchett!$O$31,Lytchett!$O$33,Lytchett!$O$35,Lytchett!$O$37,Lytchett!$O$39,Lytchett!$O$41,Lytchett!$O$43,Lytchett!$O$45,Lytchett!$O$47)))</f>
        <v>24.122499999999999</v>
      </c>
      <c r="N21" s="156">
        <f>IF(ISERROR(AVERAGE(Lytchett!$P$7,Lytchett!$P$9,Lytchett!$P$11,Lytchett!$P$13,Lytchett!$P$15,Lytchett!$P$17,Lytchett!$P$19,Lytchett!$P$21,Lytchett!$P$23,Lytchett!$P$25,Lytchett!$P$27,Lytchett!$P$29,Lytchett!$P$31,Lytchett!$P$33,Lytchett!$P$35,Lytchett!$P$37,Lytchett!$P$39,Lytchett!$P$41,Lytchett!$P$43,Lytchett!$P$45,Lytchett!$P$47)),"",(AVERAGE(Lytchett!$P$7,Lytchett!$P$9,Lytchett!$P$11,Lytchett!$P$13,Lytchett!$P$15,Lytchett!$P$17,Lytchett!$P$19,Lytchett!$P$21,Lytchett!$P$23,Lytchett!$P$25,Lytchett!$P$27,Lytchett!$P$29,Lytchett!$P$31,Lytchett!$P$33,Lytchett!$P$35,Lytchett!$P$37,Lytchett!$P$39,Lytchett!$P$41,Lytchett!$P$43,Lytchett!$P$45,Lytchett!$P$47)))</f>
        <v>25.555000000000003</v>
      </c>
      <c r="O21" s="156">
        <f>IF(ISERROR(AVERAGE(Lytchett!$Q$7,Lytchett!$Q$9,Lytchett!$Q$11,Lytchett!$Q$13,Lytchett!$Q$15,Lytchett!$Q$17,Lytchett!$Q$19,Lytchett!$Q$21,Lytchett!$Q$23,Lytchett!$Q$25,Lytchett!$Q$27,Lytchett!$Q$29,Lytchett!$Q$31,Lytchett!$Q$33,Lytchett!$Q$35,Lytchett!$Q$37,Lytchett!$Q$39,Lytchett!$Q$41,Lytchett!$Q$43,Lytchett!$Q$45,Lytchett!$Q$47)),"",(AVERAGE(Lytchett!$Q$7,Lytchett!$Q$9,Lytchett!$Q$11,Lytchett!$Q$13,Lytchett!$Q$15,Lytchett!$Q$17,Lytchett!$Q$19,Lytchett!$Q$21,Lytchett!$Q$23,Lytchett!$Q$25,Lytchett!$Q$27,Lytchett!$Q$29,Lytchett!$Q$31,Lytchett!$Q$33,Lytchett!$Q$35,Lytchett!$Q$37,Lytchett!$Q$39,Lytchett!$Q$41,Lytchett!$Q$43,Lytchett!$Q$45,Lytchett!$Q$47)))</f>
        <v>25.2075</v>
      </c>
      <c r="P21" s="156">
        <f>IF(ISERROR(AVERAGE(Lytchett!$R$7,Lytchett!$R$9,Lytchett!$R$11,Lytchett!$R$13,Lytchett!$R$15,Lytchett!$R$17,Lytchett!$R$19,Lytchett!$R$21,Lytchett!$R$23,Lytchett!$R$25,Lytchett!$R$27,Lytchett!$R$29,Lytchett!$R$31,Lytchett!$R$33,Lytchett!$R$35,Lytchett!$R$37,Lytchett!$R$39,Lytchett!$R$41,Lytchett!$R$43,Lytchett!$R$45,Lytchett!$R$47)),"",(AVERAGE(Lytchett!$R$7,Lytchett!$R$9,Lytchett!$R$11,Lytchett!$R$13,Lytchett!$R$15,Lytchett!$R$17,Lytchett!$R$19,Lytchett!$R$21,Lytchett!$R$23,Lytchett!$R$25,Lytchett!$R$27,Lytchett!$R$29,Lytchett!$R$31,Lytchett!$R$33,Lytchett!$R$35,Lytchett!$R$37,Lytchett!$R$39,Lytchett!$R$41,Lytchett!$R$43,Lytchett!$R$45,Lytchett!$R$47)))</f>
        <v>23.58625</v>
      </c>
      <c r="Q21" s="156">
        <f>IF(ISERROR(AVERAGE(Lytchett!$S$7,Lytchett!$S$9,Lytchett!$S$11,Lytchett!$S$13,Lytchett!$S$15,Lytchett!$S$17,Lytchett!$S$19,Lytchett!$S$21,Lytchett!$S$23,Lytchett!$S$25,Lytchett!$S$27,Lytchett!$S$29,Lytchett!$S$31,Lytchett!$S$33,Lytchett!$S$35,Lytchett!$S$37,Lytchett!$S$39,Lytchett!$S$41,Lytchett!$S$43,Lytchett!$S$45,Lytchett!$S$47)),"",(AVERAGE(Lytchett!$S$7,Lytchett!$S$9,Lytchett!$S$11,Lytchett!$S$13,Lytchett!$S$15,Lytchett!$S$17,Lytchett!$S$19,Lytchett!$S$21,Lytchett!$S$23,Lytchett!$S$25,Lytchett!$S$27,Lytchett!$S$29,Lytchett!$S$31,Lytchett!$S$33,Lytchett!$S$35,Lytchett!$S$37,Lytchett!$S$39,Lytchett!$S$41,Lytchett!$S$43,Lytchett!$S$45,Lytchett!$S$47)))</f>
        <v>24.666250000000002</v>
      </c>
      <c r="R21" s="156">
        <f>IF(ISERROR(AVERAGE(Lytchett!$T$7,Lytchett!$T$9,Lytchett!$T$11,Lytchett!$T$13,Lytchett!$T$15,Lytchett!$T$17,Lytchett!$T$19,Lytchett!$T$21,Lytchett!$T$23,Lytchett!$T$25,Lytchett!$T$27,Lytchett!$T$29,Lytchett!$T$31,Lytchett!$T$33,Lytchett!$T$35,Lytchett!$T$37,Lytchett!$T$39,Lytchett!$T$41,Lytchett!$T$43,Lytchett!$T$45,Lytchett!$T$47)),"",(AVERAGE(Lytchett!$T$7,Lytchett!$T$9,Lytchett!$T$11,Lytchett!$T$13,Lytchett!$T$15,Lytchett!$T$17,Lytchett!$T$19,Lytchett!$T$21,Lytchett!$T$23,Lytchett!$T$25,Lytchett!$T$27,Lytchett!$T$29,Lytchett!$T$31,Lytchett!$T$33,Lytchett!$T$35,Lytchett!$T$37,Lytchett!$T$39,Lytchett!$T$41,Lytchett!$T$43,Lytchett!$T$45,Lytchett!$T$47)))</f>
        <v>24.111250000000002</v>
      </c>
      <c r="S21" s="156">
        <f>IF(ISERROR(AVERAGE(Lytchett!$U$7,Lytchett!$U$9,Lytchett!$U$11,Lytchett!$U$13,Lytchett!$U$15,Lytchett!$U$17,Lytchett!$U$19,Lytchett!$U$21,Lytchett!$U$23,Lytchett!$U$25,Lytchett!$U$27,Lytchett!$U$29,Lytchett!$U$31,Lytchett!$U$33,Lytchett!$U$35,Lytchett!$U$37,Lytchett!$U$39,Lytchett!$U$41,Lytchett!$U$43,Lytchett!$U$45,Lytchett!$U$47)),"",(AVERAGE(Lytchett!$U$7,Lytchett!$U$9,Lytchett!$U$11,Lytchett!$U$13,Lytchett!$U$15,Lytchett!$U$17,Lytchett!$U$19,Lytchett!$U$21,Lytchett!$U$23,Lytchett!$U$25,Lytchett!$U$27,Lytchett!$U$29,Lytchett!$U$31,Lytchett!$U$33,Lytchett!$U$35,Lytchett!$U$37,Lytchett!$U$39,Lytchett!$U$41,Lytchett!$U$43,Lytchett!$U$45,Lytchett!$U$47)))</f>
        <v>23.786249999999999</v>
      </c>
      <c r="T21" s="156">
        <f>IF(ISERROR(AVERAGE(Lytchett!$V$7,Lytchett!$V$9,Lytchett!$V$11,Lytchett!$V$13,Lytchett!$V$15,Lytchett!$V$17,Lytchett!$V$19,Lytchett!$V$21,Lytchett!$V$23,Lytchett!$V$25,Lytchett!V43,Lytchett!$V$29,Lytchett!$V$31,Lytchett!$V$33,Lytchett!$V$35,Lytchett!$V$37,Lytchett!$V$39,Lytchett!$V$41,Lytchett!$V$43,Lytchett!$V$45,Lytchett!$V$47)),"",(AVERAGE(Lytchett!$V$7,Lytchett!$V$9,Lytchett!$V$11,Lytchett!$V$13,Lytchett!$V$15,Lytchett!$V$17,Lytchett!$V$19,Lytchett!$V$21,Lytchett!$V$23,Lytchett!$V$25,Lytchett!V43,Lytchett!$V$29,Lytchett!$V$31,Lytchett!$V$33,Lytchett!$V$35,Lytchett!$V$37,Lytchett!$V$39,Lytchett!$V$41,Lytchett!$V$43,Lytchett!$V$45,Lytchett!$V$47)))</f>
        <v>23.846250000000001</v>
      </c>
      <c r="U21" s="156">
        <f>IF(ISERROR(AVERAGE(Lytchett!$W$7,Lytchett!$W$9,Lytchett!$W$11,Lytchett!$W$13,Lytchett!$W$15,Lytchett!$W$17,Lytchett!$W$19,Lytchett!$W$21,Lytchett!$W$23,Lytchett!$W$25,Lytchett!$W$27,Lytchett!$W$29,Lytchett!$W$31,Lytchett!$W$33,Lytchett!$W$35,Lytchett!$W$37,Lytchett!$W$39,Lytchett!$W$41,Lytchett!$W$43,Lytchett!$W$45,Lytchett!$W$47)),"",(AVERAGE(Lytchett!$W$7,Lytchett!$W$9,Lytchett!$W$11,Lytchett!$W$13,Lytchett!$W$15,Lytchett!$W$17,Lytchett!$W$19,Lytchett!$W$21,Lytchett!$W$23,Lytchett!$W$25,Lytchett!$W$27,Lytchett!$W$29,Lytchett!$W$31,Lytchett!$W$33,Lytchett!$W$35,Lytchett!$W$37,Lytchett!$W$39,Lytchett!$W$41,Lytchett!$W$43,Lytchett!$W$45,Lytchett!$W$47)))</f>
        <v>23.56625</v>
      </c>
      <c r="V21" s="156">
        <f>IF(ISERROR(AVERAGE(Lytchett!$X$7,Lytchett!$X$9,Lytchett!$X$11,Lytchett!$X$13,Lytchett!$X$15,Lytchett!$X$17,Lytchett!$X$19,Lytchett!$X$21,Lytchett!$X$23,Lytchett!$X$25,Lytchett!$X$27,Lytchett!$X$29,Lytchett!$X$31,Lytchett!$X$33,Lytchett!$X$35,Lytchett!$X$37,Lytchett!$X$39,Lytchett!$X$41,Lytchett!$X$43,Lytchett!$X$45,Lytchett!$X$47)),"",(AVERAGE(Lytchett!$X$7,Lytchett!$X$9,Lytchett!$X$11,Lytchett!$X$13,Lytchett!$X$15,Lytchett!$X$17,Lytchett!$X$19,Lytchett!$X$21,Lytchett!$X$23,Lytchett!$X$25,Lytchett!$X$27,Lytchett!$X$29,Lytchett!$X$31,Lytchett!$X$33,Lytchett!$X$35,Lytchett!$X$37,Lytchett!$X$39,Lytchett!$X$41,Lytchett!$X$43,Lytchett!$X$45,Lytchett!$X$47)))</f>
        <v>24.007499999999997</v>
      </c>
      <c r="W21" s="156">
        <f>IF(ISERROR(AVERAGE(Lytchett!$Y$7,Lytchett!$Y$9,Lytchett!$Y$11,Lytchett!$Y$13,Lytchett!$Y$15,Lytchett!$Y$17,Lytchett!$Y$19,Lytchett!$Y$21,Lytchett!$Y$23,Lytchett!$Y$25,Lytchett!$Y$27,Lytchett!$Y$29,Lytchett!$Y$31,Lytchett!$Y$33,Lytchett!$Y$35,Lytchett!$Y$37,Lytchett!$Y$39,Lytchett!$Y$41,Lytchett!$Y$43,Lytchett!$Y$45,Lytchett!$Y$47)),"",(AVERAGE(Lytchett!$Y$7,Lytchett!$Y$9,Lytchett!$Y$11,Lytchett!$Y$13,Lytchett!$Y$15,Lytchett!$Y$17,Lytchett!$Y$19,Lytchett!$Y$21,Lytchett!$Y$23,Lytchett!$Y$25,Lytchett!$Y$27,Lytchett!$Y$29,Lytchett!$Y$31,Lytchett!$Y$33,Lytchett!$Y$35,Lytchett!$Y$37,Lytchett!$Y$39,Lytchett!$Y$41,Lytchett!$Y$43,Lytchett!$Y$45,Lytchett!$Y$47)))</f>
        <v>23.555000000000003</v>
      </c>
      <c r="X21" s="234">
        <f>IF(ISERROR(AVERAGE(K21:W21)),"",(AVERAGE(K21:W21)))</f>
        <v>24.097403846153846</v>
      </c>
      <c r="AA21" s="231">
        <f t="shared" ref="AA21:AB21" si="14">G21</f>
        <v>126</v>
      </c>
      <c r="AB21" s="231">
        <f t="shared" si="14"/>
        <v>30</v>
      </c>
      <c r="AC21" s="231" t="str">
        <f t="shared" ref="AC21:AE21" si="15">B21</f>
        <v>Lytchett</v>
      </c>
      <c r="AD21" s="231">
        <f t="shared" si="15"/>
        <v>13</v>
      </c>
      <c r="AE21" s="231">
        <f t="shared" si="15"/>
        <v>13</v>
      </c>
      <c r="AF21" s="231">
        <f>F21</f>
        <v>0</v>
      </c>
      <c r="AG21" s="231">
        <f>I21</f>
        <v>52</v>
      </c>
      <c r="AK21" s="231"/>
    </row>
    <row r="22" spans="2:37" ht="16.5" customHeight="1" x14ac:dyDescent="0.2">
      <c r="B22" s="239"/>
      <c r="C22" s="182"/>
      <c r="D22" s="182"/>
      <c r="E22" s="182"/>
      <c r="F22" s="182"/>
      <c r="G22" s="182"/>
      <c r="H22" s="182"/>
      <c r="I22" s="233"/>
      <c r="J22" s="2"/>
      <c r="K22" s="157" t="str">
        <f>Lytchett!$AR$7&amp;"*"&amp;Lytchett!$AS$7</f>
        <v>12*0</v>
      </c>
      <c r="L22" s="44" t="str">
        <f>Lytchett!$AR$8&amp;"*"&amp;Lytchett!$AS$8</f>
        <v>11*1</v>
      </c>
      <c r="M22" s="44" t="str">
        <f>Lytchett!$AR$9&amp;"*"&amp;Lytchett!$AS$9</f>
        <v>11*1</v>
      </c>
      <c r="N22" s="44" t="str">
        <f>Lytchett!$AR$10&amp;"*"&amp;Lytchett!$AS$10</f>
        <v>12*0</v>
      </c>
      <c r="O22" s="44" t="str">
        <f>Lytchett!$AR$11&amp;"*"&amp;Lytchett!$AS$11</f>
        <v>9*3</v>
      </c>
      <c r="P22" s="44" t="str">
        <f>Lytchett!$AR$12&amp;"*"&amp;Lytchett!$AS$12</f>
        <v>8*4</v>
      </c>
      <c r="Q22" s="44" t="str">
        <f>Lytchett!$AR$13&amp;"*"&amp;Lytchett!$AS$13</f>
        <v>9*3</v>
      </c>
      <c r="R22" s="44" t="str">
        <f>Lytchett!$AR$14&amp;"*"&amp;Lytchett!$AS$14</f>
        <v>8*4</v>
      </c>
      <c r="S22" s="44" t="str">
        <f>Lytchett!$AR$15&amp;"*"&amp;Lytchett!$AS$15</f>
        <v>10*2</v>
      </c>
      <c r="T22" s="44" t="str">
        <f>Lytchett!$AR$16&amp;"*"&amp;Lytchett!$AS$16</f>
        <v>10*2</v>
      </c>
      <c r="U22" s="44" t="str">
        <f>Lytchett!$AR$17&amp;"*"&amp;Lytchett!$AS$17</f>
        <v>12*0</v>
      </c>
      <c r="V22" s="44" t="str">
        <f>Lytchett!$AR$18&amp;"*"&amp;Lytchett!$AS$18</f>
        <v>7*5</v>
      </c>
      <c r="W22" s="44" t="str">
        <f>Lytchett!$AR$19&amp;"*"&amp;Lytchett!$AS$19</f>
        <v>7*5</v>
      </c>
      <c r="X22" s="235"/>
      <c r="AA22" s="170"/>
      <c r="AB22" s="170"/>
      <c r="AC22" s="170"/>
      <c r="AD22" s="170"/>
      <c r="AE22" s="170"/>
      <c r="AF22" s="170"/>
      <c r="AG22" s="170"/>
      <c r="AK22" s="170"/>
    </row>
    <row r="23" spans="2:37" ht="16.5" customHeight="1" x14ac:dyDescent="0.2">
      <c r="B23" s="242" t="s">
        <v>15</v>
      </c>
      <c r="C23" s="185">
        <f>IF(SUM(SUM(Parkstone!$AO$21:$AQ$21))=0,0,SUM(Parkstone!$AO$21:$AQ$21))</f>
        <v>13</v>
      </c>
      <c r="D23" s="185">
        <f>IF(Parkstone!$AO$21="","",Parkstone!$AO$21)</f>
        <v>4</v>
      </c>
      <c r="E23" s="185">
        <f>IF(Parkstone!$AP$21="","",Parkstone!$AP$21)</f>
        <v>3</v>
      </c>
      <c r="F23" s="185">
        <f>IF(Parkstone!$AQ$21="","",Parkstone!$AQ$21)</f>
        <v>6</v>
      </c>
      <c r="G23" s="185">
        <f>IF(Parkstone!$AR$21="","",Parkstone!$AR$21)</f>
        <v>69</v>
      </c>
      <c r="H23" s="185">
        <f>IF(Parkstone!$AS$21="","",Parkstone!$AS$21)</f>
        <v>87</v>
      </c>
      <c r="I23" s="232">
        <f>SUM(Parkstone!$AA$7:$AA$48)</f>
        <v>21</v>
      </c>
      <c r="J23" s="2"/>
      <c r="K23" s="155">
        <f>IF(ISERROR(AVERAGE(Parkstone!$M$7,Parkstone!$M$9,Parkstone!$M$11,Parkstone!$M$13,Parkstone!$M$15,Parkstone!$M$17,Parkstone!$M$19,Parkstone!$M$21,Parkstone!$M$23,Parkstone!$M$25,Parkstone!$M$27,Parkstone!$M$29,Parkstone!$M$31,Parkstone!$M$33,Parkstone!$M$35,Parkstone!$M$37,Parkstone!$M$39,Parkstone!$M$41,Parkstone!$M$43,Parkstone!$M$45,Parkstone!$M$47)),"",(AVERAGE(Parkstone!$M$7,Parkstone!$M$9,Parkstone!$M$11,Parkstone!$M$13,Parkstone!$M$15,Parkstone!$M$17,Parkstone!$M$19,Parkstone!$M$21,Parkstone!$M$23,Parkstone!$M$25,Parkstone!$M$27,Parkstone!$M$29,Parkstone!$M$31,Parkstone!$M$33,Parkstone!$M$35,Parkstone!$M$37,Parkstone!$M$39,Parkstone!$M$41,Parkstone!$M$43,Parkstone!$M$45,Parkstone!$M$47)))</f>
        <v>20.675000000000001</v>
      </c>
      <c r="L23" s="156">
        <f>IF(ISERROR(AVERAGE(Parkstone!$N$7,Parkstone!$N$9,Parkstone!$N$11,Parkstone!$N$13,Parkstone!$N$15,Parkstone!$N$17,Parkstone!$N$19,Parkstone!$N$21,Parkstone!$N$23,Parkstone!$N$25,Parkstone!$N$27,Parkstone!$N$29,Parkstone!$N$31,Parkstone!$N$33,Parkstone!$N$35,Parkstone!$N$37,Parkstone!$N$39,Parkstone!$N$41,Parkstone!$N$43,Parkstone!$N$45,Parkstone!$N$47)),"",(AVERAGE(Parkstone!$N$7,Parkstone!$N$9,Parkstone!$N$11,Parkstone!$N$13,Parkstone!$N$15,Parkstone!$N$17,Parkstone!$N$19,Parkstone!$N$21,Parkstone!$N$23,Parkstone!$N$25,Parkstone!$N$27,Parkstone!$N$29,Parkstone!$N$31,Parkstone!$N$33,Parkstone!$N$35,Parkstone!$N$37,Parkstone!$N$39,Parkstone!$N$41,Parkstone!$N$43,Parkstone!$N$45,Parkstone!$N$47)))</f>
        <v>20.16</v>
      </c>
      <c r="M23" s="156">
        <f>IF(ISERROR(AVERAGE(Parkstone!$O$7,Parkstone!$O$9,Parkstone!$O$11,Parkstone!$O$13,Parkstone!$O$15,Parkstone!$O$17,Parkstone!$O$19,Parkstone!$O$21,Parkstone!$O$23,Parkstone!$O$25,Parkstone!$O$27,Parkstone!$O$29,Parkstone!$O$31,Parkstone!$O$33,Parkstone!$O$35,Parkstone!$O$37,Parkstone!$O$39,Parkstone!$O$41,Parkstone!$O$43,Parkstone!$O$45,Parkstone!$O$47)),"",(AVERAGE(Parkstone!$O$7,Parkstone!$O$9,Parkstone!$O$11,Parkstone!$O$13,Parkstone!$O$15,Parkstone!$O$17,Parkstone!$O$19,Parkstone!$O$21,Parkstone!$O$23,Parkstone!$O$25,Parkstone!$O$27,Parkstone!$O$29,Parkstone!$O$31,Parkstone!$O$33,Parkstone!$O$35,Parkstone!$O$37,Parkstone!$O$39,Parkstone!$O$41,Parkstone!$O$43,Parkstone!$O$45,Parkstone!$O$47)))</f>
        <v>19.661249999999999</v>
      </c>
      <c r="N23" s="156">
        <f>IF(ISERROR(AVERAGE(Parkstone!$P$7,Parkstone!$P$9,Parkstone!$P$11,Parkstone!$P$13,Parkstone!$P$15,Parkstone!$P$17,Parkstone!$P$19,Parkstone!$P$21,Parkstone!$P$23,Parkstone!$P$25,Parkstone!$P$27,Parkstone!$P$29,Parkstone!$P$31,Parkstone!$P$33,Parkstone!$P$35,Parkstone!$P$37,Parkstone!$P$39,Parkstone!$P$41,Parkstone!$P$43,Parkstone!$P$45,Parkstone!$P$47)),"",(AVERAGE(Parkstone!$P$7,Parkstone!$P$9,Parkstone!$P$11,Parkstone!$P$13,Parkstone!$P$15,Parkstone!$P$17,Parkstone!$P$19,Parkstone!$P$21,Parkstone!$P$23,Parkstone!$P$25,Parkstone!$P$27,Parkstone!$P$29,Parkstone!$P$31,Parkstone!$P$33,Parkstone!$P$35,Parkstone!$P$37,Parkstone!$P$39,Parkstone!$P$41,Parkstone!$P$43,Parkstone!$P$45,Parkstone!$P$47)))</f>
        <v>20.7925</v>
      </c>
      <c r="O23" s="156">
        <f>IF(ISERROR(AVERAGE(Parkstone!$Q$7,Parkstone!$Q$9,Parkstone!$Q$11,Parkstone!$Q$13,Parkstone!$Q$15,Parkstone!$Q$17,Parkstone!$Q$19,Parkstone!$Q$21,Parkstone!$Q$23,Parkstone!$Q$25,Parkstone!$Q$27,Parkstone!$Q$29,Parkstone!$Q$31,Parkstone!$Q$33,Parkstone!$Q$35,Parkstone!$Q$37,Parkstone!$Q$39,Parkstone!$Q$41,Parkstone!$Q$43,Parkstone!$Q$45,Parkstone!$Q$47)),"",(AVERAGE(Parkstone!$Q$7,Parkstone!$Q$9,Parkstone!$Q$11,Parkstone!$Q$13,Parkstone!$Q$15,Parkstone!$Q$17,Parkstone!$Q$19,Parkstone!$Q$21,Parkstone!$Q$23,Parkstone!$Q$25,Parkstone!$Q$27,Parkstone!$Q$29,Parkstone!$Q$31,Parkstone!$Q$33,Parkstone!$Q$35,Parkstone!$Q$37,Parkstone!$Q$39,Parkstone!$Q$41,Parkstone!$Q$43,Parkstone!$Q$45,Parkstone!$Q$47)))</f>
        <v>21.171250000000001</v>
      </c>
      <c r="P23" s="156">
        <f>IF(ISERROR(AVERAGE(Parkstone!$R$7,Parkstone!$R$9,Parkstone!$R$11,Parkstone!$R$13,Parkstone!$R$15,Parkstone!$R$17,Parkstone!$R$19,Parkstone!$R$21,Parkstone!$R$23,Parkstone!$R$25,Parkstone!$R$27,Parkstone!$R$29,Parkstone!$R$31,Parkstone!$R$33,Parkstone!$R$35,Parkstone!$R$37,Parkstone!$R$39,Parkstone!$R$41,Parkstone!$R$43,Parkstone!$R$45,Parkstone!$R$47)),"",(AVERAGE(Parkstone!$R$7,Parkstone!$R$9,Parkstone!$R$11,Parkstone!$R$13,Parkstone!$R$15,Parkstone!$R$17,Parkstone!$R$19,Parkstone!$R$21,Parkstone!$R$23,Parkstone!$R$25,Parkstone!$R$27,Parkstone!$R$29,Parkstone!$R$31,Parkstone!$R$33,Parkstone!$R$35,Parkstone!$R$37,Parkstone!$R$39,Parkstone!$R$41,Parkstone!$R$43,Parkstone!$R$45,Parkstone!$R$47)))</f>
        <v>20.716249999999999</v>
      </c>
      <c r="Q23" s="156">
        <f>IF(ISERROR(AVERAGE(Parkstone!$S$7,Parkstone!$S$9,Parkstone!$S$11,Parkstone!$S$13,Parkstone!$S$15,Parkstone!$S$17,Parkstone!$S$19,Parkstone!$S$21,Parkstone!$S$23,Parkstone!$S$25,Parkstone!$S$27,Parkstone!$S$29,Parkstone!$S$31,Parkstone!$S$33,Parkstone!$S$35,Parkstone!$S$37,Parkstone!$S$39,Parkstone!$S$41,Parkstone!$S$43,Parkstone!$S$45,Parkstone!$S$47)),"",(AVERAGE(Parkstone!$S$7,Parkstone!$S$9,Parkstone!$S$11,Parkstone!$S$13,Parkstone!$S$15,Parkstone!$S$17,Parkstone!$S$19,Parkstone!$S$21,Parkstone!$S$23,Parkstone!$S$25,Parkstone!$S$27,Parkstone!$S$29,Parkstone!$S$31,Parkstone!$S$33,Parkstone!$S$35,Parkstone!$S$37,Parkstone!$S$39,Parkstone!$S$41,Parkstone!$S$43,Parkstone!$S$45,Parkstone!$S$47)))</f>
        <v>21.30875</v>
      </c>
      <c r="R23" s="156">
        <f>IF(ISERROR(AVERAGE(Parkstone!$T$7,Parkstone!$T$9,Parkstone!$T$11,Parkstone!$T$13,Parkstone!$T$15,Parkstone!$T$17,Parkstone!$T$19,Parkstone!$T$21,Parkstone!$T$23,Parkstone!$T$25,Parkstone!$T$27,Parkstone!$T$29,Parkstone!$T$31,Parkstone!$T$33,Parkstone!$T$35,Parkstone!$T$37,Parkstone!$T$39,Parkstone!$T$41,Parkstone!$T$43,Parkstone!$T$45,Parkstone!$T$47)),"",(AVERAGE(Parkstone!$T$7,Parkstone!$T$9,Parkstone!$T$11,Parkstone!$T$13,Parkstone!$T$15,Parkstone!$T$17,Parkstone!$T$19,Parkstone!$T$21,Parkstone!$T$23,Parkstone!$T$25,Parkstone!$T$27,Parkstone!$T$29,Parkstone!$T$31,Parkstone!$T$33,Parkstone!$T$35,Parkstone!$T$37,Parkstone!$T$39,Parkstone!$T$41,Parkstone!$T$43,Parkstone!$T$45,Parkstone!$T$47)))</f>
        <v>20.053749999999997</v>
      </c>
      <c r="S23" s="156">
        <f>IF(ISERROR(AVERAGE(Parkstone!$U$7,Parkstone!$U$9,Parkstone!$U$11,Parkstone!$U$13,Parkstone!$U$15,Parkstone!$U$17,Parkstone!$U$19,Parkstone!$U$21,Parkstone!$U$23,Parkstone!$U$25,Parkstone!$U$27,Parkstone!$U$29,Parkstone!$U$31,Parkstone!$U$33,Parkstone!$U$35,Parkstone!$U$37,Parkstone!$U$39,Parkstone!$U$41,Parkstone!$U$43,Parkstone!$U$45,Parkstone!$U$47)),"",(AVERAGE(Parkstone!$U$7,Parkstone!$U$9,Parkstone!$U$11,Parkstone!$U$13,Parkstone!$U$15,Parkstone!$U$17,Parkstone!$U$19,Parkstone!$U$21,Parkstone!$U$23,Parkstone!$U$25,Parkstone!$U$27,Parkstone!$U$29,Parkstone!$U$31,Parkstone!$U$33,Parkstone!$U$35,Parkstone!$U$37,Parkstone!$U$39,Parkstone!$U$41,Parkstone!$U$43,Parkstone!$U$45,Parkstone!$U$47)))</f>
        <v>20.963750000000001</v>
      </c>
      <c r="T23" s="156">
        <f>IF(ISERROR(AVERAGE(Parkstone!$V$7,Parkstone!$V$9,Parkstone!$V$11,Parkstone!$V$13,Parkstone!$V$15,Parkstone!$V$17,Parkstone!$V$19,Parkstone!$V$21,Parkstone!$V$23,Parkstone!$V$25,Parkstone!V45,Parkstone!$V$29,Parkstone!$V$31,Parkstone!$V$33,Parkstone!$V$35,Parkstone!$V$37,Parkstone!$V$39,Parkstone!$V$41,Parkstone!$V$43,Parkstone!$V$45,Parkstone!$V$47)),"",(AVERAGE(Parkstone!$V$7,Parkstone!$V$9,Parkstone!$V$11,Parkstone!$V$13,Parkstone!$V$15,Parkstone!$V$17,Parkstone!$V$19,Parkstone!$V$21,Parkstone!$V$23,Parkstone!$V$25,Parkstone!V45,Parkstone!$V$29,Parkstone!$V$31,Parkstone!$V$33,Parkstone!$V$35,Parkstone!$V$37,Parkstone!$V$39,Parkstone!$V$41,Parkstone!$V$43,Parkstone!$V$45,Parkstone!$V$47)))</f>
        <v>20.644285714285719</v>
      </c>
      <c r="U23" s="156">
        <f>IF(ISERROR(AVERAGE(Parkstone!$W$7,Parkstone!$W$9,Parkstone!$W$11,Parkstone!$W$13,Parkstone!$W$15,Parkstone!$W$17,Parkstone!$W$19,Parkstone!$W$21,Parkstone!$W$23,Parkstone!$W$25,Parkstone!$W$27,Parkstone!$W$29,Parkstone!$W$31,Parkstone!$W$33,Parkstone!$W$35,Parkstone!$W$37,Parkstone!$W$39,Parkstone!$W$41,Parkstone!$W$43,Parkstone!$W$45,Parkstone!$W$47)),"",(AVERAGE(Parkstone!$W$7,Parkstone!$W$9,Parkstone!$W$11,Parkstone!$W$13,Parkstone!$W$15,Parkstone!$W$17,Parkstone!$W$19,Parkstone!$W$21,Parkstone!$W$23,Parkstone!$W$25,Parkstone!$W$27,Parkstone!$W$29,Parkstone!$W$31,Parkstone!$W$33,Parkstone!$W$35,Parkstone!$W$37,Parkstone!$W$39,Parkstone!$W$41,Parkstone!$W$43,Parkstone!$W$45,Parkstone!$W$47)))</f>
        <v>20.12125</v>
      </c>
      <c r="V23" s="156">
        <f>IF(ISERROR(AVERAGE(Parkstone!$X$7,Parkstone!$X$9,Parkstone!$X$11,Parkstone!$X$13,Parkstone!$X$15,Parkstone!$X$17,Parkstone!$X$19,Parkstone!$X$21,Parkstone!$X$23,Parkstone!$X$25,Parkstone!$X$27,Parkstone!$X$29,Parkstone!$X$31,Parkstone!$X$33,Parkstone!$X$35,Parkstone!$X$37,Parkstone!$X$39,Parkstone!$X$41,Parkstone!$X$43,Parkstone!$X$45,Parkstone!$X$47)),"",(AVERAGE(Parkstone!$X$7,Parkstone!$X$9,Parkstone!$X$11,Parkstone!$X$13,Parkstone!$X$15,Parkstone!$X$17,Parkstone!$X$19,Parkstone!$X$21,Parkstone!$X$23,Parkstone!$X$25,Parkstone!$X$27,Parkstone!$X$29,Parkstone!$X$31,Parkstone!$X$33,Parkstone!$X$35,Parkstone!$X$37,Parkstone!$X$39,Parkstone!$X$41,Parkstone!$X$43,Parkstone!$X$45,Parkstone!$X$47)))</f>
        <v>21.647500000000001</v>
      </c>
      <c r="W23" s="156">
        <f>IF(ISERROR(AVERAGE(Parkstone!$Y$7,Parkstone!$Y$9,Parkstone!$Y$11,Parkstone!$Y$13,Parkstone!$Y$15,Parkstone!$Y$17,Parkstone!$Y$19,Parkstone!$Y$21,Parkstone!$Y$23,Parkstone!$Y$25,Parkstone!$Y$27,Parkstone!$Y$29,Parkstone!$Y$31,Parkstone!$Y$33,Parkstone!$Y$35,Parkstone!$Y$37,Parkstone!$Y$39,Parkstone!$Y$41,Parkstone!$Y$43,Parkstone!$Y$45,Parkstone!$Y$47)),"",(AVERAGE(Parkstone!$Y$7,Parkstone!$Y$9,Parkstone!$Y$11,Parkstone!$Y$13,Parkstone!$Y$15,Parkstone!$Y$17,Parkstone!$Y$19,Parkstone!$Y$21,Parkstone!$Y$23,Parkstone!$Y$25,Parkstone!$Y$27,Parkstone!$Y$29,Parkstone!$Y$31,Parkstone!$Y$33,Parkstone!$Y$35,Parkstone!$Y$37,Parkstone!$Y$39,Parkstone!$Y$41,Parkstone!$Y$43,Parkstone!$Y$45,Parkstone!$Y$47)))</f>
        <v>19.0975</v>
      </c>
      <c r="X23" s="234">
        <f>IF(ISERROR(AVERAGE(K23:W23)),"",(AVERAGE(K23:W23)))</f>
        <v>20.539464285714288</v>
      </c>
      <c r="AA23" s="231">
        <f t="shared" ref="AA23:AB23" si="16">G23</f>
        <v>69</v>
      </c>
      <c r="AB23" s="231">
        <f t="shared" si="16"/>
        <v>87</v>
      </c>
      <c r="AC23" s="231" t="str">
        <f t="shared" ref="AC23:AE23" si="17">B23</f>
        <v>Parkstone</v>
      </c>
      <c r="AD23" s="231">
        <f t="shared" si="17"/>
        <v>13</v>
      </c>
      <c r="AE23" s="231">
        <f t="shared" si="17"/>
        <v>4</v>
      </c>
      <c r="AF23" s="231">
        <f>F23</f>
        <v>6</v>
      </c>
      <c r="AG23" s="231">
        <f>I23</f>
        <v>21</v>
      </c>
      <c r="AK23" s="231"/>
    </row>
    <row r="24" spans="2:37" ht="16.5" customHeight="1" x14ac:dyDescent="0.2">
      <c r="B24" s="239"/>
      <c r="C24" s="182"/>
      <c r="D24" s="182"/>
      <c r="E24" s="182"/>
      <c r="F24" s="182"/>
      <c r="G24" s="182"/>
      <c r="H24" s="182"/>
      <c r="I24" s="233"/>
      <c r="J24" s="2"/>
      <c r="K24" s="157" t="str">
        <f>Parkstone!$AR$7&amp;"*"&amp;Parkstone!$AS$7</f>
        <v>2*10</v>
      </c>
      <c r="L24" s="44" t="str">
        <f>Parkstone!$AR$8&amp;"*"&amp;Parkstone!$AS$8</f>
        <v>8*4</v>
      </c>
      <c r="M24" s="44" t="str">
        <f>Parkstone!$AR$9&amp;"*"&amp;Parkstone!$AS$9</f>
        <v>6*6</v>
      </c>
      <c r="N24" s="44" t="str">
        <f>Parkstone!$AR$10&amp;"*"&amp;Parkstone!$AS$10</f>
        <v>4*8</v>
      </c>
      <c r="O24" s="44" t="str">
        <f>Parkstone!$AR$11&amp;"*"&amp;Parkstone!$AS$11</f>
        <v>8*4</v>
      </c>
      <c r="P24" s="44" t="str">
        <f>Parkstone!$AR$12&amp;"*"&amp;Parkstone!$AS$12</f>
        <v>7*5</v>
      </c>
      <c r="Q24" s="44" t="str">
        <f>Parkstone!$AR$13&amp;"*"&amp;Parkstone!$AS$13</f>
        <v>8*4</v>
      </c>
      <c r="R24" s="44" t="str">
        <f>Parkstone!$AR$14&amp;"*"&amp;Parkstone!$AS$14</f>
        <v>3*9</v>
      </c>
      <c r="S24" s="44" t="str">
        <f>Parkstone!$AR$15&amp;"*"&amp;Parkstone!$AS$15</f>
        <v>6*6</v>
      </c>
      <c r="T24" s="44" t="str">
        <f>Parkstone!$AR$16&amp;"*"&amp;Parkstone!$AS$16</f>
        <v>2*10</v>
      </c>
      <c r="U24" s="44" t="str">
        <f>Parkstone!$AR$17&amp;"*"&amp;Parkstone!$AS$17</f>
        <v>6*6</v>
      </c>
      <c r="V24" s="44" t="str">
        <f>Parkstone!$AR$18&amp;"*"&amp;Parkstone!$AS$18</f>
        <v>5*7</v>
      </c>
      <c r="W24" s="44" t="str">
        <f>Parkstone!$AR$19&amp;"*"&amp;Parkstone!$AS$19</f>
        <v>4*8</v>
      </c>
      <c r="X24" s="211"/>
      <c r="AA24" s="170"/>
      <c r="AB24" s="170"/>
      <c r="AC24" s="170"/>
      <c r="AD24" s="170"/>
      <c r="AE24" s="170"/>
      <c r="AF24" s="170"/>
      <c r="AG24" s="170"/>
      <c r="AK24" s="170"/>
    </row>
    <row r="25" spans="2:37" ht="16.5" customHeight="1" x14ac:dyDescent="0.2">
      <c r="B25" s="242" t="s">
        <v>23</v>
      </c>
      <c r="C25" s="185">
        <f>IF(SUM(SUM(Poole!$AO$21:$AQ$21))=0,0,SUM(Poole!$AO$21:$AQ$21))</f>
        <v>13</v>
      </c>
      <c r="D25" s="185">
        <f>IF(Poole!$AO$21="","",Poole!$AO$21)</f>
        <v>7</v>
      </c>
      <c r="E25" s="185">
        <f>IF(Poole!$AP$21="","",Poole!$AP$21)</f>
        <v>3</v>
      </c>
      <c r="F25" s="185">
        <f>IF(Poole!$AQ$21="","",Poole!$AQ$21)</f>
        <v>3</v>
      </c>
      <c r="G25" s="185">
        <f>IF(Poole!$AR$21="","",Poole!$AR$21)</f>
        <v>88</v>
      </c>
      <c r="H25" s="185">
        <f>IF(Poole!$AS$21="","",Poole!$AS$21)</f>
        <v>68</v>
      </c>
      <c r="I25" s="232">
        <f>SUM(Poole!$AA$7:$AA$48)</f>
        <v>33</v>
      </c>
      <c r="J25" s="2"/>
      <c r="K25" s="155">
        <f>IF(ISERROR(AVERAGE(Poole!$M$7,Poole!$M$9,Poole!$M$11,Poole!$M$13,Poole!$M$15,Poole!$M$17,Poole!$M$19,Poole!$M$21,Poole!$M$23,Poole!$M$25,Poole!$M$27,Poole!$M$29,Poole!$M$31,Poole!$M$33,Poole!$M$35,Poole!$M$37,Poole!$M$39,Poole!$M$41,Poole!$M$43,Poole!$M$45,Poole!$M$47)),"",(AVERAGE(Poole!$M$7,Poole!$M$9,Poole!$M$11,Poole!$M$13,Poole!$M$15,Poole!$M$17,Poole!$M$19,Poole!$M$21,Poole!$M$23,Poole!$M$25,Poole!$M$27,Poole!$M$29,Poole!$M$31,Poole!$M$33,Poole!$M$35,Poole!$M$37,Poole!$M$39,Poole!$M$41,Poole!$M$43,Poole!$M$45,Poole!$M$47)))</f>
        <v>21.815000000000001</v>
      </c>
      <c r="L25" s="156">
        <f>IF(ISERROR(AVERAGE(Poole!$N$7,Poole!$N$9,Poole!$N$11,Poole!$N$13,Poole!$N$15,Poole!$N$17,Poole!$N$19,Poole!$N$21,Poole!$N$23,Poole!$N$25,Poole!$N$27,Poole!$N$29,Poole!$N$31,Poole!$N$33,Poole!$N$35,Poole!$N$37,Poole!$N$39,Poole!$N$41,Poole!$N$43,Poole!$N$45,Poole!$N$47)),"",(AVERAGE(Poole!$N$7,Poole!$N$9,Poole!$N$11,Poole!$N$13,Poole!$N$15,Poole!$N$17,Poole!$N$19,Poole!$N$21,Poole!$N$23,Poole!$N$25,Poole!$N$27,Poole!$N$29,Poole!$N$31,Poole!$N$33,Poole!$N$35,Poole!$N$37,Poole!$N$39,Poole!$N$41,Poole!$N$43,Poole!$N$45,Poole!$N$47)))</f>
        <v>22.585000000000001</v>
      </c>
      <c r="M25" s="156">
        <f>IF(ISERROR(AVERAGE(Poole!$O$7,Poole!$O$9,Poole!$O$11,Poole!$O$13,Poole!$O$15,Poole!$O$17,Poole!$O$19,Poole!$O$21,Poole!$O$23,Poole!$O$25,Poole!$O$27,Poole!$O$29,Poole!$O$31,Poole!$O$33,Poole!$O$35,Poole!$O$37,Poole!$O$39,Poole!$O$41,Poole!$O$43,Poole!$O$45,Poole!$O$47)),"",(AVERAGE(Poole!$O$7,Poole!$O$9,Poole!$O$11,Poole!$O$13,Poole!$O$15,Poole!$O$17,Poole!$O$19,Poole!$O$21,Poole!$O$23,Poole!$O$25,Poole!$O$27,Poole!$O$29,Poole!$O$31,Poole!$O$33,Poole!$O$35,Poole!$O$37,Poole!$O$39,Poole!$O$41,Poole!$O$43,Poole!$O$45,Poole!$O$47)))</f>
        <v>23.096250000000005</v>
      </c>
      <c r="N25" s="156">
        <f>IF(ISERROR(AVERAGE(Poole!$P$7,Poole!$P$9,Poole!$P$11,Poole!$P$13,Poole!$P$15,Poole!$P$17,Poole!$P$19,Poole!$P$21,Poole!$P$23,Poole!$P$25,Poole!$P$27,Poole!$P$29,Poole!$P$31,Poole!$P$33,Poole!$P$35,Poole!$P$37,Poole!$P$39,Poole!$P$41,Poole!$P$43,Poole!$P$45,Poole!$P$47)),"",(AVERAGE(Poole!$P$7,Poole!$P$9,Poole!$P$11,Poole!$P$13,Poole!$P$15,Poole!$P$17,Poole!$P$19,Poole!$P$21,Poole!$P$23,Poole!$P$25,Poole!$P$27,Poole!$P$29,Poole!$P$31,Poole!$P$33,Poole!$P$35,Poole!$P$37,Poole!$P$39,Poole!$P$41,Poole!$P$43,Poole!$P$45,Poole!$P$47)))</f>
        <v>21.858750000000001</v>
      </c>
      <c r="O25" s="156">
        <f>IF(ISERROR(AVERAGE(Poole!$Q$7,Poole!$Q$9,Poole!$Q$11,Poole!$Q$13,Poole!$Q$15,Poole!$Q$17,Poole!$Q$19,Poole!$Q$21,Poole!$Q$23,Poole!$Q$25,Poole!$Q$27,Poole!$Q$29,Poole!$Q$31,Poole!$Q$33,Poole!$Q$35,Poole!$Q$37,Poole!$Q$39,Poole!$Q$41,Poole!$Q$43,Poole!$Q$45,Poole!$Q$47)),"",(AVERAGE(Poole!$Q$7,Poole!$Q$9,Poole!$Q$11,Poole!$Q$13,Poole!$Q$15,Poole!$Q$17,Poole!$Q$19,Poole!$Q$21,Poole!$Q$23,Poole!$Q$25,Poole!$Q$27,Poole!$Q$29,Poole!$Q$31,Poole!$Q$33,Poole!$Q$35,Poole!$Q$37,Poole!$Q$39,Poole!$Q$41,Poole!$Q$43,Poole!$Q$45,Poole!$Q$47)))</f>
        <v>24.316249999999997</v>
      </c>
      <c r="P25" s="156">
        <f>IF(ISERROR(AVERAGE(Poole!$R$7,Poole!$R$9,Poole!$R$11,Poole!$R$13,Poole!$R$15,Poole!$R$17,Poole!$R$19,Poole!$R$21,Poole!$R$23,Poole!$R$25,Poole!$R$27,Poole!$R$29,Poole!$R$31,Poole!$R$33,Poole!$R$35,Poole!$R$37,Poole!$R$39,Poole!$R$41,Poole!$R$43,Poole!$R$45,Poole!$R$47)),"",(AVERAGE(Poole!$R$7,Poole!$R$9,Poole!$R$11,Poole!$R$13,Poole!$R$15,Poole!$R$17,Poole!$R$19,Poole!$R$21,Poole!$R$23,Poole!$R$25,Poole!$R$27,Poole!$R$29,Poole!$R$31,Poole!$R$33,Poole!$R$35,Poole!$R$37,Poole!$R$39,Poole!$R$41,Poole!$R$43,Poole!$R$45,Poole!$R$47)))</f>
        <v>21.444999999999997</v>
      </c>
      <c r="Q25" s="156">
        <f>IF(ISERROR(AVERAGE(Poole!$S$7,Poole!$S$9,Poole!$S$11,Poole!$S$13,Poole!$S$15,Poole!$S$17,Poole!$S$19,Poole!$S$21,Poole!$S$23,Poole!$S$25,Poole!$S$27,Poole!$S$29,Poole!$S$31,Poole!$S$33,Poole!$S$35,Poole!$S$37,Poole!$S$39,Poole!$S$41,Poole!$S$43,Poole!$S$45,Poole!$S$47)),"",(AVERAGE(Poole!$S$7,Poole!$S$9,Poole!$S$11,Poole!$S$13,Poole!$S$15,Poole!$S$17,Poole!$S$19,Poole!$S$21,Poole!$S$23,Poole!$S$25,Poole!$S$27,Poole!$S$29,Poole!$S$31,Poole!$S$33,Poole!$S$35,Poole!$S$37,Poole!$S$39,Poole!$S$41,Poole!$S$43,Poole!$S$45,Poole!$S$47)))</f>
        <v>22.272500000000001</v>
      </c>
      <c r="R25" s="156">
        <f>IF(ISERROR(AVERAGE(Poole!$T$7,Poole!$T$9,Poole!$T$11,Poole!$T$13,Poole!$T$15,Poole!$T$17,Poole!$T$19,Poole!$T$21,Poole!$T$23,Poole!$T$25,Poole!$T$27,Poole!$T$29,Poole!$T$31,Poole!$T$33,Poole!$T$35,Poole!$T$37,Poole!$T$39,Poole!$T$41,Poole!$T$43,Poole!$T$45,Poole!$T$47)),"",(AVERAGE(Poole!$T$7,Poole!$T$9,Poole!$T$11,Poole!$T$13,Poole!$T$15,Poole!$T$17,Poole!$T$19,Poole!$T$21,Poole!$T$23,Poole!$T$25,Poole!$T$27,Poole!$T$29,Poole!$T$31,Poole!$T$33,Poole!$T$35,Poole!$T$37,Poole!$T$39,Poole!$T$41,Poole!$T$43,Poole!$T$45,Poole!$T$47)))</f>
        <v>21.561249999999998</v>
      </c>
      <c r="S25" s="156">
        <f>IF(ISERROR(AVERAGE(Poole!$U$7,Poole!$U$9,Poole!$U$11,Poole!$U$13,Poole!$U$15,Poole!$U$17,Poole!$U$19,Poole!$U$21,Poole!$U$23,Poole!$U$25,Poole!$U$27,Poole!$U$29,Poole!$U$31,Poole!$U$33,Poole!$U$35,Poole!$U$37,Poole!$U$39,Poole!$U$41,Poole!$U$43,Poole!$U$45,Poole!$U$47)),"",(AVERAGE(Poole!$U$7,Poole!$U$9,Poole!$U$11,Poole!$U$13,Poole!$U$15,Poole!$U$17,Poole!$U$19,Poole!$U$21,Poole!$U$23,Poole!$U$25,Poole!$U$27,Poole!$U$29,Poole!$U$31,Poole!$U$33,Poole!$U$35,Poole!$U$37,Poole!$U$39,Poole!$U$41,Poole!$U$43,Poole!$U$45,Poole!$U$47)))</f>
        <v>22.229999999999997</v>
      </c>
      <c r="T25" s="156">
        <f>IF(ISERROR(AVERAGE(Poole!$V$7,Poole!$V$9,Poole!$V$11,Poole!$V$13,Poole!$V$15,Poole!$V$17,Poole!$V$19,Poole!$V$21,Poole!$V$23,Poole!$V$25,Poole!V47,Poole!$V$29,Poole!$V$31,Poole!$V$33,Poole!$V$35,Poole!$V$37,Poole!$V$39,Poole!$V$41,Poole!$V$43,Poole!$V$45,Poole!$V$47)),"",(AVERAGE(Poole!$V$7,Poole!$V$9,Poole!$V$11,Poole!$V$13,Poole!$V$15,Poole!$V$17,Poole!$V$19,Poole!$V$21,Poole!$V$23,Poole!$V$25,Poole!V47,Poole!$V$29,Poole!$V$31,Poole!$V$33,Poole!$V$35,Poole!$V$37,Poole!$V$39,Poole!$V$41,Poole!$V$43,Poole!$V$45,Poole!$V$47)))</f>
        <v>21.877499999999998</v>
      </c>
      <c r="U25" s="156">
        <f>IF(ISERROR(AVERAGE(Poole!$W$7,Poole!$W$9,Poole!$W$11,Poole!$W$13,Poole!$W$15,Poole!$W$17,Poole!$W$19,Poole!$W$21,Poole!$W$23,Poole!$W$25,Poole!$W$27,Poole!$W$29,Poole!$W$31,Poole!$W$33,Poole!$W$35,Poole!$W$37,Poole!$W$39,Poole!$W$41,Poole!$W$43,Poole!$W$45,Poole!$W$47)),"",(AVERAGE(Poole!$W$7,Poole!$W$9,Poole!$W$11,Poole!$W$13,Poole!$W$15,Poole!$W$17,Poole!$W$19,Poole!$W$21,Poole!$W$23,Poole!$W$25,Poole!$W$27,Poole!$W$29,Poole!$W$31,Poole!$W$33,Poole!$W$35,Poole!$W$37,Poole!$W$39,Poole!$W$41,Poole!$W$43,Poole!$W$45,Poole!$W$47)))</f>
        <v>21.511250000000004</v>
      </c>
      <c r="V25" s="156">
        <f>IF(ISERROR(AVERAGE(Poole!$X$7,Poole!$X$9,Poole!$X$11,Poole!$X$13,Poole!$X$15,Poole!$X$17,Poole!$X$19,Poole!$X$21,Poole!$X$23,Poole!$X$25,Poole!$X$27,Poole!$X$29,Poole!$X$31,Poole!$X$33,Poole!$X$35,Poole!$X$37,Poole!$X$39,Poole!$X$41,Poole!$X$43,Poole!$X$45,Poole!$X$47)),"",(AVERAGE(Poole!$X$7,Poole!$X$9,Poole!$X$11,Poole!$X$13,Poole!$X$15,Poole!$X$17,Poole!$X$19,Poole!$X$21,Poole!$X$23,Poole!$X$25,Poole!$X$27,Poole!$X$29,Poole!$X$31,Poole!$X$33,Poole!$X$35,Poole!$X$37,Poole!$X$39,Poole!$X$41,Poole!$X$43,Poole!$X$45,Poole!$X$47)))</f>
        <v>22.7075</v>
      </c>
      <c r="W25" s="156">
        <f>IF(ISERROR(AVERAGE(Poole!$Y$7,Poole!$Y$9,Poole!$Y$11,Poole!$Y$13,Poole!$Y$15,Poole!$Y$17,Poole!$Y$19,Poole!$Y$21,Poole!$Y$23,Poole!$Y$25,Poole!$Y$27,Poole!$Y$29,Poole!$Y$31,Poole!$Y$33,Poole!$Y$35,Poole!$Y$37,Poole!$Y$39,Poole!$Y$41,Poole!$Y$43,Poole!$Y$45,Poole!$Y$47)),"",(AVERAGE(Poole!$Y$7,Poole!$Y$9,Poole!$Y$11,Poole!$Y$13,Poole!$Y$15,Poole!$Y$17,Poole!$Y$19,Poole!$Y$21,Poole!$Y$23,Poole!$Y$25,Poole!$Y$27,Poole!$Y$29,Poole!$Y$31,Poole!$Y$33,Poole!$Y$35,Poole!$Y$37,Poole!$Y$39,Poole!$Y$41,Poole!$Y$43,Poole!$Y$45,Poole!$Y$47)))</f>
        <v>22.175000000000001</v>
      </c>
      <c r="X25" s="234">
        <f>IF(ISERROR(AVERAGE(K25:W25)),"",(AVERAGE(K25:W25)))</f>
        <v>22.26548076923077</v>
      </c>
      <c r="AA25" s="231">
        <f t="shared" ref="AA25:AB25" si="18">G25</f>
        <v>88</v>
      </c>
      <c r="AB25" s="231">
        <f t="shared" si="18"/>
        <v>68</v>
      </c>
      <c r="AC25" s="231" t="str">
        <f t="shared" ref="AC25:AE25" si="19">B25</f>
        <v>Poole</v>
      </c>
      <c r="AD25" s="231">
        <f t="shared" si="19"/>
        <v>13</v>
      </c>
      <c r="AE25" s="231">
        <f t="shared" si="19"/>
        <v>7</v>
      </c>
      <c r="AF25" s="231">
        <f>F25</f>
        <v>3</v>
      </c>
      <c r="AG25" s="231">
        <f>I25</f>
        <v>33</v>
      </c>
      <c r="AK25" s="231"/>
    </row>
    <row r="26" spans="2:37" ht="16.5" customHeight="1" x14ac:dyDescent="0.2">
      <c r="B26" s="239"/>
      <c r="C26" s="182"/>
      <c r="D26" s="182"/>
      <c r="E26" s="182"/>
      <c r="F26" s="182"/>
      <c r="G26" s="182"/>
      <c r="H26" s="182"/>
      <c r="I26" s="233"/>
      <c r="J26" s="2"/>
      <c r="K26" s="157" t="str">
        <f>Poole!$AR$7&amp;"*"&amp;Poole!$AS$7</f>
        <v>9*3</v>
      </c>
      <c r="L26" s="44" t="str">
        <f>Poole!$AR$8&amp;"*"&amp;Poole!$AS$8</f>
        <v>8*4</v>
      </c>
      <c r="M26" s="44" t="str">
        <f>Poole!$AR$9&amp;"*"&amp;Poole!$AS$9</f>
        <v>9*3</v>
      </c>
      <c r="N26" s="44" t="str">
        <f>Poole!$AR$10&amp;"*"&amp;Poole!$AS$10</f>
        <v>2*10</v>
      </c>
      <c r="O26" s="44" t="str">
        <f>Poole!$AR$11&amp;"*"&amp;Poole!$AS$11</f>
        <v>3*9</v>
      </c>
      <c r="P26" s="44" t="str">
        <f>Poole!$AR$12&amp;"*"&amp;Poole!$AS$12</f>
        <v>8*4</v>
      </c>
      <c r="Q26" s="44" t="str">
        <f>Poole!$AR$13&amp;"*"&amp;Poole!$AS$13</f>
        <v>6*6</v>
      </c>
      <c r="R26" s="44" t="str">
        <f>Poole!$AR$14&amp;"*"&amp;Poole!$AS$14</f>
        <v>8*4</v>
      </c>
      <c r="S26" s="44" t="str">
        <f>Poole!$AR$15&amp;"*"&amp;Poole!$AS$15</f>
        <v>6*6</v>
      </c>
      <c r="T26" s="44" t="str">
        <f>Poole!$AR$16&amp;"*"&amp;Poole!$AS$16</f>
        <v>11*1</v>
      </c>
      <c r="U26" s="44" t="str">
        <f>Poole!$AR$17&amp;"*"&amp;Poole!$AS$17</f>
        <v>6*6</v>
      </c>
      <c r="V26" s="44" t="str">
        <f>Poole!$AR$18&amp;"*"&amp;Poole!$AS$18</f>
        <v>4*8</v>
      </c>
      <c r="W26" s="44" t="str">
        <f>Poole!$AR$19&amp;"*"&amp;Poole!$AS$19</f>
        <v>8*4</v>
      </c>
      <c r="X26" s="211"/>
      <c r="AA26" s="170"/>
      <c r="AB26" s="170"/>
      <c r="AC26" s="170"/>
      <c r="AD26" s="170"/>
      <c r="AE26" s="170"/>
      <c r="AF26" s="170"/>
      <c r="AG26" s="170"/>
      <c r="AK26" s="170"/>
    </row>
    <row r="27" spans="2:37" ht="16.5" customHeight="1" x14ac:dyDescent="0.2">
      <c r="B27" s="242" t="s">
        <v>25</v>
      </c>
      <c r="C27" s="185">
        <f>IF(SUM(SUM(Portland!$AO$21:$AQ$21))=0,0,SUM(Portland!$AO$21:$AQ$21))</f>
        <v>13</v>
      </c>
      <c r="D27" s="185">
        <f>IF(Portland!$AO$21="","",Portland!$AO$21)</f>
        <v>2</v>
      </c>
      <c r="E27" s="185">
        <f>IF(Portland!$AP$21="","",Portland!$AP$21)</f>
        <v>2</v>
      </c>
      <c r="F27" s="185">
        <f>IF(Portland!$AQ$21="","",Portland!$AQ$21)</f>
        <v>9</v>
      </c>
      <c r="G27" s="185">
        <f>IF(Portland!$AR$21="","",Portland!$AR$21)</f>
        <v>54</v>
      </c>
      <c r="H27" s="185">
        <f>IF(Portland!$AS$21="","",Portland!$AS$21)</f>
        <v>102</v>
      </c>
      <c r="I27" s="232">
        <f>SUM(Portland!$AA$7:$AA$48)</f>
        <v>11</v>
      </c>
      <c r="J27" s="2"/>
      <c r="K27" s="155">
        <f>IF(ISERROR(AVERAGE(Portland!$M$7,Portland!$M$9,Portland!$M$11,Portland!$M$13,Portland!$M$15,Portland!$M$17,Portland!$M$19,Portland!$M$21,Portland!$M$23,Portland!$M$25,Portland!$M$27,Portland!$M$29,Portland!$M$31,Portland!$M$33,Portland!$M$35,Portland!$M$37,Portland!$M$39,Portland!$M$41,Portland!$M$43,Portland!$M$45,Portland!$M$47)),"",(AVERAGE(Portland!$M$7,Portland!$M$9,Portland!$M$11,Portland!$M$13,Portland!$M$15,Portland!$M$17,Portland!$M$19,Portland!$M$21,Portland!$M$23,Portland!$M$25,Portland!$M$27,Portland!$M$29,Portland!$M$31,Portland!$M$33,Portland!$M$35,Portland!$M$37,Portland!$M$39,Portland!$M$41,Portland!$M$43,Portland!$M$45,Portland!$M$47)))</f>
        <v>20</v>
      </c>
      <c r="L27" s="156">
        <f>IF(ISERROR(AVERAGE(Portland!$N$7,Portland!$N$9,Portland!$N$11,Portland!$N$13,Portland!$N$15,Portland!$N$17,Portland!$N$19,Portland!$N$21,Portland!$N$23,Portland!$N$25,Portland!$N$27,Portland!$N$29,Portland!$N$31,Portland!$N$33,Portland!$N$35,Portland!$N$37,Portland!$N$39,Portland!$N$41,Portland!$N$43,Portland!$N$45,Portland!$N$47)),"",(AVERAGE(Portland!$N$7,Portland!$N$9,Portland!$N$11,Portland!$N$13,Portland!$N$15,Portland!$N$17,Portland!$N$19,Portland!$N$21,Portland!$N$23,Portland!$N$25,Portland!$N$27,Portland!$N$29,Portland!$N$31,Portland!$N$33,Portland!$N$35,Portland!$N$37,Portland!$N$39,Portland!$N$41,Portland!$N$43,Portland!$N$45,Portland!$N$47)))</f>
        <v>19.968750000000004</v>
      </c>
      <c r="M27" s="156">
        <f>IF(ISERROR(AVERAGE(Portland!$O$7,Portland!$O$9,Portland!$O$11,Portland!$O$13,Portland!$O$15,Portland!$O$17,Portland!$O$19,Portland!$O$21,Portland!$O$23,Portland!$O$25,Portland!$O$27,Portland!$O$29,Portland!$O$31,Portland!$O$33,Portland!$O$35,Portland!$O$37,Portland!$O$39,Portland!$O$41,Portland!$O$43,Portland!$O$45,Portland!$O$47)),"",(AVERAGE(Portland!$O$7,Portland!$O$9,Portland!$O$11,Portland!$O$13,Portland!$O$15,Portland!$O$17,Portland!$O$19,Portland!$O$21,Portland!$O$23,Portland!$O$25,Portland!$O$27,Portland!$O$29,Portland!$O$31,Portland!$O$33,Portland!$O$35,Portland!$O$37,Portland!$O$39,Portland!$O$41,Portland!$O$43,Portland!$O$45,Portland!$O$47)))</f>
        <v>19.544999999999998</v>
      </c>
      <c r="N27" s="156">
        <f>IF(ISERROR(AVERAGE(Portland!$P$7,Portland!$P$9,Portland!$P$11,Portland!$P$13,Portland!$P$15,Portland!$P$17,Portland!$P$19,Portland!$P$21,Portland!$P$23,Portland!$P$25,Portland!$P$27,Portland!$P$29,Portland!$P$31,Portland!$P$33,Portland!$P$35,Portland!$P$37,Portland!$P$39,Portland!$P$41,Portland!$P$43,Portland!$P$45,Portland!$P$47)),"",(AVERAGE(Portland!$P$7,Portland!$P$9,Portland!$P$11,Portland!$P$13,Portland!$P$15,Portland!$P$17,Portland!$P$19,Portland!$P$21,Portland!$P$23,Portland!$P$25,Portland!$P$27,Portland!$P$29,Portland!$P$31,Portland!$P$33,Portland!$P$35,Portland!$P$37,Portland!$P$39,Portland!$P$41,Portland!$P$43,Portland!$P$45,Portland!$P$47)))</f>
        <v>20.68</v>
      </c>
      <c r="O27" s="156">
        <f>IF(ISERROR(AVERAGE(Portland!$Q$7,Portland!$Q$9,Portland!$Q$11,Portland!$Q$13,Portland!$Q$15,Portland!$Q$17,Portland!$Q$19,Portland!$Q$21,Portland!$Q$23,Portland!$Q$25,Portland!$Q$27,Portland!$Q$29,Portland!$Q$31,Portland!$Q$33,Portland!$Q$35,Portland!$Q$37,Portland!$Q$39,Portland!$Q$41,Portland!$Q$43,Portland!$Q$45,Portland!$Q$47)),"",(AVERAGE(Portland!$Q$7,Portland!$Q$9,Portland!$Q$11,Portland!$Q$13,Portland!$Q$15,Portland!$Q$17,Portland!$Q$19,Portland!$Q$21,Portland!$Q$23,Portland!$Q$25,Portland!$Q$27,Portland!$Q$29,Portland!$Q$31,Portland!$Q$33,Portland!$Q$35,Portland!$Q$37,Portland!$Q$39,Portland!$Q$41,Portland!$Q$43,Portland!$Q$45,Portland!$Q$47)))</f>
        <v>21.002499999999998</v>
      </c>
      <c r="P27" s="156">
        <f>IF(ISERROR(AVERAGE(Portland!$R$7,Portland!$R$9,Portland!$R$11,Portland!$R$13,Portland!$R$15,Portland!$R$17,Portland!$R$19,Portland!$R$21,Portland!$R$23,Portland!$R$25,Portland!$R$27,Portland!$R$29,Portland!$R$31,Portland!$R$33,Portland!$R$35,Portland!$R$37,Portland!$R$39,Portland!$R$41,Portland!$R$43,Portland!$R$45,Portland!$R$47)),"",(AVERAGE(Portland!$R$7,Portland!$R$9,Portland!$R$11,Portland!$R$13,Portland!$R$15,Portland!$R$17,Portland!$R$19,Portland!$R$21,Portland!$R$23,Portland!$R$25,Portland!$R$27,Portland!$R$29,Portland!$R$31,Portland!$R$33,Portland!$R$35,Portland!$R$37,Portland!$R$39,Portland!$R$41,Portland!$R$43,Portland!$R$45,Portland!$R$47)))</f>
        <v>20.627500000000001</v>
      </c>
      <c r="Q27" s="156">
        <f>IF(ISERROR(AVERAGE(Portland!$S$7,Portland!$S$9,Portland!$S$11,Portland!$S$13,Portland!$S$15,Portland!$S$17,Portland!$S$19,Portland!$S$21,Portland!$S$23,Portland!$S$25,Portland!$S$27,Portland!$S$29,Portland!$S$31,Portland!$S$33,Portland!$S$35,Portland!$S$37,Portland!$S$39,Portland!$S$41,Portland!$S$43,Portland!$S$45,Portland!$S$47)),"",(AVERAGE(Portland!$S$7,Portland!$S$9,Portland!$S$11,Portland!$S$13,Portland!$S$15,Portland!$S$17,Portland!$S$19,Portland!$S$21,Portland!$S$23,Portland!$S$25,Portland!$S$27,Portland!$S$29,Portland!$S$31,Portland!$S$33,Portland!$S$35,Portland!$S$37,Portland!$S$39,Portland!$S$41,Portland!$S$43,Portland!$S$45,Portland!$S$47)))</f>
        <v>20.967500000000001</v>
      </c>
      <c r="R27" s="156">
        <f>IF(ISERROR(AVERAGE(Portland!$T$7,Portland!$T$9,Portland!$T$11,Portland!$T$13,Portland!$T$15,Portland!$T$17,Portland!$T$19,Portland!$T$21,Portland!$T$23,Portland!$T$25,Portland!$T$27,Portland!$T$29,Portland!$T$31,Portland!$T$33,Portland!$T$35,Portland!$T$37,Portland!$T$39,Portland!$T$41,Portland!$T$43,Portland!$T$45,Portland!$T$47)),"",(AVERAGE(Portland!$T$7,Portland!$T$9,Portland!$T$11,Portland!$T$13,Portland!$T$15,Portland!$T$17,Portland!$T$19,Portland!$T$21,Portland!$T$23,Portland!$T$25,Portland!$T$27,Portland!$T$29,Portland!$T$31,Portland!$T$33,Portland!$T$35,Portland!$T$37,Portland!$T$39,Portland!$T$41,Portland!$T$43,Portland!$T$45,Portland!$T$47)))</f>
        <v>20.156249999999996</v>
      </c>
      <c r="S27" s="156">
        <f>IF(ISERROR(AVERAGE(Portland!$U$7,Portland!$U$9,Portland!$U$11,Portland!$U$13,Portland!$U$15,Portland!$U$17,Portland!$U$19,Portland!$U$21,Portland!$U$23,Portland!$U$25,Portland!$U$27,Portland!$U$29,Portland!$U$31,Portland!$U$33,Portland!$U$35,Portland!$U$37,Portland!$U$39,Portland!$U$41,Portland!$U$43,Portland!$U$45,Portland!$U$47)),"",(AVERAGE(Portland!$U$7,Portland!$U$9,Portland!$U$11,Portland!$U$13,Portland!$U$15,Portland!$U$17,Portland!$U$19,Portland!$U$21,Portland!$U$23,Portland!$U$25,Portland!$U$27,Portland!$U$29,Portland!$U$31,Portland!$U$33,Portland!$U$35,Portland!$U$37,Portland!$U$39,Portland!$U$41,Portland!$U$43,Portland!$U$45,Portland!$U$47)))</f>
        <v>20.035</v>
      </c>
      <c r="T27" s="156">
        <f>IF(ISERROR(AVERAGE(Portland!$V$7,Portland!$V$9,Portland!$V$11,Portland!$V$13,Portland!$V$15,Portland!$V$17,Portland!$V$19,Portland!$V$21,Portland!$V$23,Portland!$V$25,Portland!V49,Portland!$V$29,Portland!$V$31,Portland!$V$33,Portland!$V$35,Portland!$V$37,Portland!$V$39,Portland!$V$41,Portland!$V$43,Portland!$V$45,Portland!$V$47)),"",(AVERAGE(Portland!$V$7,Portland!$V$9,Portland!$V$11,Portland!$V$13,Portland!$V$15,Portland!$V$17,Portland!$V$19,Portland!$V$21,Portland!$V$23,Portland!$V$25,Portland!V49,Portland!$V$29,Portland!$V$31,Portland!$V$33,Portland!$V$35,Portland!$V$37,Portland!$V$39,Portland!$V$41,Portland!$V$43,Portland!$V$45,Portland!$V$47)))</f>
        <v>19.157142857142855</v>
      </c>
      <c r="U27" s="156">
        <f>IF(ISERROR(AVERAGE(Portland!$W$7,Portland!$W$9,Portland!$W$11,Portland!$W$13,Portland!$W$15,Portland!$W$17,Portland!$W$19,Portland!$W$21,Portland!$W$23,Portland!$W$25,Portland!$W$27,Portland!$W$29,Portland!$W$31,Portland!$W$33,Portland!$W$35,Portland!$W$37,Portland!$W$39,Portland!$W$41,Portland!$W$43,Portland!$W$45,Portland!$W$47)),"",(AVERAGE(Portland!$W$7,Portland!$W$9,Portland!$W$11,Portland!$W$13,Portland!$W$15,Portland!$W$17,Portland!$W$19,Portland!$W$21,Portland!$W$23,Portland!$W$25,Portland!$W$27,Portland!$W$29,Portland!$W$31,Portland!$W$33,Portland!$W$35,Portland!$W$37,Portland!$W$39,Portland!$W$41,Portland!$W$43,Portland!$W$45,Portland!$W$47)))</f>
        <v>20.078749999999999</v>
      </c>
      <c r="V27" s="156">
        <f>IF(ISERROR(AVERAGE(Portland!$X$7,Portland!$X$9,Portland!$X$11,Portland!$X$13,Portland!$X$15,Portland!$X$17,Portland!$X$19,Portland!$X$21,Portland!$X$23,Portland!$X$25,Portland!$X$27,Portland!$X$29,Portland!$X$31,Portland!$X$33,Portland!$X$35,Portland!$X$37,Portland!$X$39,Portland!$X$41,Portland!$X$43,Portland!$X$45,Portland!$X$47)),"",(AVERAGE(Portland!$X$7,Portland!$X$9,Portland!$X$11,Portland!$X$13,Portland!$X$15,Portland!$X$17,Portland!$X$19,Portland!$X$21,Portland!$X$23,Portland!$X$25,Portland!$X$27,Portland!$X$29,Portland!$X$31,Portland!$X$33,Portland!$X$35,Portland!$X$37,Portland!$X$39,Portland!$X$41,Portland!$X$43,Portland!$X$45,Portland!$X$47)))</f>
        <v>20.290000000000003</v>
      </c>
      <c r="W27" s="156">
        <f>IF(ISERROR(AVERAGE(Portland!$Y$7,Portland!$Y$9,Portland!$Y$11,Portland!$Y$13,Portland!$Y$15,Portland!$Y$17,Portland!$Y$19,Portland!$Y$21,Portland!$Y$23,Portland!$Y$25,Portland!$Y$27,Portland!$Y$29,Portland!$Y$31,Portland!$Y$33,Portland!$Y$35,Portland!$Y$37,Portland!$Y$39,Portland!$Y$41,Portland!$Y$43,Portland!$Y$45,Portland!$Y$47)),"",(AVERAGE(Portland!$Y$7,Portland!$Y$9,Portland!$Y$11,Portland!$Y$13,Portland!$Y$15,Portland!$Y$17,Portland!$Y$19,Portland!$Y$21,Portland!$Y$23,Portland!$Y$25,Portland!$Y$27,Portland!$Y$29,Portland!$Y$31,Portland!$Y$33,Portland!$Y$35,Portland!$Y$37,Portland!$Y$39,Portland!$Y$41,Portland!$Y$43,Portland!$Y$45,Portland!$Y$47)))</f>
        <v>19.572500000000002</v>
      </c>
      <c r="X27" s="234">
        <f>IF(ISERROR(AVERAGE(K27:W27)),"",(AVERAGE(K27:W27)))</f>
        <v>20.16006868131868</v>
      </c>
      <c r="AA27" s="231">
        <f t="shared" ref="AA27:AB27" si="20">G27</f>
        <v>54</v>
      </c>
      <c r="AB27" s="231">
        <f t="shared" si="20"/>
        <v>102</v>
      </c>
      <c r="AC27" s="231" t="str">
        <f t="shared" ref="AC27:AE27" si="21">B27</f>
        <v>Portland</v>
      </c>
      <c r="AD27" s="231">
        <f t="shared" si="21"/>
        <v>13</v>
      </c>
      <c r="AE27" s="231">
        <f t="shared" si="21"/>
        <v>2</v>
      </c>
      <c r="AF27" s="231">
        <f>F27</f>
        <v>9</v>
      </c>
      <c r="AG27" s="231">
        <f>I27</f>
        <v>11</v>
      </c>
      <c r="AK27" s="231"/>
    </row>
    <row r="28" spans="2:37" ht="16.5" customHeight="1" x14ac:dyDescent="0.2">
      <c r="B28" s="239"/>
      <c r="C28" s="182"/>
      <c r="D28" s="182"/>
      <c r="E28" s="182"/>
      <c r="F28" s="182"/>
      <c r="G28" s="182"/>
      <c r="H28" s="182"/>
      <c r="I28" s="233"/>
      <c r="J28" s="2"/>
      <c r="K28" s="157" t="str">
        <f>Portland!$AR$7&amp;"*"&amp;Portland!$AS$7</f>
        <v>3*9</v>
      </c>
      <c r="L28" s="44" t="str">
        <f>Portland!$AR$8&amp;"*"&amp;Portland!$AS$8</f>
        <v>5*7</v>
      </c>
      <c r="M28" s="44" t="str">
        <f>Portland!$AR$9&amp;"*"&amp;Portland!$AS$9</f>
        <v>2*10</v>
      </c>
      <c r="N28" s="44" t="str">
        <f>Portland!$AR$10&amp;"*"&amp;Portland!$AS$10</f>
        <v>5*7</v>
      </c>
      <c r="O28" s="44" t="str">
        <f>Portland!$AR$11&amp;"*"&amp;Portland!$AS$11</f>
        <v>1*11</v>
      </c>
      <c r="P28" s="44" t="str">
        <f>Portland!$AR$12&amp;"*"&amp;Portland!$AS$12</f>
        <v>4*8</v>
      </c>
      <c r="Q28" s="44" t="str">
        <f>Portland!$AR$13&amp;"*"&amp;Portland!$AS$13</f>
        <v>3*9</v>
      </c>
      <c r="R28" s="44" t="str">
        <f>Portland!$AR$14&amp;"*"&amp;Portland!$AS$14</f>
        <v>0*12</v>
      </c>
      <c r="S28" s="44" t="str">
        <f>Portland!$AR$15&amp;"*"&amp;Portland!$AS$15</f>
        <v>2*10</v>
      </c>
      <c r="T28" s="44" t="str">
        <f>Portland!$AR$16&amp;"*"&amp;Portland!$AS$16</f>
        <v>10*2</v>
      </c>
      <c r="U28" s="44" t="str">
        <f>Portland!$AR$17&amp;"*"&amp;Portland!$AS$17</f>
        <v>6*6</v>
      </c>
      <c r="V28" s="44" t="str">
        <f>Portland!$AR$18&amp;"*"&amp;Portland!$AS$18</f>
        <v>7*5</v>
      </c>
      <c r="W28" s="44" t="str">
        <f>Portland!$AR$19&amp;"*"&amp;Portland!$AS$19</f>
        <v>6*6</v>
      </c>
      <c r="X28" s="211"/>
      <c r="AA28" s="170"/>
      <c r="AB28" s="170"/>
      <c r="AC28" s="170"/>
      <c r="AD28" s="170"/>
      <c r="AE28" s="170"/>
      <c r="AF28" s="170"/>
      <c r="AG28" s="170"/>
      <c r="AK28" s="170"/>
    </row>
    <row r="29" spans="2:37" ht="16.5" customHeight="1" x14ac:dyDescent="0.2">
      <c r="B29" s="242" t="s">
        <v>21</v>
      </c>
      <c r="C29" s="185">
        <f>IF(SUM(SUM(Shaftesbury!$AO$21:$AQ$21))=0,0,SUM(Shaftesbury!$AO$21:$AQ$21))</f>
        <v>13</v>
      </c>
      <c r="D29" s="185">
        <f>IF(Shaftesbury!$AO$21="","",Shaftesbury!$AO$21)</f>
        <v>4</v>
      </c>
      <c r="E29" s="185">
        <f>IF(Shaftesbury!$AP$21="","",Shaftesbury!$AP$21)</f>
        <v>3</v>
      </c>
      <c r="F29" s="185">
        <f>IF(Shaftesbury!$AQ$21="","",Shaftesbury!$AQ$21)</f>
        <v>6</v>
      </c>
      <c r="G29" s="185">
        <f>IF(Shaftesbury!$AR$21="","",Shaftesbury!$AR$21)</f>
        <v>65</v>
      </c>
      <c r="H29" s="185">
        <f>IF(Shaftesbury!$AS$21="","",Shaftesbury!$AS$21)</f>
        <v>91</v>
      </c>
      <c r="I29" s="232">
        <f>SUM(Shaftesbury!$AA$7:$AA$48)</f>
        <v>31</v>
      </c>
      <c r="J29" s="2"/>
      <c r="K29" s="155">
        <f>IF(ISERROR(AVERAGE(Shaftesbury!$M$7,Shaftesbury!$M$9,Shaftesbury!$M$11,Shaftesbury!$M$13,Shaftesbury!$M$15,Shaftesbury!$M$17,Shaftesbury!$M$19,Shaftesbury!$M$21,Shaftesbury!$M$23,Shaftesbury!$M$25,Shaftesbury!$M$27,Shaftesbury!$M$29,Shaftesbury!$M$31,Shaftesbury!$M$33,Shaftesbury!$M$35,Shaftesbury!$M$37,Shaftesbury!$M$39,Shaftesbury!$M$41,Shaftesbury!$M$43,Shaftesbury!$M$45,Shaftesbury!$M$47)),"",(AVERAGE(Shaftesbury!$M$7,Shaftesbury!$M$9,Shaftesbury!$M$11,Shaftesbury!$M$13,Shaftesbury!$M$15,Shaftesbury!$M$17,Shaftesbury!$M$19,Shaftesbury!$M$21,Shaftesbury!$M$23,Shaftesbury!$M$25,Shaftesbury!$M$27,Shaftesbury!$M$29,Shaftesbury!$M$31,Shaftesbury!$M$33,Shaftesbury!$M$35,Shaftesbury!$M$37,Shaftesbury!$M$39,Shaftesbury!$M$41,Shaftesbury!$M$43,Shaftesbury!$M$45,Shaftesbury!$M$47)))</f>
        <v>19.83625</v>
      </c>
      <c r="L29" s="156">
        <f>IF(ISERROR(AVERAGE(Shaftesbury!$N$7,Shaftesbury!$N$9,Shaftesbury!$N$11,Shaftesbury!$N$13,Shaftesbury!$N$15,Shaftesbury!$N$17,Shaftesbury!$N$19,Shaftesbury!$N$21,Shaftesbury!$N$23,Shaftesbury!$N$25,Shaftesbury!$N$27,Shaftesbury!$N$29,Shaftesbury!$N$31,Shaftesbury!$N$33,Shaftesbury!$N$35,Shaftesbury!$N$37,Shaftesbury!$N$39,Shaftesbury!$N$41,Shaftesbury!$N$43,Shaftesbury!$N$45,Shaftesbury!$N$47)),"",(AVERAGE(Shaftesbury!$N$7,Shaftesbury!$N$9,Shaftesbury!$N$11,Shaftesbury!$N$13,Shaftesbury!$N$15,Shaftesbury!$N$17,Shaftesbury!$N$19,Shaftesbury!$N$21,Shaftesbury!$N$23,Shaftesbury!$N$25,Shaftesbury!$N$27,Shaftesbury!$N$29,Shaftesbury!$N$31,Shaftesbury!$N$33,Shaftesbury!$N$35,Shaftesbury!$N$37,Shaftesbury!$N$39,Shaftesbury!$N$41,Shaftesbury!$N$43,Shaftesbury!$N$45,Shaftesbury!$N$47)))</f>
        <v>19.787499999999998</v>
      </c>
      <c r="M29" s="156">
        <f>IF(ISERROR(AVERAGE(Shaftesbury!$O$7,Shaftesbury!$O$9,Shaftesbury!$O$11,Shaftesbury!$O$13,Shaftesbury!$O$15,Shaftesbury!$O$17,Shaftesbury!$O$19,Shaftesbury!$O$21,Shaftesbury!$O$23,Shaftesbury!$O$25,Shaftesbury!$O$27,Shaftesbury!$O$29,Shaftesbury!$O$31,Shaftesbury!$O$33,Shaftesbury!$O$35,Shaftesbury!$O$37,Shaftesbury!$O$39,Shaftesbury!$O$41,Shaftesbury!$O$43,Shaftesbury!$O$45,Shaftesbury!$O$47)),"",(AVERAGE(Shaftesbury!$O$7,Shaftesbury!$O$9,Shaftesbury!$O$11,Shaftesbury!$O$13,Shaftesbury!$O$15,Shaftesbury!$O$17,Shaftesbury!$O$19,Shaftesbury!$O$21,Shaftesbury!$O$23,Shaftesbury!$O$25,Shaftesbury!$O$27,Shaftesbury!$O$29,Shaftesbury!$O$31,Shaftesbury!$O$33,Shaftesbury!$O$35,Shaftesbury!$O$37,Shaftesbury!$O$39,Shaftesbury!$O$41,Shaftesbury!$O$43,Shaftesbury!$O$45,Shaftesbury!$O$47)))</f>
        <v>21.03875</v>
      </c>
      <c r="N29" s="156">
        <f>IF(ISERROR(AVERAGE(Shaftesbury!$P$7,Shaftesbury!$P$9,Shaftesbury!$P$11,Shaftesbury!$P$13,Shaftesbury!$P$15,Shaftesbury!$P$17,Shaftesbury!$P$19,Shaftesbury!$P$21,Shaftesbury!$P$23,Shaftesbury!$P$25,Shaftesbury!$P$27,Shaftesbury!$P$29,Shaftesbury!$P$31,Shaftesbury!$P$33,Shaftesbury!$P$35,Shaftesbury!$P$37,Shaftesbury!$P$39,Shaftesbury!$P$41,Shaftesbury!$P$43,Shaftesbury!$P$45,Shaftesbury!$P$47)),"",(AVERAGE(Shaftesbury!$P$7,Shaftesbury!$P$9,Shaftesbury!$P$11,Shaftesbury!$P$13,Shaftesbury!$P$15,Shaftesbury!$P$17,Shaftesbury!$P$19,Shaftesbury!$P$21,Shaftesbury!$P$23,Shaftesbury!$P$25,Shaftesbury!$P$27,Shaftesbury!$P$29,Shaftesbury!$P$31,Shaftesbury!$P$33,Shaftesbury!$P$35,Shaftesbury!$P$37,Shaftesbury!$P$39,Shaftesbury!$P$41,Shaftesbury!$P$43,Shaftesbury!$P$45,Shaftesbury!$P$47)))</f>
        <v>20.438749999999999</v>
      </c>
      <c r="O29" s="156">
        <f>IF(ISERROR(AVERAGE(Shaftesbury!$Q$7,Shaftesbury!$Q$9,Shaftesbury!$Q$11,Shaftesbury!$Q$13,Shaftesbury!$Q$15,Shaftesbury!$Q$17,Shaftesbury!$Q$19,Shaftesbury!$Q$21,Shaftesbury!$Q$23,Shaftesbury!$Q$25,Shaftesbury!$Q$27,Shaftesbury!$Q$29,Shaftesbury!$Q$31,Shaftesbury!$Q$33,Shaftesbury!$Q$35,Shaftesbury!$Q$37,Shaftesbury!$Q$39,Shaftesbury!$Q$41,Shaftesbury!$Q$43,Shaftesbury!$Q$45,Shaftesbury!$Q$47)),"",(AVERAGE(Shaftesbury!$Q$7,Shaftesbury!$Q$9,Shaftesbury!$Q$11,Shaftesbury!$Q$13,Shaftesbury!$Q$15,Shaftesbury!$Q$17,Shaftesbury!$Q$19,Shaftesbury!$Q$21,Shaftesbury!$Q$23,Shaftesbury!$Q$25,Shaftesbury!$Q$27,Shaftesbury!$Q$29,Shaftesbury!$Q$31,Shaftesbury!$Q$33,Shaftesbury!$Q$35,Shaftesbury!$Q$37,Shaftesbury!$Q$39,Shaftesbury!$Q$41,Shaftesbury!$Q$43,Shaftesbury!$Q$45,Shaftesbury!$Q$47)))</f>
        <v>21.015000000000001</v>
      </c>
      <c r="P29" s="156">
        <f>IF(ISERROR(AVERAGE(Shaftesbury!$R$7,Shaftesbury!$R$9,Shaftesbury!$R$11,Shaftesbury!$R$13,Shaftesbury!$R$15,Shaftesbury!$R$17,Shaftesbury!$R$19,Shaftesbury!$R$21,Shaftesbury!$R$23,Shaftesbury!$R$25,Shaftesbury!$R$27,Shaftesbury!$R$29,Shaftesbury!$R$31,Shaftesbury!$R$33,Shaftesbury!$R$35,Shaftesbury!$R$37,Shaftesbury!$R$39,Shaftesbury!$R$41,Shaftesbury!$R$43,Shaftesbury!$R$45,Shaftesbury!$R$47)),"",(AVERAGE(Shaftesbury!$R$7,Shaftesbury!$R$9,Shaftesbury!$R$11,Shaftesbury!$R$13,Shaftesbury!$R$15,Shaftesbury!$R$17,Shaftesbury!$R$19,Shaftesbury!$R$21,Shaftesbury!$R$23,Shaftesbury!$R$25,Shaftesbury!$R$27,Shaftesbury!$R$29,Shaftesbury!$R$31,Shaftesbury!$R$33,Shaftesbury!$R$35,Shaftesbury!$R$37,Shaftesbury!$R$39,Shaftesbury!$R$41,Shaftesbury!$R$43,Shaftesbury!$R$45,Shaftesbury!$R$47)))</f>
        <v>20.885714285714283</v>
      </c>
      <c r="Q29" s="156">
        <f>IF(ISERROR(AVERAGE(Shaftesbury!$S$7,Shaftesbury!$S$9,Shaftesbury!$S$11,Shaftesbury!$S$13,Shaftesbury!$S$15,Shaftesbury!$S$17,Shaftesbury!$S$19,Shaftesbury!$S$21,Shaftesbury!$S$23,Shaftesbury!$S$25,Shaftesbury!$S$27,Shaftesbury!$S$29,Shaftesbury!$S$31,Shaftesbury!$S$33,Shaftesbury!$S$35,Shaftesbury!$S$37,Shaftesbury!$S$39,Shaftesbury!$S$41,Shaftesbury!$S$43,Shaftesbury!$S$45,Shaftesbury!$S$47)),"",(AVERAGE(Shaftesbury!$S$7,Shaftesbury!$S$9,Shaftesbury!$S$11,Shaftesbury!$S$13,Shaftesbury!$S$15,Shaftesbury!$S$17,Shaftesbury!$S$19,Shaftesbury!$S$21,Shaftesbury!$S$23,Shaftesbury!$S$25,Shaftesbury!$S$27,Shaftesbury!$S$29,Shaftesbury!$S$31,Shaftesbury!$S$33,Shaftesbury!$S$35,Shaftesbury!$S$37,Shaftesbury!$S$39,Shaftesbury!$S$41,Shaftesbury!$S$43,Shaftesbury!$S$45,Shaftesbury!$S$47)))</f>
        <v>21.787499999999998</v>
      </c>
      <c r="R29" s="156">
        <f>IF(ISERROR(AVERAGE(Shaftesbury!$T$7,Shaftesbury!$T$9,Shaftesbury!$T$11,Shaftesbury!$T$13,Shaftesbury!$T$15,Shaftesbury!$T$17,Shaftesbury!$T$19,Shaftesbury!$T$21,Shaftesbury!$T$23,Shaftesbury!$T$25,Shaftesbury!$T$27,Shaftesbury!$T$29,Shaftesbury!$T$31,Shaftesbury!$T$33,Shaftesbury!$T$35,Shaftesbury!$T$37,Shaftesbury!$T$39,Shaftesbury!$T$41,Shaftesbury!$T$43,Shaftesbury!$T$45,Shaftesbury!$T$47)),"",(AVERAGE(Shaftesbury!$T$7,Shaftesbury!$T$9,Shaftesbury!$T$11,Shaftesbury!$T$13,Shaftesbury!$T$15,Shaftesbury!$T$17,Shaftesbury!$T$19,Shaftesbury!$T$21,Shaftesbury!$T$23,Shaftesbury!$T$25,Shaftesbury!$T$27,Shaftesbury!$T$29,Shaftesbury!$T$31,Shaftesbury!$T$33,Shaftesbury!$T$35,Shaftesbury!$T$37,Shaftesbury!$T$39,Shaftesbury!$T$41,Shaftesbury!$T$43,Shaftesbury!$T$45,Shaftesbury!$T$47)))</f>
        <v>21.340000000000003</v>
      </c>
      <c r="S29" s="156">
        <f>IF(ISERROR(AVERAGE(Shaftesbury!$U$7,Shaftesbury!$U$9,Shaftesbury!$U$11,Shaftesbury!$U$13,Shaftesbury!$U$15,Shaftesbury!$U$17,Shaftesbury!$U$19,Shaftesbury!$U$21,Shaftesbury!$U$23,Shaftesbury!$U$25,Shaftesbury!$U$27,Shaftesbury!$U$29,Shaftesbury!$U$31,Shaftesbury!$U$33,Shaftesbury!$U$35,Shaftesbury!$U$37,Shaftesbury!$U$39,Shaftesbury!$U$41,Shaftesbury!$U$43,Shaftesbury!$U$45,Shaftesbury!$U$47)),"",(AVERAGE(Shaftesbury!$U$7,Shaftesbury!$U$9,Shaftesbury!$U$11,Shaftesbury!$U$13,Shaftesbury!$U$15,Shaftesbury!$U$17,Shaftesbury!$U$19,Shaftesbury!$U$21,Shaftesbury!$U$23,Shaftesbury!$U$25,Shaftesbury!$U$27,Shaftesbury!$U$29,Shaftesbury!$U$31,Shaftesbury!$U$33,Shaftesbury!$U$35,Shaftesbury!$U$37,Shaftesbury!$U$39,Shaftesbury!$U$41,Shaftesbury!$U$43,Shaftesbury!$U$45,Shaftesbury!$U$47)))</f>
        <v>20.868750000000002</v>
      </c>
      <c r="T29" s="156">
        <f>IF(ISERROR(AVERAGE(Shaftesbury!$V$7,Shaftesbury!$V$9,Shaftesbury!$V$11,Shaftesbury!$V$13,Shaftesbury!$V$15,Shaftesbury!$V$17,Shaftesbury!$V$19,Shaftesbury!$V$21,Shaftesbury!$V$23,Shaftesbury!$V$25,Shaftesbury!$V$27,Shaftesbury!$V$29,Shaftesbury!$V$31,Shaftesbury!$V$33,Shaftesbury!$V$35,Shaftesbury!$V$37,Shaftesbury!$V$39,Shaftesbury!$V$41,Shaftesbury!$V$43,Shaftesbury!$V$45,Shaftesbury!$V$47)),"",(AVERAGE(Shaftesbury!$V$7,Shaftesbury!$V$9,Shaftesbury!$V$11,Shaftesbury!$V$13,Shaftesbury!$V$15,Shaftesbury!$V$17,Shaftesbury!$V$19,Shaftesbury!$V$21,Shaftesbury!$V$23,Shaftesbury!$V$25,Shaftesbury!$V$27,Shaftesbury!$V$29,Shaftesbury!$V$31,Shaftesbury!$V$33,Shaftesbury!$V$35,Shaftesbury!$V$37,Shaftesbury!$V$39,Shaftesbury!$V$41,Shaftesbury!$V$43,Shaftesbury!$V$45,Shaftesbury!$V$47)))</f>
        <v>21.877499999999998</v>
      </c>
      <c r="U29" s="156">
        <f>IF(ISERROR(AVERAGE(Shaftesbury!$W$7,Shaftesbury!$W$9,Shaftesbury!$W$11,Shaftesbury!$W$13,Shaftesbury!$W$15,Shaftesbury!$W$17,Shaftesbury!$W$19,Shaftesbury!$W$21,Shaftesbury!$W$23,Shaftesbury!$W$25,Shaftesbury!$W$27,Shaftesbury!$W$29,Shaftesbury!$W$31,Shaftesbury!$W$33,Shaftesbury!$W$35,Shaftesbury!$W$37,Shaftesbury!$W$39,Shaftesbury!$W$41,Shaftesbury!$W$43,Shaftesbury!$W$45,Shaftesbury!$W$47)),"",(AVERAGE(Shaftesbury!$W$7,Shaftesbury!$W$9,Shaftesbury!$W$11,Shaftesbury!$W$13,Shaftesbury!$W$15,Shaftesbury!$W$17,Shaftesbury!$W$19,Shaftesbury!$W$21,Shaftesbury!$W$23,Shaftesbury!$W$25,Shaftesbury!$W$27,Shaftesbury!$W$29,Shaftesbury!$W$31,Shaftesbury!$W$33,Shaftesbury!$W$35,Shaftesbury!$W$37,Shaftesbury!$W$39,Shaftesbury!$W$41,Shaftesbury!$W$43,Shaftesbury!$W$45,Shaftesbury!$W$47)))</f>
        <v>22.210000000000004</v>
      </c>
      <c r="V29" s="156">
        <f>IF(ISERROR(AVERAGE(Shaftesbury!$X$7,Shaftesbury!$X$9,Shaftesbury!$X$11,Shaftesbury!$X$13,Shaftesbury!$X$15,Shaftesbury!$X$17,Shaftesbury!$X$19,Shaftesbury!$X$21,Shaftesbury!$X$23,Shaftesbury!$X$25,Shaftesbury!$X$27,Shaftesbury!$X$29,Shaftesbury!$X$31,Shaftesbury!$X$33,Shaftesbury!$X$35,Shaftesbury!$X$37,Shaftesbury!$X$39,Shaftesbury!$X$41,Shaftesbury!$X$43,Shaftesbury!$X$45,Shaftesbury!$X$47)),"",(AVERAGE(Shaftesbury!$X$7,Shaftesbury!$X$9,Shaftesbury!$X$11,Shaftesbury!$X$13,Shaftesbury!$X$15,Shaftesbury!$X$17,Shaftesbury!$X$19,Shaftesbury!$X$21,Shaftesbury!$X$23,Shaftesbury!$X$25,Shaftesbury!$X$27,Shaftesbury!$X$29,Shaftesbury!$X$31,Shaftesbury!$X$33,Shaftesbury!$X$35,Shaftesbury!$X$37,Shaftesbury!$X$39,Shaftesbury!$X$41,Shaftesbury!$X$43,Shaftesbury!$X$45,Shaftesbury!$X$47)))</f>
        <v>19.712499999999999</v>
      </c>
      <c r="W29" s="156">
        <f>IF(ISERROR(AVERAGE(Shaftesbury!$Y$7,Shaftesbury!$Y$9,Shaftesbury!$Y$11,Shaftesbury!$Y$13,Shaftesbury!$Y$15,Shaftesbury!$Y$17,Shaftesbury!$Y$19,Shaftesbury!$Y$21,Shaftesbury!$Y$23,Shaftesbury!$Y$25,Shaftesbury!$Y$27,Shaftesbury!$Y$29,Shaftesbury!$Y$31,Shaftesbury!$Y$33,Shaftesbury!$Y$35,Shaftesbury!$Y$37,Shaftesbury!$Y$39,Shaftesbury!$Y$41,Shaftesbury!$Y$43,Shaftesbury!$Y$45,Shaftesbury!$Y$47)),"",(AVERAGE(Shaftesbury!$Y$7,Shaftesbury!$Y$9,Shaftesbury!$Y$11,Shaftesbury!$Y$13,Shaftesbury!$Y$15,Shaftesbury!$Y$17,Shaftesbury!$Y$19,Shaftesbury!$Y$21,Shaftesbury!$Y$23,Shaftesbury!$Y$25,Shaftesbury!$Y$27,Shaftesbury!$Y$29,Shaftesbury!$Y$31,Shaftesbury!$Y$33,Shaftesbury!$Y$35,Shaftesbury!$Y$37,Shaftesbury!$Y$39,Shaftesbury!$Y$41,Shaftesbury!$Y$43,Shaftesbury!$Y$45,Shaftesbury!$Y$47)))</f>
        <v>22.766250000000003</v>
      </c>
      <c r="X29" s="234">
        <f>IF(ISERROR(AVERAGE(K29:W29)),"",(AVERAGE(K29:W29)))</f>
        <v>21.043420329670329</v>
      </c>
      <c r="AA29" s="231">
        <f t="shared" ref="AA29:AB29" si="22">G29</f>
        <v>65</v>
      </c>
      <c r="AB29" s="231">
        <f t="shared" si="22"/>
        <v>91</v>
      </c>
      <c r="AC29" s="231" t="str">
        <f t="shared" ref="AC29:AE29" si="23">B29</f>
        <v>Shaftesbury</v>
      </c>
      <c r="AD29" s="231">
        <f t="shared" si="23"/>
        <v>13</v>
      </c>
      <c r="AE29" s="231">
        <f t="shared" si="23"/>
        <v>4</v>
      </c>
      <c r="AF29" s="231">
        <f>F29</f>
        <v>6</v>
      </c>
      <c r="AG29" s="231">
        <f>I29</f>
        <v>31</v>
      </c>
      <c r="AK29" s="231"/>
    </row>
    <row r="30" spans="2:37" ht="16.5" customHeight="1" x14ac:dyDescent="0.2">
      <c r="B30" s="239"/>
      <c r="C30" s="182"/>
      <c r="D30" s="182"/>
      <c r="E30" s="182"/>
      <c r="F30" s="182"/>
      <c r="G30" s="182"/>
      <c r="H30" s="182"/>
      <c r="I30" s="233"/>
      <c r="J30" s="2"/>
      <c r="K30" s="157" t="str">
        <f>Shaftesbury!$AR$7&amp;"*"&amp;Shaftesbury!$AS$7</f>
        <v>6*6</v>
      </c>
      <c r="L30" s="44" t="str">
        <f>Shaftesbury!$AR$8&amp;"*"&amp;Shaftesbury!$AS$8</f>
        <v>4*8</v>
      </c>
      <c r="M30" s="44" t="str">
        <f>Shaftesbury!$AR$9&amp;"*"&amp;Shaftesbury!$AS$9</f>
        <v>1*11</v>
      </c>
      <c r="N30" s="44" t="str">
        <f>Shaftesbury!$AR$10&amp;"*"&amp;Shaftesbury!$AS$10</f>
        <v>7*5</v>
      </c>
      <c r="O30" s="44" t="str">
        <f>Shaftesbury!$AR$11&amp;"*"&amp;Shaftesbury!$AS$11</f>
        <v>3*9</v>
      </c>
      <c r="P30" s="44" t="str">
        <f>Shaftesbury!$AR$12&amp;"*"&amp;Shaftesbury!$AS$12</f>
        <v>6*6</v>
      </c>
      <c r="Q30" s="44" t="str">
        <f>Shaftesbury!$AR$13&amp;"*"&amp;Shaftesbury!$AS$13</f>
        <v>4*8</v>
      </c>
      <c r="R30" s="44" t="str">
        <f>Shaftesbury!$AR$14&amp;"*"&amp;Shaftesbury!$AS$14</f>
        <v>8*4</v>
      </c>
      <c r="S30" s="44" t="str">
        <f>Shaftesbury!$AR$15&amp;"*"&amp;Shaftesbury!$AS$15</f>
        <v>7*5</v>
      </c>
      <c r="T30" s="44" t="str">
        <f>Shaftesbury!$AR$16&amp;"*"&amp;Shaftesbury!$AS$16</f>
        <v>2*10</v>
      </c>
      <c r="U30" s="44" t="str">
        <f>Shaftesbury!$AR$17&amp;"*"&amp;Shaftesbury!$AS$17</f>
        <v>7*5</v>
      </c>
      <c r="V30" s="44" t="str">
        <f>Shaftesbury!$AR$18&amp;"*"&amp;Shaftesbury!$AS$18</f>
        <v>6*6</v>
      </c>
      <c r="W30" s="44" t="str">
        <f>Shaftesbury!$AR$19&amp;"*"&amp;Shaftesbury!$AS$19</f>
        <v>4*8</v>
      </c>
      <c r="X30" s="235"/>
      <c r="AA30" s="170"/>
      <c r="AB30" s="170"/>
      <c r="AC30" s="170"/>
      <c r="AD30" s="170"/>
      <c r="AE30" s="170"/>
      <c r="AF30" s="170"/>
      <c r="AG30" s="170"/>
      <c r="AK30" s="170"/>
    </row>
    <row r="31" spans="2:37" ht="16.5" customHeight="1" x14ac:dyDescent="0.2">
      <c r="B31" s="242" t="s">
        <v>26</v>
      </c>
      <c r="C31" s="185">
        <f>IF(SUM(SUM(Swanage!$AO$21:$AQ$21))=0,0,SUM(Swanage!$AO$21:$AQ$21))</f>
        <v>13</v>
      </c>
      <c r="D31" s="185">
        <f>IF(Swanage!$AO$21="","",Swanage!$AO$21)</f>
        <v>7</v>
      </c>
      <c r="E31" s="185">
        <f>IF(Swanage!$AP$21="","",Swanage!$AP$21)</f>
        <v>1</v>
      </c>
      <c r="F31" s="185">
        <f>IF(Swanage!$AQ$21="","",Swanage!$AQ$21)</f>
        <v>5</v>
      </c>
      <c r="G31" s="185">
        <f>IF(Swanage!$AR$21="","",Swanage!$AR$21)</f>
        <v>85</v>
      </c>
      <c r="H31" s="185">
        <f>IF(Swanage!$AS$21="","",Swanage!$AS$21)</f>
        <v>71</v>
      </c>
      <c r="I31" s="232">
        <f>SUM(Swanage!$AA$7:$AA$48)</f>
        <v>27</v>
      </c>
      <c r="J31" s="2"/>
      <c r="K31" s="155">
        <f>IF(ISERROR(AVERAGE(Swanage!$M$7,Swanage!$M$9,Swanage!$M$11,Swanage!$M$13,Swanage!$M$15,Swanage!$M$17,Swanage!$M$19,Swanage!$M$21,Swanage!$M$23,Swanage!$M$25,Swanage!$M$27,Swanage!$M$29,Swanage!$M$31,Swanage!$M$33,Swanage!$M$35,Swanage!$M$37,Swanage!$M$39,Swanage!$M$41,Swanage!$M$43,Swanage!$M$45,Swanage!$M$47)),"",(AVERAGE(Swanage!$M$7,Swanage!$M$9,Swanage!$M$11,Swanage!$M$13,Swanage!$M$15,Swanage!$M$17,Swanage!$M$19,Swanage!$M$21,Swanage!$M$23,Swanage!$M$25,Swanage!$M$27,Swanage!$M$29,Swanage!$M$31,Swanage!$M$33,Swanage!$M$35,Swanage!$M$37,Swanage!$M$39,Swanage!$M$41,Swanage!$M$43,Swanage!$M$45,Swanage!$M$47)))</f>
        <v>20.402499999999996</v>
      </c>
      <c r="L31" s="156">
        <f>IF(ISERROR(AVERAGE(Swanage!$N$7,Swanage!$N$9,Swanage!$N$11,Swanage!$N$13,Swanage!$N$15,Swanage!$N$17,Swanage!$N$19,Swanage!$N$21,Swanage!$N$23,Swanage!$N$25,Swanage!$N$27,Swanage!$N$29,Swanage!$N$31,Swanage!$N$33,Swanage!$N$35,Swanage!$N$37,Swanage!$N$39,Swanage!$N$41,Swanage!$N$43,Swanage!$N$45,Swanage!$N$47)),"",(AVERAGE(Swanage!$N$7,Swanage!$N$9,Swanage!$N$11,Swanage!$N$13,Swanage!$N$15,Swanage!$N$17,Swanage!$N$19,Swanage!$N$21,Swanage!$N$23,Swanage!$N$25,Swanage!$N$27,Swanage!$N$29,Swanage!$N$31,Swanage!$N$33,Swanage!$N$35,Swanage!$N$37,Swanage!$N$39,Swanage!$N$41,Swanage!$N$43,Swanage!$N$45,Swanage!$N$47)))</f>
        <v>21.936249999999998</v>
      </c>
      <c r="M31" s="156">
        <f>IF(ISERROR(AVERAGE(Swanage!$O$7,Swanage!$O$9,Swanage!$O$11,Swanage!$O$13,Swanage!$O$15,Swanage!$O$17,Swanage!$O$19,Swanage!$O$21,Swanage!$O$23,Swanage!$O$25,Swanage!$O$27,Swanage!$O$29,Swanage!$O$31,Swanage!$O$33,Swanage!$O$35,Swanage!$O$37,Swanage!$O$39,Swanage!$O$41,Swanage!$O$43,Swanage!$O$45,Swanage!$O$47)),"",(AVERAGE(Swanage!$O$7,Swanage!$O$9,Swanage!$O$11,Swanage!$O$13,Swanage!$O$15,Swanage!$O$17,Swanage!$O$19,Swanage!$O$21,Swanage!$O$23,Swanage!$O$25,Swanage!$O$27,Swanage!$O$29,Swanage!$O$31,Swanage!$O$33,Swanage!$O$35,Swanage!$O$37,Swanage!$O$39,Swanage!$O$41,Swanage!$O$43,Swanage!$O$45,Swanage!$O$47)))</f>
        <v>22.747500000000002</v>
      </c>
      <c r="N31" s="156">
        <f>IF(ISERROR(AVERAGE(Swanage!$P$7,Swanage!$P$9,Swanage!$P$11,Swanage!$P$13,Swanage!$P$15,Swanage!$P$17,Swanage!$P$19,Swanage!$P$21,Swanage!$P$23,Swanage!$P$25,Swanage!$P$27,Swanage!$P$29,Swanage!$P$31,Swanage!$P$33,Swanage!$P$35,Swanage!$P$37,Swanage!$P$39,Swanage!$P$41,Swanage!$P$43,Swanage!$P$45,Swanage!$P$47)),"",(AVERAGE(Swanage!$P$7,Swanage!$P$9,Swanage!$P$11,Swanage!$P$13,Swanage!$P$15,Swanage!$P$17,Swanage!$P$19,Swanage!$P$21,Swanage!$P$23,Swanage!$P$25,Swanage!$P$27,Swanage!$P$29,Swanage!$P$31,Swanage!$P$33,Swanage!$P$35,Swanage!$P$37,Swanage!$P$39,Swanage!$P$41,Swanage!$P$43,Swanage!$P$45,Swanage!$P$47)))</f>
        <v>20.766249999999999</v>
      </c>
      <c r="O31" s="156">
        <f>IF(ISERROR(AVERAGE(Swanage!$Q$7,Swanage!$Q$9,Swanage!$Q$11,Swanage!$Q$13,Swanage!$Q$15,Swanage!$Q$17,Swanage!$Q$19,Swanage!$Q$21,Swanage!$Q$23,Swanage!$Q$25,Swanage!$Q$27,Swanage!$Q$29,Swanage!$Q$31,Swanage!$Q$33,Swanage!$Q$35,Swanage!$Q$37,Swanage!$Q$39,Swanage!$Q$41,Swanage!$Q$43,Swanage!$Q$45,Swanage!$Q$47)),"",(AVERAGE(Swanage!$Q$7,Swanage!$Q$9,Swanage!$Q$11,Swanage!$Q$13,Swanage!$Q$15,Swanage!$Q$17,Swanage!$Q$19,Swanage!$Q$21,Swanage!$Q$23,Swanage!$Q$25,Swanage!$Q$27,Swanage!$Q$29,Swanage!$Q$31,Swanage!$Q$33,Swanage!$Q$35,Swanage!$Q$37,Swanage!$Q$39,Swanage!$Q$41,Swanage!$Q$43,Swanage!$Q$45,Swanage!$Q$47)))</f>
        <v>23.06625</v>
      </c>
      <c r="P31" s="156">
        <f>IF(ISERROR(AVERAGE(Swanage!$R$7,Swanage!$R$9,Swanage!$R$11,Swanage!$R$13,Swanage!$R$15,Swanage!$R$17,Swanage!$R$19,Swanage!$R$21,Swanage!$R$23,Swanage!$R$25,Swanage!$R$27,Swanage!$R$29,Swanage!$R$31,Swanage!$R$33,Swanage!$R$35,Swanage!$R$37,Swanage!$R$39,Swanage!$R$41,Swanage!$R$43,Swanage!$R$45,Swanage!$R$47)),"",(AVERAGE(Swanage!$R$7,Swanage!$R$9,Swanage!$R$11,Swanage!$R$13,Swanage!$R$15,Swanage!$R$17,Swanage!$R$19,Swanage!$R$21,Swanage!$R$23,Swanage!$R$25,Swanage!$R$27,Swanage!$R$29,Swanage!$R$31,Swanage!$R$33,Swanage!$R$35,Swanage!$R$37,Swanage!$R$39,Swanage!$R$41,Swanage!$R$43,Swanage!$R$45,Swanage!$R$47)))</f>
        <v>20.136249999999997</v>
      </c>
      <c r="Q31" s="156">
        <f>IF(ISERROR(AVERAGE(Swanage!$S$7,Swanage!$S$9,Swanage!$S$11,Swanage!$S$13,Swanage!$S$15,Swanage!$S$17,Swanage!$S$19,Swanage!$S$21,Swanage!$S$23,Swanage!$S$25,Swanage!$S$27,Swanage!$S$29,Swanage!$S$31,Swanage!$S$33,Swanage!$S$35,Swanage!$S$37,Swanage!$S$39,Swanage!$S$41,Swanage!$S$43,Swanage!$S$45,Swanage!$S$47)),"",(AVERAGE(Swanage!$S$7,Swanage!$S$9,Swanage!$S$11,Swanage!$S$13,Swanage!$S$15,Swanage!$S$17,Swanage!$S$19,Swanage!$S$21,Swanage!$S$23,Swanage!$S$25,Swanage!$S$27,Swanage!$S$29,Swanage!$S$31,Swanage!$S$33,Swanage!$S$35,Swanage!$S$37,Swanage!$S$39,Swanage!$S$41,Swanage!$S$43,Swanage!$S$45,Swanage!$S$47)))</f>
        <v>22.4375</v>
      </c>
      <c r="R31" s="156">
        <f>IF(ISERROR(AVERAGE(Swanage!$T$7,Swanage!$T$9,Swanage!$T$11,Swanage!$T$13,Swanage!$T$15,Swanage!$T$17,Swanage!$T$19,Swanage!$T$21,Swanage!$T$23,Swanage!$T$25,Swanage!$T$27,Swanage!$T$29,Swanage!$T$31,Swanage!$T$33,Swanage!$T$35,Swanage!$T$37,Swanage!$T$39,Swanage!$T$41,Swanage!$T$43,Swanage!$T$45,Swanage!$T$47)),"",(AVERAGE(Swanage!$T$7,Swanage!$T$9,Swanage!$T$11,Swanage!$T$13,Swanage!$T$15,Swanage!$T$17,Swanage!$T$19,Swanage!$T$21,Swanage!$T$23,Swanage!$T$25,Swanage!$T$27,Swanage!$T$29,Swanage!$T$31,Swanage!$T$33,Swanage!$T$35,Swanage!$T$37,Swanage!$T$39,Swanage!$T$41,Swanage!$T$43,Swanage!$T$45,Swanage!$T$47)))</f>
        <v>22.907499999999999</v>
      </c>
      <c r="S31" s="156">
        <f>IF(ISERROR(AVERAGE(Swanage!$U$7,Swanage!$U$9,Swanage!$U$11,Swanage!$U$13,Swanage!$U$15,Swanage!$U$17,Swanage!$U$19,Swanage!$U$21,Swanage!$U$23,Swanage!$U$25,Swanage!$U$27,Swanage!$U$29,Swanage!$U$31,Swanage!$U$33,Swanage!$U$35,Swanage!$U$37,Swanage!$U$39,Swanage!$U$41,Swanage!$U$43,Swanage!$U$45,Swanage!$U$47)),"",(AVERAGE(Swanage!$U$7,Swanage!$U$9,Swanage!$U$11,Swanage!$U$13,Swanage!$U$15,Swanage!$U$17,Swanage!$U$19,Swanage!$U$21,Swanage!$U$23,Swanage!$U$25,Swanage!$U$27,Swanage!$U$29,Swanage!$U$31,Swanage!$U$33,Swanage!$U$35,Swanage!$U$37,Swanage!$U$39,Swanage!$U$41,Swanage!$U$43,Swanage!$U$45,Swanage!$U$47)))</f>
        <v>22.317500000000003</v>
      </c>
      <c r="T31" s="156">
        <f>IF(ISERROR(AVERAGE(Swanage!$V$7,Swanage!$V$9,Swanage!$V$11,Swanage!$V$13,Swanage!$V$15,Swanage!$V$17,Swanage!$V$19,Swanage!$V$21,Swanage!$V$23,Swanage!$V$25,Swanage!V55,Swanage!$V$29,Swanage!$V$31,Swanage!$V$33,Swanage!$V$35,Swanage!$V$37,Swanage!$V$39,Swanage!$V$41,Swanage!$V$43,Swanage!$V$45,Swanage!$V$47)),"",(AVERAGE(Swanage!$V$7,Swanage!$V$9,Swanage!$V$11,Swanage!$V$13,Swanage!$V$15,Swanage!$V$17,Swanage!$V$19,Swanage!$V$21,Swanage!$V$23,Swanage!$V$25,Swanage!V55,Swanage!$V$29,Swanage!$V$31,Swanage!$V$33,Swanage!$V$35,Swanage!$V$37,Swanage!$V$39,Swanage!$V$41,Swanage!$V$43,Swanage!$V$45,Swanage!$V$47)))</f>
        <v>22.22</v>
      </c>
      <c r="U31" s="156">
        <f>IF(ISERROR(AVERAGE(Swanage!$W$7,Swanage!$W$9,Swanage!$W$11,Swanage!$W$13,Swanage!$W$15,Swanage!$W$17,Swanage!$W$19,Swanage!$W$21,Swanage!$W$23,Swanage!$W$25,Swanage!$W$27,Swanage!$W$29,Swanage!$W$31,Swanage!$W$33,Swanage!$W$35,Swanage!$W$37,Swanage!$W$39,Swanage!$W$41,Swanage!$W$43,Swanage!$W$45,Swanage!$W$47)),"",(AVERAGE(Swanage!$W$7,Swanage!$W$9,Swanage!$W$11,Swanage!$W$13,Swanage!$W$15,Swanage!$W$17,Swanage!$W$19,Swanage!$W$21,Swanage!$W$23,Swanage!$W$25,Swanage!$W$27,Swanage!$W$29,Swanage!$W$31,Swanage!$W$33,Swanage!$W$35,Swanage!$W$37,Swanage!$W$39,Swanage!$W$41,Swanage!$W$43,Swanage!$W$45,Swanage!$W$47)))</f>
        <v>21.941249999999997</v>
      </c>
      <c r="V31" s="156">
        <f>IF(ISERROR(AVERAGE(Swanage!$X$7,Swanage!$X$9,Swanage!$X$11,Swanage!$X$13,Swanage!$X$15,Swanage!$X$17,Swanage!$X$19,Swanage!$X$21,Swanage!$X$23,Swanage!$X$25,Swanage!$X$27,Swanage!$X$29,Swanage!$X$31,Swanage!$X$33,Swanage!$X$35,Swanage!$X$37,Swanage!$X$39,Swanage!$X$41,Swanage!$X$43,Swanage!$X$45,Swanage!$X$47)),"",(AVERAGE(Swanage!$X$7,Swanage!$X$9,Swanage!$X$11,Swanage!$X$13,Swanage!$X$15,Swanage!$X$17,Swanage!$X$19,Swanage!$X$21,Swanage!$X$23,Swanage!$X$25,Swanage!$X$27,Swanage!$X$29,Swanage!$X$31,Swanage!$X$33,Swanage!$X$35,Swanage!$X$37,Swanage!$X$39,Swanage!$X$41,Swanage!$X$43,Swanage!$X$45,Swanage!$X$47)))</f>
        <v>21.303749999999997</v>
      </c>
      <c r="W31" s="156">
        <f>IF(ISERROR(AVERAGE(Swanage!$Y$7,Swanage!$Y$9,Swanage!$Y$11,Swanage!$Y$13,Swanage!$Y$15,Swanage!$Y$17,Swanage!$Y$19,Swanage!$Y$21,Swanage!$Y$23,Swanage!$Y$25,Swanage!$Y$27,Swanage!$Y$29,Swanage!$Y$31,Swanage!$Y$33,Swanage!$Y$35,Swanage!$Y$37,Swanage!$Y$39,Swanage!$Y$41,Swanage!$Y$43,Swanage!$Y$45,Swanage!$Y$47)),"",(AVERAGE(Swanage!$Y$7,Swanage!$Y$9,Swanage!$Y$11,Swanage!$Y$13,Swanage!$Y$15,Swanage!$Y$17,Swanage!$Y$19,Swanage!$Y$21,Swanage!$Y$23,Swanage!$Y$25,Swanage!$Y$27,Swanage!$Y$29,Swanage!$Y$31,Swanage!$Y$33,Swanage!$Y$35,Swanage!$Y$37,Swanage!$Y$39,Swanage!$Y$41,Swanage!$Y$43,Swanage!$Y$45,Swanage!$Y$47)))</f>
        <v>21.378749999999997</v>
      </c>
      <c r="X31" s="234">
        <f>IF(ISERROR(AVERAGE(K31:W31)),"",(AVERAGE(K31:W31)))</f>
        <v>21.812403846153845</v>
      </c>
      <c r="AA31" s="231">
        <f t="shared" ref="AA31:AB31" si="24">G31</f>
        <v>85</v>
      </c>
      <c r="AB31" s="231">
        <f t="shared" si="24"/>
        <v>71</v>
      </c>
      <c r="AC31" s="231" t="str">
        <f t="shared" ref="AC31:AE31" si="25">B31</f>
        <v>Swanage</v>
      </c>
      <c r="AD31" s="231">
        <f t="shared" si="25"/>
        <v>13</v>
      </c>
      <c r="AE31" s="231">
        <f t="shared" si="25"/>
        <v>7</v>
      </c>
      <c r="AF31" s="231">
        <f>F31</f>
        <v>5</v>
      </c>
      <c r="AG31" s="231">
        <f>I31</f>
        <v>27</v>
      </c>
      <c r="AK31" s="231"/>
    </row>
    <row r="32" spans="2:37" ht="16.5" customHeight="1" x14ac:dyDescent="0.2">
      <c r="B32" s="239"/>
      <c r="C32" s="182"/>
      <c r="D32" s="182"/>
      <c r="E32" s="182"/>
      <c r="F32" s="182"/>
      <c r="G32" s="182"/>
      <c r="H32" s="182"/>
      <c r="I32" s="233"/>
      <c r="J32" s="2"/>
      <c r="K32" s="157" t="str">
        <f>Swanage!$AR$7&amp;"*"&amp;Swanage!$AS$7</f>
        <v>9*3</v>
      </c>
      <c r="L32" s="44" t="str">
        <f>Swanage!$AR$8&amp;"*"&amp;Swanage!$AS$8</f>
        <v>5*7</v>
      </c>
      <c r="M32" s="44" t="str">
        <f>Swanage!$AR$9&amp;"*"&amp;Swanage!$AS$9</f>
        <v>9*3</v>
      </c>
      <c r="N32" s="44" t="str">
        <f>Swanage!$AR$10&amp;"*"&amp;Swanage!$AS$10</f>
        <v>5*7</v>
      </c>
      <c r="O32" s="44" t="str">
        <f>Swanage!$AR$11&amp;"*"&amp;Swanage!$AS$11</f>
        <v>9*3</v>
      </c>
      <c r="P32" s="44" t="str">
        <f>Swanage!$AR$12&amp;"*"&amp;Swanage!$AS$12</f>
        <v>4*8</v>
      </c>
      <c r="Q32" s="44" t="str">
        <f>Swanage!$AR$13&amp;"*"&amp;Swanage!$AS$13</f>
        <v>6*6</v>
      </c>
      <c r="R32" s="44" t="str">
        <f>Swanage!$AR$14&amp;"*"&amp;Swanage!$AS$14</f>
        <v>4*8</v>
      </c>
      <c r="S32" s="44" t="str">
        <f>Swanage!$AR$15&amp;"*"&amp;Swanage!$AS$15</f>
        <v>10*2</v>
      </c>
      <c r="T32" s="44" t="str">
        <f>Swanage!$AR$16&amp;"*"&amp;Swanage!$AS$16</f>
        <v>1*11</v>
      </c>
      <c r="U32" s="44" t="str">
        <f>Swanage!$AR$17&amp;"*"&amp;Swanage!$AS$17</f>
        <v>8*4</v>
      </c>
      <c r="V32" s="44" t="str">
        <f>Swanage!$AR$18&amp;"*"&amp;Swanage!$AS$18</f>
        <v>7*5</v>
      </c>
      <c r="W32" s="44" t="str">
        <f>Swanage!$AR$19&amp;"*"&amp;Swanage!$AS$19</f>
        <v>8*4</v>
      </c>
      <c r="X32" s="235"/>
      <c r="AA32" s="170"/>
      <c r="AB32" s="170"/>
      <c r="AC32" s="170"/>
      <c r="AD32" s="170"/>
      <c r="AE32" s="170"/>
      <c r="AF32" s="170"/>
      <c r="AG32" s="170"/>
      <c r="AK32" s="170"/>
    </row>
    <row r="33" spans="2:37" ht="16.5" customHeight="1" x14ac:dyDescent="0.2">
      <c r="B33" s="242" t="s">
        <v>17</v>
      </c>
      <c r="C33" s="185">
        <f>IF(SUM(SUM(Weymouth!$AO$21:$AQ$21))=0,0,SUM(Weymouth!$AO$21:$AQ$21))</f>
        <v>13</v>
      </c>
      <c r="D33" s="185">
        <f>IF(Weymouth!$AO$21="","",Weymouth!$AO$21)</f>
        <v>1</v>
      </c>
      <c r="E33" s="185">
        <f>IF(Weymouth!$AP$21="","",Weymouth!$AP$21)</f>
        <v>3</v>
      </c>
      <c r="F33" s="185">
        <f>IF(Weymouth!$AQ$21="","",Weymouth!$AQ$21)</f>
        <v>9</v>
      </c>
      <c r="G33" s="185">
        <f>IF(Weymouth!$AR$21="","",Weymouth!$AR$21)</f>
        <v>61</v>
      </c>
      <c r="H33" s="185">
        <f>IF(Weymouth!$AS$21="","",Weymouth!$AS$21)</f>
        <v>95</v>
      </c>
      <c r="I33" s="232">
        <f>SUM(Weymouth!$AA$7:$AA$48)</f>
        <v>32</v>
      </c>
      <c r="J33" s="2"/>
      <c r="K33" s="155">
        <f>IF(ISERROR(AVERAGE(Weymouth!$M$7,Weymouth!$M$9,Weymouth!$M$11,Weymouth!$M$13,Weymouth!$M$15,Weymouth!$M$17,Weymouth!$M$19,Weymouth!$M$21,Weymouth!$M$23,Weymouth!$M$25,Weymouth!$M$27,Weymouth!$M$29,Weymouth!$M$31,Weymouth!$M$33,Weymouth!$M$35,Weymouth!$M$37,Weymouth!$M$39,Weymouth!$M$41,Weymouth!$M$43,Weymouth!$M$45,Weymouth!$M$47)),"",(AVERAGE(Weymouth!$M$7,Weymouth!$M$9,Weymouth!$M$11,Weymouth!$M$13,Weymouth!$M$15,Weymouth!$M$17,Weymouth!$M$19,Weymouth!$M$21,Weymouth!$M$23,Weymouth!$M$25,Weymouth!$M$27,Weymouth!$M$29,Weymouth!$M$31,Weymouth!$M$33,Weymouth!$M$35,Weymouth!$M$37,Weymouth!$M$39,Weymouth!$M$41,Weymouth!$M$43,Weymouth!$M$45,Weymouth!$M$47)))</f>
        <v>20.849999999999998</v>
      </c>
      <c r="L33" s="156">
        <f>IF(ISERROR(AVERAGE(Weymouth!$N$7,Weymouth!$N$9,Weymouth!$N$11,Weymouth!$N$13,Weymouth!$N$15,Weymouth!$N$17,Weymouth!$N$19,Weymouth!$N$21,Weymouth!$N$23,Weymouth!$N$25,Weymouth!$N$27,Weymouth!$N$29,Weymouth!$N$31,Weymouth!$N$33,Weymouth!$N$35,Weymouth!$N$37,Weymouth!$N$39,Weymouth!$N$41,Weymouth!$N$43,Weymouth!$N$45,Weymouth!$N$47)),"",(AVERAGE(Weymouth!$N$7,Weymouth!$N$9,Weymouth!$N$11,Weymouth!$N$13,Weymouth!$N$15,Weymouth!$N$17,Weymouth!$N$19,Weymouth!$N$21,Weymouth!$N$23,Weymouth!$N$25,Weymouth!$N$27,Weymouth!$N$29,Weymouth!$N$31,Weymouth!$N$33,Weymouth!$N$35,Weymouth!$N$37,Weymouth!$N$39,Weymouth!$N$41,Weymouth!$N$43,Weymouth!$N$45,Weymouth!$N$47)))</f>
        <v>19.0975</v>
      </c>
      <c r="M33" s="156">
        <f>IF(ISERROR(AVERAGE(Weymouth!$O$7,Weymouth!$O$9,Weymouth!$O$11,Weymouth!$O$13,Weymouth!$O$15,Weymouth!$O$17,Weymouth!$O$19,Weymouth!$O$21,Weymouth!$O$23,Weymouth!$O$25,Weymouth!$O$27,Weymouth!$O$29,Weymouth!$O$31,Weymouth!$O$33,Weymouth!$O$35,Weymouth!$O$37,Weymouth!$O$39,Weymouth!$O$41,Weymouth!$O$43,Weymouth!$O$45,Weymouth!$O$47)),"",(AVERAGE(Weymouth!$O$7,Weymouth!$O$9,Weymouth!$O$11,Weymouth!$O$13,Weymouth!$O$15,Weymouth!$O$17,Weymouth!$O$19,Weymouth!$O$21,Weymouth!$O$23,Weymouth!$O$25,Weymouth!$O$27,Weymouth!$O$29,Weymouth!$O$31,Weymouth!$O$33,Weymouth!$O$35,Weymouth!$O$37,Weymouth!$O$39,Weymouth!$O$41,Weymouth!$O$43,Weymouth!$O$45,Weymouth!$O$47)))</f>
        <v>19.3325</v>
      </c>
      <c r="N33" s="156">
        <f>IF(ISERROR(AVERAGE(Weymouth!$P$7,Weymouth!$P$9,Weymouth!$P$11,Weymouth!$P$13,Weymouth!$P$15,Weymouth!$P$17,Weymouth!$P$19,Weymouth!$P$21,Weymouth!$P$23,Weymouth!$P$25,Weymouth!$P$27,Weymouth!$P$29,Weymouth!$P$31,Weymouth!$P$33,Weymouth!$P$35,Weymouth!$P$37,Weymouth!$P$39,Weymouth!$P$41,Weymouth!$P$43,Weymouth!$P$45,Weymouth!$P$47)),"",(AVERAGE(Weymouth!$P$7,Weymouth!$P$9,Weymouth!$P$11,Weymouth!$P$13,Weymouth!$P$15,Weymouth!$P$17,Weymouth!$P$19,Weymouth!$P$21,Weymouth!$P$23,Weymouth!$P$25,Weymouth!$P$27,Weymouth!$P$29,Weymouth!$P$31,Weymouth!$P$33,Weymouth!$P$35,Weymouth!$P$37,Weymouth!$P$39,Weymouth!$P$41,Weymouth!$P$43,Weymouth!$P$45,Weymouth!$P$47)))</f>
        <v>19.75375</v>
      </c>
      <c r="O33" s="156">
        <f>IF(ISERROR(AVERAGE(Weymouth!$Q$7,Weymouth!$Q$9,Weymouth!$Q$11,Weymouth!$Q$13,Weymouth!$Q$15,Weymouth!$Q$17,Weymouth!$Q$19,Weymouth!$Q$21,Weymouth!$Q$23,Weymouth!$Q$25,Weymouth!$Q$27,Weymouth!$Q$29,Weymouth!$Q$31,Weymouth!$Q$33,Weymouth!$Q$35,Weymouth!$Q$37,Weymouth!$Q$39,Weymouth!$Q$41,Weymouth!$Q$43,Weymouth!$Q$45,Weymouth!$Q$47)),"",(AVERAGE(Weymouth!$Q$7,Weymouth!$Q$9,Weymouth!$Q$11,Weymouth!$Q$13,Weymouth!$Q$15,Weymouth!$Q$17,Weymouth!$Q$19,Weymouth!$Q$21,Weymouth!$Q$23,Weymouth!$Q$25,Weymouth!$Q$27,Weymouth!$Q$29,Weymouth!$Q$31,Weymouth!$Q$33,Weymouth!$Q$35,Weymouth!$Q$37,Weymouth!$Q$39,Weymouth!$Q$41,Weymouth!$Q$43,Weymouth!$Q$45,Weymouth!$Q$47)))</f>
        <v>22.442499999999999</v>
      </c>
      <c r="P33" s="156">
        <f>IF(ISERROR(AVERAGE(Weymouth!$R$7,Weymouth!$R$9,Weymouth!$R$11,Weymouth!$R$13,Weymouth!$R$15,Weymouth!$R$17,Weymouth!$R$19,Weymouth!$R$21,Weymouth!$R$23,Weymouth!$R$25,Weymouth!$R$27,Weymouth!$R$29,Weymouth!$R$31,Weymouth!$R$33,Weymouth!$R$35,Weymouth!$R$37,Weymouth!$R$39,Weymouth!$R$41,Weymouth!$R$43,Weymouth!$R$45,Weymouth!$R$47)),"",(AVERAGE(Weymouth!$R$7,Weymouth!$R$9,Weymouth!$R$11,Weymouth!$R$13,Weymouth!$R$15,Weymouth!$R$17,Weymouth!$R$19,Weymouth!$R$21,Weymouth!$R$23,Weymouth!$R$25,Weymouth!$R$27,Weymouth!$R$29,Weymouth!$R$31,Weymouth!$R$33,Weymouth!$R$35,Weymouth!$R$37,Weymouth!$R$39,Weymouth!$R$41,Weymouth!$R$43,Weymouth!$R$45,Weymouth!$R$47)))</f>
        <v>21.695</v>
      </c>
      <c r="Q33" s="156">
        <f>IF(ISERROR(AVERAGE(Weymouth!$S$7,Weymouth!$S$9,Weymouth!$S$11,Weymouth!$S$13,Weymouth!$S$15,Weymouth!$S$17,Weymouth!$S$19,Weymouth!$S$21,Weymouth!$S$23,Weymouth!$S$25,Weymouth!$S$27,Weymouth!$S$29,Weymouth!$S$31,Weymouth!$S$33,Weymouth!$S$35,Weymouth!$S$37,Weymouth!$S$39,Weymouth!$S$41,Weymouth!$S$43,Weymouth!$S$45,Weymouth!$S$47)),"",(AVERAGE(Weymouth!$S$7,Weymouth!$S$9,Weymouth!$S$11,Weymouth!$S$13,Weymouth!$S$15,Weymouth!$S$17,Weymouth!$S$19,Weymouth!$S$21,Weymouth!$S$23,Weymouth!$S$25,Weymouth!$S$27,Weymouth!$S$29,Weymouth!$S$31,Weymouth!$S$33,Weymouth!$S$35,Weymouth!$S$37,Weymouth!$S$39,Weymouth!$S$41,Weymouth!$S$43,Weymouth!$S$45,Weymouth!$S$47)))</f>
        <v>20.342499999999998</v>
      </c>
      <c r="R33" s="156">
        <f>IF(ISERROR(AVERAGE(Weymouth!$T$7,Weymouth!$T$9,Weymouth!$T$11,Weymouth!$T$13,Weymouth!$T$15,Weymouth!$T$17,Weymouth!$T$19,Weymouth!$T$21,Weymouth!$T$23,Weymouth!$T$25,Weymouth!$T$27,Weymouth!$T$29,Weymouth!$T$31,Weymouth!$T$33,Weymouth!$T$35,Weymouth!$T$37,Weymouth!$T$39,Weymouth!$T$41,Weymouth!$T$43,Weymouth!$T$45,Weymouth!$T$47)),"",(AVERAGE(Weymouth!$T$7,Weymouth!$T$9,Weymouth!$T$11,Weymouth!$T$13,Weymouth!$T$15,Weymouth!$T$17,Weymouth!$T$19,Weymouth!$T$21,Weymouth!$T$23,Weymouth!$T$25,Weymouth!$T$27,Weymouth!$T$29,Weymouth!$T$31,Weymouth!$T$33,Weymouth!$T$35,Weymouth!$T$37,Weymouth!$T$39,Weymouth!$T$41,Weymouth!$T$43,Weymouth!$T$45,Weymouth!$T$47)))</f>
        <v>20.58625</v>
      </c>
      <c r="S33" s="156">
        <f>IF(ISERROR(AVERAGE(Weymouth!$U$7,Weymouth!$U$9,Weymouth!$U$11,Weymouth!$U$13,Weymouth!$U$15,Weymouth!$U$17,Weymouth!$U$19,Weymouth!$U$21,Weymouth!$U$23,Weymouth!$U$25,Weymouth!$U$27,Weymouth!$U$29,Weymouth!$U$31,Weymouth!$U$33,Weymouth!$U$35,Weymouth!$U$37,Weymouth!$U$39,Weymouth!$U$41,Weymouth!$U$43,Weymouth!$U$45,Weymouth!$U$47)),"",(AVERAGE(Weymouth!$U$7,Weymouth!$U$9,Weymouth!$U$11,Weymouth!$U$13,Weymouth!$U$15,Weymouth!$U$17,Weymouth!$U$19,Weymouth!$U$21,Weymouth!$U$23,Weymouth!$U$25,Weymouth!$U$27,Weymouth!$U$29,Weymouth!$U$31,Weymouth!$U$33,Weymouth!$U$35,Weymouth!$U$37,Weymouth!$U$39,Weymouth!$U$41,Weymouth!$U$43,Weymouth!$U$45,Weymouth!$U$47)))</f>
        <v>22.002499999999998</v>
      </c>
      <c r="T33" s="156">
        <f>IF(ISERROR(AVERAGE(Weymouth!$V$7,Weymouth!$V$9,Weymouth!$V$11,Weymouth!$V$13,Weymouth!$V$15,Weymouth!$V$17,Weymouth!$V$19,Weymouth!$V$21,Weymouth!$V$23,Weymouth!$V$25,Weymouth!V57,Weymouth!$V$29,Weymouth!$V$31,Weymouth!$V$33,Weymouth!$V$35,Weymouth!$V$37,Weymouth!$V$39,Weymouth!$V$41,Weymouth!$V$43,Weymouth!$V$45,Weymouth!$V$47)),"",(AVERAGE(Weymouth!$V$7,Weymouth!$V$9,Weymouth!$V$11,Weymouth!$V$13,Weymouth!$V$15,Weymouth!$V$17,Weymouth!$V$19,Weymouth!$V$21,Weymouth!$V$23,Weymouth!$V$25,Weymouth!V57,Weymouth!$V$29,Weymouth!$V$31,Weymouth!$V$33,Weymouth!$V$35,Weymouth!$V$37,Weymouth!$V$39,Weymouth!$V$41,Weymouth!$V$43,Weymouth!$V$45,Weymouth!$V$47)))</f>
        <v>21.384285714285713</v>
      </c>
      <c r="U33" s="156">
        <f>IF(ISERROR(AVERAGE(Weymouth!$W$7,Weymouth!$W$9,Weymouth!$W$11,Weymouth!$W$13,Weymouth!$W$15,Weymouth!$W$17,Weymouth!$W$19,Weymouth!$W$21,Weymouth!$W$23,Weymouth!$W$25,Weymouth!$W$27,Weymouth!$W$29,Weymouth!$W$31,Weymouth!$W$33,Weymouth!$W$35,Weymouth!$W$37,Weymouth!$W$39,Weymouth!$W$41,Weymouth!$W$43,Weymouth!$W$45,Weymouth!$W$47)),"",(AVERAGE(Weymouth!$W$7,Weymouth!$W$9,Weymouth!$W$11,Weymouth!$W$13,Weymouth!$W$15,Weymouth!$W$17,Weymouth!$W$19,Weymouth!$W$21,Weymouth!$W$23,Weymouth!$W$25,Weymouth!$W$27,Weymouth!$W$29,Weymouth!$W$31,Weymouth!$W$33,Weymouth!$W$35,Weymouth!$W$37,Weymouth!$W$39,Weymouth!$W$41,Weymouth!$W$43,Weymouth!$W$45,Weymouth!$W$47)))</f>
        <v>20.669999999999998</v>
      </c>
      <c r="V33" s="156">
        <f>IF(ISERROR(AVERAGE(Weymouth!$X$7,Weymouth!$X$9,Weymouth!$X$11,Weymouth!$X$13,Weymouth!$X$15,Weymouth!$X$17,Weymouth!$X$19,Weymouth!$X$21,Weymouth!$X$23,Weymouth!$X$25,Weymouth!$X$27,Weymouth!$X$29,Weymouth!$X$31,Weymouth!$X$33,Weymouth!$X$35,Weymouth!$X$37,Weymouth!$X$39,Weymouth!$X$41,Weymouth!$X$43,Weymouth!$X$45,Weymouth!$X$47)),"",(AVERAGE(Weymouth!$X$7,Weymouth!$X$9,Weymouth!$X$11,Weymouth!$X$13,Weymouth!$X$15,Weymouth!$X$17,Weymouth!$X$19,Weymouth!$X$21,Weymouth!$X$23,Weymouth!$X$25,Weymouth!$X$27,Weymouth!$X$29,Weymouth!$X$31,Weymouth!$X$33,Weymouth!$X$35,Weymouth!$X$37,Weymouth!$X$39,Weymouth!$X$41,Weymouth!$X$43,Weymouth!$X$45,Weymouth!$X$47)))</f>
        <v>21.868750000000002</v>
      </c>
      <c r="W33" s="156">
        <f>IF(ISERROR(AVERAGE(Weymouth!$Y$7,Weymouth!$Y$9,Weymouth!$Y$11,Weymouth!$Y$13,Weymouth!$Y$15,Weymouth!$Y$17,Weymouth!$Y$19,Weymouth!$Y$21,Weymouth!$Y$23,Weymouth!$Y$25,Weymouth!$Y$27,Weymouth!$Y$29,Weymouth!$Y$31,Weymouth!$Y$33,Weymouth!$Y$35,Weymouth!$Y$37,Weymouth!$Y$39,Weymouth!$Y$41,Weymouth!$Y$43,Weymouth!$Y$45,Weymouth!$Y$47)),"",(AVERAGE(Weymouth!$Y$7,Weymouth!$Y$9,Weymouth!$Y$11,Weymouth!$Y$13,Weymouth!$Y$15,Weymouth!$Y$17,Weymouth!$Y$19,Weymouth!$Y$21,Weymouth!$Y$23,Weymouth!$Y$25,Weymouth!$Y$27,Weymouth!$Y$29,Weymouth!$Y$31,Weymouth!$Y$33,Weymouth!$Y$35,Weymouth!$Y$37,Weymouth!$Y$39,Weymouth!$Y$41,Weymouth!$Y$43,Weymouth!$Y$45,Weymouth!$Y$47)))</f>
        <v>19.856249999999996</v>
      </c>
      <c r="X33" s="234">
        <f>IF(ISERROR(AVERAGE(K33:W33)),"",(AVERAGE(K33:W33)))</f>
        <v>20.760137362637359</v>
      </c>
      <c r="AA33" s="231">
        <f t="shared" ref="AA33:AB33" si="26">G33</f>
        <v>61</v>
      </c>
      <c r="AB33" s="231">
        <f t="shared" si="26"/>
        <v>95</v>
      </c>
      <c r="AC33" s="231" t="str">
        <f t="shared" ref="AC33:AE33" si="27">B33</f>
        <v>Weymouth</v>
      </c>
      <c r="AD33" s="231">
        <f t="shared" si="27"/>
        <v>13</v>
      </c>
      <c r="AE33" s="231">
        <f t="shared" si="27"/>
        <v>1</v>
      </c>
      <c r="AF33" s="231">
        <f>F33</f>
        <v>9</v>
      </c>
      <c r="AG33" s="231">
        <f>I33</f>
        <v>32</v>
      </c>
      <c r="AK33" s="231"/>
    </row>
    <row r="34" spans="2:37" ht="16.5" customHeight="1" x14ac:dyDescent="0.2">
      <c r="B34" s="223"/>
      <c r="C34" s="225"/>
      <c r="D34" s="225"/>
      <c r="E34" s="225"/>
      <c r="F34" s="225"/>
      <c r="G34" s="225"/>
      <c r="H34" s="225"/>
      <c r="I34" s="228"/>
      <c r="J34" s="2"/>
      <c r="K34" s="158" t="str">
        <f>Weymouth!$AR$7&amp;"*"&amp;Weymouth!$AS$7</f>
        <v>3*9</v>
      </c>
      <c r="L34" s="159" t="str">
        <f>Weymouth!$AR$8&amp;"*"&amp;Weymouth!$AS$8</f>
        <v>2*10</v>
      </c>
      <c r="M34" s="159" t="str">
        <f>Weymouth!$AR$9&amp;"*"&amp;Weymouth!$AS$9</f>
        <v>6*6</v>
      </c>
      <c r="N34" s="159" t="str">
        <f>Weymouth!$AR$10&amp;"*"&amp;Weymouth!$AS$10</f>
        <v>7*5</v>
      </c>
      <c r="O34" s="159" t="str">
        <f>Weymouth!$AR$11&amp;"*"&amp;Weymouth!$AS$11</f>
        <v>5*7</v>
      </c>
      <c r="P34" s="159" t="str">
        <f>Weymouth!$AR$12&amp;"*"&amp;Weymouth!$AS$12</f>
        <v>4*8</v>
      </c>
      <c r="Q34" s="159" t="str">
        <f>Weymouth!$AR$13&amp;"*"&amp;Weymouth!$AS$13</f>
        <v>4*8</v>
      </c>
      <c r="R34" s="159" t="str">
        <f>Weymouth!$AR$14&amp;"*"&amp;Weymouth!$AS$14</f>
        <v>5*7</v>
      </c>
      <c r="S34" s="159" t="str">
        <f>Weymouth!$AR$15&amp;"*"&amp;Weymouth!$AS$15</f>
        <v>4*8</v>
      </c>
      <c r="T34" s="159" t="str">
        <f>Weymouth!$AR$16&amp;"*"&amp;Weymouth!$AS$16</f>
        <v>4*8</v>
      </c>
      <c r="U34" s="159" t="str">
        <f>Weymouth!$AR$17&amp;"*"&amp;Weymouth!$AS$17</f>
        <v>6*6</v>
      </c>
      <c r="V34" s="159" t="str">
        <f>Weymouth!$AR$18&amp;"*"&amp;Weymouth!$AS$18</f>
        <v>5*7</v>
      </c>
      <c r="W34" s="159" t="str">
        <f>Weymouth!$AR$19&amp;"*"&amp;Weymouth!$AS$19</f>
        <v>6*6</v>
      </c>
      <c r="X34" s="211"/>
      <c r="AA34" s="170"/>
      <c r="AB34" s="170"/>
      <c r="AC34" s="170"/>
      <c r="AD34" s="170"/>
      <c r="AE34" s="170"/>
      <c r="AF34" s="170"/>
      <c r="AG34" s="170"/>
      <c r="AK34" s="170"/>
    </row>
    <row r="35" spans="2:37" ht="16.5" customHeight="1" x14ac:dyDescent="0.2">
      <c r="AA35" s="160"/>
      <c r="AB35" s="160"/>
      <c r="AC35" s="160"/>
      <c r="AD35" s="160"/>
      <c r="AE35" s="160"/>
      <c r="AF35" s="160"/>
      <c r="AG35" s="160"/>
    </row>
    <row r="36" spans="2:37" ht="16.5" customHeight="1" x14ac:dyDescent="0.2"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2:37" ht="16.5" customHeight="1" x14ac:dyDescent="0.2"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2:37" ht="16.5" customHeight="1" x14ac:dyDescent="0.2"/>
    <row r="39" spans="2:37" ht="16.5" customHeight="1" x14ac:dyDescent="0.2"/>
    <row r="40" spans="2:37" ht="16.5" customHeight="1" x14ac:dyDescent="0.2"/>
    <row r="41" spans="2:37" ht="16.5" customHeight="1" x14ac:dyDescent="0.2"/>
    <row r="42" spans="2:37" ht="16.5" customHeight="1" x14ac:dyDescent="0.2"/>
    <row r="43" spans="2:37" ht="16.5" customHeight="1" x14ac:dyDescent="0.2"/>
    <row r="44" spans="2:37" ht="16.5" customHeight="1" x14ac:dyDescent="0.2"/>
    <row r="45" spans="2:37" ht="16.5" customHeight="1" x14ac:dyDescent="0.2"/>
    <row r="46" spans="2:37" ht="16.5" customHeight="1" x14ac:dyDescent="0.2"/>
    <row r="47" spans="2:37" ht="16.5" customHeight="1" x14ac:dyDescent="0.2"/>
    <row r="48" spans="2:37" ht="16.5" customHeight="1" x14ac:dyDescent="0.2"/>
    <row r="49" ht="16.5" customHeight="1" x14ac:dyDescent="0.2"/>
    <row r="50" ht="16.5" customHeight="1" x14ac:dyDescent="0.2"/>
    <row r="51" ht="16.5" customHeight="1" x14ac:dyDescent="0.2"/>
    <row r="52" ht="16.5" customHeight="1" x14ac:dyDescent="0.2"/>
    <row r="53" ht="16.5" customHeight="1" x14ac:dyDescent="0.2"/>
    <row r="54" ht="16.5" customHeight="1" x14ac:dyDescent="0.2"/>
    <row r="55" ht="16.5" customHeight="1" x14ac:dyDescent="0.2"/>
    <row r="56" ht="16.5" customHeight="1" x14ac:dyDescent="0.2"/>
    <row r="57" ht="16.5" customHeight="1" x14ac:dyDescent="0.2"/>
    <row r="58" ht="16.5" customHeight="1" x14ac:dyDescent="0.2"/>
    <row r="59" ht="16.5" customHeight="1" x14ac:dyDescent="0.2"/>
    <row r="60" ht="16.5" customHeight="1" x14ac:dyDescent="0.2"/>
    <row r="61" ht="16.5" customHeight="1" x14ac:dyDescent="0.2"/>
    <row r="62" ht="16.5" customHeight="1" x14ac:dyDescent="0.2"/>
    <row r="63" ht="16.5" customHeight="1" x14ac:dyDescent="0.2"/>
    <row r="64" ht="16.5" customHeight="1" x14ac:dyDescent="0.2"/>
    <row r="65" ht="16.5" customHeight="1" x14ac:dyDescent="0.2"/>
    <row r="66" ht="16.5" customHeight="1" x14ac:dyDescent="0.2"/>
    <row r="67" ht="16.5" customHeight="1" x14ac:dyDescent="0.2"/>
    <row r="68" ht="16.5" customHeight="1" x14ac:dyDescent="0.2"/>
    <row r="69" ht="16.5" customHeight="1" x14ac:dyDescent="0.2"/>
    <row r="70" ht="16.5" customHeight="1" x14ac:dyDescent="0.2"/>
    <row r="71" ht="16.5" customHeight="1" x14ac:dyDescent="0.2"/>
    <row r="72" ht="16.5" customHeight="1" x14ac:dyDescent="0.2"/>
    <row r="73" ht="16.5" customHeight="1" x14ac:dyDescent="0.2"/>
    <row r="74" ht="16.5" customHeight="1" x14ac:dyDescent="0.2"/>
    <row r="75" ht="16.5" customHeight="1" x14ac:dyDescent="0.2"/>
    <row r="76" ht="16.5" customHeight="1" x14ac:dyDescent="0.2"/>
    <row r="77" ht="16.5" customHeight="1" x14ac:dyDescent="0.2"/>
    <row r="78" ht="16.5" customHeight="1" x14ac:dyDescent="0.2"/>
    <row r="79" ht="16.5" customHeight="1" x14ac:dyDescent="0.2"/>
    <row r="8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42">
    <mergeCell ref="C21:C22"/>
    <mergeCell ref="D21:D22"/>
    <mergeCell ref="E21:E22"/>
    <mergeCell ref="F21:F22"/>
    <mergeCell ref="G21:G22"/>
    <mergeCell ref="H21:H22"/>
    <mergeCell ref="I21:I22"/>
    <mergeCell ref="B21:B22"/>
    <mergeCell ref="B23:B24"/>
    <mergeCell ref="C23:C24"/>
    <mergeCell ref="D23:D24"/>
    <mergeCell ref="E23:E24"/>
    <mergeCell ref="F23:F24"/>
    <mergeCell ref="G23:G24"/>
    <mergeCell ref="H27:H28"/>
    <mergeCell ref="I27:I28"/>
    <mergeCell ref="B25:B26"/>
    <mergeCell ref="B27:B28"/>
    <mergeCell ref="C27:C28"/>
    <mergeCell ref="D27:D28"/>
    <mergeCell ref="E27:E28"/>
    <mergeCell ref="F27:F28"/>
    <mergeCell ref="G27:G28"/>
    <mergeCell ref="C25:C26"/>
    <mergeCell ref="D25:D26"/>
    <mergeCell ref="E25:E26"/>
    <mergeCell ref="F25:F26"/>
    <mergeCell ref="C29:C30"/>
    <mergeCell ref="D29:D30"/>
    <mergeCell ref="E29:E30"/>
    <mergeCell ref="F29:F30"/>
    <mergeCell ref="G29:G30"/>
    <mergeCell ref="H29:H30"/>
    <mergeCell ref="I29:I30"/>
    <mergeCell ref="B29:B30"/>
    <mergeCell ref="B31:B32"/>
    <mergeCell ref="C31:C32"/>
    <mergeCell ref="D31:D32"/>
    <mergeCell ref="E31:E32"/>
    <mergeCell ref="F31:F32"/>
    <mergeCell ref="G31:G32"/>
    <mergeCell ref="C9:C10"/>
    <mergeCell ref="D9:D10"/>
    <mergeCell ref="E9:E10"/>
    <mergeCell ref="F9:F10"/>
    <mergeCell ref="I9:I10"/>
    <mergeCell ref="B9:B10"/>
    <mergeCell ref="B11:B12"/>
    <mergeCell ref="C11:C12"/>
    <mergeCell ref="D11:D12"/>
    <mergeCell ref="E11:E12"/>
    <mergeCell ref="F11:F12"/>
    <mergeCell ref="G11:G12"/>
    <mergeCell ref="H11:H12"/>
    <mergeCell ref="I11:I12"/>
    <mergeCell ref="B13:B14"/>
    <mergeCell ref="B15:B16"/>
    <mergeCell ref="C15:C16"/>
    <mergeCell ref="D15:D16"/>
    <mergeCell ref="E15:E16"/>
    <mergeCell ref="F15:F16"/>
    <mergeCell ref="G15:G16"/>
    <mergeCell ref="H19:H20"/>
    <mergeCell ref="I19:I20"/>
    <mergeCell ref="B17:B18"/>
    <mergeCell ref="B19:B20"/>
    <mergeCell ref="C19:C20"/>
    <mergeCell ref="D19:D20"/>
    <mergeCell ref="E19:E20"/>
    <mergeCell ref="F19:F20"/>
    <mergeCell ref="G19:G20"/>
    <mergeCell ref="C13:C14"/>
    <mergeCell ref="D13:D14"/>
    <mergeCell ref="E13:E14"/>
    <mergeCell ref="F13:F14"/>
    <mergeCell ref="G13:G14"/>
    <mergeCell ref="H13:H14"/>
    <mergeCell ref="I13:I14"/>
    <mergeCell ref="H15:H16"/>
    <mergeCell ref="G33:G34"/>
    <mergeCell ref="H33:H34"/>
    <mergeCell ref="H31:H32"/>
    <mergeCell ref="I31:I32"/>
    <mergeCell ref="B33:B34"/>
    <mergeCell ref="C33:C34"/>
    <mergeCell ref="D33:D34"/>
    <mergeCell ref="E33:E34"/>
    <mergeCell ref="F33:F34"/>
    <mergeCell ref="I33:I34"/>
    <mergeCell ref="B2:X3"/>
    <mergeCell ref="B7:B8"/>
    <mergeCell ref="C7:C8"/>
    <mergeCell ref="D7:D8"/>
    <mergeCell ref="E7:E8"/>
    <mergeCell ref="F7:F8"/>
    <mergeCell ref="G7:G8"/>
    <mergeCell ref="AG7:AG8"/>
    <mergeCell ref="AH7:AH8"/>
    <mergeCell ref="H7:H8"/>
    <mergeCell ref="I7:I8"/>
    <mergeCell ref="AI7:AI8"/>
    <mergeCell ref="AJ7:AJ8"/>
    <mergeCell ref="AK7:AK8"/>
    <mergeCell ref="G9:G10"/>
    <mergeCell ref="H9:H10"/>
    <mergeCell ref="AA7:AA8"/>
    <mergeCell ref="AA9:AA10"/>
    <mergeCell ref="AF9:AF10"/>
    <mergeCell ref="AG9:AG10"/>
    <mergeCell ref="AK9:AK10"/>
    <mergeCell ref="X7:X8"/>
    <mergeCell ref="AB7:AB8"/>
    <mergeCell ref="AC7:AC8"/>
    <mergeCell ref="AD7:AD8"/>
    <mergeCell ref="AE7:AE8"/>
    <mergeCell ref="AF7:AF8"/>
    <mergeCell ref="AE11:AE12"/>
    <mergeCell ref="AF11:AF12"/>
    <mergeCell ref="AG11:AG12"/>
    <mergeCell ref="AK11:AK12"/>
    <mergeCell ref="AB9:AB10"/>
    <mergeCell ref="AC9:AC10"/>
    <mergeCell ref="X11:X12"/>
    <mergeCell ref="AA11:AA12"/>
    <mergeCell ref="AB11:AB12"/>
    <mergeCell ref="AC11:AC12"/>
    <mergeCell ref="AD11:AD12"/>
    <mergeCell ref="AD9:AD10"/>
    <mergeCell ref="AE9:AE10"/>
    <mergeCell ref="X9:X10"/>
    <mergeCell ref="AK13:AK14"/>
    <mergeCell ref="AA13:AA14"/>
    <mergeCell ref="AA15:AA16"/>
    <mergeCell ref="AB15:AB16"/>
    <mergeCell ref="AC15:AC16"/>
    <mergeCell ref="AF15:AF16"/>
    <mergeCell ref="AG15:AG16"/>
    <mergeCell ref="AK15:AK16"/>
    <mergeCell ref="AD15:AD16"/>
    <mergeCell ref="AE15:AE16"/>
    <mergeCell ref="AB13:AB14"/>
    <mergeCell ref="AC13:AC14"/>
    <mergeCell ref="AD13:AD14"/>
    <mergeCell ref="AE13:AE14"/>
    <mergeCell ref="AF13:AF14"/>
    <mergeCell ref="C17:C18"/>
    <mergeCell ref="D17:D18"/>
    <mergeCell ref="E17:E18"/>
    <mergeCell ref="F17:F18"/>
    <mergeCell ref="G17:G18"/>
    <mergeCell ref="H17:H18"/>
    <mergeCell ref="I17:I18"/>
    <mergeCell ref="AA17:AA18"/>
    <mergeCell ref="AG13:AG14"/>
    <mergeCell ref="X13:X14"/>
    <mergeCell ref="X15:X16"/>
    <mergeCell ref="I15:I16"/>
    <mergeCell ref="X27:X28"/>
    <mergeCell ref="X29:X30"/>
    <mergeCell ref="X31:X32"/>
    <mergeCell ref="X33:X34"/>
    <mergeCell ref="X21:X22"/>
    <mergeCell ref="AB21:AB22"/>
    <mergeCell ref="AC21:AC22"/>
    <mergeCell ref="AD21:AD22"/>
    <mergeCell ref="AE21:AE22"/>
    <mergeCell ref="AA31:AA32"/>
    <mergeCell ref="AB31:AB32"/>
    <mergeCell ref="AC31:AC32"/>
    <mergeCell ref="AD31:AD32"/>
    <mergeCell ref="AE31:AE32"/>
    <mergeCell ref="AD23:AD24"/>
    <mergeCell ref="AE23:AE24"/>
    <mergeCell ref="AD25:AD26"/>
    <mergeCell ref="AE25:AE26"/>
    <mergeCell ref="X23:X24"/>
    <mergeCell ref="X25:X26"/>
    <mergeCell ref="AC27:AC28"/>
    <mergeCell ref="AD27:AD28"/>
    <mergeCell ref="AE27:AE28"/>
    <mergeCell ref="AF27:AF28"/>
    <mergeCell ref="AG27:AG28"/>
    <mergeCell ref="AK27:AK28"/>
    <mergeCell ref="AA29:AA30"/>
    <mergeCell ref="AB29:AB30"/>
    <mergeCell ref="AC29:AC30"/>
    <mergeCell ref="AD29:AD30"/>
    <mergeCell ref="AE29:AE30"/>
    <mergeCell ref="AF29:AF30"/>
    <mergeCell ref="AG29:AG30"/>
    <mergeCell ref="AK29:AK30"/>
    <mergeCell ref="AA27:AA28"/>
    <mergeCell ref="AB27:AB28"/>
    <mergeCell ref="AF31:AF32"/>
    <mergeCell ref="AG31:AG32"/>
    <mergeCell ref="AK31:AK32"/>
    <mergeCell ref="AA33:AA34"/>
    <mergeCell ref="AB33:AB34"/>
    <mergeCell ref="AC33:AC34"/>
    <mergeCell ref="AD33:AD34"/>
    <mergeCell ref="AE33:AE34"/>
    <mergeCell ref="AF33:AF34"/>
    <mergeCell ref="AG33:AG34"/>
    <mergeCell ref="AK33:AK34"/>
    <mergeCell ref="AA19:AA20"/>
    <mergeCell ref="AB19:AB20"/>
    <mergeCell ref="AC19:AC20"/>
    <mergeCell ref="AD19:AD20"/>
    <mergeCell ref="AE19:AE20"/>
    <mergeCell ref="AF19:AF20"/>
    <mergeCell ref="AG19:AG20"/>
    <mergeCell ref="AK19:AK20"/>
    <mergeCell ref="X17:X18"/>
    <mergeCell ref="AB17:AB18"/>
    <mergeCell ref="AC17:AC18"/>
    <mergeCell ref="AD17:AD18"/>
    <mergeCell ref="AE17:AE18"/>
    <mergeCell ref="AF17:AF18"/>
    <mergeCell ref="X19:X20"/>
    <mergeCell ref="AG17:AG18"/>
    <mergeCell ref="AK17:AK18"/>
    <mergeCell ref="AK21:AK22"/>
    <mergeCell ref="AG23:AG24"/>
    <mergeCell ref="AK23:AK24"/>
    <mergeCell ref="AA21:AA22"/>
    <mergeCell ref="AA23:AA24"/>
    <mergeCell ref="G25:G26"/>
    <mergeCell ref="H25:H26"/>
    <mergeCell ref="H23:H24"/>
    <mergeCell ref="I23:I24"/>
    <mergeCell ref="I25:I26"/>
    <mergeCell ref="AF21:AF22"/>
    <mergeCell ref="AF23:AF24"/>
    <mergeCell ref="AB23:AB24"/>
    <mergeCell ref="AC23:AC24"/>
    <mergeCell ref="AA25:AA26"/>
    <mergeCell ref="AB25:AB26"/>
    <mergeCell ref="AC25:AC26"/>
    <mergeCell ref="AG21:AG22"/>
    <mergeCell ref="AF25:AF26"/>
    <mergeCell ref="AG25:AG26"/>
    <mergeCell ref="AK25:AK26"/>
  </mergeCells>
  <conditionalFormatting sqref="K7:W7 K9:W9 K11:W11 K13:W13 K15:W15 K17:W17 K19:W19 K21:W21 K23:W23 K25:W25 K27:W27 K29:W29 K31:W31 K33:W33">
    <cfRule type="expression" dxfId="16" priority="1">
      <formula>SUM(SUM(LEFT(K8,FIND("*",K8)-1)))=6</formula>
    </cfRule>
  </conditionalFormatting>
  <conditionalFormatting sqref="K7:W7 K9:W9 K11:W11 K13:W13 K15:W15 K17:W17 K19:W19 K21:W21 K23:W23 K25:W25 K27:W27 K29:W29 K31:W31 K33:W33">
    <cfRule type="expression" dxfId="15" priority="2">
      <formula>SUM(SUM(LEFT(K8,FIND("*",K8)-1)))&gt;6</formula>
    </cfRule>
  </conditionalFormatting>
  <conditionalFormatting sqref="K8:W8 K10:W10 K12:W12 K14:W14 K16:W16 K18:W18 K26:W26 K28:W28 K30:W30 K34:W34">
    <cfRule type="expression" dxfId="14" priority="3">
      <formula>SUM(SUM(LEFT(K8,FIND("*",K8)-1)))&gt;6</formula>
    </cfRule>
  </conditionalFormatting>
  <conditionalFormatting sqref="K8:W8 K10:W10 K12:W12 K14:W14 K16:W16 K18:W18 K26:W26 K28:W28 K30:W30 K34:W34">
    <cfRule type="expression" dxfId="13" priority="4">
      <formula>SUM(SUM(LEFT(K8,FIND("*",K8)-1)))=6</formula>
    </cfRule>
  </conditionalFormatting>
  <conditionalFormatting sqref="K20:W20">
    <cfRule type="expression" dxfId="12" priority="5">
      <formula>SUM(SUM(LEFT(K20,FIND("*",K20)-1)))&gt;6</formula>
    </cfRule>
  </conditionalFormatting>
  <conditionalFormatting sqref="K20:W20">
    <cfRule type="expression" dxfId="11" priority="6">
      <formula>SUM(SUM(LEFT(K20,FIND("*",K20)-1)))=6</formula>
    </cfRule>
  </conditionalFormatting>
  <conditionalFormatting sqref="K22:W22">
    <cfRule type="expression" dxfId="10" priority="7">
      <formula>SUM(SUM(LEFT(K22,FIND("*",K22)-1)))&gt;6</formula>
    </cfRule>
  </conditionalFormatting>
  <conditionalFormatting sqref="K22:W22">
    <cfRule type="expression" dxfId="9" priority="8">
      <formula>SUM(SUM(LEFT(K22,FIND("*",K22)-1)))=6</formula>
    </cfRule>
  </conditionalFormatting>
  <conditionalFormatting sqref="K24:W24">
    <cfRule type="expression" dxfId="8" priority="9">
      <formula>SUM(SUM(LEFT(K24,FIND("*",K24)-1)))&gt;6</formula>
    </cfRule>
  </conditionalFormatting>
  <conditionalFormatting sqref="K24:W24">
    <cfRule type="expression" dxfId="7" priority="10">
      <formula>SUM(SUM(LEFT(K24,FIND("*",K24)-1)))=6</formula>
    </cfRule>
  </conditionalFormatting>
  <conditionalFormatting sqref="K32:W32">
    <cfRule type="expression" dxfId="6" priority="11">
      <formula>SUM(SUM(LEFT(K32,FIND("*",K32)-1)))&gt;6</formula>
    </cfRule>
  </conditionalFormatting>
  <conditionalFormatting sqref="K32:W32">
    <cfRule type="expression" dxfId="5" priority="12">
      <formula>SUM(SUM(LEFT(K32,FIND("*",K32)-1)))=6</formula>
    </cfRule>
  </conditionalFormatting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CC"/>
  </sheetPr>
  <dimension ref="B1:AY595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4.42578125" defaultRowHeight="15" customHeight="1" x14ac:dyDescent="0.2"/>
  <cols>
    <col min="1" max="1" width="1.7109375" customWidth="1"/>
    <col min="2" max="2" width="4.7109375" customWidth="1"/>
    <col min="3" max="3" width="25.85546875" customWidth="1"/>
    <col min="4" max="4" width="7.140625" customWidth="1"/>
    <col min="5" max="9" width="5.5703125" customWidth="1"/>
    <col min="10" max="25" width="8.7109375" customWidth="1"/>
    <col min="26" max="26" width="9.140625" customWidth="1"/>
    <col min="27" max="28" width="9.140625" hidden="1" customWidth="1"/>
    <col min="29" max="29" width="25.85546875" hidden="1" customWidth="1"/>
    <col min="30" max="51" width="8" hidden="1" customWidth="1"/>
  </cols>
  <sheetData>
    <row r="1" spans="2:51" ht="12" customHeight="1" x14ac:dyDescent="0.2"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2:51" ht="12.75" customHeight="1" x14ac:dyDescent="0.2">
      <c r="B2" s="274" t="s">
        <v>391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275"/>
    </row>
    <row r="3" spans="2:51" ht="12.75" customHeight="1" x14ac:dyDescent="0.2">
      <c r="B3" s="192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276"/>
    </row>
    <row r="4" spans="2:51" ht="12" customHeight="1" x14ac:dyDescent="0.2"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51" ht="12.75" customHeight="1" x14ac:dyDescent="0.2">
      <c r="B5" s="5"/>
      <c r="C5" s="5" t="s">
        <v>62</v>
      </c>
      <c r="D5" s="5"/>
      <c r="E5" s="5" t="s">
        <v>7</v>
      </c>
      <c r="F5" s="5" t="s">
        <v>8</v>
      </c>
      <c r="G5" s="5" t="s">
        <v>63</v>
      </c>
      <c r="H5" s="5" t="s">
        <v>64</v>
      </c>
      <c r="I5" s="5" t="s">
        <v>65</v>
      </c>
      <c r="J5" s="5">
        <v>1</v>
      </c>
      <c r="K5" s="5">
        <v>2</v>
      </c>
      <c r="L5" s="5">
        <v>3</v>
      </c>
      <c r="M5" s="5">
        <v>4</v>
      </c>
      <c r="N5" s="5">
        <v>5</v>
      </c>
      <c r="O5" s="5">
        <v>6</v>
      </c>
      <c r="P5" s="5">
        <v>7</v>
      </c>
      <c r="Q5" s="5">
        <v>8</v>
      </c>
      <c r="R5" s="5">
        <v>9</v>
      </c>
      <c r="S5" s="5">
        <v>10</v>
      </c>
      <c r="T5" s="5">
        <v>11</v>
      </c>
      <c r="U5" s="5">
        <v>12</v>
      </c>
      <c r="V5" s="5">
        <v>13</v>
      </c>
      <c r="W5" s="5" t="s">
        <v>66</v>
      </c>
      <c r="X5" s="5" t="s">
        <v>67</v>
      </c>
      <c r="Y5" s="36" t="s">
        <v>68</v>
      </c>
    </row>
    <row r="6" spans="2:51" ht="13.5" customHeight="1" x14ac:dyDescent="0.2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AA6" s="5" t="s">
        <v>392</v>
      </c>
      <c r="AB6" s="5" t="s">
        <v>9</v>
      </c>
      <c r="AC6" s="5" t="s">
        <v>5</v>
      </c>
      <c r="AD6" s="5" t="s">
        <v>6</v>
      </c>
      <c r="AE6" s="5" t="s">
        <v>387</v>
      </c>
      <c r="AF6" s="5" t="s">
        <v>393</v>
      </c>
      <c r="AG6" s="5" t="s">
        <v>394</v>
      </c>
      <c r="AH6" s="5" t="s">
        <v>385</v>
      </c>
      <c r="AI6" s="5" t="s">
        <v>386</v>
      </c>
      <c r="AJ6" s="5" t="s">
        <v>35</v>
      </c>
      <c r="AK6" s="5" t="s">
        <v>36</v>
      </c>
      <c r="AL6" s="5" t="s">
        <v>37</v>
      </c>
      <c r="AM6" s="5" t="s">
        <v>38</v>
      </c>
      <c r="AN6" s="5" t="s">
        <v>39</v>
      </c>
      <c r="AO6" s="5" t="s">
        <v>46</v>
      </c>
      <c r="AP6" s="5" t="s">
        <v>47</v>
      </c>
      <c r="AQ6" s="5" t="s">
        <v>48</v>
      </c>
      <c r="AR6" s="5" t="s">
        <v>49</v>
      </c>
      <c r="AS6" s="5" t="s">
        <v>50</v>
      </c>
      <c r="AT6" s="5" t="s">
        <v>54</v>
      </c>
      <c r="AU6" s="5" t="s">
        <v>55</v>
      </c>
      <c r="AV6" s="5" t="s">
        <v>56</v>
      </c>
      <c r="AW6" s="5" t="s">
        <v>10</v>
      </c>
    </row>
    <row r="7" spans="2:51" ht="12.75" customHeight="1" x14ac:dyDescent="0.2">
      <c r="B7" s="265" t="s">
        <v>22</v>
      </c>
      <c r="C7" s="273" t="str">
        <f>IF(Alderholt!E7="","",Alderholt!E7)</f>
        <v>Steve O'marah</v>
      </c>
      <c r="D7" s="260" t="str">
        <f>LEFT($B$7,3)</f>
        <v>Ald</v>
      </c>
      <c r="E7" s="256">
        <f>IF(Alderholt!G7="","",Alderholt!G7)</f>
        <v>12</v>
      </c>
      <c r="F7" s="257">
        <f>IF(Alderholt!H7=0,"",Alderholt!H7)</f>
        <v>10</v>
      </c>
      <c r="G7" s="253">
        <f>IF(Alderholt!I7=0,"",Alderholt!I7)</f>
        <v>2</v>
      </c>
      <c r="H7" s="253">
        <f>IF(Alderholt!J7=0,"",Alderholt!J7)</f>
        <v>42</v>
      </c>
      <c r="I7" s="258">
        <f>IF(Alderholt!K7=0,"",Alderholt!K7)</f>
        <v>14</v>
      </c>
      <c r="J7" s="161">
        <f>IF(Alderholt!M7="","",(Alderholt!M7))</f>
        <v>22.77</v>
      </c>
      <c r="K7" s="162">
        <f>IF(Alderholt!N7="","",(Alderholt!N7))</f>
        <v>19.079999999999998</v>
      </c>
      <c r="L7" s="162">
        <f>IF(Alderholt!O7="","",(Alderholt!O7))</f>
        <v>22.72</v>
      </c>
      <c r="M7" s="162" t="str">
        <f>IF(Alderholt!P7="","",(Alderholt!P7))</f>
        <v/>
      </c>
      <c r="N7" s="162">
        <f>IF(Alderholt!Q7="","",(Alderholt!Q7))</f>
        <v>25.78</v>
      </c>
      <c r="O7" s="162">
        <f>IF(Alderholt!R7="","",(Alderholt!R7))</f>
        <v>20.55</v>
      </c>
      <c r="P7" s="162">
        <f>IF(Alderholt!S7="","",(Alderholt!S7))</f>
        <v>21.78</v>
      </c>
      <c r="Q7" s="162">
        <f>IF(Alderholt!T7="","",(Alderholt!T7))</f>
        <v>27.67</v>
      </c>
      <c r="R7" s="162">
        <f>IF(Alderholt!U7="","",(Alderholt!U7))</f>
        <v>26.72</v>
      </c>
      <c r="S7" s="162">
        <f>IF(Alderholt!V7="","",(Alderholt!V7))</f>
        <v>21.2</v>
      </c>
      <c r="T7" s="162">
        <f>IF(Alderholt!W7="","",(Alderholt!W7))</f>
        <v>24.66</v>
      </c>
      <c r="U7" s="162">
        <f>IF(Alderholt!X7="","",(Alderholt!X7))</f>
        <v>23.58</v>
      </c>
      <c r="V7" s="162">
        <f>IF(Alderholt!Y7="","",(Alderholt!Y7))</f>
        <v>25.53</v>
      </c>
      <c r="W7" s="262">
        <f>IF(Alderholt!AA7=0,"",(Alderholt!AA7))</f>
        <v>6</v>
      </c>
      <c r="X7" s="254">
        <f>IF(Alderholt!AB7=0,"",(Alderholt!AB7))</f>
        <v>23.50333333333333</v>
      </c>
      <c r="Y7" s="255">
        <f>IF(Alderholt!AC7=0,"",(Alderholt!AC7))</f>
        <v>33.50333333333333</v>
      </c>
      <c r="AA7" s="281">
        <f>Y7</f>
        <v>33.50333333333333</v>
      </c>
      <c r="AB7" s="278">
        <f>X7</f>
        <v>23.50333333333333</v>
      </c>
      <c r="AC7" s="240" t="str">
        <f>C7</f>
        <v>Steve O'marah</v>
      </c>
      <c r="AD7" s="240" t="str">
        <f>LEFT($B$7,3)</f>
        <v>Ald</v>
      </c>
      <c r="AE7" s="240">
        <f t="shared" ref="AE7:AY7" si="0">E7</f>
        <v>12</v>
      </c>
      <c r="AF7" s="240">
        <f t="shared" si="0"/>
        <v>10</v>
      </c>
      <c r="AG7" s="279">
        <f t="shared" si="0"/>
        <v>2</v>
      </c>
      <c r="AH7" s="279">
        <f t="shared" si="0"/>
        <v>42</v>
      </c>
      <c r="AI7" s="279">
        <f t="shared" si="0"/>
        <v>14</v>
      </c>
      <c r="AJ7" s="278">
        <f t="shared" si="0"/>
        <v>22.77</v>
      </c>
      <c r="AK7" s="278">
        <f t="shared" si="0"/>
        <v>19.079999999999998</v>
      </c>
      <c r="AL7" s="278">
        <f t="shared" si="0"/>
        <v>22.72</v>
      </c>
      <c r="AM7" s="278" t="str">
        <f t="shared" si="0"/>
        <v/>
      </c>
      <c r="AN7" s="278">
        <f t="shared" si="0"/>
        <v>25.78</v>
      </c>
      <c r="AO7" s="278">
        <f t="shared" si="0"/>
        <v>20.55</v>
      </c>
      <c r="AP7" s="278">
        <f t="shared" si="0"/>
        <v>21.78</v>
      </c>
      <c r="AQ7" s="278">
        <f t="shared" si="0"/>
        <v>27.67</v>
      </c>
      <c r="AR7" s="278">
        <f t="shared" si="0"/>
        <v>26.72</v>
      </c>
      <c r="AS7" s="278">
        <f t="shared" si="0"/>
        <v>21.2</v>
      </c>
      <c r="AT7" s="278">
        <f t="shared" si="0"/>
        <v>24.66</v>
      </c>
      <c r="AU7" s="278">
        <f t="shared" si="0"/>
        <v>23.58</v>
      </c>
      <c r="AV7" s="278">
        <f t="shared" si="0"/>
        <v>25.53</v>
      </c>
      <c r="AW7" s="279">
        <f t="shared" si="0"/>
        <v>6</v>
      </c>
      <c r="AX7" s="278">
        <f t="shared" si="0"/>
        <v>23.50333333333333</v>
      </c>
      <c r="AY7" s="280">
        <f t="shared" si="0"/>
        <v>33.50333333333333</v>
      </c>
    </row>
    <row r="8" spans="2:51" ht="12" customHeight="1" x14ac:dyDescent="0.2">
      <c r="B8" s="266"/>
      <c r="C8" s="272"/>
      <c r="D8" s="235"/>
      <c r="E8" s="239"/>
      <c r="F8" s="182"/>
      <c r="G8" s="182"/>
      <c r="H8" s="182"/>
      <c r="I8" s="233"/>
      <c r="J8" s="41" t="str">
        <f>IF(Alderholt!M8="","",(Alderholt!M8))</f>
        <v>4*0</v>
      </c>
      <c r="K8" s="41" t="str">
        <f>IF(Alderholt!N8="","",(Alderholt!N8))</f>
        <v>4*1</v>
      </c>
      <c r="L8" s="41" t="str">
        <f>IF(Alderholt!O8="","",(Alderholt!O8))</f>
        <v>4*1</v>
      </c>
      <c r="M8" s="41" t="str">
        <f>IF(Alderholt!P8="","",(Alderholt!P8))</f>
        <v/>
      </c>
      <c r="N8" s="41" t="str">
        <f>IF(Alderholt!Q8="","",(Alderholt!Q8))</f>
        <v>4*1</v>
      </c>
      <c r="O8" s="41" t="str">
        <f>IF(Alderholt!R8="","",(Alderholt!R8))</f>
        <v>4*1(1)</v>
      </c>
      <c r="P8" s="41" t="str">
        <f>IF(Alderholt!S8="","",(Alderholt!S8))</f>
        <v>4*0</v>
      </c>
      <c r="Q8" s="41" t="str">
        <f>IF(Alderholt!T8="","",(Alderholt!T8))</f>
        <v>4*2(4)</v>
      </c>
      <c r="R8" s="41" t="str">
        <f>IF(Alderholt!U8="","",(Alderholt!U8))</f>
        <v>4*0</v>
      </c>
      <c r="S8" s="41" t="str">
        <f>IF(Alderholt!V8="","",(Alderholt!V8))</f>
        <v>4*0</v>
      </c>
      <c r="T8" s="41" t="str">
        <f>IF(Alderholt!W8="","",(Alderholt!W8))</f>
        <v>0*4</v>
      </c>
      <c r="U8" s="41" t="str">
        <f>IF(Alderholt!X8="","",(Alderholt!X8))</f>
        <v>4*0</v>
      </c>
      <c r="V8" s="41" t="str">
        <f>IF(Alderholt!Y8="","",(Alderholt!Y8))</f>
        <v>2*4(1)</v>
      </c>
      <c r="W8" s="201"/>
      <c r="X8" s="182"/>
      <c r="Y8" s="233"/>
      <c r="AA8" s="239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233"/>
    </row>
    <row r="9" spans="2:51" ht="12" customHeight="1" x14ac:dyDescent="0.2">
      <c r="B9" s="266"/>
      <c r="C9" s="271" t="str">
        <f>IF(Alderholt!E9="","",Alderholt!E9)</f>
        <v>Robbie Martin</v>
      </c>
      <c r="D9" s="259" t="str">
        <f>LEFT($B$7,3)</f>
        <v>Ald</v>
      </c>
      <c r="E9" s="251">
        <f>IF(Alderholt!G9="","",Alderholt!G9)</f>
        <v>10</v>
      </c>
      <c r="F9" s="181">
        <f>IF(Alderholt!H9=0,"",Alderholt!H9)</f>
        <v>9</v>
      </c>
      <c r="G9" s="186">
        <f>IF(Alderholt!I9=0,"",Alderholt!I9)</f>
        <v>1</v>
      </c>
      <c r="H9" s="186">
        <f>IF(Alderholt!J9=0,"",Alderholt!J9)</f>
        <v>39</v>
      </c>
      <c r="I9" s="252">
        <f>IF(Alderholt!K9=0,"",Alderholt!K9)</f>
        <v>15</v>
      </c>
      <c r="J9" s="163" t="str">
        <f>IF(Alderholt!M9="","",(Alderholt!M9))</f>
        <v/>
      </c>
      <c r="K9" s="41">
        <f>IF(Alderholt!N9="","",(Alderholt!N9))</f>
        <v>26.41</v>
      </c>
      <c r="L9" s="41">
        <f>IF(Alderholt!O9="","",(Alderholt!O9))</f>
        <v>22.02</v>
      </c>
      <c r="M9" s="41" t="str">
        <f>IF(Alderholt!P9="","",(Alderholt!P9))</f>
        <v/>
      </c>
      <c r="N9" s="41">
        <f>IF(Alderholt!Q9="","",(Alderholt!Q9))</f>
        <v>23.91</v>
      </c>
      <c r="O9" s="41" t="str">
        <f>IF(Alderholt!R9="","",(Alderholt!R9))</f>
        <v/>
      </c>
      <c r="P9" s="41">
        <f>IF(Alderholt!S9="","",(Alderholt!S9))</f>
        <v>22.85</v>
      </c>
      <c r="Q9" s="41">
        <f>IF(Alderholt!T9="","",(Alderholt!T9))</f>
        <v>29.04</v>
      </c>
      <c r="R9" s="41">
        <f>IF(Alderholt!U9="","",(Alderholt!U9))</f>
        <v>23.49</v>
      </c>
      <c r="S9" s="41">
        <f>IF(Alderholt!V9="","",(Alderholt!V9))</f>
        <v>27.39</v>
      </c>
      <c r="T9" s="41">
        <f>IF(Alderholt!W9="","",(Alderholt!W9))</f>
        <v>27.83</v>
      </c>
      <c r="U9" s="41">
        <f>IF(Alderholt!X9="","",(Alderholt!X9))</f>
        <v>20.27</v>
      </c>
      <c r="V9" s="41">
        <f>IF(Alderholt!Y9="","",(Alderholt!Y9))</f>
        <v>28.83</v>
      </c>
      <c r="W9" s="249">
        <f>IF(Alderholt!AA9=0,"",(Alderholt!AA9))</f>
        <v>4</v>
      </c>
      <c r="X9" s="244">
        <f>IF(Alderholt!AB9=0,"",(Alderholt!AB9))</f>
        <v>25.204000000000001</v>
      </c>
      <c r="Y9" s="245">
        <f>IF(Alderholt!AC9=0,"",(Alderholt!AC9))</f>
        <v>34.204000000000001</v>
      </c>
      <c r="AA9" s="246">
        <f>Y9</f>
        <v>34.204000000000001</v>
      </c>
      <c r="AB9" s="243">
        <f>X9</f>
        <v>25.204000000000001</v>
      </c>
      <c r="AC9" s="185" t="str">
        <f>C9</f>
        <v>Robbie Martin</v>
      </c>
      <c r="AD9" s="185" t="str">
        <f>LEFT($B$7,3)</f>
        <v>Ald</v>
      </c>
      <c r="AE9" s="185">
        <f t="shared" ref="AE9:AY9" si="1">E9</f>
        <v>10</v>
      </c>
      <c r="AF9" s="185">
        <f t="shared" si="1"/>
        <v>9</v>
      </c>
      <c r="AG9" s="247">
        <f t="shared" si="1"/>
        <v>1</v>
      </c>
      <c r="AH9" s="247">
        <f t="shared" si="1"/>
        <v>39</v>
      </c>
      <c r="AI9" s="247">
        <f t="shared" si="1"/>
        <v>15</v>
      </c>
      <c r="AJ9" s="243" t="str">
        <f t="shared" si="1"/>
        <v/>
      </c>
      <c r="AK9" s="243">
        <f t="shared" si="1"/>
        <v>26.41</v>
      </c>
      <c r="AL9" s="243">
        <f t="shared" si="1"/>
        <v>22.02</v>
      </c>
      <c r="AM9" s="243" t="str">
        <f t="shared" si="1"/>
        <v/>
      </c>
      <c r="AN9" s="243">
        <f t="shared" si="1"/>
        <v>23.91</v>
      </c>
      <c r="AO9" s="243" t="str">
        <f t="shared" si="1"/>
        <v/>
      </c>
      <c r="AP9" s="243">
        <f t="shared" si="1"/>
        <v>22.85</v>
      </c>
      <c r="AQ9" s="243">
        <f t="shared" si="1"/>
        <v>29.04</v>
      </c>
      <c r="AR9" s="243">
        <f t="shared" si="1"/>
        <v>23.49</v>
      </c>
      <c r="AS9" s="243">
        <f t="shared" si="1"/>
        <v>27.39</v>
      </c>
      <c r="AT9" s="243">
        <f t="shared" si="1"/>
        <v>27.83</v>
      </c>
      <c r="AU9" s="243">
        <f t="shared" si="1"/>
        <v>20.27</v>
      </c>
      <c r="AV9" s="243">
        <f t="shared" si="1"/>
        <v>28.83</v>
      </c>
      <c r="AW9" s="247">
        <f t="shared" si="1"/>
        <v>4</v>
      </c>
      <c r="AX9" s="243">
        <f t="shared" si="1"/>
        <v>25.204000000000001</v>
      </c>
      <c r="AY9" s="248">
        <f t="shared" si="1"/>
        <v>34.204000000000001</v>
      </c>
    </row>
    <row r="10" spans="2:51" ht="12" customHeight="1" x14ac:dyDescent="0.2">
      <c r="B10" s="266"/>
      <c r="C10" s="272"/>
      <c r="D10" s="235"/>
      <c r="E10" s="239"/>
      <c r="F10" s="182"/>
      <c r="G10" s="182"/>
      <c r="H10" s="182"/>
      <c r="I10" s="233"/>
      <c r="J10" s="163" t="str">
        <f>IF(Alderholt!M10="","",(Alderholt!M10))</f>
        <v/>
      </c>
      <c r="K10" s="41" t="str">
        <f>IF(Alderholt!N10="","",(Alderholt!N10))</f>
        <v>3*4(1)</v>
      </c>
      <c r="L10" s="41" t="str">
        <f>IF(Alderholt!O10="","",(Alderholt!O10))</f>
        <v>4*0</v>
      </c>
      <c r="M10" s="41" t="str">
        <f>IF(Alderholt!P10="","",(Alderholt!P10))</f>
        <v/>
      </c>
      <c r="N10" s="41" t="str">
        <f>IF(Alderholt!Q10="","",(Alderholt!Q10))</f>
        <v>4*2</v>
      </c>
      <c r="O10" s="41" t="str">
        <f>IF(Alderholt!R10="","",(Alderholt!R10))</f>
        <v/>
      </c>
      <c r="P10" s="41" t="str">
        <f>IF(Alderholt!S10="","",(Alderholt!S10))</f>
        <v>4*2</v>
      </c>
      <c r="Q10" s="41" t="str">
        <f>IF(Alderholt!T10="","",(Alderholt!T10))</f>
        <v>4*0</v>
      </c>
      <c r="R10" s="41" t="str">
        <f>IF(Alderholt!U10="","",(Alderholt!U10))</f>
        <v>4*2(1)</v>
      </c>
      <c r="S10" s="41" t="str">
        <f>IF(Alderholt!V10="","",(Alderholt!V10))</f>
        <v>4*1</v>
      </c>
      <c r="T10" s="41" t="str">
        <f>IF(Alderholt!W10="","",(Alderholt!W10))</f>
        <v>4*0(1)</v>
      </c>
      <c r="U10" s="41" t="str">
        <f>IF(Alderholt!X10="","",(Alderholt!X10))</f>
        <v>4*1(1)</v>
      </c>
      <c r="V10" s="41" t="str">
        <f>IF(Alderholt!Y10="","",(Alderholt!Y10))</f>
        <v>4*3</v>
      </c>
      <c r="W10" s="201"/>
      <c r="X10" s="182"/>
      <c r="Y10" s="233"/>
      <c r="AA10" s="239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233"/>
    </row>
    <row r="11" spans="2:51" ht="12" customHeight="1" x14ac:dyDescent="0.2">
      <c r="B11" s="266"/>
      <c r="C11" s="271" t="str">
        <f>IF(Alderholt!E11="","",Alderholt!E11)</f>
        <v>Les Browning</v>
      </c>
      <c r="D11" s="259" t="str">
        <f>LEFT($B$7,3)</f>
        <v>Ald</v>
      </c>
      <c r="E11" s="251">
        <f>IF(Alderholt!G11="","",Alderholt!G11)</f>
        <v>1</v>
      </c>
      <c r="F11" s="181" t="str">
        <f>IF(Alderholt!H11=0,"",Alderholt!H11)</f>
        <v/>
      </c>
      <c r="G11" s="186">
        <f>IF(Alderholt!I11=0,"",Alderholt!I11)</f>
        <v>1</v>
      </c>
      <c r="H11" s="186">
        <f>IF(Alderholt!J11=0,"",Alderholt!J11)</f>
        <v>3</v>
      </c>
      <c r="I11" s="252">
        <f>IF(Alderholt!K11=0,"",Alderholt!K11)</f>
        <v>4</v>
      </c>
      <c r="J11" s="163">
        <f>IF(Alderholt!M11="","",(Alderholt!M11))</f>
        <v>20.63</v>
      </c>
      <c r="K11" s="41" t="str">
        <f>IF(Alderholt!N11="","",(Alderholt!N11))</f>
        <v/>
      </c>
      <c r="L11" s="41" t="str">
        <f>IF(Alderholt!O11="","",(Alderholt!O11))</f>
        <v/>
      </c>
      <c r="M11" s="41" t="str">
        <f>IF(Alderholt!P11="","",(Alderholt!P11))</f>
        <v/>
      </c>
      <c r="N11" s="41" t="str">
        <f>IF(Alderholt!Q11="","",(Alderholt!Q11))</f>
        <v/>
      </c>
      <c r="O11" s="41" t="str">
        <f>IF(Alderholt!R11="","",(Alderholt!R11))</f>
        <v/>
      </c>
      <c r="P11" s="41" t="str">
        <f>IF(Alderholt!S11="","",(Alderholt!S11))</f>
        <v/>
      </c>
      <c r="Q11" s="41" t="str">
        <f>IF(Alderholt!T11="","",(Alderholt!T11))</f>
        <v/>
      </c>
      <c r="R11" s="41" t="str">
        <f>IF(Alderholt!U11="","",(Alderholt!U11))</f>
        <v/>
      </c>
      <c r="S11" s="41" t="str">
        <f>IF(Alderholt!V11="","",(Alderholt!V11))</f>
        <v/>
      </c>
      <c r="T11" s="41" t="str">
        <f>IF(Alderholt!W11="","",(Alderholt!W11))</f>
        <v/>
      </c>
      <c r="U11" s="41" t="str">
        <f>IF(Alderholt!X11="","",(Alderholt!X11))</f>
        <v/>
      </c>
      <c r="V11" s="41" t="str">
        <f>IF(Alderholt!Y11="","",(Alderholt!Y11))</f>
        <v/>
      </c>
      <c r="W11" s="249" t="str">
        <f>IF(Alderholt!AA11=0,"",(Alderholt!AA11))</f>
        <v/>
      </c>
      <c r="X11" s="244">
        <f>IF(Alderholt!AB11=0,"",(Alderholt!AB11))</f>
        <v>20.63</v>
      </c>
      <c r="Y11" s="245">
        <f>IF(Alderholt!AC11=0,"",(Alderholt!AC11))</f>
        <v>20.63</v>
      </c>
      <c r="AA11" s="246">
        <f>Y11</f>
        <v>20.63</v>
      </c>
      <c r="AB11" s="243">
        <f>X11</f>
        <v>20.63</v>
      </c>
      <c r="AC11" s="185" t="str">
        <f>C11</f>
        <v>Les Browning</v>
      </c>
      <c r="AD11" s="185" t="str">
        <f>LEFT($B$7,3)</f>
        <v>Ald</v>
      </c>
      <c r="AE11" s="185">
        <f t="shared" ref="AE11:AY11" si="2">E11</f>
        <v>1</v>
      </c>
      <c r="AF11" s="185" t="str">
        <f t="shared" si="2"/>
        <v/>
      </c>
      <c r="AG11" s="247">
        <f t="shared" si="2"/>
        <v>1</v>
      </c>
      <c r="AH11" s="247">
        <f t="shared" si="2"/>
        <v>3</v>
      </c>
      <c r="AI11" s="247">
        <f t="shared" si="2"/>
        <v>4</v>
      </c>
      <c r="AJ11" s="243">
        <f t="shared" si="2"/>
        <v>20.63</v>
      </c>
      <c r="AK11" s="243" t="str">
        <f t="shared" si="2"/>
        <v/>
      </c>
      <c r="AL11" s="243" t="str">
        <f t="shared" si="2"/>
        <v/>
      </c>
      <c r="AM11" s="243" t="str">
        <f t="shared" si="2"/>
        <v/>
      </c>
      <c r="AN11" s="243" t="str">
        <f t="shared" si="2"/>
        <v/>
      </c>
      <c r="AO11" s="243" t="str">
        <f t="shared" si="2"/>
        <v/>
      </c>
      <c r="AP11" s="243" t="str">
        <f t="shared" si="2"/>
        <v/>
      </c>
      <c r="AQ11" s="243" t="str">
        <f t="shared" si="2"/>
        <v/>
      </c>
      <c r="AR11" s="243" t="str">
        <f t="shared" si="2"/>
        <v/>
      </c>
      <c r="AS11" s="243" t="str">
        <f t="shared" si="2"/>
        <v/>
      </c>
      <c r="AT11" s="243" t="str">
        <f t="shared" si="2"/>
        <v/>
      </c>
      <c r="AU11" s="243" t="str">
        <f t="shared" si="2"/>
        <v/>
      </c>
      <c r="AV11" s="243" t="str">
        <f t="shared" si="2"/>
        <v/>
      </c>
      <c r="AW11" s="247" t="str">
        <f t="shared" si="2"/>
        <v/>
      </c>
      <c r="AX11" s="243">
        <f t="shared" si="2"/>
        <v>20.63</v>
      </c>
      <c r="AY11" s="248">
        <f t="shared" si="2"/>
        <v>20.63</v>
      </c>
    </row>
    <row r="12" spans="2:51" ht="12" customHeight="1" x14ac:dyDescent="0.2">
      <c r="B12" s="266"/>
      <c r="C12" s="272"/>
      <c r="D12" s="235"/>
      <c r="E12" s="239"/>
      <c r="F12" s="182"/>
      <c r="G12" s="182"/>
      <c r="H12" s="182"/>
      <c r="I12" s="233"/>
      <c r="J12" s="163" t="str">
        <f>IF(Alderholt!M12="","",(Alderholt!M12))</f>
        <v>3*4</v>
      </c>
      <c r="K12" s="41" t="str">
        <f>IF(Alderholt!N12="","",(Alderholt!N12))</f>
        <v/>
      </c>
      <c r="L12" s="41" t="str">
        <f>IF(Alderholt!O12="","",(Alderholt!O12))</f>
        <v/>
      </c>
      <c r="M12" s="41" t="str">
        <f>IF(Alderholt!P12="","",(Alderholt!P12))</f>
        <v/>
      </c>
      <c r="N12" s="41" t="str">
        <f>IF(Alderholt!Q12="","",(Alderholt!Q12))</f>
        <v/>
      </c>
      <c r="O12" s="41" t="str">
        <f>IF(Alderholt!R12="","",(Alderholt!R12))</f>
        <v/>
      </c>
      <c r="P12" s="41" t="str">
        <f>IF(Alderholt!S12="","",(Alderholt!S12))</f>
        <v/>
      </c>
      <c r="Q12" s="41" t="str">
        <f>IF(Alderholt!T12="","",(Alderholt!T12))</f>
        <v/>
      </c>
      <c r="R12" s="41" t="str">
        <f>IF(Alderholt!U12="","",(Alderholt!U12))</f>
        <v/>
      </c>
      <c r="S12" s="41" t="str">
        <f>IF(Alderholt!V12="","",(Alderholt!V12))</f>
        <v/>
      </c>
      <c r="T12" s="41" t="str">
        <f>IF(Alderholt!W12="","",(Alderholt!W12))</f>
        <v/>
      </c>
      <c r="U12" s="41" t="str">
        <f>IF(Alderholt!X12="","",(Alderholt!X12))</f>
        <v/>
      </c>
      <c r="V12" s="41" t="str">
        <f>IF(Alderholt!Y12="","",(Alderholt!Y12))</f>
        <v/>
      </c>
      <c r="W12" s="201"/>
      <c r="X12" s="182"/>
      <c r="Y12" s="233"/>
      <c r="AA12" s="239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233"/>
    </row>
    <row r="13" spans="2:51" ht="12" customHeight="1" x14ac:dyDescent="0.2">
      <c r="B13" s="266"/>
      <c r="C13" s="271" t="str">
        <f>IF(Alderholt!E13="","",Alderholt!E13)</f>
        <v>Tim Clothier</v>
      </c>
      <c r="D13" s="259" t="str">
        <f>LEFT($B$7,3)</f>
        <v>Ald</v>
      </c>
      <c r="E13" s="251">
        <f>IF(Alderholt!G13="","",Alderholt!G13)</f>
        <v>12</v>
      </c>
      <c r="F13" s="181">
        <f>IF(Alderholt!H13=0,"",Alderholt!H13)</f>
        <v>10</v>
      </c>
      <c r="G13" s="186">
        <f>IF(Alderholt!I13=0,"",Alderholt!I13)</f>
        <v>2</v>
      </c>
      <c r="H13" s="186">
        <f>IF(Alderholt!J13=0,"",Alderholt!J13)</f>
        <v>43</v>
      </c>
      <c r="I13" s="252">
        <f>IF(Alderholt!K13=0,"",Alderholt!K13)</f>
        <v>23</v>
      </c>
      <c r="J13" s="163">
        <f>IF(Alderholt!M13="","",(Alderholt!M13))</f>
        <v>23.3</v>
      </c>
      <c r="K13" s="41">
        <f>IF(Alderholt!N13="","",(Alderholt!N13))</f>
        <v>23.68</v>
      </c>
      <c r="L13" s="41">
        <f>IF(Alderholt!O13="","",(Alderholt!O13))</f>
        <v>27.1</v>
      </c>
      <c r="M13" s="41">
        <f>IF(Alderholt!P13="","",(Alderholt!P13))</f>
        <v>21.88</v>
      </c>
      <c r="N13" s="41">
        <f>IF(Alderholt!Q13="","",(Alderholt!Q13))</f>
        <v>23.93</v>
      </c>
      <c r="O13" s="41">
        <f>IF(Alderholt!R13="","",(Alderholt!R13))</f>
        <v>20.87</v>
      </c>
      <c r="P13" s="41">
        <f>IF(Alderholt!S13="","",(Alderholt!S13))</f>
        <v>23.71</v>
      </c>
      <c r="Q13" s="41">
        <f>IF(Alderholt!T13="","",(Alderholt!T13))</f>
        <v>21.08</v>
      </c>
      <c r="R13" s="41">
        <f>IF(Alderholt!U13="","",(Alderholt!U13))</f>
        <v>26.22</v>
      </c>
      <c r="S13" s="41">
        <f>IF(Alderholt!V13="","",(Alderholt!V13))</f>
        <v>21.8</v>
      </c>
      <c r="T13" s="41">
        <f>IF(Alderholt!W13="","",(Alderholt!W13))</f>
        <v>22.74</v>
      </c>
      <c r="U13" s="41" t="str">
        <f>IF(Alderholt!X13="","",(Alderholt!X13))</f>
        <v/>
      </c>
      <c r="V13" s="41">
        <f>IF(Alderholt!Y13="","",(Alderholt!Y13))</f>
        <v>27.21</v>
      </c>
      <c r="W13" s="249">
        <f>IF(Alderholt!AA13=0,"",(Alderholt!AA13))</f>
        <v>7</v>
      </c>
      <c r="X13" s="244">
        <f>IF(Alderholt!AB13=0,"",(Alderholt!AB13))</f>
        <v>23.626666666666665</v>
      </c>
      <c r="Y13" s="245">
        <f>IF(Alderholt!AC13=0,"",(Alderholt!AC13))</f>
        <v>33.626666666666665</v>
      </c>
      <c r="AA13" s="246">
        <f>Y13</f>
        <v>33.626666666666665</v>
      </c>
      <c r="AB13" s="243">
        <f>X13</f>
        <v>23.626666666666665</v>
      </c>
      <c r="AC13" s="185" t="str">
        <f>C13</f>
        <v>Tim Clothier</v>
      </c>
      <c r="AD13" s="185" t="str">
        <f>LEFT($B$7,3)</f>
        <v>Ald</v>
      </c>
      <c r="AE13" s="185">
        <f t="shared" ref="AE13:AY13" si="3">E13</f>
        <v>12</v>
      </c>
      <c r="AF13" s="185">
        <f t="shared" si="3"/>
        <v>10</v>
      </c>
      <c r="AG13" s="247">
        <f t="shared" si="3"/>
        <v>2</v>
      </c>
      <c r="AH13" s="247">
        <f t="shared" si="3"/>
        <v>43</v>
      </c>
      <c r="AI13" s="247">
        <f t="shared" si="3"/>
        <v>23</v>
      </c>
      <c r="AJ13" s="243">
        <f t="shared" si="3"/>
        <v>23.3</v>
      </c>
      <c r="AK13" s="243">
        <f t="shared" si="3"/>
        <v>23.68</v>
      </c>
      <c r="AL13" s="243">
        <f t="shared" si="3"/>
        <v>27.1</v>
      </c>
      <c r="AM13" s="243">
        <f t="shared" si="3"/>
        <v>21.88</v>
      </c>
      <c r="AN13" s="243">
        <f t="shared" si="3"/>
        <v>23.93</v>
      </c>
      <c r="AO13" s="243">
        <f t="shared" si="3"/>
        <v>20.87</v>
      </c>
      <c r="AP13" s="243">
        <f t="shared" si="3"/>
        <v>23.71</v>
      </c>
      <c r="AQ13" s="243">
        <f t="shared" si="3"/>
        <v>21.08</v>
      </c>
      <c r="AR13" s="243">
        <f t="shared" si="3"/>
        <v>26.22</v>
      </c>
      <c r="AS13" s="243">
        <f t="shared" si="3"/>
        <v>21.8</v>
      </c>
      <c r="AT13" s="243">
        <f t="shared" si="3"/>
        <v>22.74</v>
      </c>
      <c r="AU13" s="243" t="str">
        <f t="shared" si="3"/>
        <v/>
      </c>
      <c r="AV13" s="243">
        <f t="shared" si="3"/>
        <v>27.21</v>
      </c>
      <c r="AW13" s="247">
        <f t="shared" si="3"/>
        <v>7</v>
      </c>
      <c r="AX13" s="243">
        <f t="shared" si="3"/>
        <v>23.626666666666665</v>
      </c>
      <c r="AY13" s="248">
        <f t="shared" si="3"/>
        <v>33.626666666666665</v>
      </c>
    </row>
    <row r="14" spans="2:51" ht="12" customHeight="1" x14ac:dyDescent="0.2">
      <c r="B14" s="266"/>
      <c r="C14" s="272"/>
      <c r="D14" s="235"/>
      <c r="E14" s="239"/>
      <c r="F14" s="182"/>
      <c r="G14" s="182"/>
      <c r="H14" s="182"/>
      <c r="I14" s="233"/>
      <c r="J14" s="163" t="str">
        <f>IF(Alderholt!M14="","",(Alderholt!M14))</f>
        <v>4*0</v>
      </c>
      <c r="K14" s="41" t="str">
        <f>IF(Alderholt!N14="","",(Alderholt!N14))</f>
        <v>4*1(1)</v>
      </c>
      <c r="L14" s="41" t="str">
        <f>IF(Alderholt!O14="","",(Alderholt!O14))</f>
        <v>1*4</v>
      </c>
      <c r="M14" s="41" t="str">
        <f>IF(Alderholt!P14="","",(Alderholt!P14))</f>
        <v>2*4(1)</v>
      </c>
      <c r="N14" s="41" t="str">
        <f>IF(Alderholt!Q14="","",(Alderholt!Q14))</f>
        <v>4*1(2)</v>
      </c>
      <c r="O14" s="41" t="str">
        <f>IF(Alderholt!R14="","",(Alderholt!R14))</f>
        <v>4*3</v>
      </c>
      <c r="P14" s="41" t="str">
        <f>IF(Alderholt!S14="","",(Alderholt!S14))</f>
        <v>4*1</v>
      </c>
      <c r="Q14" s="41" t="str">
        <f>IF(Alderholt!T14="","",(Alderholt!T14))</f>
        <v>4*2</v>
      </c>
      <c r="R14" s="41" t="str">
        <f>IF(Alderholt!U14="","",(Alderholt!U14))</f>
        <v>4*1(2)</v>
      </c>
      <c r="S14" s="41" t="str">
        <f>IF(Alderholt!V14="","",(Alderholt!V14))</f>
        <v>4*2</v>
      </c>
      <c r="T14" s="41" t="str">
        <f>IF(Alderholt!W14="","",(Alderholt!W14))</f>
        <v>4*3(1)</v>
      </c>
      <c r="U14" s="41" t="str">
        <f>IF(Alderholt!X14="","",(Alderholt!X14))</f>
        <v/>
      </c>
      <c r="V14" s="41" t="str">
        <f>IF(Alderholt!Y14="","",(Alderholt!Y14))</f>
        <v>4*1</v>
      </c>
      <c r="W14" s="201"/>
      <c r="X14" s="182"/>
      <c r="Y14" s="233"/>
      <c r="AA14" s="239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233"/>
    </row>
    <row r="15" spans="2:51" ht="12" customHeight="1" x14ac:dyDescent="0.2">
      <c r="B15" s="266"/>
      <c r="C15" s="271" t="str">
        <f>IF(Alderholt!E15="","",Alderholt!E15)</f>
        <v>Matt Woodhouse</v>
      </c>
      <c r="D15" s="259" t="str">
        <f>LEFT($B$7,3)</f>
        <v>Ald</v>
      </c>
      <c r="E15" s="251">
        <f>IF(Alderholt!G15="","",Alderholt!G15)</f>
        <v>13</v>
      </c>
      <c r="F15" s="181">
        <f>IF(Alderholt!H15=0,"",Alderholt!H15)</f>
        <v>7</v>
      </c>
      <c r="G15" s="186">
        <f>IF(Alderholt!I15=0,"",Alderholt!I15)</f>
        <v>6</v>
      </c>
      <c r="H15" s="186">
        <f>IF(Alderholt!J15=0,"",Alderholt!J15)</f>
        <v>38</v>
      </c>
      <c r="I15" s="252">
        <f>IF(Alderholt!K15=0,"",Alderholt!K15)</f>
        <v>35</v>
      </c>
      <c r="J15" s="163">
        <f>IF(Alderholt!M15="","",(Alderholt!M15))</f>
        <v>23.61</v>
      </c>
      <c r="K15" s="41">
        <f>IF(Alderholt!N15="","",(Alderholt!N15))</f>
        <v>20.62</v>
      </c>
      <c r="L15" s="41">
        <f>IF(Alderholt!O15="","",(Alderholt!O15))</f>
        <v>23.83</v>
      </c>
      <c r="M15" s="41">
        <f>IF(Alderholt!P15="","",(Alderholt!P15))</f>
        <v>22.57</v>
      </c>
      <c r="N15" s="41">
        <f>IF(Alderholt!Q15="","",(Alderholt!Q15))</f>
        <v>22.9</v>
      </c>
      <c r="O15" s="41">
        <f>IF(Alderholt!R15="","",(Alderholt!R15))</f>
        <v>23.58</v>
      </c>
      <c r="P15" s="41">
        <f>IF(Alderholt!S15="","",(Alderholt!S15))</f>
        <v>19.21</v>
      </c>
      <c r="Q15" s="41">
        <f>IF(Alderholt!T15="","",(Alderholt!T15))</f>
        <v>22.5</v>
      </c>
      <c r="R15" s="41">
        <f>IF(Alderholt!U15="","",(Alderholt!U15))</f>
        <v>19.88</v>
      </c>
      <c r="S15" s="41">
        <f>IF(Alderholt!V15="","",(Alderholt!V15))</f>
        <v>23.6</v>
      </c>
      <c r="T15" s="41">
        <f>IF(Alderholt!W15="","",(Alderholt!W15))</f>
        <v>22.83</v>
      </c>
      <c r="U15" s="41">
        <f>IF(Alderholt!X15="","",(Alderholt!X15))</f>
        <v>21.59</v>
      </c>
      <c r="V15" s="41">
        <f>IF(Alderholt!Y15="","",(Alderholt!Y15))</f>
        <v>23.99</v>
      </c>
      <c r="W15" s="249">
        <f>IF(Alderholt!AA15=0,"",(Alderholt!AA15))</f>
        <v>1</v>
      </c>
      <c r="X15" s="244">
        <f>IF(Alderholt!AB15=0,"",(Alderholt!AB15))</f>
        <v>22.362307692307692</v>
      </c>
      <c r="Y15" s="245">
        <f>IF(Alderholt!AC15=0,"",(Alderholt!AC15))</f>
        <v>29.362307692307692</v>
      </c>
      <c r="AA15" s="246">
        <f>Y15</f>
        <v>29.362307692307692</v>
      </c>
      <c r="AB15" s="243">
        <f>X15</f>
        <v>22.362307692307692</v>
      </c>
      <c r="AC15" s="185" t="str">
        <f>C15</f>
        <v>Matt Woodhouse</v>
      </c>
      <c r="AD15" s="185" t="str">
        <f>LEFT($B$7,3)</f>
        <v>Ald</v>
      </c>
      <c r="AE15" s="185">
        <f t="shared" ref="AE15:AY15" si="4">E15</f>
        <v>13</v>
      </c>
      <c r="AF15" s="185">
        <f t="shared" si="4"/>
        <v>7</v>
      </c>
      <c r="AG15" s="247">
        <f t="shared" si="4"/>
        <v>6</v>
      </c>
      <c r="AH15" s="247">
        <f t="shared" si="4"/>
        <v>38</v>
      </c>
      <c r="AI15" s="247">
        <f t="shared" si="4"/>
        <v>35</v>
      </c>
      <c r="AJ15" s="243">
        <f t="shared" si="4"/>
        <v>23.61</v>
      </c>
      <c r="AK15" s="243">
        <f t="shared" si="4"/>
        <v>20.62</v>
      </c>
      <c r="AL15" s="243">
        <f t="shared" si="4"/>
        <v>23.83</v>
      </c>
      <c r="AM15" s="243">
        <f t="shared" si="4"/>
        <v>22.57</v>
      </c>
      <c r="AN15" s="243">
        <f t="shared" si="4"/>
        <v>22.9</v>
      </c>
      <c r="AO15" s="243">
        <f t="shared" si="4"/>
        <v>23.58</v>
      </c>
      <c r="AP15" s="243">
        <f t="shared" si="4"/>
        <v>19.21</v>
      </c>
      <c r="AQ15" s="243">
        <f t="shared" si="4"/>
        <v>22.5</v>
      </c>
      <c r="AR15" s="243">
        <f t="shared" si="4"/>
        <v>19.88</v>
      </c>
      <c r="AS15" s="243">
        <f t="shared" si="4"/>
        <v>23.6</v>
      </c>
      <c r="AT15" s="243">
        <f t="shared" si="4"/>
        <v>22.83</v>
      </c>
      <c r="AU15" s="243">
        <f t="shared" si="4"/>
        <v>21.59</v>
      </c>
      <c r="AV15" s="243">
        <f t="shared" si="4"/>
        <v>23.99</v>
      </c>
      <c r="AW15" s="247">
        <f t="shared" si="4"/>
        <v>1</v>
      </c>
      <c r="AX15" s="243">
        <f t="shared" si="4"/>
        <v>22.362307692307692</v>
      </c>
      <c r="AY15" s="248">
        <f t="shared" si="4"/>
        <v>29.362307692307692</v>
      </c>
    </row>
    <row r="16" spans="2:51" ht="12" customHeight="1" x14ac:dyDescent="0.2">
      <c r="B16" s="266"/>
      <c r="C16" s="272"/>
      <c r="D16" s="235"/>
      <c r="E16" s="239"/>
      <c r="F16" s="182"/>
      <c r="G16" s="182"/>
      <c r="H16" s="182"/>
      <c r="I16" s="233"/>
      <c r="J16" s="163" t="str">
        <f>IF(Alderholt!M16="","",(Alderholt!M16))</f>
        <v>4*1</v>
      </c>
      <c r="K16" s="41" t="str">
        <f>IF(Alderholt!N16="","",(Alderholt!N16))</f>
        <v>3*4</v>
      </c>
      <c r="L16" s="41" t="str">
        <f>IF(Alderholt!O16="","",(Alderholt!O16))</f>
        <v>4*3(1)</v>
      </c>
      <c r="M16" s="41" t="str">
        <f>IF(Alderholt!P16="","",(Alderholt!P16))</f>
        <v>3*4</v>
      </c>
      <c r="N16" s="41" t="str">
        <f>IF(Alderholt!Q16="","",(Alderholt!Q16))</f>
        <v>4*2</v>
      </c>
      <c r="O16" s="41" t="str">
        <f>IF(Alderholt!R16="","",(Alderholt!R16))</f>
        <v>4*0</v>
      </c>
      <c r="P16" s="41" t="str">
        <f>IF(Alderholt!S16="","",(Alderholt!S16))</f>
        <v>1*4</v>
      </c>
      <c r="Q16" s="41" t="str">
        <f>IF(Alderholt!T16="","",(Alderholt!T16))</f>
        <v>4*1</v>
      </c>
      <c r="R16" s="41" t="str">
        <f>IF(Alderholt!U16="","",(Alderholt!U16))</f>
        <v>4*2</v>
      </c>
      <c r="S16" s="41" t="str">
        <f>IF(Alderholt!V16="","",(Alderholt!V16))</f>
        <v>0*4</v>
      </c>
      <c r="T16" s="41" t="str">
        <f>IF(Alderholt!W16="","",(Alderholt!W16))</f>
        <v>1*4</v>
      </c>
      <c r="U16" s="41" t="str">
        <f>IF(Alderholt!X16="","",(Alderholt!X16))</f>
        <v>2*4</v>
      </c>
      <c r="V16" s="41" t="str">
        <f>IF(Alderholt!Y16="","",(Alderholt!Y16))</f>
        <v>4*2</v>
      </c>
      <c r="W16" s="201"/>
      <c r="X16" s="182"/>
      <c r="Y16" s="233"/>
      <c r="AA16" s="239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233"/>
    </row>
    <row r="17" spans="2:51" ht="12" customHeight="1" x14ac:dyDescent="0.2">
      <c r="B17" s="266"/>
      <c r="C17" s="271" t="str">
        <f>IF(Alderholt!E17="","",Alderholt!E17)</f>
        <v>Steve Alden</v>
      </c>
      <c r="D17" s="259" t="str">
        <f>LEFT($B$7,3)</f>
        <v>Ald</v>
      </c>
      <c r="E17" s="251">
        <f>IF(Alderholt!G17="","",Alderholt!G17)</f>
        <v>13</v>
      </c>
      <c r="F17" s="181">
        <f>IF(Alderholt!H17=0,"",Alderholt!H17)</f>
        <v>6</v>
      </c>
      <c r="G17" s="186">
        <f>IF(Alderholt!I17=0,"",Alderholt!I17)</f>
        <v>7</v>
      </c>
      <c r="H17" s="186">
        <f>IF(Alderholt!J17=0,"",Alderholt!J17)</f>
        <v>33</v>
      </c>
      <c r="I17" s="252">
        <f>IF(Alderholt!K17=0,"",Alderholt!K17)</f>
        <v>33</v>
      </c>
      <c r="J17" s="163">
        <f>IF(Alderholt!M17="","",(Alderholt!M17))</f>
        <v>12.73</v>
      </c>
      <c r="K17" s="41">
        <f>IF(Alderholt!N17="","",(Alderholt!N17))</f>
        <v>17.62</v>
      </c>
      <c r="L17" s="41">
        <f>IF(Alderholt!O17="","",(Alderholt!O17))</f>
        <v>25.33</v>
      </c>
      <c r="M17" s="41">
        <f>IF(Alderholt!P17="","",(Alderholt!P17))</f>
        <v>19.899999999999999</v>
      </c>
      <c r="N17" s="41">
        <f>IF(Alderholt!Q17="","",(Alderholt!Q17))</f>
        <v>21.44</v>
      </c>
      <c r="O17" s="41">
        <f>IF(Alderholt!R17="","",(Alderholt!R17))</f>
        <v>23.25</v>
      </c>
      <c r="P17" s="41">
        <f>IF(Alderholt!S17="","",(Alderholt!S17))</f>
        <v>23.19</v>
      </c>
      <c r="Q17" s="41">
        <f>IF(Alderholt!T17="","",(Alderholt!T17))</f>
        <v>22.15</v>
      </c>
      <c r="R17" s="41">
        <f>IF(Alderholt!U17="","",(Alderholt!U17))</f>
        <v>24.14</v>
      </c>
      <c r="S17" s="41">
        <f>IF(Alderholt!V17="","",(Alderholt!V17))</f>
        <v>18.41</v>
      </c>
      <c r="T17" s="41">
        <f>IF(Alderholt!W17="","",(Alderholt!W17))</f>
        <v>21.89</v>
      </c>
      <c r="U17" s="41">
        <f>IF(Alderholt!X17="","",(Alderholt!X17))</f>
        <v>21.54</v>
      </c>
      <c r="V17" s="41">
        <f>IF(Alderholt!Y17="","",(Alderholt!Y17))</f>
        <v>19.84</v>
      </c>
      <c r="W17" s="249">
        <f>IF(Alderholt!AA17=0,"",(Alderholt!AA17))</f>
        <v>3</v>
      </c>
      <c r="X17" s="244">
        <f>IF(Alderholt!AB17=0,"",(Alderholt!AB17))</f>
        <v>20.879230769230769</v>
      </c>
      <c r="Y17" s="245">
        <f>IF(Alderholt!AC17=0,"",(Alderholt!AC17))</f>
        <v>26.879230769230769</v>
      </c>
      <c r="AA17" s="246">
        <f>Y17</f>
        <v>26.879230769230769</v>
      </c>
      <c r="AB17" s="243">
        <f>X17</f>
        <v>20.879230769230769</v>
      </c>
      <c r="AC17" s="185" t="str">
        <f>C17</f>
        <v>Steve Alden</v>
      </c>
      <c r="AD17" s="185" t="str">
        <f>LEFT($B$7,3)</f>
        <v>Ald</v>
      </c>
      <c r="AE17" s="185">
        <f t="shared" ref="AE17:AY17" si="5">E17</f>
        <v>13</v>
      </c>
      <c r="AF17" s="185">
        <f t="shared" si="5"/>
        <v>6</v>
      </c>
      <c r="AG17" s="247">
        <f t="shared" si="5"/>
        <v>7</v>
      </c>
      <c r="AH17" s="247">
        <f t="shared" si="5"/>
        <v>33</v>
      </c>
      <c r="AI17" s="247">
        <f t="shared" si="5"/>
        <v>33</v>
      </c>
      <c r="AJ17" s="243">
        <f t="shared" si="5"/>
        <v>12.73</v>
      </c>
      <c r="AK17" s="243">
        <f t="shared" si="5"/>
        <v>17.62</v>
      </c>
      <c r="AL17" s="243">
        <f t="shared" si="5"/>
        <v>25.33</v>
      </c>
      <c r="AM17" s="243">
        <f t="shared" si="5"/>
        <v>19.899999999999999</v>
      </c>
      <c r="AN17" s="243">
        <f t="shared" si="5"/>
        <v>21.44</v>
      </c>
      <c r="AO17" s="243">
        <f t="shared" si="5"/>
        <v>23.25</v>
      </c>
      <c r="AP17" s="243">
        <f t="shared" si="5"/>
        <v>23.19</v>
      </c>
      <c r="AQ17" s="243">
        <f t="shared" si="5"/>
        <v>22.15</v>
      </c>
      <c r="AR17" s="243">
        <f t="shared" si="5"/>
        <v>24.14</v>
      </c>
      <c r="AS17" s="243">
        <f t="shared" si="5"/>
        <v>18.41</v>
      </c>
      <c r="AT17" s="243">
        <f t="shared" si="5"/>
        <v>21.89</v>
      </c>
      <c r="AU17" s="243">
        <f t="shared" si="5"/>
        <v>21.54</v>
      </c>
      <c r="AV17" s="243">
        <f t="shared" si="5"/>
        <v>19.84</v>
      </c>
      <c r="AW17" s="247">
        <f t="shared" si="5"/>
        <v>3</v>
      </c>
      <c r="AX17" s="243">
        <f t="shared" si="5"/>
        <v>20.879230769230769</v>
      </c>
      <c r="AY17" s="248">
        <f t="shared" si="5"/>
        <v>26.879230769230769</v>
      </c>
    </row>
    <row r="18" spans="2:51" ht="12" customHeight="1" x14ac:dyDescent="0.2">
      <c r="B18" s="266"/>
      <c r="C18" s="272"/>
      <c r="D18" s="235"/>
      <c r="E18" s="239"/>
      <c r="F18" s="182"/>
      <c r="G18" s="182"/>
      <c r="H18" s="182"/>
      <c r="I18" s="233"/>
      <c r="J18" s="163" t="str">
        <f>IF(Alderholt!M18="","",(Alderholt!M18))</f>
        <v>1*4</v>
      </c>
      <c r="K18" s="41" t="str">
        <f>IF(Alderholt!N18="","",(Alderholt!N18))</f>
        <v>0*4</v>
      </c>
      <c r="L18" s="41" t="str">
        <f>IF(Alderholt!O18="","",(Alderholt!O18))</f>
        <v>1*4</v>
      </c>
      <c r="M18" s="41" t="str">
        <f>IF(Alderholt!P18="","",(Alderholt!P18))</f>
        <v>1*4(1)</v>
      </c>
      <c r="N18" s="41" t="str">
        <f>IF(Alderholt!Q18="","",(Alderholt!Q18))</f>
        <v>4*1</v>
      </c>
      <c r="O18" s="41" t="str">
        <f>IF(Alderholt!R18="","",(Alderholt!R18))</f>
        <v>3*4(1)</v>
      </c>
      <c r="P18" s="41" t="str">
        <f>IF(Alderholt!S18="","",(Alderholt!S18))</f>
        <v>0*4</v>
      </c>
      <c r="Q18" s="41" t="str">
        <f>IF(Alderholt!T18="","",(Alderholt!T18))</f>
        <v>4*2</v>
      </c>
      <c r="R18" s="41" t="str">
        <f>IF(Alderholt!U18="","",(Alderholt!U18))</f>
        <v>4*0(1)</v>
      </c>
      <c r="S18" s="41" t="str">
        <f>IF(Alderholt!V18="","",(Alderholt!V18))</f>
        <v>4*0</v>
      </c>
      <c r="T18" s="41" t="str">
        <f>IF(Alderholt!W18="","",(Alderholt!W18))</f>
        <v>3*4</v>
      </c>
      <c r="U18" s="41" t="str">
        <f>IF(Alderholt!X18="","",(Alderholt!X18))</f>
        <v>4*2</v>
      </c>
      <c r="V18" s="41" t="str">
        <f>IF(Alderholt!Y18="","",(Alderholt!Y18))</f>
        <v>4*0</v>
      </c>
      <c r="W18" s="201"/>
      <c r="X18" s="182"/>
      <c r="Y18" s="233"/>
      <c r="AA18" s="239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233"/>
    </row>
    <row r="19" spans="2:51" ht="12" customHeight="1" x14ac:dyDescent="0.2">
      <c r="B19" s="266"/>
      <c r="C19" s="271" t="str">
        <f>IF(Alderholt!E19="","",Alderholt!E19)</f>
        <v>Steven Small</v>
      </c>
      <c r="D19" s="259" t="str">
        <f>LEFT($B$7,3)</f>
        <v>Ald</v>
      </c>
      <c r="E19" s="251">
        <f>IF(Alderholt!G19="","",Alderholt!G19)</f>
        <v>13</v>
      </c>
      <c r="F19" s="181">
        <f>IF(Alderholt!H19=0,"",Alderholt!H19)</f>
        <v>5</v>
      </c>
      <c r="G19" s="186">
        <f>IF(Alderholt!I19=0,"",Alderholt!I19)</f>
        <v>8</v>
      </c>
      <c r="H19" s="186">
        <f>IF(Alderholt!J19=0,"",Alderholt!J19)</f>
        <v>30</v>
      </c>
      <c r="I19" s="252">
        <f>IF(Alderholt!K19=0,"",Alderholt!K19)</f>
        <v>40</v>
      </c>
      <c r="J19" s="163">
        <f>IF(Alderholt!M19="","",(Alderholt!M19))</f>
        <v>21.97</v>
      </c>
      <c r="K19" s="41">
        <f>IF(Alderholt!N19="","",(Alderholt!N19))</f>
        <v>23.66</v>
      </c>
      <c r="L19" s="41">
        <f>IF(Alderholt!O19="","",(Alderholt!O19))</f>
        <v>21.32</v>
      </c>
      <c r="M19" s="41">
        <f>IF(Alderholt!P19="","",(Alderholt!P19))</f>
        <v>19.07</v>
      </c>
      <c r="N19" s="41">
        <f>IF(Alderholt!Q19="","",(Alderholt!Q19))</f>
        <v>21.73</v>
      </c>
      <c r="O19" s="41">
        <f>IF(Alderholt!R19="","",(Alderholt!R19))</f>
        <v>19.7</v>
      </c>
      <c r="P19" s="41">
        <f>IF(Alderholt!S19="","",(Alderholt!S19))</f>
        <v>21.55</v>
      </c>
      <c r="Q19" s="41">
        <f>IF(Alderholt!T19="","",(Alderholt!T19))</f>
        <v>19.75</v>
      </c>
      <c r="R19" s="41">
        <f>IF(Alderholt!U19="","",(Alderholt!U19))</f>
        <v>20.72</v>
      </c>
      <c r="S19" s="41">
        <f>IF(Alderholt!V19="","",(Alderholt!V19))</f>
        <v>21.83</v>
      </c>
      <c r="T19" s="41">
        <f>IF(Alderholt!W19="","",(Alderholt!W19))</f>
        <v>26.14</v>
      </c>
      <c r="U19" s="41">
        <f>IF(Alderholt!X19="","",(Alderholt!X19))</f>
        <v>20.68</v>
      </c>
      <c r="V19" s="41">
        <f>IF(Alderholt!Y19="","",(Alderholt!Y19))</f>
        <v>17.190000000000001</v>
      </c>
      <c r="W19" s="249">
        <f>IF(Alderholt!AA19=0,"",(Alderholt!AA19))</f>
        <v>2</v>
      </c>
      <c r="X19" s="244">
        <f>IF(Alderholt!AB19=0,"",(Alderholt!AB19))</f>
        <v>21.177692307692308</v>
      </c>
      <c r="Y19" s="245">
        <f>IF(Alderholt!AC19=0,"",(Alderholt!AC19))</f>
        <v>26.177692307692308</v>
      </c>
      <c r="AA19" s="246">
        <f>Y19</f>
        <v>26.177692307692308</v>
      </c>
      <c r="AB19" s="243">
        <f>X19</f>
        <v>21.177692307692308</v>
      </c>
      <c r="AC19" s="185" t="str">
        <f>C19</f>
        <v>Steven Small</v>
      </c>
      <c r="AD19" s="185" t="str">
        <f>LEFT($B$7,3)</f>
        <v>Ald</v>
      </c>
      <c r="AE19" s="185">
        <f t="shared" ref="AE19:AY19" si="6">E19</f>
        <v>13</v>
      </c>
      <c r="AF19" s="185">
        <f t="shared" si="6"/>
        <v>5</v>
      </c>
      <c r="AG19" s="247">
        <f t="shared" si="6"/>
        <v>8</v>
      </c>
      <c r="AH19" s="247">
        <f t="shared" si="6"/>
        <v>30</v>
      </c>
      <c r="AI19" s="247">
        <f t="shared" si="6"/>
        <v>40</v>
      </c>
      <c r="AJ19" s="243">
        <f t="shared" si="6"/>
        <v>21.97</v>
      </c>
      <c r="AK19" s="243">
        <f t="shared" si="6"/>
        <v>23.66</v>
      </c>
      <c r="AL19" s="243">
        <f t="shared" si="6"/>
        <v>21.32</v>
      </c>
      <c r="AM19" s="243">
        <f t="shared" si="6"/>
        <v>19.07</v>
      </c>
      <c r="AN19" s="243">
        <f t="shared" si="6"/>
        <v>21.73</v>
      </c>
      <c r="AO19" s="243">
        <f t="shared" si="6"/>
        <v>19.7</v>
      </c>
      <c r="AP19" s="243">
        <f t="shared" si="6"/>
        <v>21.55</v>
      </c>
      <c r="AQ19" s="243">
        <f t="shared" si="6"/>
        <v>19.75</v>
      </c>
      <c r="AR19" s="243">
        <f t="shared" si="6"/>
        <v>20.72</v>
      </c>
      <c r="AS19" s="243">
        <f t="shared" si="6"/>
        <v>21.83</v>
      </c>
      <c r="AT19" s="243">
        <f t="shared" si="6"/>
        <v>26.14</v>
      </c>
      <c r="AU19" s="243">
        <f t="shared" si="6"/>
        <v>20.68</v>
      </c>
      <c r="AV19" s="243">
        <f t="shared" si="6"/>
        <v>17.190000000000001</v>
      </c>
      <c r="AW19" s="247">
        <f t="shared" si="6"/>
        <v>2</v>
      </c>
      <c r="AX19" s="243">
        <f t="shared" si="6"/>
        <v>21.177692307692308</v>
      </c>
      <c r="AY19" s="248">
        <f t="shared" si="6"/>
        <v>26.177692307692308</v>
      </c>
    </row>
    <row r="20" spans="2:51" ht="12" customHeight="1" x14ac:dyDescent="0.2">
      <c r="B20" s="266"/>
      <c r="C20" s="272"/>
      <c r="D20" s="235"/>
      <c r="E20" s="239"/>
      <c r="F20" s="182"/>
      <c r="G20" s="182"/>
      <c r="H20" s="182"/>
      <c r="I20" s="233"/>
      <c r="J20" s="163" t="str">
        <f>IF(Alderholt!M20="","",(Alderholt!M20))</f>
        <v>2*4</v>
      </c>
      <c r="K20" s="41" t="str">
        <f>IF(Alderholt!N20="","",(Alderholt!N20))</f>
        <v>4*3</v>
      </c>
      <c r="L20" s="41" t="str">
        <f>IF(Alderholt!O20="","",(Alderholt!O20))</f>
        <v>1*4</v>
      </c>
      <c r="M20" s="41" t="str">
        <f>IF(Alderholt!P20="","",(Alderholt!P20))</f>
        <v>0*4</v>
      </c>
      <c r="N20" s="41" t="str">
        <f>IF(Alderholt!Q20="","",(Alderholt!Q20))</f>
        <v>4*1</v>
      </c>
      <c r="O20" s="41" t="str">
        <f>IF(Alderholt!R20="","",(Alderholt!R20))</f>
        <v>4*3</v>
      </c>
      <c r="P20" s="41" t="str">
        <f>IF(Alderholt!S20="","",(Alderholt!S20))</f>
        <v>4*0</v>
      </c>
      <c r="Q20" s="41" t="str">
        <f>IF(Alderholt!T20="","",(Alderholt!T20))</f>
        <v>3*4</v>
      </c>
      <c r="R20" s="41" t="str">
        <f>IF(Alderholt!U20="","",(Alderholt!U20))</f>
        <v>0*4(1)</v>
      </c>
      <c r="S20" s="41" t="str">
        <f>IF(Alderholt!V20="","",(Alderholt!V20))</f>
        <v>4*1</v>
      </c>
      <c r="T20" s="41" t="str">
        <f>IF(Alderholt!W20="","",(Alderholt!W20))</f>
        <v>3*4(1)</v>
      </c>
      <c r="U20" s="41" t="str">
        <f>IF(Alderholt!X20="","",(Alderholt!X20))</f>
        <v>0*4</v>
      </c>
      <c r="V20" s="41" t="str">
        <f>IF(Alderholt!Y20="","",(Alderholt!Y20))</f>
        <v>1*4</v>
      </c>
      <c r="W20" s="201"/>
      <c r="X20" s="182"/>
      <c r="Y20" s="233"/>
      <c r="AA20" s="239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233"/>
    </row>
    <row r="21" spans="2:51" ht="12" customHeight="1" x14ac:dyDescent="0.2">
      <c r="B21" s="266"/>
      <c r="C21" s="271" t="str">
        <f>IF(Alderholt!E21="","",Alderholt!E21)</f>
        <v>Mark Sheen</v>
      </c>
      <c r="D21" s="259" t="str">
        <f>LEFT($B$7,3)</f>
        <v>Ald</v>
      </c>
      <c r="E21" s="251" t="str">
        <f>IF(Alderholt!G21="","",Alderholt!G21)</f>
        <v/>
      </c>
      <c r="F21" s="181" t="str">
        <f>IF(Alderholt!H21=0,"",Alderholt!H21)</f>
        <v/>
      </c>
      <c r="G21" s="181" t="str">
        <f>IF(Alderholt!I21=0,"",Alderholt!I21)</f>
        <v/>
      </c>
      <c r="H21" s="181" t="str">
        <f>IF(Alderholt!J21=0,"",Alderholt!J21)</f>
        <v/>
      </c>
      <c r="I21" s="250" t="str">
        <f>IF(Alderholt!K21=0,"",Alderholt!K21)</f>
        <v/>
      </c>
      <c r="J21" s="163" t="str">
        <f>IF(Alderholt!M21="","",(Alderholt!M21))</f>
        <v/>
      </c>
      <c r="K21" s="41" t="str">
        <f>IF(Alderholt!N21="","",(Alderholt!N21))</f>
        <v/>
      </c>
      <c r="L21" s="41" t="str">
        <f>IF(Alderholt!O21="","",(Alderholt!O21))</f>
        <v/>
      </c>
      <c r="M21" s="41" t="str">
        <f>IF(Alderholt!P21="","",(Alderholt!P21))</f>
        <v/>
      </c>
      <c r="N21" s="41" t="str">
        <f>IF(Alderholt!Q21="","",(Alderholt!Q21))</f>
        <v/>
      </c>
      <c r="O21" s="41" t="str">
        <f>IF(Alderholt!R21="","",(Alderholt!R21))</f>
        <v/>
      </c>
      <c r="P21" s="41" t="str">
        <f>IF(Alderholt!S21="","",(Alderholt!S21))</f>
        <v/>
      </c>
      <c r="Q21" s="41" t="str">
        <f>IF(Alderholt!T21="","",(Alderholt!T21))</f>
        <v/>
      </c>
      <c r="R21" s="41" t="str">
        <f>IF(Alderholt!U21="","",(Alderholt!U21))</f>
        <v/>
      </c>
      <c r="S21" s="41" t="str">
        <f>IF(Alderholt!V21="","",(Alderholt!V21))</f>
        <v/>
      </c>
      <c r="T21" s="41" t="str">
        <f>IF(Alderholt!W21="","",(Alderholt!W21))</f>
        <v/>
      </c>
      <c r="U21" s="41" t="str">
        <f>IF(Alderholt!X21="","",(Alderholt!X21))</f>
        <v/>
      </c>
      <c r="V21" s="41" t="str">
        <f>IF(Alderholt!Y21="","",(Alderholt!Y21))</f>
        <v/>
      </c>
      <c r="W21" s="249" t="str">
        <f>IF(Alderholt!AA21=0,"",(Alderholt!AA21))</f>
        <v/>
      </c>
      <c r="X21" s="244" t="str">
        <f>IF(Alderholt!AB21=0,"",(Alderholt!AB21))</f>
        <v/>
      </c>
      <c r="Y21" s="245" t="str">
        <f>IF(Alderholt!AC21=0,"",(Alderholt!AC21))</f>
        <v/>
      </c>
      <c r="AA21" s="246" t="str">
        <f>Y21</f>
        <v/>
      </c>
      <c r="AB21" s="243" t="str">
        <f>X21</f>
        <v/>
      </c>
      <c r="AC21" s="185" t="str">
        <f>C21</f>
        <v>Mark Sheen</v>
      </c>
      <c r="AD21" s="185" t="str">
        <f>LEFT($B$7,3)</f>
        <v>Ald</v>
      </c>
      <c r="AE21" s="185" t="str">
        <f t="shared" ref="AE21:AY21" si="7">E21</f>
        <v/>
      </c>
      <c r="AF21" s="185" t="str">
        <f t="shared" si="7"/>
        <v/>
      </c>
      <c r="AG21" s="185" t="str">
        <f t="shared" si="7"/>
        <v/>
      </c>
      <c r="AH21" s="185" t="str">
        <f t="shared" si="7"/>
        <v/>
      </c>
      <c r="AI21" s="185" t="str">
        <f t="shared" si="7"/>
        <v/>
      </c>
      <c r="AJ21" s="243" t="str">
        <f t="shared" si="7"/>
        <v/>
      </c>
      <c r="AK21" s="243" t="str">
        <f t="shared" si="7"/>
        <v/>
      </c>
      <c r="AL21" s="243" t="str">
        <f t="shared" si="7"/>
        <v/>
      </c>
      <c r="AM21" s="243" t="str">
        <f t="shared" si="7"/>
        <v/>
      </c>
      <c r="AN21" s="243" t="str">
        <f t="shared" si="7"/>
        <v/>
      </c>
      <c r="AO21" s="243" t="str">
        <f t="shared" si="7"/>
        <v/>
      </c>
      <c r="AP21" s="243" t="str">
        <f t="shared" si="7"/>
        <v/>
      </c>
      <c r="AQ21" s="243" t="str">
        <f t="shared" si="7"/>
        <v/>
      </c>
      <c r="AR21" s="243" t="str">
        <f t="shared" si="7"/>
        <v/>
      </c>
      <c r="AS21" s="243" t="str">
        <f t="shared" si="7"/>
        <v/>
      </c>
      <c r="AT21" s="243" t="str">
        <f t="shared" si="7"/>
        <v/>
      </c>
      <c r="AU21" s="243" t="str">
        <f t="shared" si="7"/>
        <v/>
      </c>
      <c r="AV21" s="243" t="str">
        <f t="shared" si="7"/>
        <v/>
      </c>
      <c r="AW21" s="247" t="str">
        <f t="shared" si="7"/>
        <v/>
      </c>
      <c r="AX21" s="243" t="str">
        <f t="shared" si="7"/>
        <v/>
      </c>
      <c r="AY21" s="248" t="str">
        <f t="shared" si="7"/>
        <v/>
      </c>
    </row>
    <row r="22" spans="2:51" ht="12" customHeight="1" x14ac:dyDescent="0.2">
      <c r="B22" s="266"/>
      <c r="C22" s="272"/>
      <c r="D22" s="235"/>
      <c r="E22" s="239"/>
      <c r="F22" s="182"/>
      <c r="G22" s="182"/>
      <c r="H22" s="182"/>
      <c r="I22" s="233"/>
      <c r="J22" s="163" t="str">
        <f>IF(Alderholt!M22="","",(Alderholt!M22))</f>
        <v/>
      </c>
      <c r="K22" s="41" t="str">
        <f>IF(Alderholt!N22="","",(Alderholt!N22))</f>
        <v/>
      </c>
      <c r="L22" s="41" t="str">
        <f>IF(Alderholt!O22="","",(Alderholt!O22))</f>
        <v/>
      </c>
      <c r="M22" s="41" t="str">
        <f>IF(Alderholt!P22="","",(Alderholt!P22))</f>
        <v/>
      </c>
      <c r="N22" s="41" t="str">
        <f>IF(Alderholt!Q22="","",(Alderholt!Q22))</f>
        <v/>
      </c>
      <c r="O22" s="41" t="str">
        <f>IF(Alderholt!R22="","",(Alderholt!R22))</f>
        <v/>
      </c>
      <c r="P22" s="41" t="str">
        <f>IF(Alderholt!S22="","",(Alderholt!S22))</f>
        <v/>
      </c>
      <c r="Q22" s="41" t="str">
        <f>IF(Alderholt!T22="","",(Alderholt!T22))</f>
        <v/>
      </c>
      <c r="R22" s="41" t="str">
        <f>IF(Alderholt!U22="","",(Alderholt!U22))</f>
        <v/>
      </c>
      <c r="S22" s="41" t="str">
        <f>IF(Alderholt!V22="","",(Alderholt!V22))</f>
        <v/>
      </c>
      <c r="T22" s="41" t="str">
        <f>IF(Alderholt!W22="","",(Alderholt!W22))</f>
        <v/>
      </c>
      <c r="U22" s="41" t="str">
        <f>IF(Alderholt!X22="","",(Alderholt!X22))</f>
        <v/>
      </c>
      <c r="V22" s="41" t="str">
        <f>IF(Alderholt!Y22="","",(Alderholt!Y22))</f>
        <v/>
      </c>
      <c r="W22" s="201"/>
      <c r="X22" s="182"/>
      <c r="Y22" s="233"/>
      <c r="AA22" s="239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233"/>
    </row>
    <row r="23" spans="2:51" ht="12" customHeight="1" x14ac:dyDescent="0.2">
      <c r="B23" s="266"/>
      <c r="C23" s="271" t="str">
        <f>IF(Alderholt!E23="","",Alderholt!E23)</f>
        <v>Lee Shiel</v>
      </c>
      <c r="D23" s="259" t="str">
        <f>LEFT($B$7,3)</f>
        <v>Ald</v>
      </c>
      <c r="E23" s="251">
        <f>IF(Alderholt!G23="","",Alderholt!G23)</f>
        <v>4</v>
      </c>
      <c r="F23" s="181">
        <f>IF(Alderholt!H23=0,"",Alderholt!H23)</f>
        <v>1</v>
      </c>
      <c r="G23" s="186">
        <f>IF(Alderholt!I23=0,"",Alderholt!I23)</f>
        <v>3</v>
      </c>
      <c r="H23" s="186">
        <f>IF(Alderholt!J23=0,"",Alderholt!J23)</f>
        <v>7</v>
      </c>
      <c r="I23" s="252">
        <f>IF(Alderholt!K23=0,"",Alderholt!K23)</f>
        <v>14</v>
      </c>
      <c r="J23" s="163">
        <f>IF(Alderholt!M23="","",(Alderholt!M23))</f>
        <v>18.72</v>
      </c>
      <c r="K23" s="41">
        <f>IF(Alderholt!N23="","",(Alderholt!N23))</f>
        <v>17.84</v>
      </c>
      <c r="L23" s="41">
        <f>IF(Alderholt!O23="","",(Alderholt!O23))</f>
        <v>19.47</v>
      </c>
      <c r="M23" s="41">
        <f>IF(Alderholt!P23="","",(Alderholt!P23))</f>
        <v>10.85</v>
      </c>
      <c r="N23" s="41" t="str">
        <f>IF(Alderholt!Q23="","",(Alderholt!Q23))</f>
        <v/>
      </c>
      <c r="O23" s="41" t="str">
        <f>IF(Alderholt!R23="","",(Alderholt!R23))</f>
        <v/>
      </c>
      <c r="P23" s="41" t="str">
        <f>IF(Alderholt!S23="","",(Alderholt!S23))</f>
        <v/>
      </c>
      <c r="Q23" s="41" t="str">
        <f>IF(Alderholt!T23="","",(Alderholt!T23))</f>
        <v/>
      </c>
      <c r="R23" s="41" t="str">
        <f>IF(Alderholt!U23="","",(Alderholt!U23))</f>
        <v/>
      </c>
      <c r="S23" s="41" t="str">
        <f>IF(Alderholt!V23="","",(Alderholt!V23))</f>
        <v/>
      </c>
      <c r="T23" s="41" t="str">
        <f>IF(Alderholt!W23="","",(Alderholt!W23))</f>
        <v/>
      </c>
      <c r="U23" s="41" t="str">
        <f>IF(Alderholt!X23="","",(Alderholt!X23))</f>
        <v/>
      </c>
      <c r="V23" s="41" t="str">
        <f>IF(Alderholt!Y23="","",(Alderholt!Y23))</f>
        <v/>
      </c>
      <c r="W23" s="249">
        <f>IF(Alderholt!AA23=0,"",(Alderholt!AA23))</f>
        <v>1</v>
      </c>
      <c r="X23" s="244">
        <f>IF(Alderholt!AB23=0,"",(Alderholt!AB23))</f>
        <v>16.72</v>
      </c>
      <c r="Y23" s="245">
        <f>IF(Alderholt!AC23=0,"",(Alderholt!AC23))</f>
        <v>17.72</v>
      </c>
      <c r="AA23" s="246">
        <f>Y23</f>
        <v>17.72</v>
      </c>
      <c r="AB23" s="243">
        <f>X23</f>
        <v>16.72</v>
      </c>
      <c r="AC23" s="185" t="str">
        <f>C23</f>
        <v>Lee Shiel</v>
      </c>
      <c r="AD23" s="185" t="str">
        <f>LEFT($B$7,3)</f>
        <v>Ald</v>
      </c>
      <c r="AE23" s="185">
        <f t="shared" ref="AE23:AY23" si="8">E23</f>
        <v>4</v>
      </c>
      <c r="AF23" s="185">
        <f t="shared" si="8"/>
        <v>1</v>
      </c>
      <c r="AG23" s="247">
        <f t="shared" si="8"/>
        <v>3</v>
      </c>
      <c r="AH23" s="247">
        <f t="shared" si="8"/>
        <v>7</v>
      </c>
      <c r="AI23" s="247">
        <f t="shared" si="8"/>
        <v>14</v>
      </c>
      <c r="AJ23" s="243">
        <f t="shared" si="8"/>
        <v>18.72</v>
      </c>
      <c r="AK23" s="243">
        <f t="shared" si="8"/>
        <v>17.84</v>
      </c>
      <c r="AL23" s="243">
        <f t="shared" si="8"/>
        <v>19.47</v>
      </c>
      <c r="AM23" s="243">
        <f t="shared" si="8"/>
        <v>10.85</v>
      </c>
      <c r="AN23" s="243" t="str">
        <f t="shared" si="8"/>
        <v/>
      </c>
      <c r="AO23" s="243" t="str">
        <f t="shared" si="8"/>
        <v/>
      </c>
      <c r="AP23" s="243" t="str">
        <f t="shared" si="8"/>
        <v/>
      </c>
      <c r="AQ23" s="243" t="str">
        <f t="shared" si="8"/>
        <v/>
      </c>
      <c r="AR23" s="243" t="str">
        <f t="shared" si="8"/>
        <v/>
      </c>
      <c r="AS23" s="243" t="str">
        <f t="shared" si="8"/>
        <v/>
      </c>
      <c r="AT23" s="243" t="str">
        <f t="shared" si="8"/>
        <v/>
      </c>
      <c r="AU23" s="243" t="str">
        <f t="shared" si="8"/>
        <v/>
      </c>
      <c r="AV23" s="243" t="str">
        <f t="shared" si="8"/>
        <v/>
      </c>
      <c r="AW23" s="247">
        <f t="shared" si="8"/>
        <v>1</v>
      </c>
      <c r="AX23" s="243">
        <f t="shared" si="8"/>
        <v>16.72</v>
      </c>
      <c r="AY23" s="248">
        <f t="shared" si="8"/>
        <v>17.72</v>
      </c>
    </row>
    <row r="24" spans="2:51" ht="12" customHeight="1" x14ac:dyDescent="0.2">
      <c r="B24" s="266"/>
      <c r="C24" s="272"/>
      <c r="D24" s="235"/>
      <c r="E24" s="239"/>
      <c r="F24" s="182"/>
      <c r="G24" s="182"/>
      <c r="H24" s="182"/>
      <c r="I24" s="233"/>
      <c r="J24" s="163" t="str">
        <f>IF(Alderholt!M24="","",(Alderholt!M24))</f>
        <v>4*2</v>
      </c>
      <c r="K24" s="41" t="str">
        <f>IF(Alderholt!N24="","",(Alderholt!N24))</f>
        <v>1*4</v>
      </c>
      <c r="L24" s="41" t="str">
        <f>IF(Alderholt!O24="","",(Alderholt!O24))</f>
        <v>2*4(1)</v>
      </c>
      <c r="M24" s="41" t="str">
        <f>IF(Alderholt!P24="","",(Alderholt!P24))</f>
        <v>0*4</v>
      </c>
      <c r="N24" s="41" t="str">
        <f>IF(Alderholt!Q24="","",(Alderholt!Q24))</f>
        <v/>
      </c>
      <c r="O24" s="41" t="str">
        <f>IF(Alderholt!R24="","",(Alderholt!R24))</f>
        <v/>
      </c>
      <c r="P24" s="41" t="str">
        <f>IF(Alderholt!S24="","",(Alderholt!S24))</f>
        <v/>
      </c>
      <c r="Q24" s="41" t="str">
        <f>IF(Alderholt!T24="","",(Alderholt!T24))</f>
        <v/>
      </c>
      <c r="R24" s="41" t="str">
        <f>IF(Alderholt!U24="","",(Alderholt!U24))</f>
        <v/>
      </c>
      <c r="S24" s="41" t="str">
        <f>IF(Alderholt!V24="","",(Alderholt!V24))</f>
        <v/>
      </c>
      <c r="T24" s="41" t="str">
        <f>IF(Alderholt!W24="","",(Alderholt!W24))</f>
        <v/>
      </c>
      <c r="U24" s="41" t="str">
        <f>IF(Alderholt!X24="","",(Alderholt!X24))</f>
        <v/>
      </c>
      <c r="V24" s="41" t="str">
        <f>IF(Alderholt!Y24="","",(Alderholt!Y24))</f>
        <v/>
      </c>
      <c r="W24" s="201"/>
      <c r="X24" s="182"/>
      <c r="Y24" s="233"/>
      <c r="AA24" s="239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233"/>
    </row>
    <row r="25" spans="2:51" ht="12" customHeight="1" x14ac:dyDescent="0.2">
      <c r="B25" s="266"/>
      <c r="C25" s="271" t="str">
        <f>IF(Alderholt!E25="","",Alderholt!E25)</f>
        <v>Luke Arnold</v>
      </c>
      <c r="D25" s="259" t="str">
        <f>LEFT($B$7,3)</f>
        <v>Ald</v>
      </c>
      <c r="E25" s="251">
        <f>IF(Alderholt!G25="","",Alderholt!G25)</f>
        <v>3</v>
      </c>
      <c r="F25" s="181">
        <f>IF(Alderholt!H25=0,"",Alderholt!H25)</f>
        <v>1</v>
      </c>
      <c r="G25" s="186">
        <f>IF(Alderholt!I25=0,"",Alderholt!I25)</f>
        <v>2</v>
      </c>
      <c r="H25" s="186">
        <f>IF(Alderholt!J25=0,"",Alderholt!J25)</f>
        <v>4</v>
      </c>
      <c r="I25" s="252">
        <f>IF(Alderholt!K25=0,"",Alderholt!K25)</f>
        <v>10</v>
      </c>
      <c r="J25" s="163">
        <f>IF(Alderholt!M25="","",(Alderholt!M25))</f>
        <v>20.16</v>
      </c>
      <c r="K25" s="41">
        <f>IF(Alderholt!N25="","",(Alderholt!N25))</f>
        <v>23.44</v>
      </c>
      <c r="L25" s="41" t="str">
        <f>IF(Alderholt!O25="","",(Alderholt!O25))</f>
        <v/>
      </c>
      <c r="M25" s="41" t="str">
        <f>IF(Alderholt!P25="","",(Alderholt!P25))</f>
        <v/>
      </c>
      <c r="N25" s="41" t="str">
        <f>IF(Alderholt!Q25="","",(Alderholt!Q25))</f>
        <v/>
      </c>
      <c r="O25" s="41">
        <f>IF(Alderholt!R25="","",(Alderholt!R25))</f>
        <v>21.96</v>
      </c>
      <c r="P25" s="41" t="str">
        <f>IF(Alderholt!S25="","",(Alderholt!S25))</f>
        <v/>
      </c>
      <c r="Q25" s="41" t="str">
        <f>IF(Alderholt!T25="","",(Alderholt!T25))</f>
        <v/>
      </c>
      <c r="R25" s="41" t="str">
        <f>IF(Alderholt!U25="","",(Alderholt!U25))</f>
        <v/>
      </c>
      <c r="S25" s="41" t="str">
        <f>IF(Alderholt!V25="","",(Alderholt!V25))</f>
        <v/>
      </c>
      <c r="T25" s="41" t="str">
        <f>IF(Alderholt!W25="","",(Alderholt!W25))</f>
        <v/>
      </c>
      <c r="U25" s="41" t="str">
        <f>IF(Alderholt!X25="","",(Alderholt!X25))</f>
        <v/>
      </c>
      <c r="V25" s="41" t="str">
        <f>IF(Alderholt!Y25="","",(Alderholt!Y25))</f>
        <v/>
      </c>
      <c r="W25" s="249" t="str">
        <f>IF(Alderholt!AA25=0,"",(Alderholt!AA25))</f>
        <v/>
      </c>
      <c r="X25" s="244">
        <f>IF(Alderholt!AB25=0,"",(Alderholt!AB25))</f>
        <v>21.853333333333335</v>
      </c>
      <c r="Y25" s="245">
        <f>IF(Alderholt!AC25=0,"",(Alderholt!AC25))</f>
        <v>22.853333333333335</v>
      </c>
      <c r="AA25" s="246">
        <f>Y25</f>
        <v>22.853333333333335</v>
      </c>
      <c r="AB25" s="243">
        <f>X25</f>
        <v>21.853333333333335</v>
      </c>
      <c r="AC25" s="185" t="str">
        <f>C25</f>
        <v>Luke Arnold</v>
      </c>
      <c r="AD25" s="185" t="str">
        <f>LEFT($B$7,3)</f>
        <v>Ald</v>
      </c>
      <c r="AE25" s="185">
        <f t="shared" ref="AE25:AY25" si="9">E25</f>
        <v>3</v>
      </c>
      <c r="AF25" s="185">
        <f t="shared" si="9"/>
        <v>1</v>
      </c>
      <c r="AG25" s="247">
        <f t="shared" si="9"/>
        <v>2</v>
      </c>
      <c r="AH25" s="247">
        <f t="shared" si="9"/>
        <v>4</v>
      </c>
      <c r="AI25" s="247">
        <f t="shared" si="9"/>
        <v>10</v>
      </c>
      <c r="AJ25" s="243">
        <f t="shared" si="9"/>
        <v>20.16</v>
      </c>
      <c r="AK25" s="243">
        <f t="shared" si="9"/>
        <v>23.44</v>
      </c>
      <c r="AL25" s="243" t="str">
        <f t="shared" si="9"/>
        <v/>
      </c>
      <c r="AM25" s="243" t="str">
        <f t="shared" si="9"/>
        <v/>
      </c>
      <c r="AN25" s="243" t="str">
        <f t="shared" si="9"/>
        <v/>
      </c>
      <c r="AO25" s="243">
        <f t="shared" si="9"/>
        <v>21.96</v>
      </c>
      <c r="AP25" s="243" t="str">
        <f t="shared" si="9"/>
        <v/>
      </c>
      <c r="AQ25" s="243" t="str">
        <f t="shared" si="9"/>
        <v/>
      </c>
      <c r="AR25" s="243" t="str">
        <f t="shared" si="9"/>
        <v/>
      </c>
      <c r="AS25" s="243" t="str">
        <f t="shared" si="9"/>
        <v/>
      </c>
      <c r="AT25" s="243" t="str">
        <f t="shared" si="9"/>
        <v/>
      </c>
      <c r="AU25" s="243" t="str">
        <f t="shared" si="9"/>
        <v/>
      </c>
      <c r="AV25" s="243" t="str">
        <f t="shared" si="9"/>
        <v/>
      </c>
      <c r="AW25" s="247" t="str">
        <f t="shared" si="9"/>
        <v/>
      </c>
      <c r="AX25" s="243">
        <f t="shared" si="9"/>
        <v>21.853333333333335</v>
      </c>
      <c r="AY25" s="248">
        <f t="shared" si="9"/>
        <v>22.853333333333335</v>
      </c>
    </row>
    <row r="26" spans="2:51" ht="12" customHeight="1" x14ac:dyDescent="0.2">
      <c r="B26" s="266"/>
      <c r="C26" s="272"/>
      <c r="D26" s="235"/>
      <c r="E26" s="239"/>
      <c r="F26" s="182"/>
      <c r="G26" s="182"/>
      <c r="H26" s="182"/>
      <c r="I26" s="233"/>
      <c r="J26" s="163" t="str">
        <f>IF(Alderholt!M26="","",(Alderholt!M26))</f>
        <v>0*4</v>
      </c>
      <c r="K26" s="41" t="str">
        <f>IF(Alderholt!N26="","",(Alderholt!N26))</f>
        <v>0*4</v>
      </c>
      <c r="L26" s="41" t="str">
        <f>IF(Alderholt!O26="","",(Alderholt!O26))</f>
        <v/>
      </c>
      <c r="M26" s="41" t="str">
        <f>IF(Alderholt!P26="","",(Alderholt!P26))</f>
        <v/>
      </c>
      <c r="N26" s="41" t="str">
        <f>IF(Alderholt!Q26="","",(Alderholt!Q26))</f>
        <v/>
      </c>
      <c r="O26" s="41" t="str">
        <f>IF(Alderholt!R26="","",(Alderholt!R26))</f>
        <v>4*2</v>
      </c>
      <c r="P26" s="41" t="str">
        <f>IF(Alderholt!S26="","",(Alderholt!S26))</f>
        <v/>
      </c>
      <c r="Q26" s="41" t="str">
        <f>IF(Alderholt!T26="","",(Alderholt!T26))</f>
        <v/>
      </c>
      <c r="R26" s="41" t="str">
        <f>IF(Alderholt!U26="","",(Alderholt!U26))</f>
        <v/>
      </c>
      <c r="S26" s="41" t="str">
        <f>IF(Alderholt!V26="","",(Alderholt!V26))</f>
        <v/>
      </c>
      <c r="T26" s="41" t="str">
        <f>IF(Alderholt!W26="","",(Alderholt!W26))</f>
        <v/>
      </c>
      <c r="U26" s="41" t="str">
        <f>IF(Alderholt!X26="","",(Alderholt!X26))</f>
        <v/>
      </c>
      <c r="V26" s="41" t="str">
        <f>IF(Alderholt!Y26="","",(Alderholt!Y26))</f>
        <v/>
      </c>
      <c r="W26" s="201"/>
      <c r="X26" s="182"/>
      <c r="Y26" s="233"/>
      <c r="AA26" s="239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233"/>
    </row>
    <row r="27" spans="2:51" ht="12" customHeight="1" x14ac:dyDescent="0.2">
      <c r="B27" s="266"/>
      <c r="C27" s="271" t="str">
        <f>IF(Alderholt!E27="","",Alderholt!E27)</f>
        <v>Tom Moors</v>
      </c>
      <c r="D27" s="259" t="str">
        <f>LEFT($B$7,3)</f>
        <v>Ald</v>
      </c>
      <c r="E27" s="251">
        <f>IF(Alderholt!G27="","",Alderholt!G27)</f>
        <v>10</v>
      </c>
      <c r="F27" s="181">
        <f>IF(Alderholt!H27=0,"",Alderholt!H27)</f>
        <v>6</v>
      </c>
      <c r="G27" s="186">
        <f>IF(Alderholt!I27=0,"",Alderholt!I27)</f>
        <v>4</v>
      </c>
      <c r="H27" s="186">
        <f>IF(Alderholt!J27=0,"",Alderholt!J27)</f>
        <v>30</v>
      </c>
      <c r="I27" s="252">
        <f>IF(Alderholt!K27=0,"",Alderholt!K27)</f>
        <v>21</v>
      </c>
      <c r="J27" s="163" t="str">
        <f>IF(Alderholt!M27="","",(Alderholt!M27))</f>
        <v/>
      </c>
      <c r="K27" s="41" t="str">
        <f>IF(Alderholt!N27="","",(Alderholt!N27))</f>
        <v/>
      </c>
      <c r="L27" s="41">
        <f>IF(Alderholt!O27="","",(Alderholt!O27))</f>
        <v>24.32</v>
      </c>
      <c r="M27" s="41">
        <f>IF(Alderholt!P27="","",(Alderholt!P27))</f>
        <v>20.81</v>
      </c>
      <c r="N27" s="41">
        <f>IF(Alderholt!Q27="","",(Alderholt!Q27))</f>
        <v>27.45</v>
      </c>
      <c r="O27" s="41">
        <f>IF(Alderholt!R27="","",(Alderholt!R27))</f>
        <v>22.08</v>
      </c>
      <c r="P27" s="41">
        <f>IF(Alderholt!S27="","",(Alderholt!S27))</f>
        <v>22.27</v>
      </c>
      <c r="Q27" s="41">
        <f>IF(Alderholt!T27="","",(Alderholt!T27))</f>
        <v>22.39</v>
      </c>
      <c r="R27" s="41">
        <f>IF(Alderholt!U27="","",(Alderholt!U27))</f>
        <v>21.26</v>
      </c>
      <c r="S27" s="41">
        <f>IF(Alderholt!V27="","",(Alderholt!V27))</f>
        <v>22.61</v>
      </c>
      <c r="T27" s="41">
        <f>IF(Alderholt!W27="","",(Alderholt!W27))</f>
        <v>21.33</v>
      </c>
      <c r="U27" s="41">
        <f>IF(Alderholt!X27="","",(Alderholt!X27))</f>
        <v>17.260000000000002</v>
      </c>
      <c r="V27" s="41" t="str">
        <f>IF(Alderholt!Y27="","",(Alderholt!Y27))</f>
        <v/>
      </c>
      <c r="W27" s="249">
        <f>IF(Alderholt!AA27=0,"",(Alderholt!AA27))</f>
        <v>2</v>
      </c>
      <c r="X27" s="244">
        <f>IF(Alderholt!AB27=0,"",(Alderholt!AB27))</f>
        <v>22.177999999999997</v>
      </c>
      <c r="Y27" s="245">
        <f>IF(Alderholt!AC27=0,"",(Alderholt!AC27))</f>
        <v>28.177999999999997</v>
      </c>
      <c r="AA27" s="246">
        <f>Y27</f>
        <v>28.177999999999997</v>
      </c>
      <c r="AB27" s="243">
        <f>X27</f>
        <v>22.177999999999997</v>
      </c>
      <c r="AC27" s="185" t="str">
        <f>C27</f>
        <v>Tom Moors</v>
      </c>
      <c r="AD27" s="185" t="str">
        <f>LEFT($B$7,3)</f>
        <v>Ald</v>
      </c>
      <c r="AE27" s="185">
        <f t="shared" ref="AE27:AY27" si="10">E27</f>
        <v>10</v>
      </c>
      <c r="AF27" s="185">
        <f t="shared" si="10"/>
        <v>6</v>
      </c>
      <c r="AG27" s="247">
        <f t="shared" si="10"/>
        <v>4</v>
      </c>
      <c r="AH27" s="247">
        <f t="shared" si="10"/>
        <v>30</v>
      </c>
      <c r="AI27" s="247">
        <f t="shared" si="10"/>
        <v>21</v>
      </c>
      <c r="AJ27" s="243" t="str">
        <f t="shared" si="10"/>
        <v/>
      </c>
      <c r="AK27" s="243" t="str">
        <f t="shared" si="10"/>
        <v/>
      </c>
      <c r="AL27" s="243">
        <f t="shared" si="10"/>
        <v>24.32</v>
      </c>
      <c r="AM27" s="243">
        <f t="shared" si="10"/>
        <v>20.81</v>
      </c>
      <c r="AN27" s="243">
        <f t="shared" si="10"/>
        <v>27.45</v>
      </c>
      <c r="AO27" s="243">
        <f t="shared" si="10"/>
        <v>22.08</v>
      </c>
      <c r="AP27" s="243">
        <f t="shared" si="10"/>
        <v>22.27</v>
      </c>
      <c r="AQ27" s="243">
        <f t="shared" si="10"/>
        <v>22.39</v>
      </c>
      <c r="AR27" s="243">
        <f t="shared" si="10"/>
        <v>21.26</v>
      </c>
      <c r="AS27" s="243">
        <f t="shared" si="10"/>
        <v>22.61</v>
      </c>
      <c r="AT27" s="243">
        <f t="shared" si="10"/>
        <v>21.33</v>
      </c>
      <c r="AU27" s="243">
        <f t="shared" si="10"/>
        <v>17.260000000000002</v>
      </c>
      <c r="AV27" s="243" t="str">
        <f t="shared" si="10"/>
        <v/>
      </c>
      <c r="AW27" s="247">
        <f t="shared" si="10"/>
        <v>2</v>
      </c>
      <c r="AX27" s="243">
        <f t="shared" si="10"/>
        <v>22.177999999999997</v>
      </c>
      <c r="AY27" s="248">
        <f t="shared" si="10"/>
        <v>28.177999999999997</v>
      </c>
    </row>
    <row r="28" spans="2:51" ht="12" customHeight="1" x14ac:dyDescent="0.2">
      <c r="B28" s="266"/>
      <c r="C28" s="272"/>
      <c r="D28" s="235"/>
      <c r="E28" s="239"/>
      <c r="F28" s="182"/>
      <c r="G28" s="182"/>
      <c r="H28" s="182"/>
      <c r="I28" s="233"/>
      <c r="J28" s="163" t="str">
        <f>IF(Alderholt!M28="","",(Alderholt!M28))</f>
        <v/>
      </c>
      <c r="K28" s="41" t="str">
        <f>IF(Alderholt!N28="","",(Alderholt!N28))</f>
        <v/>
      </c>
      <c r="L28" s="41" t="str">
        <f>IF(Alderholt!O28="","",(Alderholt!O28))</f>
        <v>0*4</v>
      </c>
      <c r="M28" s="41" t="str">
        <f>IF(Alderholt!P28="","",(Alderholt!P28))</f>
        <v>1*4</v>
      </c>
      <c r="N28" s="41" t="str">
        <f>IF(Alderholt!Q28="","",(Alderholt!Q28))</f>
        <v>4*0(1)</v>
      </c>
      <c r="O28" s="41" t="str">
        <f>IF(Alderholt!R28="","",(Alderholt!R28))</f>
        <v>4*1</v>
      </c>
      <c r="P28" s="41" t="str">
        <f>IF(Alderholt!S28="","",(Alderholt!S28))</f>
        <v>4*0</v>
      </c>
      <c r="Q28" s="41" t="str">
        <f>IF(Alderholt!T28="","",(Alderholt!T28))</f>
        <v>4*1</v>
      </c>
      <c r="R28" s="41" t="str">
        <f>IF(Alderholt!U28="","",(Alderholt!U28))</f>
        <v>4*2</v>
      </c>
      <c r="S28" s="41" t="str">
        <f>IF(Alderholt!V28="","",(Alderholt!V28))</f>
        <v>4*1</v>
      </c>
      <c r="T28" s="41" t="str">
        <f>IF(Alderholt!W28="","",(Alderholt!W28))</f>
        <v>3*4</v>
      </c>
      <c r="U28" s="41" t="str">
        <f>IF(Alderholt!X28="","",(Alderholt!X28))</f>
        <v>2*4(1)</v>
      </c>
      <c r="V28" s="41" t="str">
        <f>IF(Alderholt!Y28="","",(Alderholt!Y28))</f>
        <v/>
      </c>
      <c r="W28" s="201"/>
      <c r="X28" s="182"/>
      <c r="Y28" s="233"/>
      <c r="AA28" s="239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233"/>
    </row>
    <row r="29" spans="2:51" ht="12" customHeight="1" x14ac:dyDescent="0.2">
      <c r="B29" s="266"/>
      <c r="C29" s="271" t="str">
        <f>IF(Alderholt!E29="","",Alderholt!E29)</f>
        <v>Carl Rigler</v>
      </c>
      <c r="D29" s="259" t="str">
        <f>LEFT($B$7,3)</f>
        <v>Ald</v>
      </c>
      <c r="E29" s="251">
        <f>IF(Alderholt!G29="","",Alderholt!G29)</f>
        <v>5</v>
      </c>
      <c r="F29" s="181">
        <f>IF(Alderholt!H29=0,"",Alderholt!H29)</f>
        <v>1</v>
      </c>
      <c r="G29" s="186">
        <f>IF(Alderholt!I29=0,"",Alderholt!I29)</f>
        <v>4</v>
      </c>
      <c r="H29" s="186">
        <f>IF(Alderholt!J29=0,"",Alderholt!J29)</f>
        <v>11</v>
      </c>
      <c r="I29" s="252">
        <f>IF(Alderholt!K29=0,"",Alderholt!K29)</f>
        <v>16</v>
      </c>
      <c r="J29" s="163" t="str">
        <f>IF(Alderholt!M29="","",(Alderholt!M29))</f>
        <v/>
      </c>
      <c r="K29" s="41" t="str">
        <f>IF(Alderholt!N29="","",(Alderholt!N29))</f>
        <v/>
      </c>
      <c r="L29" s="41" t="str">
        <f>IF(Alderholt!O29="","",(Alderholt!O29))</f>
        <v/>
      </c>
      <c r="M29" s="41" t="str">
        <f>IF(Alderholt!P29="","",(Alderholt!P29))</f>
        <v/>
      </c>
      <c r="N29" s="41">
        <f>IF(Alderholt!Q29="","",(Alderholt!Q29))</f>
        <v>22.17</v>
      </c>
      <c r="O29" s="41">
        <f>IF(Alderholt!R29="","",(Alderholt!R29))</f>
        <v>18.13</v>
      </c>
      <c r="P29" s="41" t="str">
        <f>IF(Alderholt!S29="","",(Alderholt!S29))</f>
        <v/>
      </c>
      <c r="Q29" s="41" t="str">
        <f>IF(Alderholt!T29="","",(Alderholt!T29))</f>
        <v/>
      </c>
      <c r="R29" s="41" t="str">
        <f>IF(Alderholt!U29="","",(Alderholt!U29))</f>
        <v/>
      </c>
      <c r="S29" s="41" t="str">
        <f>IF(Alderholt!V29="","",(Alderholt!V29))</f>
        <v/>
      </c>
      <c r="T29" s="41">
        <f>IF(Alderholt!W29="","",(Alderholt!W29))</f>
        <v>18.53</v>
      </c>
      <c r="U29" s="41">
        <f>IF(Alderholt!X29="","",(Alderholt!X29))</f>
        <v>16.7</v>
      </c>
      <c r="V29" s="41">
        <f>IF(Alderholt!Y29="","",(Alderholt!Y29))</f>
        <v>20.51</v>
      </c>
      <c r="W29" s="249">
        <f>IF(Alderholt!AA29=0,"",(Alderholt!AA29))</f>
        <v>1</v>
      </c>
      <c r="X29" s="244">
        <f>IF(Alderholt!AB29=0,"",(Alderholt!AB29))</f>
        <v>19.208000000000002</v>
      </c>
      <c r="Y29" s="245">
        <f>IF(Alderholt!AC29=0,"",(Alderholt!AC29))</f>
        <v>20.208000000000002</v>
      </c>
      <c r="AA29" s="246">
        <f>Y29</f>
        <v>20.208000000000002</v>
      </c>
      <c r="AB29" s="243">
        <f>X29</f>
        <v>19.208000000000002</v>
      </c>
      <c r="AC29" s="185" t="str">
        <f>C29</f>
        <v>Carl Rigler</v>
      </c>
      <c r="AD29" s="185" t="str">
        <f>LEFT($B$7,3)</f>
        <v>Ald</v>
      </c>
      <c r="AE29" s="185">
        <f t="shared" ref="AE29:AY29" si="11">E29</f>
        <v>5</v>
      </c>
      <c r="AF29" s="185">
        <f t="shared" si="11"/>
        <v>1</v>
      </c>
      <c r="AG29" s="247">
        <f t="shared" si="11"/>
        <v>4</v>
      </c>
      <c r="AH29" s="247">
        <f t="shared" si="11"/>
        <v>11</v>
      </c>
      <c r="AI29" s="247">
        <f t="shared" si="11"/>
        <v>16</v>
      </c>
      <c r="AJ29" s="243" t="str">
        <f t="shared" si="11"/>
        <v/>
      </c>
      <c r="AK29" s="243" t="str">
        <f t="shared" si="11"/>
        <v/>
      </c>
      <c r="AL29" s="243" t="str">
        <f t="shared" si="11"/>
        <v/>
      </c>
      <c r="AM29" s="243" t="str">
        <f t="shared" si="11"/>
        <v/>
      </c>
      <c r="AN29" s="243">
        <f t="shared" si="11"/>
        <v>22.17</v>
      </c>
      <c r="AO29" s="243">
        <f t="shared" si="11"/>
        <v>18.13</v>
      </c>
      <c r="AP29" s="243" t="str">
        <f t="shared" si="11"/>
        <v/>
      </c>
      <c r="AQ29" s="243" t="str">
        <f t="shared" si="11"/>
        <v/>
      </c>
      <c r="AR29" s="243" t="str">
        <f t="shared" si="11"/>
        <v/>
      </c>
      <c r="AS29" s="243" t="str">
        <f t="shared" si="11"/>
        <v/>
      </c>
      <c r="AT29" s="243">
        <f t="shared" si="11"/>
        <v>18.53</v>
      </c>
      <c r="AU29" s="243">
        <f t="shared" si="11"/>
        <v>16.7</v>
      </c>
      <c r="AV29" s="243">
        <f t="shared" si="11"/>
        <v>20.51</v>
      </c>
      <c r="AW29" s="247">
        <f t="shared" si="11"/>
        <v>1</v>
      </c>
      <c r="AX29" s="243">
        <f t="shared" si="11"/>
        <v>19.208000000000002</v>
      </c>
      <c r="AY29" s="248">
        <f t="shared" si="11"/>
        <v>20.208000000000002</v>
      </c>
    </row>
    <row r="30" spans="2:51" ht="12" customHeight="1" x14ac:dyDescent="0.2">
      <c r="B30" s="266"/>
      <c r="C30" s="272"/>
      <c r="D30" s="235"/>
      <c r="E30" s="239"/>
      <c r="F30" s="182"/>
      <c r="G30" s="182"/>
      <c r="H30" s="182"/>
      <c r="I30" s="233"/>
      <c r="J30" s="163" t="str">
        <f>IF(Alderholt!M30="","",(Alderholt!M30))</f>
        <v/>
      </c>
      <c r="K30" s="41" t="str">
        <f>IF(Alderholt!N30="","",(Alderholt!N30))</f>
        <v/>
      </c>
      <c r="L30" s="41" t="str">
        <f>IF(Alderholt!O30="","",(Alderholt!O30))</f>
        <v/>
      </c>
      <c r="M30" s="41" t="str">
        <f>IF(Alderholt!P30="","",(Alderholt!P30))</f>
        <v/>
      </c>
      <c r="N30" s="41" t="str">
        <f>IF(Alderholt!Q30="","",(Alderholt!Q30))</f>
        <v>4*0(1)</v>
      </c>
      <c r="O30" s="41" t="str">
        <f>IF(Alderholt!R30="","",(Alderholt!R30))</f>
        <v>2*4</v>
      </c>
      <c r="P30" s="41" t="str">
        <f>IF(Alderholt!S30="","",(Alderholt!S30))</f>
        <v/>
      </c>
      <c r="Q30" s="41" t="str">
        <f>IF(Alderholt!T30="","",(Alderholt!T30))</f>
        <v/>
      </c>
      <c r="R30" s="41" t="str">
        <f>IF(Alderholt!U30="","",(Alderholt!U30))</f>
        <v/>
      </c>
      <c r="S30" s="41" t="str">
        <f>IF(Alderholt!V30="","",(Alderholt!V30))</f>
        <v/>
      </c>
      <c r="T30" s="41" t="str">
        <f>IF(Alderholt!W30="","",(Alderholt!W30))</f>
        <v>1*4</v>
      </c>
      <c r="U30" s="41" t="str">
        <f>IF(Alderholt!X30="","",(Alderholt!X30))</f>
        <v>3*4</v>
      </c>
      <c r="V30" s="41" t="str">
        <f>IF(Alderholt!Y30="","",(Alderholt!Y30))</f>
        <v>1*4</v>
      </c>
      <c r="W30" s="201"/>
      <c r="X30" s="182"/>
      <c r="Y30" s="233"/>
      <c r="AA30" s="239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233"/>
    </row>
    <row r="31" spans="2:51" ht="12" customHeight="1" x14ac:dyDescent="0.2">
      <c r="B31" s="266"/>
      <c r="C31" s="271" t="str">
        <f>IF(Alderholt!E31="","",Alderholt!E31)</f>
        <v>Joe Carpenter</v>
      </c>
      <c r="D31" s="259" t="str">
        <f>LEFT($B$7,3)</f>
        <v>Ald</v>
      </c>
      <c r="E31" s="251">
        <f>IF(Alderholt!G31="","",Alderholt!G31)</f>
        <v>6</v>
      </c>
      <c r="F31" s="181" t="str">
        <f>IF(Alderholt!H31=0,"",Alderholt!H31)</f>
        <v/>
      </c>
      <c r="G31" s="186">
        <f>IF(Alderholt!I31=0,"",Alderholt!I31)</f>
        <v>6</v>
      </c>
      <c r="H31" s="186">
        <f>IF(Alderholt!J31=0,"",Alderholt!J31)</f>
        <v>8</v>
      </c>
      <c r="I31" s="252">
        <f>IF(Alderholt!K31=0,"",Alderholt!K31)</f>
        <v>24</v>
      </c>
      <c r="J31" s="163" t="str">
        <f>IF(Alderholt!M31="","",(Alderholt!M31))</f>
        <v/>
      </c>
      <c r="K31" s="41" t="str">
        <f>IF(Alderholt!N31="","",(Alderholt!N31))</f>
        <v/>
      </c>
      <c r="L31" s="41" t="str">
        <f>IF(Alderholt!O31="","",(Alderholt!O31))</f>
        <v/>
      </c>
      <c r="M31" s="41" t="str">
        <f>IF(Alderholt!P31="","",(Alderholt!P31))</f>
        <v/>
      </c>
      <c r="N31" s="41" t="str">
        <f>IF(Alderholt!Q31="","",(Alderholt!Q31))</f>
        <v/>
      </c>
      <c r="O31" s="41" t="str">
        <f>IF(Alderholt!R31="","",(Alderholt!R31))</f>
        <v/>
      </c>
      <c r="P31" s="41">
        <f>IF(Alderholt!S31="","",(Alderholt!S31))</f>
        <v>17.920000000000002</v>
      </c>
      <c r="Q31" s="41">
        <f>IF(Alderholt!T31="","",(Alderholt!T31))</f>
        <v>18.5</v>
      </c>
      <c r="R31" s="41">
        <f>IF(Alderholt!U31="","",(Alderholt!U31))</f>
        <v>17.48</v>
      </c>
      <c r="S31" s="41">
        <f>IF(Alderholt!V31="","",(Alderholt!V31))</f>
        <v>17.98</v>
      </c>
      <c r="T31" s="41" t="str">
        <f>IF(Alderholt!W31="","",(Alderholt!W31))</f>
        <v/>
      </c>
      <c r="U31" s="41">
        <f>IF(Alderholt!X31="","",(Alderholt!X31))</f>
        <v>17.91</v>
      </c>
      <c r="V31" s="41">
        <f>IF(Alderholt!Y31="","",(Alderholt!Y31))</f>
        <v>16.309999999999999</v>
      </c>
      <c r="W31" s="249" t="str">
        <f>IF(Alderholt!AA31=0,"",(Alderholt!AA31))</f>
        <v/>
      </c>
      <c r="X31" s="244">
        <f>IF(Alderholt!AB31=0,"",(Alderholt!AB31))</f>
        <v>17.683333333333334</v>
      </c>
      <c r="Y31" s="245">
        <f>IF(Alderholt!AC31=0,"",(Alderholt!AC31))</f>
        <v>17.683333333333334</v>
      </c>
      <c r="AA31" s="246">
        <f>Y31</f>
        <v>17.683333333333334</v>
      </c>
      <c r="AB31" s="243">
        <f>X31</f>
        <v>17.683333333333334</v>
      </c>
      <c r="AC31" s="185" t="str">
        <f>C31</f>
        <v>Joe Carpenter</v>
      </c>
      <c r="AD31" s="185" t="str">
        <f>LEFT($B$7,3)</f>
        <v>Ald</v>
      </c>
      <c r="AE31" s="185">
        <f t="shared" ref="AE31:AY31" si="12">E31</f>
        <v>6</v>
      </c>
      <c r="AF31" s="185" t="str">
        <f t="shared" si="12"/>
        <v/>
      </c>
      <c r="AG31" s="247">
        <f t="shared" si="12"/>
        <v>6</v>
      </c>
      <c r="AH31" s="247">
        <f t="shared" si="12"/>
        <v>8</v>
      </c>
      <c r="AI31" s="247">
        <f t="shared" si="12"/>
        <v>24</v>
      </c>
      <c r="AJ31" s="243" t="str">
        <f t="shared" si="12"/>
        <v/>
      </c>
      <c r="AK31" s="243" t="str">
        <f t="shared" si="12"/>
        <v/>
      </c>
      <c r="AL31" s="243" t="str">
        <f t="shared" si="12"/>
        <v/>
      </c>
      <c r="AM31" s="243" t="str">
        <f t="shared" si="12"/>
        <v/>
      </c>
      <c r="AN31" s="243" t="str">
        <f t="shared" si="12"/>
        <v/>
      </c>
      <c r="AO31" s="243" t="str">
        <f t="shared" si="12"/>
        <v/>
      </c>
      <c r="AP31" s="243">
        <f t="shared" si="12"/>
        <v>17.920000000000002</v>
      </c>
      <c r="AQ31" s="243">
        <f t="shared" si="12"/>
        <v>18.5</v>
      </c>
      <c r="AR31" s="243">
        <f t="shared" si="12"/>
        <v>17.48</v>
      </c>
      <c r="AS31" s="243">
        <f t="shared" si="12"/>
        <v>17.98</v>
      </c>
      <c r="AT31" s="243" t="str">
        <f t="shared" si="12"/>
        <v/>
      </c>
      <c r="AU31" s="243">
        <f t="shared" si="12"/>
        <v>17.91</v>
      </c>
      <c r="AV31" s="243">
        <f t="shared" si="12"/>
        <v>16.309999999999999</v>
      </c>
      <c r="AW31" s="247" t="str">
        <f t="shared" si="12"/>
        <v/>
      </c>
      <c r="AX31" s="243">
        <f t="shared" si="12"/>
        <v>17.683333333333334</v>
      </c>
      <c r="AY31" s="248">
        <f t="shared" si="12"/>
        <v>17.683333333333334</v>
      </c>
    </row>
    <row r="32" spans="2:51" ht="12" customHeight="1" x14ac:dyDescent="0.2">
      <c r="B32" s="266"/>
      <c r="C32" s="272"/>
      <c r="D32" s="235"/>
      <c r="E32" s="239"/>
      <c r="F32" s="182"/>
      <c r="G32" s="182"/>
      <c r="H32" s="182"/>
      <c r="I32" s="233"/>
      <c r="J32" s="163" t="str">
        <f>IF(Alderholt!M32="","",(Alderholt!M32))</f>
        <v/>
      </c>
      <c r="K32" s="41" t="str">
        <f>IF(Alderholt!N32="","",(Alderholt!N32))</f>
        <v/>
      </c>
      <c r="L32" s="41" t="str">
        <f>IF(Alderholt!O32="","",(Alderholt!O32))</f>
        <v/>
      </c>
      <c r="M32" s="41" t="str">
        <f>IF(Alderholt!P32="","",(Alderholt!P32))</f>
        <v/>
      </c>
      <c r="N32" s="41" t="str">
        <f>IF(Alderholt!Q32="","",(Alderholt!Q32))</f>
        <v/>
      </c>
      <c r="O32" s="41" t="str">
        <f>IF(Alderholt!R32="","",(Alderholt!R32))</f>
        <v/>
      </c>
      <c r="P32" s="41" t="str">
        <f>IF(Alderholt!S32="","",(Alderholt!S32))</f>
        <v>0*4</v>
      </c>
      <c r="Q32" s="41" t="str">
        <f>IF(Alderholt!T32="","",(Alderholt!T32))</f>
        <v>2*4</v>
      </c>
      <c r="R32" s="41" t="str">
        <f>IF(Alderholt!U32="","",(Alderholt!U32))</f>
        <v>2*4</v>
      </c>
      <c r="S32" s="41" t="str">
        <f>IF(Alderholt!V32="","",(Alderholt!V32))</f>
        <v>2*4</v>
      </c>
      <c r="T32" s="41" t="str">
        <f>IF(Alderholt!W32="","",(Alderholt!W32))</f>
        <v/>
      </c>
      <c r="U32" s="41" t="str">
        <f>IF(Alderholt!X32="","",(Alderholt!X32))</f>
        <v>0*4</v>
      </c>
      <c r="V32" s="41" t="str">
        <f>IF(Alderholt!Y32="","",(Alderholt!Y32))</f>
        <v>2*4</v>
      </c>
      <c r="W32" s="201"/>
      <c r="X32" s="182"/>
      <c r="Y32" s="233"/>
      <c r="AA32" s="239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233"/>
    </row>
    <row r="33" spans="2:51" ht="12" customHeight="1" x14ac:dyDescent="0.2">
      <c r="B33" s="266"/>
      <c r="C33" s="271" t="str">
        <f>IF(Alderholt!E33="","",Alderholt!E33)</f>
        <v>No Player so forfeit</v>
      </c>
      <c r="D33" s="259" t="str">
        <f>LEFT($B$7,3)</f>
        <v>Ald</v>
      </c>
      <c r="E33" s="251" t="str">
        <f>IF(Alderholt!G33="","",Alderholt!G33)</f>
        <v/>
      </c>
      <c r="F33" s="181" t="str">
        <f>IF(Alderholt!H33=0,"",Alderholt!H33)</f>
        <v/>
      </c>
      <c r="G33" s="181" t="str">
        <f>IF(Alderholt!I33=0,"",Alderholt!I33)</f>
        <v/>
      </c>
      <c r="H33" s="181" t="str">
        <f>IF(Alderholt!J33=0,"",Alderholt!J33)</f>
        <v/>
      </c>
      <c r="I33" s="252">
        <f>IF(Alderholt!K33=0,"",Alderholt!K33)</f>
        <v>4</v>
      </c>
      <c r="J33" s="163" t="str">
        <f>IF(Alderholt!M33="","",(Alderholt!M33))</f>
        <v/>
      </c>
      <c r="K33" s="41" t="str">
        <f>IF(Alderholt!N33="","",(Alderholt!N33))</f>
        <v/>
      </c>
      <c r="L33" s="41" t="str">
        <f>IF(Alderholt!O33="","",(Alderholt!O33))</f>
        <v/>
      </c>
      <c r="M33" s="41" t="str">
        <f>IF(Alderholt!P33="","",(Alderholt!P33))</f>
        <v/>
      </c>
      <c r="N33" s="41" t="str">
        <f>IF(Alderholt!Q33="","",(Alderholt!Q33))</f>
        <v/>
      </c>
      <c r="O33" s="41" t="str">
        <f>IF(Alderholt!R33="","",(Alderholt!R33))</f>
        <v/>
      </c>
      <c r="P33" s="41" t="str">
        <f>IF(Alderholt!S33="","",(Alderholt!S33))</f>
        <v/>
      </c>
      <c r="Q33" s="41" t="str">
        <f>IF(Alderholt!T33="","",(Alderholt!T33))</f>
        <v/>
      </c>
      <c r="R33" s="41" t="str">
        <f>IF(Alderholt!U33="","",(Alderholt!U33))</f>
        <v/>
      </c>
      <c r="S33" s="41" t="str">
        <f>IF(Alderholt!V33="","",(Alderholt!V33))</f>
        <v/>
      </c>
      <c r="T33" s="41" t="str">
        <f>IF(Alderholt!W33="","",(Alderholt!W33))</f>
        <v/>
      </c>
      <c r="U33" s="41" t="str">
        <f>IF(Alderholt!X33="","",(Alderholt!X33))</f>
        <v/>
      </c>
      <c r="V33" s="41" t="str">
        <f>IF(Alderholt!Y33="","",(Alderholt!Y33))</f>
        <v/>
      </c>
      <c r="W33" s="249" t="str">
        <f>IF(Alderholt!AA33=0,"",(Alderholt!AA33))</f>
        <v/>
      </c>
      <c r="X33" s="244" t="str">
        <f>IF(Alderholt!AB33=0,"",(Alderholt!AB33))</f>
        <v/>
      </c>
      <c r="Y33" s="245" t="str">
        <f>IF(Alderholt!AC33=0,"",(Alderholt!AC33))</f>
        <v/>
      </c>
      <c r="AA33" s="246" t="str">
        <f>Y33</f>
        <v/>
      </c>
      <c r="AB33" s="243" t="str">
        <f>X33</f>
        <v/>
      </c>
      <c r="AC33" s="185" t="str">
        <f>C33</f>
        <v>No Player so forfeit</v>
      </c>
      <c r="AD33" s="185" t="str">
        <f>LEFT($B$7,3)</f>
        <v>Ald</v>
      </c>
      <c r="AE33" s="185" t="str">
        <f t="shared" ref="AE33:AY33" si="13">E33</f>
        <v/>
      </c>
      <c r="AF33" s="185" t="str">
        <f t="shared" si="13"/>
        <v/>
      </c>
      <c r="AG33" s="185" t="str">
        <f t="shared" si="13"/>
        <v/>
      </c>
      <c r="AH33" s="185" t="str">
        <f t="shared" si="13"/>
        <v/>
      </c>
      <c r="AI33" s="247">
        <f t="shared" si="13"/>
        <v>4</v>
      </c>
      <c r="AJ33" s="243" t="str">
        <f t="shared" si="13"/>
        <v/>
      </c>
      <c r="AK33" s="243" t="str">
        <f t="shared" si="13"/>
        <v/>
      </c>
      <c r="AL33" s="243" t="str">
        <f t="shared" si="13"/>
        <v/>
      </c>
      <c r="AM33" s="243" t="str">
        <f t="shared" si="13"/>
        <v/>
      </c>
      <c r="AN33" s="243" t="str">
        <f t="shared" si="13"/>
        <v/>
      </c>
      <c r="AO33" s="243" t="str">
        <f t="shared" si="13"/>
        <v/>
      </c>
      <c r="AP33" s="243" t="str">
        <f t="shared" si="13"/>
        <v/>
      </c>
      <c r="AQ33" s="243" t="str">
        <f t="shared" si="13"/>
        <v/>
      </c>
      <c r="AR33" s="243" t="str">
        <f t="shared" si="13"/>
        <v/>
      </c>
      <c r="AS33" s="243" t="str">
        <f t="shared" si="13"/>
        <v/>
      </c>
      <c r="AT33" s="243" t="str">
        <f t="shared" si="13"/>
        <v/>
      </c>
      <c r="AU33" s="243" t="str">
        <f t="shared" si="13"/>
        <v/>
      </c>
      <c r="AV33" s="243" t="str">
        <f t="shared" si="13"/>
        <v/>
      </c>
      <c r="AW33" s="247" t="str">
        <f t="shared" si="13"/>
        <v/>
      </c>
      <c r="AX33" s="243" t="str">
        <f t="shared" si="13"/>
        <v/>
      </c>
      <c r="AY33" s="248" t="str">
        <f t="shared" si="13"/>
        <v/>
      </c>
    </row>
    <row r="34" spans="2:51" ht="12" customHeight="1" x14ac:dyDescent="0.2">
      <c r="B34" s="266"/>
      <c r="C34" s="272"/>
      <c r="D34" s="235"/>
      <c r="E34" s="239"/>
      <c r="F34" s="182"/>
      <c r="G34" s="182"/>
      <c r="H34" s="182"/>
      <c r="I34" s="233"/>
      <c r="J34" s="163" t="str">
        <f>IF(Alderholt!M34="","",(Alderholt!M34))</f>
        <v/>
      </c>
      <c r="K34" s="41" t="str">
        <f>IF(Alderholt!N34="","",(Alderholt!N34))</f>
        <v/>
      </c>
      <c r="L34" s="41" t="str">
        <f>IF(Alderholt!O34="","",(Alderholt!O34))</f>
        <v/>
      </c>
      <c r="M34" s="41" t="str">
        <f>IF(Alderholt!P34="","",(Alderholt!P34))</f>
        <v>0*4</v>
      </c>
      <c r="N34" s="41" t="str">
        <f>IF(Alderholt!Q34="","",(Alderholt!Q34))</f>
        <v/>
      </c>
      <c r="O34" s="41" t="str">
        <f>IF(Alderholt!R34="","",(Alderholt!R34))</f>
        <v/>
      </c>
      <c r="P34" s="41" t="str">
        <f>IF(Alderholt!S34="","",(Alderholt!S34))</f>
        <v/>
      </c>
      <c r="Q34" s="41" t="str">
        <f>IF(Alderholt!T34="","",(Alderholt!T34))</f>
        <v/>
      </c>
      <c r="R34" s="41" t="str">
        <f>IF(Alderholt!U34="","",(Alderholt!U34))</f>
        <v/>
      </c>
      <c r="S34" s="41" t="str">
        <f>IF(Alderholt!V34="","",(Alderholt!V34))</f>
        <v/>
      </c>
      <c r="T34" s="41" t="str">
        <f>IF(Alderholt!W34="","",(Alderholt!W34))</f>
        <v/>
      </c>
      <c r="U34" s="41" t="str">
        <f>IF(Alderholt!X34="","",(Alderholt!X34))</f>
        <v/>
      </c>
      <c r="V34" s="41" t="str">
        <f>IF(Alderholt!Y34="","",(Alderholt!Y34))</f>
        <v/>
      </c>
      <c r="W34" s="201"/>
      <c r="X34" s="182"/>
      <c r="Y34" s="233"/>
      <c r="AA34" s="239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233"/>
    </row>
    <row r="35" spans="2:51" ht="12" customHeight="1" x14ac:dyDescent="0.2">
      <c r="B35" s="266"/>
      <c r="C35" s="271" t="str">
        <f>IF(Alderholt!E35="","",Alderholt!E35)</f>
        <v>No Player so forfeit</v>
      </c>
      <c r="D35" s="259" t="str">
        <f>LEFT($B$7,3)</f>
        <v>Ald</v>
      </c>
      <c r="E35" s="251" t="str">
        <f>IF(Alderholt!G35="","",Alderholt!G35)</f>
        <v/>
      </c>
      <c r="F35" s="181" t="str">
        <f>IF(Alderholt!H35=0,"",Alderholt!H35)</f>
        <v/>
      </c>
      <c r="G35" s="181" t="str">
        <f>IF(Alderholt!I35=0,"",Alderholt!I35)</f>
        <v/>
      </c>
      <c r="H35" s="181" t="str">
        <f>IF(Alderholt!J35=0,"",Alderholt!J35)</f>
        <v/>
      </c>
      <c r="I35" s="252">
        <f>IF(Alderholt!K35=0,"",Alderholt!K35)</f>
        <v>4</v>
      </c>
      <c r="J35" s="163" t="str">
        <f>IF(Alderholt!M35="","",(Alderholt!M35))</f>
        <v/>
      </c>
      <c r="K35" s="41" t="str">
        <f>IF(Alderholt!N35="","",(Alderholt!N35))</f>
        <v/>
      </c>
      <c r="L35" s="41" t="str">
        <f>IF(Alderholt!O35="","",(Alderholt!O35))</f>
        <v/>
      </c>
      <c r="M35" s="41" t="str">
        <f>IF(Alderholt!P35="","",(Alderholt!P35))</f>
        <v/>
      </c>
      <c r="N35" s="41" t="str">
        <f>IF(Alderholt!Q35="","",(Alderholt!Q35))</f>
        <v/>
      </c>
      <c r="O35" s="41" t="str">
        <f>IF(Alderholt!R35="","",(Alderholt!R35))</f>
        <v/>
      </c>
      <c r="P35" s="41" t="str">
        <f>IF(Alderholt!S35="","",(Alderholt!S35))</f>
        <v/>
      </c>
      <c r="Q35" s="41" t="str">
        <f>IF(Alderholt!T35="","",(Alderholt!T35))</f>
        <v/>
      </c>
      <c r="R35" s="41" t="str">
        <f>IF(Alderholt!U35="","",(Alderholt!U35))</f>
        <v/>
      </c>
      <c r="S35" s="41" t="str">
        <f>IF(Alderholt!V35="","",(Alderholt!V35))</f>
        <v/>
      </c>
      <c r="T35" s="41" t="str">
        <f>IF(Alderholt!W35="","",(Alderholt!W35))</f>
        <v/>
      </c>
      <c r="U35" s="41" t="str">
        <f>IF(Alderholt!X35="","",(Alderholt!X35))</f>
        <v/>
      </c>
      <c r="V35" s="41" t="str">
        <f>IF(Alderholt!Y35="","",(Alderholt!Y35))</f>
        <v/>
      </c>
      <c r="W35" s="249" t="str">
        <f>IF(Alderholt!AA35=0,"",(Alderholt!AA35))</f>
        <v/>
      </c>
      <c r="X35" s="244" t="str">
        <f>IF(Alderholt!AB35=0,"",(Alderholt!AB35))</f>
        <v/>
      </c>
      <c r="Y35" s="245" t="str">
        <f>IF(Alderholt!AC35=0,"",(Alderholt!AC35))</f>
        <v/>
      </c>
      <c r="AA35" s="246" t="str">
        <f>Y35</f>
        <v/>
      </c>
      <c r="AB35" s="243" t="str">
        <f>X35</f>
        <v/>
      </c>
      <c r="AC35" s="185" t="str">
        <f>C35</f>
        <v>No Player so forfeit</v>
      </c>
      <c r="AD35" s="185" t="str">
        <f>LEFT($B$7,3)</f>
        <v>Ald</v>
      </c>
      <c r="AE35" s="185" t="str">
        <f t="shared" ref="AE35:AY35" si="14">E35</f>
        <v/>
      </c>
      <c r="AF35" s="185" t="str">
        <f t="shared" si="14"/>
        <v/>
      </c>
      <c r="AG35" s="185" t="str">
        <f t="shared" si="14"/>
        <v/>
      </c>
      <c r="AH35" s="185" t="str">
        <f t="shared" si="14"/>
        <v/>
      </c>
      <c r="AI35" s="247">
        <f t="shared" si="14"/>
        <v>4</v>
      </c>
      <c r="AJ35" s="243" t="str">
        <f t="shared" si="14"/>
        <v/>
      </c>
      <c r="AK35" s="243" t="str">
        <f t="shared" si="14"/>
        <v/>
      </c>
      <c r="AL35" s="243" t="str">
        <f t="shared" si="14"/>
        <v/>
      </c>
      <c r="AM35" s="243" t="str">
        <f t="shared" si="14"/>
        <v/>
      </c>
      <c r="AN35" s="243" t="str">
        <f t="shared" si="14"/>
        <v/>
      </c>
      <c r="AO35" s="243" t="str">
        <f t="shared" si="14"/>
        <v/>
      </c>
      <c r="AP35" s="243" t="str">
        <f t="shared" si="14"/>
        <v/>
      </c>
      <c r="AQ35" s="243" t="str">
        <f t="shared" si="14"/>
        <v/>
      </c>
      <c r="AR35" s="243" t="str">
        <f t="shared" si="14"/>
        <v/>
      </c>
      <c r="AS35" s="243" t="str">
        <f t="shared" si="14"/>
        <v/>
      </c>
      <c r="AT35" s="243" t="str">
        <f t="shared" si="14"/>
        <v/>
      </c>
      <c r="AU35" s="243" t="str">
        <f t="shared" si="14"/>
        <v/>
      </c>
      <c r="AV35" s="243" t="str">
        <f t="shared" si="14"/>
        <v/>
      </c>
      <c r="AW35" s="247" t="str">
        <f t="shared" si="14"/>
        <v/>
      </c>
      <c r="AX35" s="243" t="str">
        <f t="shared" si="14"/>
        <v/>
      </c>
      <c r="AY35" s="248" t="str">
        <f t="shared" si="14"/>
        <v/>
      </c>
    </row>
    <row r="36" spans="2:51" ht="12" customHeight="1" x14ac:dyDescent="0.2">
      <c r="B36" s="266"/>
      <c r="C36" s="272"/>
      <c r="D36" s="235"/>
      <c r="E36" s="239"/>
      <c r="F36" s="182"/>
      <c r="G36" s="182"/>
      <c r="H36" s="182"/>
      <c r="I36" s="233"/>
      <c r="J36" s="163" t="str">
        <f>IF(Alderholt!M36="","",(Alderholt!M36))</f>
        <v/>
      </c>
      <c r="K36" s="41" t="str">
        <f>IF(Alderholt!N36="","",(Alderholt!N36))</f>
        <v/>
      </c>
      <c r="L36" s="41" t="str">
        <f>IF(Alderholt!O36="","",(Alderholt!O36))</f>
        <v/>
      </c>
      <c r="M36" s="41" t="str">
        <f>IF(Alderholt!P36="","",(Alderholt!P36))</f>
        <v>0*4</v>
      </c>
      <c r="N36" s="41" t="str">
        <f>IF(Alderholt!Q36="","",(Alderholt!Q36))</f>
        <v/>
      </c>
      <c r="O36" s="41" t="str">
        <f>IF(Alderholt!R36="","",(Alderholt!R36))</f>
        <v/>
      </c>
      <c r="P36" s="41" t="str">
        <f>IF(Alderholt!S36="","",(Alderholt!S36))</f>
        <v/>
      </c>
      <c r="Q36" s="41" t="str">
        <f>IF(Alderholt!T36="","",(Alderholt!T36))</f>
        <v/>
      </c>
      <c r="R36" s="41" t="str">
        <f>IF(Alderholt!U36="","",(Alderholt!U36))</f>
        <v/>
      </c>
      <c r="S36" s="41" t="str">
        <f>IF(Alderholt!V36="","",(Alderholt!V36))</f>
        <v/>
      </c>
      <c r="T36" s="41" t="str">
        <f>IF(Alderholt!W36="","",(Alderholt!W36))</f>
        <v/>
      </c>
      <c r="U36" s="41" t="str">
        <f>IF(Alderholt!X36="","",(Alderholt!X36))</f>
        <v/>
      </c>
      <c r="V36" s="41" t="str">
        <f>IF(Alderholt!Y36="","",(Alderholt!Y36))</f>
        <v/>
      </c>
      <c r="W36" s="201"/>
      <c r="X36" s="182"/>
      <c r="Y36" s="233"/>
      <c r="AA36" s="239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233"/>
    </row>
    <row r="37" spans="2:51" ht="12" customHeight="1" x14ac:dyDescent="0.2">
      <c r="B37" s="266"/>
      <c r="C37" s="271" t="str">
        <f>IF(Alderholt!E37="","",Alderholt!E37)</f>
        <v/>
      </c>
      <c r="D37" s="259" t="str">
        <f>LEFT($B$7,3)</f>
        <v>Ald</v>
      </c>
      <c r="E37" s="251" t="str">
        <f>IF(Alderholt!G37="","",Alderholt!G37)</f>
        <v/>
      </c>
      <c r="F37" s="181" t="str">
        <f>IF(Alderholt!H37=0,"",Alderholt!H37)</f>
        <v/>
      </c>
      <c r="G37" s="181" t="str">
        <f>IF(Alderholt!I37=0,"",Alderholt!I37)</f>
        <v/>
      </c>
      <c r="H37" s="181" t="str">
        <f>IF(Alderholt!J37=0,"",Alderholt!J37)</f>
        <v/>
      </c>
      <c r="I37" s="250" t="str">
        <f>IF(Alderholt!K37=0,"",Alderholt!K37)</f>
        <v/>
      </c>
      <c r="J37" s="163" t="str">
        <f>IF(Alderholt!M37="","",(Alderholt!M37))</f>
        <v/>
      </c>
      <c r="K37" s="41" t="str">
        <f>IF(Alderholt!N37="","",(Alderholt!N37))</f>
        <v/>
      </c>
      <c r="L37" s="41" t="str">
        <f>IF(Alderholt!O37="","",(Alderholt!O37))</f>
        <v/>
      </c>
      <c r="M37" s="41" t="str">
        <f>IF(Alderholt!P37="","",(Alderholt!P37))</f>
        <v/>
      </c>
      <c r="N37" s="41" t="str">
        <f>IF(Alderholt!Q37="","",(Alderholt!Q37))</f>
        <v/>
      </c>
      <c r="O37" s="41" t="str">
        <f>IF(Alderholt!R37="","",(Alderholt!R37))</f>
        <v/>
      </c>
      <c r="P37" s="41" t="str">
        <f>IF(Alderholt!S37="","",(Alderholt!S37))</f>
        <v/>
      </c>
      <c r="Q37" s="41" t="str">
        <f>IF(Alderholt!T37="","",(Alderholt!T37))</f>
        <v/>
      </c>
      <c r="R37" s="41" t="str">
        <f>IF(Alderholt!U37="","",(Alderholt!U37))</f>
        <v/>
      </c>
      <c r="S37" s="41" t="str">
        <f>IF(Alderholt!V37="","",(Alderholt!V37))</f>
        <v/>
      </c>
      <c r="T37" s="41" t="str">
        <f>IF(Alderholt!W37="","",(Alderholt!W37))</f>
        <v/>
      </c>
      <c r="U37" s="41" t="str">
        <f>IF(Alderholt!X37="","",(Alderholt!X37))</f>
        <v/>
      </c>
      <c r="V37" s="41" t="str">
        <f>IF(Alderholt!Y37="","",(Alderholt!Y37))</f>
        <v/>
      </c>
      <c r="W37" s="249" t="str">
        <f>IF(Alderholt!AA37=0,"",(Alderholt!AA37))</f>
        <v/>
      </c>
      <c r="X37" s="244" t="str">
        <f>IF(Alderholt!AB37=0,"",(Alderholt!AB37))</f>
        <v/>
      </c>
      <c r="Y37" s="245" t="str">
        <f>IF(Alderholt!AC37=0,"",(Alderholt!AC37))</f>
        <v/>
      </c>
      <c r="AA37" s="246" t="str">
        <f>Y37</f>
        <v/>
      </c>
      <c r="AB37" s="243" t="str">
        <f>X37</f>
        <v/>
      </c>
      <c r="AC37" s="185" t="str">
        <f>C37</f>
        <v/>
      </c>
      <c r="AD37" s="185" t="str">
        <f>LEFT($B$7,3)</f>
        <v>Ald</v>
      </c>
      <c r="AE37" s="185" t="str">
        <f t="shared" ref="AE37:AY37" si="15">E37</f>
        <v/>
      </c>
      <c r="AF37" s="185" t="str">
        <f t="shared" si="15"/>
        <v/>
      </c>
      <c r="AG37" s="185" t="str">
        <f t="shared" si="15"/>
        <v/>
      </c>
      <c r="AH37" s="185" t="str">
        <f t="shared" si="15"/>
        <v/>
      </c>
      <c r="AI37" s="185" t="str">
        <f t="shared" si="15"/>
        <v/>
      </c>
      <c r="AJ37" s="243" t="str">
        <f t="shared" si="15"/>
        <v/>
      </c>
      <c r="AK37" s="243" t="str">
        <f t="shared" si="15"/>
        <v/>
      </c>
      <c r="AL37" s="243" t="str">
        <f t="shared" si="15"/>
        <v/>
      </c>
      <c r="AM37" s="243" t="str">
        <f t="shared" si="15"/>
        <v/>
      </c>
      <c r="AN37" s="243" t="str">
        <f t="shared" si="15"/>
        <v/>
      </c>
      <c r="AO37" s="243" t="str">
        <f t="shared" si="15"/>
        <v/>
      </c>
      <c r="AP37" s="243" t="str">
        <f t="shared" si="15"/>
        <v/>
      </c>
      <c r="AQ37" s="243" t="str">
        <f t="shared" si="15"/>
        <v/>
      </c>
      <c r="AR37" s="243" t="str">
        <f t="shared" si="15"/>
        <v/>
      </c>
      <c r="AS37" s="243" t="str">
        <f t="shared" si="15"/>
        <v/>
      </c>
      <c r="AT37" s="243" t="str">
        <f t="shared" si="15"/>
        <v/>
      </c>
      <c r="AU37" s="243" t="str">
        <f t="shared" si="15"/>
        <v/>
      </c>
      <c r="AV37" s="243" t="str">
        <f t="shared" si="15"/>
        <v/>
      </c>
      <c r="AW37" s="247" t="str">
        <f t="shared" si="15"/>
        <v/>
      </c>
      <c r="AX37" s="243" t="str">
        <f t="shared" si="15"/>
        <v/>
      </c>
      <c r="AY37" s="248" t="str">
        <f t="shared" si="15"/>
        <v/>
      </c>
    </row>
    <row r="38" spans="2:51" ht="12" customHeight="1" x14ac:dyDescent="0.2">
      <c r="B38" s="266"/>
      <c r="C38" s="272"/>
      <c r="D38" s="235"/>
      <c r="E38" s="239"/>
      <c r="F38" s="182"/>
      <c r="G38" s="182"/>
      <c r="H38" s="182"/>
      <c r="I38" s="233"/>
      <c r="J38" s="163" t="str">
        <f>IF(Alderholt!M38="","",(Alderholt!M38))</f>
        <v/>
      </c>
      <c r="K38" s="41" t="str">
        <f>IF(Alderholt!N38="","",(Alderholt!N38))</f>
        <v/>
      </c>
      <c r="L38" s="41" t="str">
        <f>IF(Alderholt!O38="","",(Alderholt!O38))</f>
        <v/>
      </c>
      <c r="M38" s="41" t="str">
        <f>IF(Alderholt!P38="","",(Alderholt!P38))</f>
        <v/>
      </c>
      <c r="N38" s="41" t="str">
        <f>IF(Alderholt!Q38="","",(Alderholt!Q38))</f>
        <v/>
      </c>
      <c r="O38" s="41" t="str">
        <f>IF(Alderholt!R38="","",(Alderholt!R38))</f>
        <v/>
      </c>
      <c r="P38" s="41" t="str">
        <f>IF(Alderholt!S38="","",(Alderholt!S38))</f>
        <v/>
      </c>
      <c r="Q38" s="41" t="str">
        <f>IF(Alderholt!T38="","",(Alderholt!T38))</f>
        <v/>
      </c>
      <c r="R38" s="41" t="str">
        <f>IF(Alderholt!U38="","",(Alderholt!U38))</f>
        <v/>
      </c>
      <c r="S38" s="41" t="str">
        <f>IF(Alderholt!V38="","",(Alderholt!V38))</f>
        <v/>
      </c>
      <c r="T38" s="41" t="str">
        <f>IF(Alderholt!W38="","",(Alderholt!W38))</f>
        <v/>
      </c>
      <c r="U38" s="41" t="str">
        <f>IF(Alderholt!X38="","",(Alderholt!X38))</f>
        <v/>
      </c>
      <c r="V38" s="41" t="str">
        <f>IF(Alderholt!Y38="","",(Alderholt!Y38))</f>
        <v/>
      </c>
      <c r="W38" s="201"/>
      <c r="X38" s="182"/>
      <c r="Y38" s="233"/>
      <c r="AA38" s="239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233"/>
    </row>
    <row r="39" spans="2:51" ht="12" customHeight="1" x14ac:dyDescent="0.2">
      <c r="B39" s="266"/>
      <c r="C39" s="271" t="str">
        <f>IF(Alderholt!E39="","",Alderholt!E39)</f>
        <v/>
      </c>
      <c r="D39" s="259" t="str">
        <f>LEFT($B$7,3)</f>
        <v>Ald</v>
      </c>
      <c r="E39" s="251" t="str">
        <f>IF(Alderholt!G39="","",Alderholt!G39)</f>
        <v/>
      </c>
      <c r="F39" s="181" t="str">
        <f>IF(Alderholt!H39=0,"",Alderholt!H39)</f>
        <v/>
      </c>
      <c r="G39" s="181" t="str">
        <f>IF(Alderholt!I39=0,"",Alderholt!I39)</f>
        <v/>
      </c>
      <c r="H39" s="181" t="str">
        <f>IF(Alderholt!J39=0,"",Alderholt!J39)</f>
        <v/>
      </c>
      <c r="I39" s="250" t="str">
        <f>IF(Alderholt!K39=0,"",Alderholt!K39)</f>
        <v/>
      </c>
      <c r="J39" s="163" t="str">
        <f>IF(Alderholt!M39="","",(Alderholt!M39))</f>
        <v/>
      </c>
      <c r="K39" s="41" t="str">
        <f>IF(Alderholt!N39="","",(Alderholt!N39))</f>
        <v/>
      </c>
      <c r="L39" s="41" t="str">
        <f>IF(Alderholt!O39="","",(Alderholt!O39))</f>
        <v/>
      </c>
      <c r="M39" s="41" t="str">
        <f>IF(Alderholt!P39="","",(Alderholt!P39))</f>
        <v/>
      </c>
      <c r="N39" s="41" t="str">
        <f>IF(Alderholt!Q39="","",(Alderholt!Q39))</f>
        <v/>
      </c>
      <c r="O39" s="41" t="str">
        <f>IF(Alderholt!R39="","",(Alderholt!R39))</f>
        <v/>
      </c>
      <c r="P39" s="41" t="str">
        <f>IF(Alderholt!S39="","",(Alderholt!S39))</f>
        <v/>
      </c>
      <c r="Q39" s="41" t="str">
        <f>IF(Alderholt!T39="","",(Alderholt!T39))</f>
        <v/>
      </c>
      <c r="R39" s="41" t="str">
        <f>IF(Alderholt!U39="","",(Alderholt!U39))</f>
        <v/>
      </c>
      <c r="S39" s="41" t="str">
        <f>IF(Alderholt!V39="","",(Alderholt!V39))</f>
        <v/>
      </c>
      <c r="T39" s="41" t="str">
        <f>IF(Alderholt!W39="","",(Alderholt!W39))</f>
        <v/>
      </c>
      <c r="U39" s="41" t="str">
        <f>IF(Alderholt!X39="","",(Alderholt!X39))</f>
        <v/>
      </c>
      <c r="V39" s="41" t="str">
        <f>IF(Alderholt!Y39="","",(Alderholt!Y39))</f>
        <v/>
      </c>
      <c r="W39" s="249" t="str">
        <f>IF(Alderholt!AA39=0,"",(Alderholt!AA39))</f>
        <v/>
      </c>
      <c r="X39" s="244" t="str">
        <f>IF(Alderholt!AB39=0,"",(Alderholt!AB39))</f>
        <v/>
      </c>
      <c r="Y39" s="245" t="str">
        <f>IF(Alderholt!AC39=0,"",(Alderholt!AC39))</f>
        <v/>
      </c>
      <c r="AA39" s="246" t="str">
        <f>Y39</f>
        <v/>
      </c>
      <c r="AB39" s="243" t="str">
        <f>X39</f>
        <v/>
      </c>
      <c r="AC39" s="185" t="str">
        <f>C39</f>
        <v/>
      </c>
      <c r="AD39" s="185" t="str">
        <f>LEFT($B$7,3)</f>
        <v>Ald</v>
      </c>
      <c r="AE39" s="185" t="str">
        <f t="shared" ref="AE39:AY39" si="16">E39</f>
        <v/>
      </c>
      <c r="AF39" s="185" t="str">
        <f t="shared" si="16"/>
        <v/>
      </c>
      <c r="AG39" s="185" t="str">
        <f t="shared" si="16"/>
        <v/>
      </c>
      <c r="AH39" s="185" t="str">
        <f t="shared" si="16"/>
        <v/>
      </c>
      <c r="AI39" s="185" t="str">
        <f t="shared" si="16"/>
        <v/>
      </c>
      <c r="AJ39" s="243" t="str">
        <f t="shared" si="16"/>
        <v/>
      </c>
      <c r="AK39" s="243" t="str">
        <f t="shared" si="16"/>
        <v/>
      </c>
      <c r="AL39" s="243" t="str">
        <f t="shared" si="16"/>
        <v/>
      </c>
      <c r="AM39" s="243" t="str">
        <f t="shared" si="16"/>
        <v/>
      </c>
      <c r="AN39" s="243" t="str">
        <f t="shared" si="16"/>
        <v/>
      </c>
      <c r="AO39" s="243" t="str">
        <f t="shared" si="16"/>
        <v/>
      </c>
      <c r="AP39" s="243" t="str">
        <f t="shared" si="16"/>
        <v/>
      </c>
      <c r="AQ39" s="243" t="str">
        <f t="shared" si="16"/>
        <v/>
      </c>
      <c r="AR39" s="243" t="str">
        <f t="shared" si="16"/>
        <v/>
      </c>
      <c r="AS39" s="243" t="str">
        <f t="shared" si="16"/>
        <v/>
      </c>
      <c r="AT39" s="243" t="str">
        <f t="shared" si="16"/>
        <v/>
      </c>
      <c r="AU39" s="243" t="str">
        <f t="shared" si="16"/>
        <v/>
      </c>
      <c r="AV39" s="243" t="str">
        <f t="shared" si="16"/>
        <v/>
      </c>
      <c r="AW39" s="247" t="str">
        <f t="shared" si="16"/>
        <v/>
      </c>
      <c r="AX39" s="243" t="str">
        <f t="shared" si="16"/>
        <v/>
      </c>
      <c r="AY39" s="248" t="str">
        <f t="shared" si="16"/>
        <v/>
      </c>
    </row>
    <row r="40" spans="2:51" ht="12" customHeight="1" x14ac:dyDescent="0.2">
      <c r="B40" s="266"/>
      <c r="C40" s="272"/>
      <c r="D40" s="235"/>
      <c r="E40" s="239"/>
      <c r="F40" s="182"/>
      <c r="G40" s="182"/>
      <c r="H40" s="182"/>
      <c r="I40" s="233"/>
      <c r="J40" s="163" t="str">
        <f>IF(Alderholt!M40="","",(Alderholt!M40))</f>
        <v/>
      </c>
      <c r="K40" s="41" t="str">
        <f>IF(Alderholt!N40="","",(Alderholt!N40))</f>
        <v/>
      </c>
      <c r="L40" s="41" t="str">
        <f>IF(Alderholt!O40="","",(Alderholt!O40))</f>
        <v/>
      </c>
      <c r="M40" s="41" t="str">
        <f>IF(Alderholt!P40="","",(Alderholt!P40))</f>
        <v/>
      </c>
      <c r="N40" s="41" t="str">
        <f>IF(Alderholt!Q40="","",(Alderholt!Q40))</f>
        <v/>
      </c>
      <c r="O40" s="41" t="str">
        <f>IF(Alderholt!R40="","",(Alderholt!R40))</f>
        <v/>
      </c>
      <c r="P40" s="41" t="str">
        <f>IF(Alderholt!S40="","",(Alderholt!S40))</f>
        <v/>
      </c>
      <c r="Q40" s="41" t="str">
        <f>IF(Alderholt!T40="","",(Alderholt!T40))</f>
        <v/>
      </c>
      <c r="R40" s="41" t="str">
        <f>IF(Alderholt!U40="","",(Alderholt!U40))</f>
        <v/>
      </c>
      <c r="S40" s="41" t="str">
        <f>IF(Alderholt!V40="","",(Alderholt!V40))</f>
        <v/>
      </c>
      <c r="T40" s="41" t="str">
        <f>IF(Alderholt!W40="","",(Alderholt!W40))</f>
        <v/>
      </c>
      <c r="U40" s="41" t="str">
        <f>IF(Alderholt!X40="","",(Alderholt!X40))</f>
        <v/>
      </c>
      <c r="V40" s="41" t="str">
        <f>IF(Alderholt!Y40="","",(Alderholt!Y40))</f>
        <v/>
      </c>
      <c r="W40" s="201"/>
      <c r="X40" s="182"/>
      <c r="Y40" s="233"/>
      <c r="AA40" s="239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233"/>
    </row>
    <row r="41" spans="2:51" ht="12" customHeight="1" x14ac:dyDescent="0.2">
      <c r="B41" s="266"/>
      <c r="C41" s="271" t="str">
        <f>IF(Alderholt!E41="","",Alderholt!E41)</f>
        <v/>
      </c>
      <c r="D41" s="259" t="str">
        <f>LEFT($B$7,3)</f>
        <v>Ald</v>
      </c>
      <c r="E41" s="251" t="str">
        <f>IF(Alderholt!G41="","",Alderholt!G41)</f>
        <v/>
      </c>
      <c r="F41" s="181" t="str">
        <f>IF(Alderholt!H41=0,"",Alderholt!H41)</f>
        <v/>
      </c>
      <c r="G41" s="181" t="str">
        <f>IF(Alderholt!I41=0,"",Alderholt!I41)</f>
        <v/>
      </c>
      <c r="H41" s="181" t="str">
        <f>IF(Alderholt!J41=0,"",Alderholt!J41)</f>
        <v/>
      </c>
      <c r="I41" s="250" t="str">
        <f>IF(Alderholt!K41=0,"",Alderholt!K41)</f>
        <v/>
      </c>
      <c r="J41" s="163" t="str">
        <f>IF(Alderholt!M41="","",(Alderholt!M41))</f>
        <v/>
      </c>
      <c r="K41" s="41" t="str">
        <f>IF(Alderholt!N41="","",(Alderholt!N41))</f>
        <v/>
      </c>
      <c r="L41" s="41" t="str">
        <f>IF(Alderholt!O41="","",(Alderholt!O41))</f>
        <v/>
      </c>
      <c r="M41" s="41" t="str">
        <f>IF(Alderholt!P41="","",(Alderholt!P41))</f>
        <v/>
      </c>
      <c r="N41" s="41" t="str">
        <f>IF(Alderholt!Q41="","",(Alderholt!Q41))</f>
        <v/>
      </c>
      <c r="O41" s="41" t="str">
        <f>IF(Alderholt!R41="","",(Alderholt!R41))</f>
        <v/>
      </c>
      <c r="P41" s="41" t="str">
        <f>IF(Alderholt!S41="","",(Alderholt!S41))</f>
        <v/>
      </c>
      <c r="Q41" s="41" t="str">
        <f>IF(Alderholt!T41="","",(Alderholt!T41))</f>
        <v/>
      </c>
      <c r="R41" s="41" t="str">
        <f>IF(Alderholt!U41="","",(Alderholt!U41))</f>
        <v/>
      </c>
      <c r="S41" s="41" t="str">
        <f>IF(Alderholt!V41="","",(Alderholt!V41))</f>
        <v/>
      </c>
      <c r="T41" s="41" t="str">
        <f>IF(Alderholt!W41="","",(Alderholt!W41))</f>
        <v/>
      </c>
      <c r="U41" s="41" t="str">
        <f>IF(Alderholt!X41="","",(Alderholt!X41))</f>
        <v/>
      </c>
      <c r="V41" s="41" t="str">
        <f>IF(Alderholt!Y41="","",(Alderholt!Y41))</f>
        <v/>
      </c>
      <c r="W41" s="249" t="str">
        <f>IF(Alderholt!AA41=0,"",(Alderholt!AA41))</f>
        <v/>
      </c>
      <c r="X41" s="244" t="str">
        <f>IF(Alderholt!AB41=0,"",(Alderholt!AB41))</f>
        <v/>
      </c>
      <c r="Y41" s="245" t="str">
        <f>IF(Alderholt!AC41=0,"",(Alderholt!AC41))</f>
        <v/>
      </c>
      <c r="AA41" s="246" t="str">
        <f>Y41</f>
        <v/>
      </c>
      <c r="AB41" s="243" t="str">
        <f>X41</f>
        <v/>
      </c>
      <c r="AC41" s="185" t="str">
        <f>C41</f>
        <v/>
      </c>
      <c r="AD41" s="185" t="str">
        <f>LEFT($B$7,3)</f>
        <v>Ald</v>
      </c>
      <c r="AE41" s="185" t="str">
        <f t="shared" ref="AE41:AY41" si="17">E41</f>
        <v/>
      </c>
      <c r="AF41" s="185" t="str">
        <f t="shared" si="17"/>
        <v/>
      </c>
      <c r="AG41" s="185" t="str">
        <f t="shared" si="17"/>
        <v/>
      </c>
      <c r="AH41" s="185" t="str">
        <f t="shared" si="17"/>
        <v/>
      </c>
      <c r="AI41" s="185" t="str">
        <f t="shared" si="17"/>
        <v/>
      </c>
      <c r="AJ41" s="243" t="str">
        <f t="shared" si="17"/>
        <v/>
      </c>
      <c r="AK41" s="243" t="str">
        <f t="shared" si="17"/>
        <v/>
      </c>
      <c r="AL41" s="243" t="str">
        <f t="shared" si="17"/>
        <v/>
      </c>
      <c r="AM41" s="243" t="str">
        <f t="shared" si="17"/>
        <v/>
      </c>
      <c r="AN41" s="243" t="str">
        <f t="shared" si="17"/>
        <v/>
      </c>
      <c r="AO41" s="243" t="str">
        <f t="shared" si="17"/>
        <v/>
      </c>
      <c r="AP41" s="243" t="str">
        <f t="shared" si="17"/>
        <v/>
      </c>
      <c r="AQ41" s="243" t="str">
        <f t="shared" si="17"/>
        <v/>
      </c>
      <c r="AR41" s="243" t="str">
        <f t="shared" si="17"/>
        <v/>
      </c>
      <c r="AS41" s="243" t="str">
        <f t="shared" si="17"/>
        <v/>
      </c>
      <c r="AT41" s="243" t="str">
        <f t="shared" si="17"/>
        <v/>
      </c>
      <c r="AU41" s="243" t="str">
        <f t="shared" si="17"/>
        <v/>
      </c>
      <c r="AV41" s="243" t="str">
        <f t="shared" si="17"/>
        <v/>
      </c>
      <c r="AW41" s="247" t="str">
        <f t="shared" si="17"/>
        <v/>
      </c>
      <c r="AX41" s="243" t="str">
        <f t="shared" si="17"/>
        <v/>
      </c>
      <c r="AY41" s="248" t="str">
        <f t="shared" si="17"/>
        <v/>
      </c>
    </row>
    <row r="42" spans="2:51" ht="12" customHeight="1" x14ac:dyDescent="0.2">
      <c r="B42" s="266"/>
      <c r="C42" s="272"/>
      <c r="D42" s="235"/>
      <c r="E42" s="239"/>
      <c r="F42" s="182"/>
      <c r="G42" s="182"/>
      <c r="H42" s="182"/>
      <c r="I42" s="233"/>
      <c r="J42" s="163" t="str">
        <f>IF(Alderholt!M42="","",(Alderholt!M42))</f>
        <v/>
      </c>
      <c r="K42" s="41" t="str">
        <f>IF(Alderholt!N42="","",(Alderholt!N42))</f>
        <v/>
      </c>
      <c r="L42" s="41" t="str">
        <f>IF(Alderholt!O42="","",(Alderholt!O42))</f>
        <v/>
      </c>
      <c r="M42" s="41" t="str">
        <f>IF(Alderholt!P42="","",(Alderholt!P42))</f>
        <v/>
      </c>
      <c r="N42" s="41" t="str">
        <f>IF(Alderholt!Q42="","",(Alderholt!Q42))</f>
        <v/>
      </c>
      <c r="O42" s="41" t="str">
        <f>IF(Alderholt!R42="","",(Alderholt!R42))</f>
        <v/>
      </c>
      <c r="P42" s="41" t="str">
        <f>IF(Alderholt!S42="","",(Alderholt!S42))</f>
        <v/>
      </c>
      <c r="Q42" s="41" t="str">
        <f>IF(Alderholt!T42="","",(Alderholt!T42))</f>
        <v/>
      </c>
      <c r="R42" s="41" t="str">
        <f>IF(Alderholt!U42="","",(Alderholt!U42))</f>
        <v/>
      </c>
      <c r="S42" s="41" t="str">
        <f>IF(Alderholt!V42="","",(Alderholt!V42))</f>
        <v/>
      </c>
      <c r="T42" s="41" t="str">
        <f>IF(Alderholt!W42="","",(Alderholt!W42))</f>
        <v/>
      </c>
      <c r="U42" s="41" t="str">
        <f>IF(Alderholt!X42="","",(Alderholt!X42))</f>
        <v/>
      </c>
      <c r="V42" s="41" t="str">
        <f>IF(Alderholt!Y42="","",(Alderholt!Y42))</f>
        <v/>
      </c>
      <c r="W42" s="201"/>
      <c r="X42" s="182"/>
      <c r="Y42" s="233"/>
      <c r="AA42" s="239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233"/>
    </row>
    <row r="43" spans="2:51" ht="12" customHeight="1" x14ac:dyDescent="0.2">
      <c r="B43" s="266"/>
      <c r="C43" s="271" t="str">
        <f>IF(Alderholt!E43="","",Alderholt!E43)</f>
        <v/>
      </c>
      <c r="D43" s="259" t="str">
        <f>LEFT($B$7,3)</f>
        <v>Ald</v>
      </c>
      <c r="E43" s="251" t="str">
        <f>IF(Alderholt!G43="","",Alderholt!G43)</f>
        <v/>
      </c>
      <c r="F43" s="181" t="str">
        <f>IF(Alderholt!H43=0,"",Alderholt!H43)</f>
        <v/>
      </c>
      <c r="G43" s="181" t="str">
        <f>IF(Alderholt!I43=0,"",Alderholt!I43)</f>
        <v/>
      </c>
      <c r="H43" s="181" t="str">
        <f>IF(Alderholt!J43=0,"",Alderholt!J43)</f>
        <v/>
      </c>
      <c r="I43" s="250" t="str">
        <f>IF(Alderholt!K43=0,"",Alderholt!K43)</f>
        <v/>
      </c>
      <c r="J43" s="163" t="str">
        <f>IF(Alderholt!M43="","",(Alderholt!M43))</f>
        <v/>
      </c>
      <c r="K43" s="41" t="str">
        <f>IF(Alderholt!N43="","",(Alderholt!N43))</f>
        <v/>
      </c>
      <c r="L43" s="41" t="str">
        <f>IF(Alderholt!O43="","",(Alderholt!O43))</f>
        <v/>
      </c>
      <c r="M43" s="41" t="str">
        <f>IF(Alderholt!P43="","",(Alderholt!P43))</f>
        <v/>
      </c>
      <c r="N43" s="41" t="str">
        <f>IF(Alderholt!Q43="","",(Alderholt!Q43))</f>
        <v/>
      </c>
      <c r="O43" s="41" t="str">
        <f>IF(Alderholt!R43="","",(Alderholt!R43))</f>
        <v/>
      </c>
      <c r="P43" s="41" t="str">
        <f>IF(Alderholt!S43="","",(Alderholt!S43))</f>
        <v/>
      </c>
      <c r="Q43" s="41" t="str">
        <f>IF(Alderholt!T43="","",(Alderholt!T43))</f>
        <v/>
      </c>
      <c r="R43" s="41" t="str">
        <f>IF(Alderholt!U43="","",(Alderholt!U43))</f>
        <v/>
      </c>
      <c r="S43" s="41" t="str">
        <f>IF(Alderholt!V43="","",(Alderholt!V43))</f>
        <v/>
      </c>
      <c r="T43" s="41" t="str">
        <f>IF(Alderholt!W43="","",(Alderholt!W43))</f>
        <v/>
      </c>
      <c r="U43" s="41" t="str">
        <f>IF(Alderholt!X43="","",(Alderholt!X43))</f>
        <v/>
      </c>
      <c r="V43" s="41" t="str">
        <f>IF(Alderholt!Y43="","",(Alderholt!Y43))</f>
        <v/>
      </c>
      <c r="W43" s="249" t="str">
        <f>IF(Alderholt!AA43=0,"",(Alderholt!AA43))</f>
        <v/>
      </c>
      <c r="X43" s="244" t="str">
        <f>IF(Alderholt!AB43=0,"",(Alderholt!AB43))</f>
        <v/>
      </c>
      <c r="Y43" s="245" t="str">
        <f>IF(Alderholt!AC43=0,"",(Alderholt!AC43))</f>
        <v/>
      </c>
      <c r="AA43" s="246" t="str">
        <f>Y43</f>
        <v/>
      </c>
      <c r="AB43" s="243" t="str">
        <f>X43</f>
        <v/>
      </c>
      <c r="AC43" s="185" t="str">
        <f>C43</f>
        <v/>
      </c>
      <c r="AD43" s="185" t="str">
        <f>LEFT($B$7,3)</f>
        <v>Ald</v>
      </c>
      <c r="AE43" s="185" t="str">
        <f t="shared" ref="AE43:AY43" si="18">E43</f>
        <v/>
      </c>
      <c r="AF43" s="185" t="str">
        <f t="shared" si="18"/>
        <v/>
      </c>
      <c r="AG43" s="185" t="str">
        <f t="shared" si="18"/>
        <v/>
      </c>
      <c r="AH43" s="185" t="str">
        <f t="shared" si="18"/>
        <v/>
      </c>
      <c r="AI43" s="185" t="str">
        <f t="shared" si="18"/>
        <v/>
      </c>
      <c r="AJ43" s="243" t="str">
        <f t="shared" si="18"/>
        <v/>
      </c>
      <c r="AK43" s="243" t="str">
        <f t="shared" si="18"/>
        <v/>
      </c>
      <c r="AL43" s="243" t="str">
        <f t="shared" si="18"/>
        <v/>
      </c>
      <c r="AM43" s="243" t="str">
        <f t="shared" si="18"/>
        <v/>
      </c>
      <c r="AN43" s="243" t="str">
        <f t="shared" si="18"/>
        <v/>
      </c>
      <c r="AO43" s="243" t="str">
        <f t="shared" si="18"/>
        <v/>
      </c>
      <c r="AP43" s="243" t="str">
        <f t="shared" si="18"/>
        <v/>
      </c>
      <c r="AQ43" s="243" t="str">
        <f t="shared" si="18"/>
        <v/>
      </c>
      <c r="AR43" s="243" t="str">
        <f t="shared" si="18"/>
        <v/>
      </c>
      <c r="AS43" s="243" t="str">
        <f t="shared" si="18"/>
        <v/>
      </c>
      <c r="AT43" s="243" t="str">
        <f t="shared" si="18"/>
        <v/>
      </c>
      <c r="AU43" s="243" t="str">
        <f t="shared" si="18"/>
        <v/>
      </c>
      <c r="AV43" s="243" t="str">
        <f t="shared" si="18"/>
        <v/>
      </c>
      <c r="AW43" s="247" t="str">
        <f t="shared" si="18"/>
        <v/>
      </c>
      <c r="AX43" s="243" t="str">
        <f t="shared" si="18"/>
        <v/>
      </c>
      <c r="AY43" s="248" t="str">
        <f t="shared" si="18"/>
        <v/>
      </c>
    </row>
    <row r="44" spans="2:51" ht="12" customHeight="1" x14ac:dyDescent="0.2">
      <c r="B44" s="266"/>
      <c r="C44" s="272"/>
      <c r="D44" s="235"/>
      <c r="E44" s="239"/>
      <c r="F44" s="182"/>
      <c r="G44" s="182"/>
      <c r="H44" s="182"/>
      <c r="I44" s="233"/>
      <c r="J44" s="163" t="str">
        <f>IF(Alderholt!M44="","",(Alderholt!M44))</f>
        <v/>
      </c>
      <c r="K44" s="41" t="str">
        <f>IF(Alderholt!N44="","",(Alderholt!N44))</f>
        <v/>
      </c>
      <c r="L44" s="41" t="str">
        <f>IF(Alderholt!O44="","",(Alderholt!O44))</f>
        <v/>
      </c>
      <c r="M44" s="41" t="str">
        <f>IF(Alderholt!P44="","",(Alderholt!P44))</f>
        <v/>
      </c>
      <c r="N44" s="41" t="str">
        <f>IF(Alderholt!Q44="","",(Alderholt!Q44))</f>
        <v/>
      </c>
      <c r="O44" s="41" t="str">
        <f>IF(Alderholt!R44="","",(Alderholt!R44))</f>
        <v/>
      </c>
      <c r="P44" s="41" t="str">
        <f>IF(Alderholt!S44="","",(Alderholt!S44))</f>
        <v/>
      </c>
      <c r="Q44" s="41" t="str">
        <f>IF(Alderholt!T44="","",(Alderholt!T44))</f>
        <v/>
      </c>
      <c r="R44" s="41" t="str">
        <f>IF(Alderholt!U44="","",(Alderholt!U44))</f>
        <v/>
      </c>
      <c r="S44" s="41" t="str">
        <f>IF(Alderholt!V44="","",(Alderholt!V44))</f>
        <v/>
      </c>
      <c r="T44" s="41" t="str">
        <f>IF(Alderholt!W44="","",(Alderholt!W44))</f>
        <v/>
      </c>
      <c r="U44" s="41" t="str">
        <f>IF(Alderholt!X44="","",(Alderholt!X44))</f>
        <v/>
      </c>
      <c r="V44" s="41" t="str">
        <f>IF(Alderholt!Y44="","",(Alderholt!Y44))</f>
        <v/>
      </c>
      <c r="W44" s="201"/>
      <c r="X44" s="182"/>
      <c r="Y44" s="233"/>
      <c r="AA44" s="239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233"/>
    </row>
    <row r="45" spans="2:51" ht="12" customHeight="1" x14ac:dyDescent="0.2">
      <c r="B45" s="266"/>
      <c r="C45" s="271" t="str">
        <f>IF(Alderholt!E45="","",Alderholt!E45)</f>
        <v/>
      </c>
      <c r="D45" s="259" t="str">
        <f>LEFT($B$7,3)</f>
        <v>Ald</v>
      </c>
      <c r="E45" s="251" t="str">
        <f>IF(Alderholt!G45="","",Alderholt!G45)</f>
        <v/>
      </c>
      <c r="F45" s="181" t="str">
        <f>IF(Alderholt!H45=0,"",Alderholt!H45)</f>
        <v/>
      </c>
      <c r="G45" s="181" t="str">
        <f>IF(Alderholt!I45=0,"",Alderholt!I45)</f>
        <v/>
      </c>
      <c r="H45" s="181" t="str">
        <f>IF(Alderholt!J45=0,"",Alderholt!J45)</f>
        <v/>
      </c>
      <c r="I45" s="250" t="str">
        <f>IF(Alderholt!K45=0,"",Alderholt!K45)</f>
        <v/>
      </c>
      <c r="J45" s="163" t="str">
        <f>IF(Alderholt!M45="","",(Alderholt!M45))</f>
        <v/>
      </c>
      <c r="K45" s="41" t="str">
        <f>IF(Alderholt!N45="","",(Alderholt!N45))</f>
        <v/>
      </c>
      <c r="L45" s="41" t="str">
        <f>IF(Alderholt!O45="","",(Alderholt!O45))</f>
        <v/>
      </c>
      <c r="M45" s="41" t="str">
        <f>IF(Alderholt!P45="","",(Alderholt!P45))</f>
        <v/>
      </c>
      <c r="N45" s="41" t="str">
        <f>IF(Alderholt!Q45="","",(Alderholt!Q45))</f>
        <v/>
      </c>
      <c r="O45" s="41" t="str">
        <f>IF(Alderholt!R45="","",(Alderholt!R45))</f>
        <v/>
      </c>
      <c r="P45" s="41" t="str">
        <f>IF(Alderholt!S45="","",(Alderholt!S45))</f>
        <v/>
      </c>
      <c r="Q45" s="41" t="str">
        <f>IF(Alderholt!T45="","",(Alderholt!T45))</f>
        <v/>
      </c>
      <c r="R45" s="41" t="str">
        <f>IF(Alderholt!U45="","",(Alderholt!U45))</f>
        <v/>
      </c>
      <c r="S45" s="41" t="str">
        <f>IF(Alderholt!V45="","",(Alderholt!V45))</f>
        <v/>
      </c>
      <c r="T45" s="41" t="str">
        <f>IF(Alderholt!W45="","",(Alderholt!W45))</f>
        <v/>
      </c>
      <c r="U45" s="41" t="str">
        <f>IF(Alderholt!X45="","",(Alderholt!X45))</f>
        <v/>
      </c>
      <c r="V45" s="41" t="str">
        <f>IF(Alderholt!Y45="","",(Alderholt!Y45))</f>
        <v/>
      </c>
      <c r="W45" s="249" t="str">
        <f>IF(Alderholt!AA45=0,"",(Alderholt!AA45))</f>
        <v/>
      </c>
      <c r="X45" s="244" t="str">
        <f>IF(Alderholt!AB45=0,"",(Alderholt!AB45))</f>
        <v/>
      </c>
      <c r="Y45" s="245" t="str">
        <f>IF(Alderholt!AC45=0,"",(Alderholt!AC45))</f>
        <v/>
      </c>
      <c r="AA45" s="246" t="str">
        <f>Y45</f>
        <v/>
      </c>
      <c r="AB45" s="243" t="str">
        <f>X45</f>
        <v/>
      </c>
      <c r="AC45" s="185" t="str">
        <f>C45</f>
        <v/>
      </c>
      <c r="AD45" s="185" t="str">
        <f>LEFT($B$7,3)</f>
        <v>Ald</v>
      </c>
      <c r="AE45" s="185" t="str">
        <f t="shared" ref="AE45:AY45" si="19">E45</f>
        <v/>
      </c>
      <c r="AF45" s="185" t="str">
        <f t="shared" si="19"/>
        <v/>
      </c>
      <c r="AG45" s="185" t="str">
        <f t="shared" si="19"/>
        <v/>
      </c>
      <c r="AH45" s="185" t="str">
        <f t="shared" si="19"/>
        <v/>
      </c>
      <c r="AI45" s="185" t="str">
        <f t="shared" si="19"/>
        <v/>
      </c>
      <c r="AJ45" s="243" t="str">
        <f t="shared" si="19"/>
        <v/>
      </c>
      <c r="AK45" s="243" t="str">
        <f t="shared" si="19"/>
        <v/>
      </c>
      <c r="AL45" s="243" t="str">
        <f t="shared" si="19"/>
        <v/>
      </c>
      <c r="AM45" s="243" t="str">
        <f t="shared" si="19"/>
        <v/>
      </c>
      <c r="AN45" s="243" t="str">
        <f t="shared" si="19"/>
        <v/>
      </c>
      <c r="AO45" s="243" t="str">
        <f t="shared" si="19"/>
        <v/>
      </c>
      <c r="AP45" s="243" t="str">
        <f t="shared" si="19"/>
        <v/>
      </c>
      <c r="AQ45" s="243" t="str">
        <f t="shared" si="19"/>
        <v/>
      </c>
      <c r="AR45" s="243" t="str">
        <f t="shared" si="19"/>
        <v/>
      </c>
      <c r="AS45" s="243" t="str">
        <f t="shared" si="19"/>
        <v/>
      </c>
      <c r="AT45" s="243" t="str">
        <f t="shared" si="19"/>
        <v/>
      </c>
      <c r="AU45" s="243" t="str">
        <f t="shared" si="19"/>
        <v/>
      </c>
      <c r="AV45" s="243" t="str">
        <f t="shared" si="19"/>
        <v/>
      </c>
      <c r="AW45" s="247" t="str">
        <f t="shared" si="19"/>
        <v/>
      </c>
      <c r="AX45" s="243" t="str">
        <f t="shared" si="19"/>
        <v/>
      </c>
      <c r="AY45" s="248" t="str">
        <f t="shared" si="19"/>
        <v/>
      </c>
    </row>
    <row r="46" spans="2:51" ht="12" customHeight="1" x14ac:dyDescent="0.2">
      <c r="B46" s="266"/>
      <c r="C46" s="272"/>
      <c r="D46" s="235"/>
      <c r="E46" s="239"/>
      <c r="F46" s="182"/>
      <c r="G46" s="182"/>
      <c r="H46" s="182"/>
      <c r="I46" s="233"/>
      <c r="J46" s="163" t="str">
        <f>IF(Alderholt!M46="","",(Alderholt!M46))</f>
        <v/>
      </c>
      <c r="K46" s="41" t="str">
        <f>IF(Alderholt!N46="","",(Alderholt!N46))</f>
        <v/>
      </c>
      <c r="L46" s="41" t="str">
        <f>IF(Alderholt!O46="","",(Alderholt!O46))</f>
        <v/>
      </c>
      <c r="M46" s="41" t="str">
        <f>IF(Alderholt!P46="","",(Alderholt!P46))</f>
        <v/>
      </c>
      <c r="N46" s="41" t="str">
        <f>IF(Alderholt!Q46="","",(Alderholt!Q46))</f>
        <v/>
      </c>
      <c r="O46" s="41" t="str">
        <f>IF(Alderholt!R46="","",(Alderholt!R46))</f>
        <v/>
      </c>
      <c r="P46" s="41" t="str">
        <f>IF(Alderholt!S46="","",(Alderholt!S46))</f>
        <v/>
      </c>
      <c r="Q46" s="41" t="str">
        <f>IF(Alderholt!T46="","",(Alderholt!T46))</f>
        <v/>
      </c>
      <c r="R46" s="41" t="str">
        <f>IF(Alderholt!U46="","",(Alderholt!U46))</f>
        <v/>
      </c>
      <c r="S46" s="41" t="str">
        <f>IF(Alderholt!V46="","",(Alderholt!V46))</f>
        <v/>
      </c>
      <c r="T46" s="41" t="str">
        <f>IF(Alderholt!W46="","",(Alderholt!W46))</f>
        <v/>
      </c>
      <c r="U46" s="41" t="str">
        <f>IF(Alderholt!X46="","",(Alderholt!X46))</f>
        <v/>
      </c>
      <c r="V46" s="41" t="str">
        <f>IF(Alderholt!Y46="","",(Alderholt!Y46))</f>
        <v/>
      </c>
      <c r="W46" s="201"/>
      <c r="X46" s="182"/>
      <c r="Y46" s="233"/>
      <c r="AA46" s="239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233"/>
    </row>
    <row r="47" spans="2:51" ht="12" customHeight="1" x14ac:dyDescent="0.2">
      <c r="B47" s="266"/>
      <c r="C47" s="271" t="str">
        <f>IF(Alderholt!E47="","",Alderholt!E47)</f>
        <v/>
      </c>
      <c r="D47" s="259" t="str">
        <f>LEFT($B$7,3)</f>
        <v>Ald</v>
      </c>
      <c r="E47" s="251" t="str">
        <f>IF(Alderholt!G47="","",Alderholt!G47)</f>
        <v/>
      </c>
      <c r="F47" s="181" t="str">
        <f>IF(Alderholt!H47=0,"",Alderholt!H47)</f>
        <v/>
      </c>
      <c r="G47" s="181" t="str">
        <f>IF(Alderholt!I47=0,"",Alderholt!I47)</f>
        <v/>
      </c>
      <c r="H47" s="181" t="str">
        <f>IF(Alderholt!J47=0,"",Alderholt!J47)</f>
        <v/>
      </c>
      <c r="I47" s="250" t="str">
        <f>IF(Alderholt!K47=0,"",Alderholt!K47)</f>
        <v/>
      </c>
      <c r="J47" s="163" t="str">
        <f>IF(Alderholt!M47="","",(Alderholt!M47))</f>
        <v/>
      </c>
      <c r="K47" s="41" t="str">
        <f>IF(Alderholt!N47="","",(Alderholt!N47))</f>
        <v/>
      </c>
      <c r="L47" s="41" t="str">
        <f>IF(Alderholt!O47="","",(Alderholt!O47))</f>
        <v/>
      </c>
      <c r="M47" s="41" t="str">
        <f>IF(Alderholt!P47="","",(Alderholt!P47))</f>
        <v/>
      </c>
      <c r="N47" s="41" t="str">
        <f>IF(Alderholt!Q47="","",(Alderholt!Q47))</f>
        <v/>
      </c>
      <c r="O47" s="41" t="str">
        <f>IF(Alderholt!R47="","",(Alderholt!R47))</f>
        <v/>
      </c>
      <c r="P47" s="41" t="str">
        <f>IF(Alderholt!S47="","",(Alderholt!S47))</f>
        <v/>
      </c>
      <c r="Q47" s="41" t="str">
        <f>IF(Alderholt!T47="","",(Alderholt!T47))</f>
        <v/>
      </c>
      <c r="R47" s="41" t="str">
        <f>IF(Alderholt!U47="","",(Alderholt!U47))</f>
        <v/>
      </c>
      <c r="S47" s="41" t="str">
        <f>IF(Alderholt!V47="","",(Alderholt!V47))</f>
        <v/>
      </c>
      <c r="T47" s="41" t="str">
        <f>IF(Alderholt!W47="","",(Alderholt!W47))</f>
        <v/>
      </c>
      <c r="U47" s="41" t="str">
        <f>IF(Alderholt!X47="","",(Alderholt!X47))</f>
        <v/>
      </c>
      <c r="V47" s="41" t="str">
        <f>IF(Alderholt!Y47="","",(Alderholt!Y47))</f>
        <v/>
      </c>
      <c r="W47" s="249" t="str">
        <f>IF(Alderholt!AA47=0,"",(Alderholt!AA47))</f>
        <v/>
      </c>
      <c r="X47" s="244" t="str">
        <f>IF(Alderholt!AB47=0,"",(Alderholt!AB47))</f>
        <v/>
      </c>
      <c r="Y47" s="245" t="str">
        <f>IF(Alderholt!AC47=0,"",(Alderholt!AC47))</f>
        <v/>
      </c>
      <c r="AA47" s="246" t="str">
        <f>Y47</f>
        <v/>
      </c>
      <c r="AB47" s="243" t="str">
        <f>X47</f>
        <v/>
      </c>
      <c r="AC47" s="185" t="str">
        <f>C47</f>
        <v/>
      </c>
      <c r="AD47" s="185" t="str">
        <f>LEFT($B$7,3)</f>
        <v>Ald</v>
      </c>
      <c r="AE47" s="185" t="str">
        <f t="shared" ref="AE47:AY47" si="20">E47</f>
        <v/>
      </c>
      <c r="AF47" s="185" t="str">
        <f t="shared" si="20"/>
        <v/>
      </c>
      <c r="AG47" s="185" t="str">
        <f t="shared" si="20"/>
        <v/>
      </c>
      <c r="AH47" s="185" t="str">
        <f t="shared" si="20"/>
        <v/>
      </c>
      <c r="AI47" s="185" t="str">
        <f t="shared" si="20"/>
        <v/>
      </c>
      <c r="AJ47" s="243" t="str">
        <f t="shared" si="20"/>
        <v/>
      </c>
      <c r="AK47" s="243" t="str">
        <f t="shared" si="20"/>
        <v/>
      </c>
      <c r="AL47" s="243" t="str">
        <f t="shared" si="20"/>
        <v/>
      </c>
      <c r="AM47" s="243" t="str">
        <f t="shared" si="20"/>
        <v/>
      </c>
      <c r="AN47" s="243" t="str">
        <f t="shared" si="20"/>
        <v/>
      </c>
      <c r="AO47" s="243" t="str">
        <f t="shared" si="20"/>
        <v/>
      </c>
      <c r="AP47" s="243" t="str">
        <f t="shared" si="20"/>
        <v/>
      </c>
      <c r="AQ47" s="243" t="str">
        <f t="shared" si="20"/>
        <v/>
      </c>
      <c r="AR47" s="243" t="str">
        <f t="shared" si="20"/>
        <v/>
      </c>
      <c r="AS47" s="243" t="str">
        <f t="shared" si="20"/>
        <v/>
      </c>
      <c r="AT47" s="243" t="str">
        <f t="shared" si="20"/>
        <v/>
      </c>
      <c r="AU47" s="243" t="str">
        <f t="shared" si="20"/>
        <v/>
      </c>
      <c r="AV47" s="243" t="str">
        <f t="shared" si="20"/>
        <v/>
      </c>
      <c r="AW47" s="247" t="str">
        <f t="shared" si="20"/>
        <v/>
      </c>
      <c r="AX47" s="243" t="str">
        <f t="shared" si="20"/>
        <v/>
      </c>
      <c r="AY47" s="248" t="str">
        <f t="shared" si="20"/>
        <v/>
      </c>
    </row>
    <row r="48" spans="2:51" ht="12.75" customHeight="1" x14ac:dyDescent="0.2">
      <c r="B48" s="211"/>
      <c r="C48" s="277"/>
      <c r="D48" s="211"/>
      <c r="E48" s="223"/>
      <c r="F48" s="225"/>
      <c r="G48" s="225"/>
      <c r="H48" s="225"/>
      <c r="I48" s="228"/>
      <c r="J48" s="164" t="str">
        <f>IF(Alderholt!M48="","",(Alderholt!M48))</f>
        <v/>
      </c>
      <c r="K48" s="165" t="str">
        <f>IF(Alderholt!N48="","",(Alderholt!N48))</f>
        <v/>
      </c>
      <c r="L48" s="165" t="str">
        <f>IF(Alderholt!O48="","",(Alderholt!O48))</f>
        <v/>
      </c>
      <c r="M48" s="165" t="str">
        <f>IF(Alderholt!P48="","",(Alderholt!P48))</f>
        <v/>
      </c>
      <c r="N48" s="165" t="str">
        <f>IF(Alderholt!Q48="","",(Alderholt!Q48))</f>
        <v/>
      </c>
      <c r="O48" s="165" t="str">
        <f>IF(Alderholt!R48="","",(Alderholt!R48))</f>
        <v/>
      </c>
      <c r="P48" s="165" t="str">
        <f>IF(Alderholt!S48="","",(Alderholt!S48))</f>
        <v/>
      </c>
      <c r="Q48" s="165" t="str">
        <f>IF(Alderholt!T48="","",(Alderholt!T48))</f>
        <v/>
      </c>
      <c r="R48" s="165" t="str">
        <f>IF(Alderholt!U48="","",(Alderholt!U48))</f>
        <v/>
      </c>
      <c r="S48" s="165" t="str">
        <f>IF(Alderholt!V48="","",(Alderholt!V48))</f>
        <v/>
      </c>
      <c r="T48" s="165" t="str">
        <f>IF(Alderholt!W48="","",(Alderholt!W48))</f>
        <v/>
      </c>
      <c r="U48" s="165" t="str">
        <f>IF(Alderholt!X48="","",(Alderholt!X48))</f>
        <v/>
      </c>
      <c r="V48" s="165" t="str">
        <f>IF(Alderholt!Y48="","",(Alderholt!Y48))</f>
        <v/>
      </c>
      <c r="W48" s="261"/>
      <c r="X48" s="225"/>
      <c r="Y48" s="228"/>
      <c r="AA48" s="239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233"/>
    </row>
    <row r="49" spans="2:51" ht="12.75" customHeight="1" x14ac:dyDescent="0.2">
      <c r="B49" s="265" t="s">
        <v>395</v>
      </c>
      <c r="C49" s="273" t="str">
        <f>IF(Alderney!E7="","",Alderney!E7)</f>
        <v>Kevin Bassil</v>
      </c>
      <c r="D49" s="260" t="str">
        <f>LEFT($B$49,3)</f>
        <v>Aly</v>
      </c>
      <c r="E49" s="256">
        <f>IF(Alderney!G7="","",Alderney!G7)</f>
        <v>13</v>
      </c>
      <c r="F49" s="257">
        <f>IF(Alderney!H7=0,"",Alderney!H7)</f>
        <v>4</v>
      </c>
      <c r="G49" s="253">
        <f>IF(Alderney!I7=0,"",Alderney!I7)</f>
        <v>9</v>
      </c>
      <c r="H49" s="253">
        <f>IF(Alderney!J7=0,"",Alderney!J7)</f>
        <v>28</v>
      </c>
      <c r="I49" s="258">
        <f>IF(Alderney!K7=0,"",Alderney!K7)</f>
        <v>42</v>
      </c>
      <c r="J49" s="161">
        <f>IF(Alderney!M7="","",(Alderney!M7))</f>
        <v>21.78</v>
      </c>
      <c r="K49" s="161">
        <f>IF(Alderney!N7="","",(Alderney!N7))</f>
        <v>21.76</v>
      </c>
      <c r="L49" s="161">
        <f>IF(Alderney!O7="","",(Alderney!O7))</f>
        <v>22.17</v>
      </c>
      <c r="M49" s="161">
        <f>IF(Alderney!P7="","",(Alderney!P7))</f>
        <v>20.91</v>
      </c>
      <c r="N49" s="161">
        <f>IF(Alderney!Q7="","",(Alderney!Q7))</f>
        <v>19.71</v>
      </c>
      <c r="O49" s="161">
        <f>IF(Alderney!R7="","",(Alderney!R7))</f>
        <v>18.25</v>
      </c>
      <c r="P49" s="161">
        <f>IF(Alderney!S7="","",(Alderney!S7))</f>
        <v>19.559999999999999</v>
      </c>
      <c r="Q49" s="161">
        <f>IF(Alderney!T7="","",(Alderney!T7))</f>
        <v>20.5</v>
      </c>
      <c r="R49" s="161">
        <f>IF(Alderney!U7="","",(Alderney!U7))</f>
        <v>21.67</v>
      </c>
      <c r="S49" s="161">
        <f>IF(Alderney!V7="","",(Alderney!V7))</f>
        <v>18.32</v>
      </c>
      <c r="T49" s="161">
        <f>IF(Alderney!W7="","",(Alderney!W7))</f>
        <v>19.77</v>
      </c>
      <c r="U49" s="161">
        <f>IF(Alderney!X7="","",(Alderney!X7))</f>
        <v>19.04</v>
      </c>
      <c r="V49" s="161">
        <f>IF(Alderney!Y7="","",(Alderney!Y7))</f>
        <v>18.22</v>
      </c>
      <c r="W49" s="253">
        <f>IF(Alderney!AA7=0,"",(Alderney!AA7))</f>
        <v>5</v>
      </c>
      <c r="X49" s="254">
        <f>IF(Alderney!AB7=0,"",(Alderney!AB7))</f>
        <v>20.127692307692307</v>
      </c>
      <c r="Y49" s="255">
        <f>IF(Alderney!AC7=0,"",(Alderney!AC7))</f>
        <v>24.127692307692307</v>
      </c>
      <c r="AA49" s="246">
        <f>Y49</f>
        <v>24.127692307692307</v>
      </c>
      <c r="AB49" s="243">
        <f>X49</f>
        <v>20.127692307692307</v>
      </c>
      <c r="AC49" s="185" t="str">
        <f>C49</f>
        <v>Kevin Bassil</v>
      </c>
      <c r="AD49" s="185" t="str">
        <f>LEFT($B$49,3)</f>
        <v>Aly</v>
      </c>
      <c r="AE49" s="185">
        <f t="shared" ref="AE49:AY49" si="21">E49</f>
        <v>13</v>
      </c>
      <c r="AF49" s="185">
        <f t="shared" si="21"/>
        <v>4</v>
      </c>
      <c r="AG49" s="247">
        <f t="shared" si="21"/>
        <v>9</v>
      </c>
      <c r="AH49" s="247">
        <f t="shared" si="21"/>
        <v>28</v>
      </c>
      <c r="AI49" s="247">
        <f t="shared" si="21"/>
        <v>42</v>
      </c>
      <c r="AJ49" s="243">
        <f t="shared" si="21"/>
        <v>21.78</v>
      </c>
      <c r="AK49" s="243">
        <f t="shared" si="21"/>
        <v>21.76</v>
      </c>
      <c r="AL49" s="243">
        <f t="shared" si="21"/>
        <v>22.17</v>
      </c>
      <c r="AM49" s="243">
        <f t="shared" si="21"/>
        <v>20.91</v>
      </c>
      <c r="AN49" s="243">
        <f t="shared" si="21"/>
        <v>19.71</v>
      </c>
      <c r="AO49" s="243">
        <f t="shared" si="21"/>
        <v>18.25</v>
      </c>
      <c r="AP49" s="243">
        <f t="shared" si="21"/>
        <v>19.559999999999999</v>
      </c>
      <c r="AQ49" s="243">
        <f t="shared" si="21"/>
        <v>20.5</v>
      </c>
      <c r="AR49" s="243">
        <f t="shared" si="21"/>
        <v>21.67</v>
      </c>
      <c r="AS49" s="243">
        <f t="shared" si="21"/>
        <v>18.32</v>
      </c>
      <c r="AT49" s="243">
        <f t="shared" si="21"/>
        <v>19.77</v>
      </c>
      <c r="AU49" s="243">
        <f t="shared" si="21"/>
        <v>19.04</v>
      </c>
      <c r="AV49" s="243">
        <f t="shared" si="21"/>
        <v>18.22</v>
      </c>
      <c r="AW49" s="247">
        <f t="shared" si="21"/>
        <v>5</v>
      </c>
      <c r="AX49" s="243">
        <f t="shared" si="21"/>
        <v>20.127692307692307</v>
      </c>
      <c r="AY49" s="248">
        <f t="shared" si="21"/>
        <v>24.127692307692307</v>
      </c>
    </row>
    <row r="50" spans="2:51" ht="12" customHeight="1" x14ac:dyDescent="0.2">
      <c r="B50" s="266"/>
      <c r="C50" s="272"/>
      <c r="D50" s="235"/>
      <c r="E50" s="239"/>
      <c r="F50" s="182"/>
      <c r="G50" s="182"/>
      <c r="H50" s="182"/>
      <c r="I50" s="233"/>
      <c r="J50" s="41" t="str">
        <f>IF(Alderney!M8="","",(Alderney!M8))</f>
        <v>4*0(1)</v>
      </c>
      <c r="K50" s="41" t="str">
        <f>IF(Alderney!N8="","",(Alderney!N8))</f>
        <v>3*4</v>
      </c>
      <c r="L50" s="41" t="str">
        <f>IF(Alderney!O8="","",(Alderney!O8))</f>
        <v>2*4(1)</v>
      </c>
      <c r="M50" s="41" t="str">
        <f>IF(Alderney!P8="","",(Alderney!P8))</f>
        <v>4*1</v>
      </c>
      <c r="N50" s="41" t="str">
        <f>IF(Alderney!Q8="","",(Alderney!Q8))</f>
        <v>0*4</v>
      </c>
      <c r="O50" s="41" t="str">
        <f>IF(Alderney!R8="","",(Alderney!R8))</f>
        <v>1*4</v>
      </c>
      <c r="P50" s="41" t="str">
        <f>IF(Alderney!S8="","",(Alderney!S8))</f>
        <v>4*3</v>
      </c>
      <c r="Q50" s="41" t="str">
        <f>IF(Alderney!T8="","",(Alderney!T8))</f>
        <v>2*4(1)</v>
      </c>
      <c r="R50" s="41" t="str">
        <f>IF(Alderney!U8="","",(Alderney!U8))</f>
        <v>1*4(1)</v>
      </c>
      <c r="S50" s="41" t="str">
        <f>IF(Alderney!V8="","",(Alderney!V8))</f>
        <v>1*4</v>
      </c>
      <c r="T50" s="41" t="str">
        <f>IF(Alderney!W8="","",(Alderney!W8))</f>
        <v>0*4(1)</v>
      </c>
      <c r="U50" s="41" t="str">
        <f>IF(Alderney!X8="","",(Alderney!X8))</f>
        <v>2*4</v>
      </c>
      <c r="V50" s="41" t="str">
        <f>IF(Alderney!Y8="","",(Alderney!Y8))</f>
        <v>4*2</v>
      </c>
      <c r="W50" s="182"/>
      <c r="X50" s="182"/>
      <c r="Y50" s="233"/>
      <c r="AA50" s="239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233"/>
    </row>
    <row r="51" spans="2:51" ht="12" customHeight="1" x14ac:dyDescent="0.2">
      <c r="B51" s="266"/>
      <c r="C51" s="271" t="str">
        <f>IF(Alderney!E9="","",Alderney!E9)</f>
        <v>Dave Roberts</v>
      </c>
      <c r="D51" s="259" t="str">
        <f>LEFT($B$49,3)</f>
        <v>Aly</v>
      </c>
      <c r="E51" s="251">
        <f>IF(Alderney!G9="","",Alderney!G9)</f>
        <v>2</v>
      </c>
      <c r="F51" s="181" t="str">
        <f>IF(Alderney!H9=0,"",Alderney!H9)</f>
        <v/>
      </c>
      <c r="G51" s="186">
        <f>IF(Alderney!I9=0,"",Alderney!I9)</f>
        <v>2</v>
      </c>
      <c r="H51" s="181" t="str">
        <f>IF(Alderney!J9=0,"",Alderney!J9)</f>
        <v/>
      </c>
      <c r="I51" s="252">
        <f>IF(Alderney!K9=0,"",Alderney!K9)</f>
        <v>8</v>
      </c>
      <c r="J51" s="163">
        <f>IF(Alderney!M9="","",(Alderney!M9))</f>
        <v>15.28</v>
      </c>
      <c r="K51" s="163" t="str">
        <f>IF(Alderney!N9="","",(Alderney!N9))</f>
        <v/>
      </c>
      <c r="L51" s="163" t="str">
        <f>IF(Alderney!O9="","",(Alderney!O9))</f>
        <v/>
      </c>
      <c r="M51" s="163">
        <f>IF(Alderney!P9="","",(Alderney!P9))</f>
        <v>16.46</v>
      </c>
      <c r="N51" s="163" t="str">
        <f>IF(Alderney!Q9="","",(Alderney!Q9))</f>
        <v/>
      </c>
      <c r="O51" s="163" t="str">
        <f>IF(Alderney!R9="","",(Alderney!R9))</f>
        <v/>
      </c>
      <c r="P51" s="163" t="str">
        <f>IF(Alderney!S9="","",(Alderney!S9))</f>
        <v/>
      </c>
      <c r="Q51" s="163" t="str">
        <f>IF(Alderney!T9="","",(Alderney!T9))</f>
        <v/>
      </c>
      <c r="R51" s="163" t="str">
        <f>IF(Alderney!U9="","",(Alderney!U9))</f>
        <v/>
      </c>
      <c r="S51" s="163" t="str">
        <f>IF(Alderney!V9="","",(Alderney!V9))</f>
        <v/>
      </c>
      <c r="T51" s="163" t="str">
        <f>IF(Alderney!W9="","",(Alderney!W9))</f>
        <v/>
      </c>
      <c r="U51" s="163" t="str">
        <f>IF(Alderney!X9="","",(Alderney!X9))</f>
        <v/>
      </c>
      <c r="V51" s="163" t="str">
        <f>IF(Alderney!Y9="","",(Alderney!Y9))</f>
        <v/>
      </c>
      <c r="W51" s="186" t="str">
        <f>IF(Alderney!AA9=0,"",(Alderney!AA9))</f>
        <v/>
      </c>
      <c r="X51" s="244">
        <f>IF(Alderney!AB9=0,"",(Alderney!AB9))</f>
        <v>15.870000000000001</v>
      </c>
      <c r="Y51" s="245">
        <f>IF(Alderney!AC9=0,"",(Alderney!AC9))</f>
        <v>15.870000000000001</v>
      </c>
      <c r="AA51" s="246">
        <f>Y51</f>
        <v>15.870000000000001</v>
      </c>
      <c r="AB51" s="243">
        <f>X51</f>
        <v>15.870000000000001</v>
      </c>
      <c r="AC51" s="185" t="str">
        <f>C51</f>
        <v>Dave Roberts</v>
      </c>
      <c r="AD51" s="185" t="str">
        <f>LEFT($B$49,3)</f>
        <v>Aly</v>
      </c>
      <c r="AE51" s="185">
        <f t="shared" ref="AE51:AY51" si="22">E51</f>
        <v>2</v>
      </c>
      <c r="AF51" s="185" t="str">
        <f t="shared" si="22"/>
        <v/>
      </c>
      <c r="AG51" s="247">
        <f t="shared" si="22"/>
        <v>2</v>
      </c>
      <c r="AH51" s="185" t="str">
        <f t="shared" si="22"/>
        <v/>
      </c>
      <c r="AI51" s="247">
        <f t="shared" si="22"/>
        <v>8</v>
      </c>
      <c r="AJ51" s="243">
        <f t="shared" si="22"/>
        <v>15.28</v>
      </c>
      <c r="AK51" s="243" t="str">
        <f t="shared" si="22"/>
        <v/>
      </c>
      <c r="AL51" s="243" t="str">
        <f t="shared" si="22"/>
        <v/>
      </c>
      <c r="AM51" s="243">
        <f t="shared" si="22"/>
        <v>16.46</v>
      </c>
      <c r="AN51" s="243" t="str">
        <f t="shared" si="22"/>
        <v/>
      </c>
      <c r="AO51" s="243" t="str">
        <f t="shared" si="22"/>
        <v/>
      </c>
      <c r="AP51" s="243" t="str">
        <f t="shared" si="22"/>
        <v/>
      </c>
      <c r="AQ51" s="243" t="str">
        <f t="shared" si="22"/>
        <v/>
      </c>
      <c r="AR51" s="243" t="str">
        <f t="shared" si="22"/>
        <v/>
      </c>
      <c r="AS51" s="243" t="str">
        <f t="shared" si="22"/>
        <v/>
      </c>
      <c r="AT51" s="243" t="str">
        <f t="shared" si="22"/>
        <v/>
      </c>
      <c r="AU51" s="243" t="str">
        <f t="shared" si="22"/>
        <v/>
      </c>
      <c r="AV51" s="243" t="str">
        <f t="shared" si="22"/>
        <v/>
      </c>
      <c r="AW51" s="247" t="str">
        <f t="shared" si="22"/>
        <v/>
      </c>
      <c r="AX51" s="243">
        <f t="shared" si="22"/>
        <v>15.870000000000001</v>
      </c>
      <c r="AY51" s="248">
        <f t="shared" si="22"/>
        <v>15.870000000000001</v>
      </c>
    </row>
    <row r="52" spans="2:51" ht="12" customHeight="1" x14ac:dyDescent="0.2">
      <c r="B52" s="266"/>
      <c r="C52" s="272"/>
      <c r="D52" s="235"/>
      <c r="E52" s="239"/>
      <c r="F52" s="182"/>
      <c r="G52" s="182"/>
      <c r="H52" s="182"/>
      <c r="I52" s="233"/>
      <c r="J52" s="41" t="str">
        <f>IF(Alderney!M10="","",(Alderney!M10))</f>
        <v>0*4</v>
      </c>
      <c r="K52" s="41" t="str">
        <f>IF(Alderney!N10="","",(Alderney!N10))</f>
        <v/>
      </c>
      <c r="L52" s="41" t="str">
        <f>IF(Alderney!O10="","",(Alderney!O10))</f>
        <v/>
      </c>
      <c r="M52" s="41" t="str">
        <f>IF(Alderney!P10="","",(Alderney!P10))</f>
        <v>0*4</v>
      </c>
      <c r="N52" s="41" t="str">
        <f>IF(Alderney!Q10="","",(Alderney!Q10))</f>
        <v/>
      </c>
      <c r="O52" s="41" t="str">
        <f>IF(Alderney!R10="","",(Alderney!R10))</f>
        <v/>
      </c>
      <c r="P52" s="41" t="str">
        <f>IF(Alderney!S10="","",(Alderney!S10))</f>
        <v/>
      </c>
      <c r="Q52" s="41" t="str">
        <f>IF(Alderney!T10="","",(Alderney!T10))</f>
        <v/>
      </c>
      <c r="R52" s="41" t="str">
        <f>IF(Alderney!U10="","",(Alderney!U10))</f>
        <v/>
      </c>
      <c r="S52" s="41" t="str">
        <f>IF(Alderney!V10="","",(Alderney!V10))</f>
        <v/>
      </c>
      <c r="T52" s="41" t="str">
        <f>IF(Alderney!W10="","",(Alderney!W10))</f>
        <v/>
      </c>
      <c r="U52" s="41" t="str">
        <f>IF(Alderney!X10="","",(Alderney!X10))</f>
        <v/>
      </c>
      <c r="V52" s="41" t="str">
        <f>IF(Alderney!Y10="","",(Alderney!Y10))</f>
        <v/>
      </c>
      <c r="W52" s="182"/>
      <c r="X52" s="182"/>
      <c r="Y52" s="233"/>
      <c r="AA52" s="239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233"/>
    </row>
    <row r="53" spans="2:51" ht="12" customHeight="1" x14ac:dyDescent="0.2">
      <c r="B53" s="266"/>
      <c r="C53" s="271" t="str">
        <f>IF(Alderney!E11="","",Alderney!E11)</f>
        <v>Steve Bullock</v>
      </c>
      <c r="D53" s="259" t="str">
        <f>LEFT($B$49,3)</f>
        <v>Aly</v>
      </c>
      <c r="E53" s="251">
        <f>IF(Alderney!G11="","",Alderney!G11)</f>
        <v>12</v>
      </c>
      <c r="F53" s="181">
        <f>IF(Alderney!H11=0,"",Alderney!H11)</f>
        <v>8</v>
      </c>
      <c r="G53" s="186">
        <f>IF(Alderney!I11=0,"",Alderney!I11)</f>
        <v>4</v>
      </c>
      <c r="H53" s="186">
        <f>IF(Alderney!J11=0,"",Alderney!J11)</f>
        <v>35</v>
      </c>
      <c r="I53" s="252">
        <f>IF(Alderney!K11=0,"",Alderney!K11)</f>
        <v>33</v>
      </c>
      <c r="J53" s="163">
        <f>IF(Alderney!M11="","",(Alderney!M11))</f>
        <v>19.46</v>
      </c>
      <c r="K53" s="163">
        <f>IF(Alderney!N11="","",(Alderney!N11))</f>
        <v>20.55</v>
      </c>
      <c r="L53" s="163">
        <f>IF(Alderney!O11="","",(Alderney!O11))</f>
        <v>20.16</v>
      </c>
      <c r="M53" s="163" t="str">
        <f>IF(Alderney!P11="","",(Alderney!P11))</f>
        <v/>
      </c>
      <c r="N53" s="163">
        <f>IF(Alderney!Q11="","",(Alderney!Q11))</f>
        <v>18.13</v>
      </c>
      <c r="O53" s="163">
        <f>IF(Alderney!R11="","",(Alderney!R11))</f>
        <v>21.1</v>
      </c>
      <c r="P53" s="163">
        <f>IF(Alderney!S11="","",(Alderney!S11))</f>
        <v>17.760000000000002</v>
      </c>
      <c r="Q53" s="163">
        <f>IF(Alderney!T11="","",(Alderney!T11))</f>
        <v>19.64</v>
      </c>
      <c r="R53" s="163">
        <f>IF(Alderney!U11="","",(Alderney!U11))</f>
        <v>17.22</v>
      </c>
      <c r="S53" s="163">
        <f>IF(Alderney!V11="","",(Alderney!V11))</f>
        <v>20.12</v>
      </c>
      <c r="T53" s="163">
        <f>IF(Alderney!W11="","",(Alderney!W11))</f>
        <v>22.56</v>
      </c>
      <c r="U53" s="163">
        <f>IF(Alderney!X11="","",(Alderney!X11))</f>
        <v>22.33</v>
      </c>
      <c r="V53" s="163">
        <f>IF(Alderney!Y11="","",(Alderney!Y11))</f>
        <v>21.25</v>
      </c>
      <c r="W53" s="186">
        <f>IF(Alderney!AA11=0,"",(Alderney!AA11))</f>
        <v>1</v>
      </c>
      <c r="X53" s="244">
        <f>IF(Alderney!AB11=0,"",(Alderney!AB11))</f>
        <v>20.023333333333337</v>
      </c>
      <c r="Y53" s="245">
        <f>IF(Alderney!AC11=0,"",(Alderney!AC11))</f>
        <v>28.023333333333337</v>
      </c>
      <c r="AA53" s="246">
        <f>Y53</f>
        <v>28.023333333333337</v>
      </c>
      <c r="AB53" s="243">
        <f>X53</f>
        <v>20.023333333333337</v>
      </c>
      <c r="AC53" s="185" t="str">
        <f>C53</f>
        <v>Steve Bullock</v>
      </c>
      <c r="AD53" s="185" t="str">
        <f>LEFT($B$49,3)</f>
        <v>Aly</v>
      </c>
      <c r="AE53" s="185">
        <f t="shared" ref="AE53:AY53" si="23">E53</f>
        <v>12</v>
      </c>
      <c r="AF53" s="185">
        <f t="shared" si="23"/>
        <v>8</v>
      </c>
      <c r="AG53" s="247">
        <f t="shared" si="23"/>
        <v>4</v>
      </c>
      <c r="AH53" s="247">
        <f t="shared" si="23"/>
        <v>35</v>
      </c>
      <c r="AI53" s="247">
        <f t="shared" si="23"/>
        <v>33</v>
      </c>
      <c r="AJ53" s="243">
        <f t="shared" si="23"/>
        <v>19.46</v>
      </c>
      <c r="AK53" s="243">
        <f t="shared" si="23"/>
        <v>20.55</v>
      </c>
      <c r="AL53" s="243">
        <f t="shared" si="23"/>
        <v>20.16</v>
      </c>
      <c r="AM53" s="243" t="str">
        <f t="shared" si="23"/>
        <v/>
      </c>
      <c r="AN53" s="243">
        <f t="shared" si="23"/>
        <v>18.13</v>
      </c>
      <c r="AO53" s="243">
        <f t="shared" si="23"/>
        <v>21.1</v>
      </c>
      <c r="AP53" s="243">
        <f t="shared" si="23"/>
        <v>17.760000000000002</v>
      </c>
      <c r="AQ53" s="243">
        <f t="shared" si="23"/>
        <v>19.64</v>
      </c>
      <c r="AR53" s="243">
        <f t="shared" si="23"/>
        <v>17.22</v>
      </c>
      <c r="AS53" s="243">
        <f t="shared" si="23"/>
        <v>20.12</v>
      </c>
      <c r="AT53" s="243">
        <f t="shared" si="23"/>
        <v>22.56</v>
      </c>
      <c r="AU53" s="243">
        <f t="shared" si="23"/>
        <v>22.33</v>
      </c>
      <c r="AV53" s="243">
        <f t="shared" si="23"/>
        <v>21.25</v>
      </c>
      <c r="AW53" s="247">
        <f t="shared" si="23"/>
        <v>1</v>
      </c>
      <c r="AX53" s="243">
        <f t="shared" si="23"/>
        <v>20.023333333333337</v>
      </c>
      <c r="AY53" s="248">
        <f t="shared" si="23"/>
        <v>28.023333333333337</v>
      </c>
    </row>
    <row r="54" spans="2:51" ht="12" customHeight="1" x14ac:dyDescent="0.2">
      <c r="B54" s="266"/>
      <c r="C54" s="272"/>
      <c r="D54" s="235"/>
      <c r="E54" s="239"/>
      <c r="F54" s="182"/>
      <c r="G54" s="182"/>
      <c r="H54" s="182"/>
      <c r="I54" s="233"/>
      <c r="J54" s="41" t="str">
        <f>IF(Alderney!M12="","",(Alderney!M12))</f>
        <v>4*0</v>
      </c>
      <c r="K54" s="41" t="str">
        <f>IF(Alderney!N12="","",(Alderney!N12))</f>
        <v>4*2</v>
      </c>
      <c r="L54" s="41" t="str">
        <f>IF(Alderney!O12="","",(Alderney!O12))</f>
        <v>2*4</v>
      </c>
      <c r="M54" s="41" t="str">
        <f>IF(Alderney!P12="","",(Alderney!P12))</f>
        <v/>
      </c>
      <c r="N54" s="41" t="str">
        <f>IF(Alderney!Q12="","",(Alderney!Q12))</f>
        <v>0*4</v>
      </c>
      <c r="O54" s="41" t="str">
        <f>IF(Alderney!R12="","",(Alderney!R12))</f>
        <v>4*2(1)</v>
      </c>
      <c r="P54" s="41" t="str">
        <f>IF(Alderney!S12="","",(Alderney!S12))</f>
        <v>4*3</v>
      </c>
      <c r="Q54" s="41" t="str">
        <f>IF(Alderney!T12="","",(Alderney!T12))</f>
        <v>4*2</v>
      </c>
      <c r="R54" s="41" t="str">
        <f>IF(Alderney!U12="","",(Alderney!U12))</f>
        <v>4*2</v>
      </c>
      <c r="S54" s="41" t="str">
        <f>IF(Alderney!V12="","",(Alderney!V12))</f>
        <v>0*4</v>
      </c>
      <c r="T54" s="41" t="str">
        <f>IF(Alderney!W12="","",(Alderney!W12))</f>
        <v>1*4</v>
      </c>
      <c r="U54" s="41" t="str">
        <f>IF(Alderney!X12="","",(Alderney!X12))</f>
        <v>4*3</v>
      </c>
      <c r="V54" s="41" t="str">
        <f>IF(Alderney!Y12="","",(Alderney!Y12))</f>
        <v>4*3</v>
      </c>
      <c r="W54" s="182"/>
      <c r="X54" s="182"/>
      <c r="Y54" s="233"/>
      <c r="AA54" s="239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233"/>
    </row>
    <row r="55" spans="2:51" ht="12" customHeight="1" x14ac:dyDescent="0.2">
      <c r="B55" s="266"/>
      <c r="C55" s="271" t="str">
        <f>IF(Alderney!E13="","",Alderney!E13)</f>
        <v>Scott Wyeth</v>
      </c>
      <c r="D55" s="259" t="str">
        <f>LEFT($B$49,3)</f>
        <v>Aly</v>
      </c>
      <c r="E55" s="251">
        <f>IF(Alderney!G13="","",Alderney!G13)</f>
        <v>2</v>
      </c>
      <c r="F55" s="181" t="str">
        <f>IF(Alderney!H13=0,"",Alderney!H13)</f>
        <v/>
      </c>
      <c r="G55" s="186">
        <f>IF(Alderney!I13=0,"",Alderney!I13)</f>
        <v>2</v>
      </c>
      <c r="H55" s="186">
        <f>IF(Alderney!J13=0,"",Alderney!J13)</f>
        <v>1</v>
      </c>
      <c r="I55" s="252">
        <f>IF(Alderney!K13=0,"",Alderney!K13)</f>
        <v>8</v>
      </c>
      <c r="J55" s="163">
        <f>IF(Alderney!M13="","",(Alderney!M13))</f>
        <v>15.23</v>
      </c>
      <c r="K55" s="163" t="str">
        <f>IF(Alderney!N13="","",(Alderney!N13))</f>
        <v/>
      </c>
      <c r="L55" s="163">
        <f>IF(Alderney!O13="","",(Alderney!O13))</f>
        <v>20.34</v>
      </c>
      <c r="M55" s="163" t="str">
        <f>IF(Alderney!P13="","",(Alderney!P13))</f>
        <v/>
      </c>
      <c r="N55" s="163" t="str">
        <f>IF(Alderney!Q13="","",(Alderney!Q13))</f>
        <v/>
      </c>
      <c r="O55" s="163" t="str">
        <f>IF(Alderney!R13="","",(Alderney!R13))</f>
        <v/>
      </c>
      <c r="P55" s="163" t="str">
        <f>IF(Alderney!S13="","",(Alderney!S13))</f>
        <v/>
      </c>
      <c r="Q55" s="163" t="str">
        <f>IF(Alderney!T13="","",(Alderney!T13))</f>
        <v/>
      </c>
      <c r="R55" s="163" t="str">
        <f>IF(Alderney!U13="","",(Alderney!U13))</f>
        <v/>
      </c>
      <c r="S55" s="163" t="str">
        <f>IF(Alderney!V13="","",(Alderney!V13))</f>
        <v/>
      </c>
      <c r="T55" s="163" t="str">
        <f>IF(Alderney!W13="","",(Alderney!W13))</f>
        <v/>
      </c>
      <c r="U55" s="163" t="str">
        <f>IF(Alderney!X13="","",(Alderney!X13))</f>
        <v/>
      </c>
      <c r="V55" s="163" t="str">
        <f>IF(Alderney!Y13="","",(Alderney!Y13))</f>
        <v/>
      </c>
      <c r="W55" s="186" t="str">
        <f>IF(Alderney!AA13=0,"",(Alderney!AA13))</f>
        <v/>
      </c>
      <c r="X55" s="244">
        <f>IF(Alderney!AB13=0,"",(Alderney!AB13))</f>
        <v>17.785</v>
      </c>
      <c r="Y55" s="245">
        <f>IF(Alderney!AC13=0,"",(Alderney!AC13))</f>
        <v>17.785</v>
      </c>
      <c r="AA55" s="246">
        <f>Y55</f>
        <v>17.785</v>
      </c>
      <c r="AB55" s="243">
        <f>X55</f>
        <v>17.785</v>
      </c>
      <c r="AC55" s="185" t="str">
        <f>C55</f>
        <v>Scott Wyeth</v>
      </c>
      <c r="AD55" s="185" t="str">
        <f>LEFT($B$49,3)</f>
        <v>Aly</v>
      </c>
      <c r="AE55" s="185">
        <f t="shared" ref="AE55:AY55" si="24">E55</f>
        <v>2</v>
      </c>
      <c r="AF55" s="185" t="str">
        <f t="shared" si="24"/>
        <v/>
      </c>
      <c r="AG55" s="247">
        <f t="shared" si="24"/>
        <v>2</v>
      </c>
      <c r="AH55" s="247">
        <f t="shared" si="24"/>
        <v>1</v>
      </c>
      <c r="AI55" s="247">
        <f t="shared" si="24"/>
        <v>8</v>
      </c>
      <c r="AJ55" s="243">
        <f t="shared" si="24"/>
        <v>15.23</v>
      </c>
      <c r="AK55" s="243" t="str">
        <f t="shared" si="24"/>
        <v/>
      </c>
      <c r="AL55" s="243">
        <f t="shared" si="24"/>
        <v>20.34</v>
      </c>
      <c r="AM55" s="243" t="str">
        <f t="shared" si="24"/>
        <v/>
      </c>
      <c r="AN55" s="243" t="str">
        <f t="shared" si="24"/>
        <v/>
      </c>
      <c r="AO55" s="243" t="str">
        <f t="shared" si="24"/>
        <v/>
      </c>
      <c r="AP55" s="243" t="str">
        <f t="shared" si="24"/>
        <v/>
      </c>
      <c r="AQ55" s="243" t="str">
        <f t="shared" si="24"/>
        <v/>
      </c>
      <c r="AR55" s="243" t="str">
        <f t="shared" si="24"/>
        <v/>
      </c>
      <c r="AS55" s="243" t="str">
        <f t="shared" si="24"/>
        <v/>
      </c>
      <c r="AT55" s="243" t="str">
        <f t="shared" si="24"/>
        <v/>
      </c>
      <c r="AU55" s="243" t="str">
        <f t="shared" si="24"/>
        <v/>
      </c>
      <c r="AV55" s="243" t="str">
        <f t="shared" si="24"/>
        <v/>
      </c>
      <c r="AW55" s="247" t="str">
        <f t="shared" si="24"/>
        <v/>
      </c>
      <c r="AX55" s="243">
        <f t="shared" si="24"/>
        <v>17.785</v>
      </c>
      <c r="AY55" s="248">
        <f t="shared" si="24"/>
        <v>17.785</v>
      </c>
    </row>
    <row r="56" spans="2:51" ht="12" customHeight="1" x14ac:dyDescent="0.2">
      <c r="B56" s="266"/>
      <c r="C56" s="272"/>
      <c r="D56" s="235"/>
      <c r="E56" s="239"/>
      <c r="F56" s="182"/>
      <c r="G56" s="182"/>
      <c r="H56" s="182"/>
      <c r="I56" s="233"/>
      <c r="J56" s="41" t="str">
        <f>IF(Alderney!M14="","",(Alderney!M14))</f>
        <v>0*4</v>
      </c>
      <c r="K56" s="41" t="str">
        <f>IF(Alderney!N14="","",(Alderney!N14))</f>
        <v/>
      </c>
      <c r="L56" s="41" t="str">
        <f>IF(Alderney!O14="","",(Alderney!O14))</f>
        <v>1*4</v>
      </c>
      <c r="M56" s="41" t="str">
        <f>IF(Alderney!P14="","",(Alderney!P14))</f>
        <v/>
      </c>
      <c r="N56" s="41" t="str">
        <f>IF(Alderney!Q14="","",(Alderney!Q14))</f>
        <v/>
      </c>
      <c r="O56" s="41" t="str">
        <f>IF(Alderney!R14="","",(Alderney!R14))</f>
        <v/>
      </c>
      <c r="P56" s="41" t="str">
        <f>IF(Alderney!S14="","",(Alderney!S14))</f>
        <v/>
      </c>
      <c r="Q56" s="41" t="str">
        <f>IF(Alderney!T14="","",(Alderney!T14))</f>
        <v/>
      </c>
      <c r="R56" s="41" t="str">
        <f>IF(Alderney!U14="","",(Alderney!U14))</f>
        <v/>
      </c>
      <c r="S56" s="41" t="str">
        <f>IF(Alderney!V14="","",(Alderney!V14))</f>
        <v/>
      </c>
      <c r="T56" s="41" t="str">
        <f>IF(Alderney!W14="","",(Alderney!W14))</f>
        <v/>
      </c>
      <c r="U56" s="41" t="str">
        <f>IF(Alderney!X14="","",(Alderney!X14))</f>
        <v/>
      </c>
      <c r="V56" s="41" t="str">
        <f>IF(Alderney!Y14="","",(Alderney!Y14))</f>
        <v/>
      </c>
      <c r="W56" s="182"/>
      <c r="X56" s="182"/>
      <c r="Y56" s="233"/>
      <c r="AA56" s="239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233"/>
    </row>
    <row r="57" spans="2:51" ht="12" customHeight="1" x14ac:dyDescent="0.2">
      <c r="B57" s="266"/>
      <c r="C57" s="271" t="str">
        <f>IF(Alderney!E15="","",Alderney!E15)</f>
        <v>Luke Powell</v>
      </c>
      <c r="D57" s="259" t="str">
        <f>LEFT($B$49,3)</f>
        <v>Aly</v>
      </c>
      <c r="E57" s="251">
        <f>IF(Alderney!G15="","",Alderney!G15)</f>
        <v>10</v>
      </c>
      <c r="F57" s="181">
        <f>IF(Alderney!H15=0,"",Alderney!H15)</f>
        <v>4</v>
      </c>
      <c r="G57" s="186">
        <f>IF(Alderney!I15=0,"",Alderney!I15)</f>
        <v>6</v>
      </c>
      <c r="H57" s="186">
        <f>IF(Alderney!J15=0,"",Alderney!J15)</f>
        <v>21</v>
      </c>
      <c r="I57" s="252">
        <f>IF(Alderney!K15=0,"",Alderney!K15)</f>
        <v>32</v>
      </c>
      <c r="J57" s="163" t="str">
        <f>IF(Alderney!M15="","",(Alderney!M15))</f>
        <v/>
      </c>
      <c r="K57" s="163">
        <f>IF(Alderney!N15="","",(Alderney!N15))</f>
        <v>17.34</v>
      </c>
      <c r="L57" s="163">
        <f>IF(Alderney!O15="","",(Alderney!O15))</f>
        <v>22.55</v>
      </c>
      <c r="M57" s="163">
        <f>IF(Alderney!P15="","",(Alderney!P15))</f>
        <v>19.309999999999999</v>
      </c>
      <c r="N57" s="163">
        <f>IF(Alderney!Q15="","",(Alderney!Q15))</f>
        <v>18.079999999999998</v>
      </c>
      <c r="O57" s="163">
        <f>IF(Alderney!R15="","",(Alderney!R15))</f>
        <v>18.64</v>
      </c>
      <c r="P57" s="163">
        <f>IF(Alderney!S15="","",(Alderney!S15))</f>
        <v>19.04</v>
      </c>
      <c r="Q57" s="163" t="str">
        <f>IF(Alderney!T15="","",(Alderney!T15))</f>
        <v/>
      </c>
      <c r="R57" s="163">
        <f>IF(Alderney!U15="","",(Alderney!U15))</f>
        <v>25.05</v>
      </c>
      <c r="S57" s="163" t="str">
        <f>IF(Alderney!V15="","",(Alderney!V15))</f>
        <v/>
      </c>
      <c r="T57" s="163">
        <f>IF(Alderney!W15="","",(Alderney!W15))</f>
        <v>16.559999999999999</v>
      </c>
      <c r="U57" s="163">
        <f>IF(Alderney!X15="","",(Alderney!X15))</f>
        <v>20.46</v>
      </c>
      <c r="V57" s="163">
        <f>IF(Alderney!Y15="","",(Alderney!Y15))</f>
        <v>19.96</v>
      </c>
      <c r="W57" s="186">
        <f>IF(Alderney!AA15=0,"",(Alderney!AA15))</f>
        <v>2</v>
      </c>
      <c r="X57" s="244">
        <f>IF(Alderney!AB15=0,"",(Alderney!AB15))</f>
        <v>19.699000000000005</v>
      </c>
      <c r="Y57" s="245">
        <f>IF(Alderney!AC15=0,"",(Alderney!AC15))</f>
        <v>23.699000000000005</v>
      </c>
      <c r="AA57" s="246">
        <f>Y57</f>
        <v>23.699000000000005</v>
      </c>
      <c r="AB57" s="243">
        <f>X57</f>
        <v>19.699000000000005</v>
      </c>
      <c r="AC57" s="185" t="str">
        <f>C57</f>
        <v>Luke Powell</v>
      </c>
      <c r="AD57" s="185" t="str">
        <f>LEFT($B$49,3)</f>
        <v>Aly</v>
      </c>
      <c r="AE57" s="185">
        <f t="shared" ref="AE57:AY57" si="25">E57</f>
        <v>10</v>
      </c>
      <c r="AF57" s="185">
        <f t="shared" si="25"/>
        <v>4</v>
      </c>
      <c r="AG57" s="247">
        <f t="shared" si="25"/>
        <v>6</v>
      </c>
      <c r="AH57" s="247">
        <f t="shared" si="25"/>
        <v>21</v>
      </c>
      <c r="AI57" s="247">
        <f t="shared" si="25"/>
        <v>32</v>
      </c>
      <c r="AJ57" s="243" t="str">
        <f t="shared" si="25"/>
        <v/>
      </c>
      <c r="AK57" s="243">
        <f t="shared" si="25"/>
        <v>17.34</v>
      </c>
      <c r="AL57" s="243">
        <f t="shared" si="25"/>
        <v>22.55</v>
      </c>
      <c r="AM57" s="243">
        <f t="shared" si="25"/>
        <v>19.309999999999999</v>
      </c>
      <c r="AN57" s="243">
        <f t="shared" si="25"/>
        <v>18.079999999999998</v>
      </c>
      <c r="AO57" s="243">
        <f t="shared" si="25"/>
        <v>18.64</v>
      </c>
      <c r="AP57" s="243">
        <f t="shared" si="25"/>
        <v>19.04</v>
      </c>
      <c r="AQ57" s="243" t="str">
        <f t="shared" si="25"/>
        <v/>
      </c>
      <c r="AR57" s="243">
        <f t="shared" si="25"/>
        <v>25.05</v>
      </c>
      <c r="AS57" s="243" t="str">
        <f t="shared" si="25"/>
        <v/>
      </c>
      <c r="AT57" s="243">
        <f t="shared" si="25"/>
        <v>16.559999999999999</v>
      </c>
      <c r="AU57" s="243">
        <f t="shared" si="25"/>
        <v>20.46</v>
      </c>
      <c r="AV57" s="243">
        <f t="shared" si="25"/>
        <v>19.96</v>
      </c>
      <c r="AW57" s="247">
        <f t="shared" si="25"/>
        <v>2</v>
      </c>
      <c r="AX57" s="243">
        <f t="shared" si="25"/>
        <v>19.699000000000005</v>
      </c>
      <c r="AY57" s="248">
        <f t="shared" si="25"/>
        <v>23.699000000000005</v>
      </c>
    </row>
    <row r="58" spans="2:51" ht="12" customHeight="1" x14ac:dyDescent="0.2">
      <c r="B58" s="266"/>
      <c r="C58" s="272"/>
      <c r="D58" s="235"/>
      <c r="E58" s="239"/>
      <c r="F58" s="182"/>
      <c r="G58" s="182"/>
      <c r="H58" s="182"/>
      <c r="I58" s="233"/>
      <c r="J58" s="41" t="str">
        <f>IF(Alderney!M16="","",(Alderney!M16))</f>
        <v/>
      </c>
      <c r="K58" s="41" t="str">
        <f>IF(Alderney!N16="","",(Alderney!N16))</f>
        <v>1*4</v>
      </c>
      <c r="L58" s="41" t="str">
        <f>IF(Alderney!O16="","",(Alderney!O16))</f>
        <v>0*4</v>
      </c>
      <c r="M58" s="41" t="str">
        <f>IF(Alderney!P16="","",(Alderney!P16))</f>
        <v>4*3</v>
      </c>
      <c r="N58" s="41" t="str">
        <f>IF(Alderney!Q16="","",(Alderney!Q16))</f>
        <v>2*4(1)</v>
      </c>
      <c r="O58" s="41" t="str">
        <f>IF(Alderney!R16="","",(Alderney!R16))</f>
        <v>0*4</v>
      </c>
      <c r="P58" s="41" t="str">
        <f>IF(Alderney!S16="","",(Alderney!S16))</f>
        <v>4*3</v>
      </c>
      <c r="Q58" s="41" t="str">
        <f>IF(Alderney!T16="","",(Alderney!T16))</f>
        <v/>
      </c>
      <c r="R58" s="41" t="str">
        <f>IF(Alderney!U16="","",(Alderney!U16))</f>
        <v>4*0(1)</v>
      </c>
      <c r="S58" s="41" t="str">
        <f>IF(Alderney!V16="","",(Alderney!V16))</f>
        <v/>
      </c>
      <c r="T58" s="41" t="str">
        <f>IF(Alderney!W16="","",(Alderney!W16))</f>
        <v>0*4</v>
      </c>
      <c r="U58" s="41" t="str">
        <f>IF(Alderney!X16="","",(Alderney!X16))</f>
        <v>4*2</v>
      </c>
      <c r="V58" s="41" t="str">
        <f>IF(Alderney!Y16="","",(Alderney!Y16))</f>
        <v>2*4</v>
      </c>
      <c r="W58" s="182"/>
      <c r="X58" s="182"/>
      <c r="Y58" s="233"/>
      <c r="AA58" s="239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233"/>
    </row>
    <row r="59" spans="2:51" ht="12" customHeight="1" x14ac:dyDescent="0.2">
      <c r="B59" s="266"/>
      <c r="C59" s="271" t="str">
        <f>IF(Alderney!E17="","",Alderney!E17)</f>
        <v>James Smith</v>
      </c>
      <c r="D59" s="259" t="str">
        <f>LEFT($B$49,3)</f>
        <v>Aly</v>
      </c>
      <c r="E59" s="251">
        <f>IF(Alderney!G17="","",Alderney!G17)</f>
        <v>12</v>
      </c>
      <c r="F59" s="181">
        <f>IF(Alderney!H17=0,"",Alderney!H17)</f>
        <v>2</v>
      </c>
      <c r="G59" s="186">
        <f>IF(Alderney!I17=0,"",Alderney!I17)</f>
        <v>10</v>
      </c>
      <c r="H59" s="186">
        <f>IF(Alderney!J17=0,"",Alderney!J17)</f>
        <v>22</v>
      </c>
      <c r="I59" s="252">
        <f>IF(Alderney!K17=0,"",Alderney!K17)</f>
        <v>43</v>
      </c>
      <c r="J59" s="163">
        <f>IF(Alderney!M17="","",(Alderney!M17))</f>
        <v>18.72</v>
      </c>
      <c r="K59" s="163">
        <f>IF(Alderney!N17="","",(Alderney!N17))</f>
        <v>16.88</v>
      </c>
      <c r="L59" s="163">
        <f>IF(Alderney!O17="","",(Alderney!O17))</f>
        <v>18.600000000000001</v>
      </c>
      <c r="M59" s="163">
        <f>IF(Alderney!P17="","",(Alderney!P17))</f>
        <v>17.47</v>
      </c>
      <c r="N59" s="163">
        <f>IF(Alderney!Q17="","",(Alderney!Q17))</f>
        <v>18.91</v>
      </c>
      <c r="O59" s="163" t="str">
        <f>IF(Alderney!R17="","",(Alderney!R17))</f>
        <v/>
      </c>
      <c r="P59" s="163">
        <f>IF(Alderney!S17="","",(Alderney!S17))</f>
        <v>17.61</v>
      </c>
      <c r="Q59" s="163">
        <f>IF(Alderney!T17="","",(Alderney!T17))</f>
        <v>21.65</v>
      </c>
      <c r="R59" s="163">
        <f>IF(Alderney!U17="","",(Alderney!U17))</f>
        <v>18.82</v>
      </c>
      <c r="S59" s="163">
        <f>IF(Alderney!V17="","",(Alderney!V17))</f>
        <v>21.55</v>
      </c>
      <c r="T59" s="163">
        <f>IF(Alderney!W17="","",(Alderney!W17))</f>
        <v>19.53</v>
      </c>
      <c r="U59" s="163">
        <f>IF(Alderney!X17="","",(Alderney!X17))</f>
        <v>18.64</v>
      </c>
      <c r="V59" s="163">
        <f>IF(Alderney!Y17="","",(Alderney!Y17))</f>
        <v>24.14</v>
      </c>
      <c r="W59" s="186">
        <f>IF(Alderney!AA17=0,"",(Alderney!AA17))</f>
        <v>1</v>
      </c>
      <c r="X59" s="244">
        <f>IF(Alderney!AB17=0,"",(Alderney!AB17))</f>
        <v>19.376666666666665</v>
      </c>
      <c r="Y59" s="245">
        <f>IF(Alderney!AC17=0,"",(Alderney!AC17))</f>
        <v>21.376666666666665</v>
      </c>
      <c r="AA59" s="246">
        <f>Y59</f>
        <v>21.376666666666665</v>
      </c>
      <c r="AB59" s="243">
        <f>X59</f>
        <v>19.376666666666665</v>
      </c>
      <c r="AC59" s="185" t="str">
        <f>C59</f>
        <v>James Smith</v>
      </c>
      <c r="AD59" s="185" t="str">
        <f>LEFT($B$49,3)</f>
        <v>Aly</v>
      </c>
      <c r="AE59" s="185">
        <f t="shared" ref="AE59:AY59" si="26">E59</f>
        <v>12</v>
      </c>
      <c r="AF59" s="185">
        <f t="shared" si="26"/>
        <v>2</v>
      </c>
      <c r="AG59" s="247">
        <f t="shared" si="26"/>
        <v>10</v>
      </c>
      <c r="AH59" s="247">
        <f t="shared" si="26"/>
        <v>22</v>
      </c>
      <c r="AI59" s="247">
        <f t="shared" si="26"/>
        <v>43</v>
      </c>
      <c r="AJ59" s="243">
        <f t="shared" si="26"/>
        <v>18.72</v>
      </c>
      <c r="AK59" s="243">
        <f t="shared" si="26"/>
        <v>16.88</v>
      </c>
      <c r="AL59" s="243">
        <f t="shared" si="26"/>
        <v>18.600000000000001</v>
      </c>
      <c r="AM59" s="243">
        <f t="shared" si="26"/>
        <v>17.47</v>
      </c>
      <c r="AN59" s="243">
        <f t="shared" si="26"/>
        <v>18.91</v>
      </c>
      <c r="AO59" s="243" t="str">
        <f t="shared" si="26"/>
        <v/>
      </c>
      <c r="AP59" s="243">
        <f t="shared" si="26"/>
        <v>17.61</v>
      </c>
      <c r="AQ59" s="243">
        <f t="shared" si="26"/>
        <v>21.65</v>
      </c>
      <c r="AR59" s="243">
        <f t="shared" si="26"/>
        <v>18.82</v>
      </c>
      <c r="AS59" s="243">
        <f t="shared" si="26"/>
        <v>21.55</v>
      </c>
      <c r="AT59" s="243">
        <f t="shared" si="26"/>
        <v>19.53</v>
      </c>
      <c r="AU59" s="243">
        <f t="shared" si="26"/>
        <v>18.64</v>
      </c>
      <c r="AV59" s="243">
        <f t="shared" si="26"/>
        <v>24.14</v>
      </c>
      <c r="AW59" s="247">
        <f t="shared" si="26"/>
        <v>1</v>
      </c>
      <c r="AX59" s="243">
        <f t="shared" si="26"/>
        <v>19.376666666666665</v>
      </c>
      <c r="AY59" s="248">
        <f t="shared" si="26"/>
        <v>21.376666666666665</v>
      </c>
    </row>
    <row r="60" spans="2:51" ht="12" customHeight="1" x14ac:dyDescent="0.2">
      <c r="B60" s="266"/>
      <c r="C60" s="272"/>
      <c r="D60" s="235"/>
      <c r="E60" s="239"/>
      <c r="F60" s="182"/>
      <c r="G60" s="182"/>
      <c r="H60" s="182"/>
      <c r="I60" s="233"/>
      <c r="J60" s="41" t="str">
        <f>IF(Alderney!M18="","",(Alderney!M18))</f>
        <v>2*4</v>
      </c>
      <c r="K60" s="41" t="str">
        <f>IF(Alderney!N18="","",(Alderney!N18))</f>
        <v>2*4</v>
      </c>
      <c r="L60" s="41" t="str">
        <f>IF(Alderney!O18="","",(Alderney!O18))</f>
        <v>0*4</v>
      </c>
      <c r="M60" s="41" t="str">
        <f>IF(Alderney!P18="","",(Alderney!P18))</f>
        <v>4*1</v>
      </c>
      <c r="N60" s="41" t="str">
        <f>IF(Alderney!Q18="","",(Alderney!Q18))</f>
        <v>0*4</v>
      </c>
      <c r="O60" s="41" t="str">
        <f>IF(Alderney!R18="","",(Alderney!R18))</f>
        <v/>
      </c>
      <c r="P60" s="41" t="str">
        <f>IF(Alderney!S18="","",(Alderney!S18))</f>
        <v>1*4</v>
      </c>
      <c r="Q60" s="41" t="str">
        <f>IF(Alderney!T18="","",(Alderney!T18))</f>
        <v>4*2(1)</v>
      </c>
      <c r="R60" s="41" t="str">
        <f>IF(Alderney!U18="","",(Alderney!U18))</f>
        <v>2*4</v>
      </c>
      <c r="S60" s="41" t="str">
        <f>IF(Alderney!V18="","",(Alderney!V18))</f>
        <v>0*4</v>
      </c>
      <c r="T60" s="41" t="str">
        <f>IF(Alderney!W18="","",(Alderney!W18))</f>
        <v>3*4</v>
      </c>
      <c r="U60" s="41" t="str">
        <f>IF(Alderney!X18="","",(Alderney!X18))</f>
        <v>3*4</v>
      </c>
      <c r="V60" s="41" t="str">
        <f>IF(Alderney!Y18="","",(Alderney!Y18))</f>
        <v>1*4</v>
      </c>
      <c r="W60" s="182"/>
      <c r="X60" s="182"/>
      <c r="Y60" s="233"/>
      <c r="AA60" s="239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233"/>
    </row>
    <row r="61" spans="2:51" ht="12" customHeight="1" x14ac:dyDescent="0.2">
      <c r="B61" s="266"/>
      <c r="C61" s="271" t="str">
        <f>IF(Alderney!E19="","",Alderney!E19)</f>
        <v>Geordie Grant</v>
      </c>
      <c r="D61" s="259" t="str">
        <f>LEFT($B$49,3)</f>
        <v>Aly</v>
      </c>
      <c r="E61" s="251">
        <f>IF(Alderney!G19="","",Alderney!G19)</f>
        <v>11</v>
      </c>
      <c r="F61" s="181">
        <f>IF(Alderney!H19=0,"",Alderney!H19)</f>
        <v>6</v>
      </c>
      <c r="G61" s="186">
        <f>IF(Alderney!I19=0,"",Alderney!I19)</f>
        <v>5</v>
      </c>
      <c r="H61" s="186">
        <f>IF(Alderney!J19=0,"",Alderney!J19)</f>
        <v>31</v>
      </c>
      <c r="I61" s="252">
        <f>IF(Alderney!K19=0,"",Alderney!K19)</f>
        <v>28</v>
      </c>
      <c r="J61" s="163">
        <f>IF(Alderney!M19="","",(Alderney!M19))</f>
        <v>19.09</v>
      </c>
      <c r="K61" s="163">
        <f>IF(Alderney!N19="","",(Alderney!N19))</f>
        <v>21.87</v>
      </c>
      <c r="L61" s="163" t="str">
        <f>IF(Alderney!O19="","",(Alderney!O19))</f>
        <v/>
      </c>
      <c r="M61" s="163">
        <f>IF(Alderney!P19="","",(Alderney!P19))</f>
        <v>23.78</v>
      </c>
      <c r="N61" s="163">
        <f>IF(Alderney!Q19="","",(Alderney!Q19))</f>
        <v>26.52</v>
      </c>
      <c r="O61" s="163">
        <f>IF(Alderney!R19="","",(Alderney!R19))</f>
        <v>22.02</v>
      </c>
      <c r="P61" s="163">
        <f>IF(Alderney!S19="","",(Alderney!S19))</f>
        <v>22.85</v>
      </c>
      <c r="Q61" s="163">
        <f>IF(Alderney!T19="","",(Alderney!T19))</f>
        <v>23.69</v>
      </c>
      <c r="R61" s="163">
        <f>IF(Alderney!U19="","",(Alderney!U19))</f>
        <v>20.94</v>
      </c>
      <c r="S61" s="163">
        <f>IF(Alderney!V19="","",(Alderney!V19))</f>
        <v>19.8</v>
      </c>
      <c r="T61" s="163">
        <f>IF(Alderney!W19="","",(Alderney!W19))</f>
        <v>21.59</v>
      </c>
      <c r="U61" s="163">
        <f>IF(Alderney!X19="","",(Alderney!X19))</f>
        <v>21.71</v>
      </c>
      <c r="V61" s="163" t="str">
        <f>IF(Alderney!Y19="","",(Alderney!Y19))</f>
        <v/>
      </c>
      <c r="W61" s="186">
        <f>IF(Alderney!AA19=0,"",(Alderney!AA19))</f>
        <v>5</v>
      </c>
      <c r="X61" s="244">
        <f>IF(Alderney!AB19=0,"",(Alderney!AB19))</f>
        <v>22.169090909090912</v>
      </c>
      <c r="Y61" s="245">
        <f>IF(Alderney!AC19=0,"",(Alderney!AC19))</f>
        <v>28.169090909090912</v>
      </c>
      <c r="AA61" s="246">
        <f>Y61</f>
        <v>28.169090909090912</v>
      </c>
      <c r="AB61" s="243">
        <f>X61</f>
        <v>22.169090909090912</v>
      </c>
      <c r="AC61" s="185" t="str">
        <f>C61</f>
        <v>Geordie Grant</v>
      </c>
      <c r="AD61" s="185" t="str">
        <f>LEFT($B$49,3)</f>
        <v>Aly</v>
      </c>
      <c r="AE61" s="185">
        <f t="shared" ref="AE61:AY61" si="27">E61</f>
        <v>11</v>
      </c>
      <c r="AF61" s="185">
        <f t="shared" si="27"/>
        <v>6</v>
      </c>
      <c r="AG61" s="247">
        <f t="shared" si="27"/>
        <v>5</v>
      </c>
      <c r="AH61" s="247">
        <f t="shared" si="27"/>
        <v>31</v>
      </c>
      <c r="AI61" s="247">
        <f t="shared" si="27"/>
        <v>28</v>
      </c>
      <c r="AJ61" s="243">
        <f t="shared" si="27"/>
        <v>19.09</v>
      </c>
      <c r="AK61" s="243">
        <f t="shared" si="27"/>
        <v>21.87</v>
      </c>
      <c r="AL61" s="243" t="str">
        <f t="shared" si="27"/>
        <v/>
      </c>
      <c r="AM61" s="243">
        <f t="shared" si="27"/>
        <v>23.78</v>
      </c>
      <c r="AN61" s="243">
        <f t="shared" si="27"/>
        <v>26.52</v>
      </c>
      <c r="AO61" s="243">
        <f t="shared" si="27"/>
        <v>22.02</v>
      </c>
      <c r="AP61" s="243">
        <f t="shared" si="27"/>
        <v>22.85</v>
      </c>
      <c r="AQ61" s="243">
        <f t="shared" si="27"/>
        <v>23.69</v>
      </c>
      <c r="AR61" s="243">
        <f t="shared" si="27"/>
        <v>20.94</v>
      </c>
      <c r="AS61" s="243">
        <f t="shared" si="27"/>
        <v>19.8</v>
      </c>
      <c r="AT61" s="243">
        <f t="shared" si="27"/>
        <v>21.59</v>
      </c>
      <c r="AU61" s="243">
        <f t="shared" si="27"/>
        <v>21.71</v>
      </c>
      <c r="AV61" s="243" t="str">
        <f t="shared" si="27"/>
        <v/>
      </c>
      <c r="AW61" s="247">
        <f t="shared" si="27"/>
        <v>5</v>
      </c>
      <c r="AX61" s="243">
        <f t="shared" si="27"/>
        <v>22.169090909090912</v>
      </c>
      <c r="AY61" s="248">
        <f t="shared" si="27"/>
        <v>28.169090909090912</v>
      </c>
    </row>
    <row r="62" spans="2:51" ht="12" customHeight="1" x14ac:dyDescent="0.2">
      <c r="B62" s="266"/>
      <c r="C62" s="272"/>
      <c r="D62" s="235"/>
      <c r="E62" s="239"/>
      <c r="F62" s="182"/>
      <c r="G62" s="182"/>
      <c r="H62" s="182"/>
      <c r="I62" s="233"/>
      <c r="J62" s="41" t="str">
        <f>IF(Alderney!M20="","",(Alderney!M20))</f>
        <v>4*0</v>
      </c>
      <c r="K62" s="41" t="str">
        <f>IF(Alderney!N20="","",(Alderney!N20))</f>
        <v>4*3(2)</v>
      </c>
      <c r="L62" s="41" t="str">
        <f>IF(Alderney!O20="","",(Alderney!O20))</f>
        <v/>
      </c>
      <c r="M62" s="41" t="str">
        <f>IF(Alderney!P20="","",(Alderney!P20))</f>
        <v>4*1</v>
      </c>
      <c r="N62" s="41" t="str">
        <f>IF(Alderney!Q20="","",(Alderney!Q20))</f>
        <v>4*1</v>
      </c>
      <c r="O62" s="41" t="str">
        <f>IF(Alderney!R20="","",(Alderney!R20))</f>
        <v>1*4(1)</v>
      </c>
      <c r="P62" s="41" t="str">
        <f>IF(Alderney!S20="","",(Alderney!S20))</f>
        <v>4*2</v>
      </c>
      <c r="Q62" s="41" t="str">
        <f>IF(Alderney!T20="","",(Alderney!T20))</f>
        <v>0*4(1)</v>
      </c>
      <c r="R62" s="41" t="str">
        <f>IF(Alderney!U20="","",(Alderney!U20))</f>
        <v>2*4(1)</v>
      </c>
      <c r="S62" s="41" t="str">
        <f>IF(Alderney!V20="","",(Alderney!V20))</f>
        <v>1*4</v>
      </c>
      <c r="T62" s="41" t="str">
        <f>IF(Alderney!W20="","",(Alderney!W20))</f>
        <v>3*4</v>
      </c>
      <c r="U62" s="41" t="str">
        <f>IF(Alderney!X20="","",(Alderney!X20))</f>
        <v>4*1</v>
      </c>
      <c r="V62" s="41" t="str">
        <f>IF(Alderney!Y20="","",(Alderney!Y20))</f>
        <v/>
      </c>
      <c r="W62" s="182"/>
      <c r="X62" s="182"/>
      <c r="Y62" s="233"/>
      <c r="AA62" s="239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233"/>
    </row>
    <row r="63" spans="2:51" ht="12" customHeight="1" x14ac:dyDescent="0.2">
      <c r="B63" s="266"/>
      <c r="C63" s="271" t="str">
        <f>IF(Alderney!E21="","",Alderney!E21)</f>
        <v>Sean Penney</v>
      </c>
      <c r="D63" s="259" t="str">
        <f>LEFT($B$49,3)</f>
        <v>Aly</v>
      </c>
      <c r="E63" s="251">
        <f>IF(Alderney!G21="","",Alderney!G21)</f>
        <v>12</v>
      </c>
      <c r="F63" s="181">
        <f>IF(Alderney!H21=0,"",Alderney!H21)</f>
        <v>2</v>
      </c>
      <c r="G63" s="186">
        <f>IF(Alderney!I21=0,"",Alderney!I21)</f>
        <v>10</v>
      </c>
      <c r="H63" s="186">
        <f>IF(Alderney!J21=0,"",Alderney!J21)</f>
        <v>19</v>
      </c>
      <c r="I63" s="252">
        <f>IF(Alderney!K21=0,"",Alderney!K21)</f>
        <v>45</v>
      </c>
      <c r="J63" s="163">
        <f>IF(Alderney!M21="","",(Alderney!M21))</f>
        <v>16.190000000000001</v>
      </c>
      <c r="K63" s="163" t="str">
        <f>IF(Alderney!N21="","",(Alderney!N21))</f>
        <v/>
      </c>
      <c r="L63" s="163">
        <f>IF(Alderney!O21="","",(Alderney!O21))</f>
        <v>17.559999999999999</v>
      </c>
      <c r="M63" s="163">
        <f>IF(Alderney!P21="","",(Alderney!P21))</f>
        <v>17.2</v>
      </c>
      <c r="N63" s="163">
        <f>IF(Alderney!Q21="","",(Alderney!Q21))</f>
        <v>22.05</v>
      </c>
      <c r="O63" s="163">
        <f>IF(Alderney!R21="","",(Alderney!R21))</f>
        <v>19.149999999999999</v>
      </c>
      <c r="P63" s="163">
        <f>IF(Alderney!S21="","",(Alderney!S21))</f>
        <v>18.91</v>
      </c>
      <c r="Q63" s="163">
        <f>IF(Alderney!T21="","",(Alderney!T21))</f>
        <v>19.920000000000002</v>
      </c>
      <c r="R63" s="163">
        <f>IF(Alderney!U21="","",(Alderney!U21))</f>
        <v>21.13</v>
      </c>
      <c r="S63" s="163">
        <f>IF(Alderney!V21="","",(Alderney!V21))</f>
        <v>21.01</v>
      </c>
      <c r="T63" s="163">
        <f>IF(Alderney!W21="","",(Alderney!W21))</f>
        <v>23.77</v>
      </c>
      <c r="U63" s="163">
        <f>IF(Alderney!X21="","",(Alderney!X21))</f>
        <v>22.06</v>
      </c>
      <c r="V63" s="163">
        <f>IF(Alderney!Y21="","",(Alderney!Y21))</f>
        <v>24.47</v>
      </c>
      <c r="W63" s="186">
        <f>IF(Alderney!AA21=0,"",(Alderney!AA21))</f>
        <v>1</v>
      </c>
      <c r="X63" s="244">
        <f>IF(Alderney!AB21=0,"",(Alderney!AB21))</f>
        <v>20.285</v>
      </c>
      <c r="Y63" s="245">
        <f>IF(Alderney!AC21=0,"",(Alderney!AC21))</f>
        <v>22.285</v>
      </c>
      <c r="AA63" s="246">
        <f>Y63</f>
        <v>22.285</v>
      </c>
      <c r="AB63" s="243">
        <f>X63</f>
        <v>20.285</v>
      </c>
      <c r="AC63" s="185" t="str">
        <f>C63</f>
        <v>Sean Penney</v>
      </c>
      <c r="AD63" s="185" t="str">
        <f>LEFT($B$49,3)</f>
        <v>Aly</v>
      </c>
      <c r="AE63" s="185">
        <f t="shared" ref="AE63:AY63" si="28">E63</f>
        <v>12</v>
      </c>
      <c r="AF63" s="185">
        <f t="shared" si="28"/>
        <v>2</v>
      </c>
      <c r="AG63" s="247">
        <f t="shared" si="28"/>
        <v>10</v>
      </c>
      <c r="AH63" s="247">
        <f t="shared" si="28"/>
        <v>19</v>
      </c>
      <c r="AI63" s="247">
        <f t="shared" si="28"/>
        <v>45</v>
      </c>
      <c r="AJ63" s="243">
        <f t="shared" si="28"/>
        <v>16.190000000000001</v>
      </c>
      <c r="AK63" s="243" t="str">
        <f t="shared" si="28"/>
        <v/>
      </c>
      <c r="AL63" s="243">
        <f t="shared" si="28"/>
        <v>17.559999999999999</v>
      </c>
      <c r="AM63" s="243">
        <f t="shared" si="28"/>
        <v>17.2</v>
      </c>
      <c r="AN63" s="243">
        <f t="shared" si="28"/>
        <v>22.05</v>
      </c>
      <c r="AO63" s="243">
        <f t="shared" si="28"/>
        <v>19.149999999999999</v>
      </c>
      <c r="AP63" s="243">
        <f t="shared" si="28"/>
        <v>18.91</v>
      </c>
      <c r="AQ63" s="243">
        <f t="shared" si="28"/>
        <v>19.920000000000002</v>
      </c>
      <c r="AR63" s="243">
        <f t="shared" si="28"/>
        <v>21.13</v>
      </c>
      <c r="AS63" s="243">
        <f t="shared" si="28"/>
        <v>21.01</v>
      </c>
      <c r="AT63" s="243">
        <f t="shared" si="28"/>
        <v>23.77</v>
      </c>
      <c r="AU63" s="243">
        <f t="shared" si="28"/>
        <v>22.06</v>
      </c>
      <c r="AV63" s="243">
        <f t="shared" si="28"/>
        <v>24.47</v>
      </c>
      <c r="AW63" s="247">
        <f t="shared" si="28"/>
        <v>1</v>
      </c>
      <c r="AX63" s="243">
        <f t="shared" si="28"/>
        <v>20.285</v>
      </c>
      <c r="AY63" s="248">
        <f t="shared" si="28"/>
        <v>22.285</v>
      </c>
    </row>
    <row r="64" spans="2:51" ht="12" customHeight="1" x14ac:dyDescent="0.2">
      <c r="B64" s="266"/>
      <c r="C64" s="272"/>
      <c r="D64" s="235"/>
      <c r="E64" s="239"/>
      <c r="F64" s="182"/>
      <c r="G64" s="182"/>
      <c r="H64" s="182"/>
      <c r="I64" s="233"/>
      <c r="J64" s="41" t="str">
        <f>IF(Alderney!M22="","",(Alderney!M22))</f>
        <v>0*4</v>
      </c>
      <c r="K64" s="41" t="str">
        <f>IF(Alderney!N22="","",(Alderney!N22))</f>
        <v/>
      </c>
      <c r="L64" s="41" t="str">
        <f>IF(Alderney!O22="","",(Alderney!O22))</f>
        <v>0*4</v>
      </c>
      <c r="M64" s="41" t="str">
        <f>IF(Alderney!P22="","",(Alderney!P22))</f>
        <v>0*4</v>
      </c>
      <c r="N64" s="41" t="str">
        <f>IF(Alderney!Q22="","",(Alderney!Q22))</f>
        <v>1*4(1)</v>
      </c>
      <c r="O64" s="41" t="str">
        <f>IF(Alderney!R22="","",(Alderney!R22))</f>
        <v>3*4</v>
      </c>
      <c r="P64" s="41" t="str">
        <f>IF(Alderney!S22="","",(Alderney!S22))</f>
        <v>3*4</v>
      </c>
      <c r="Q64" s="41" t="str">
        <f>IF(Alderney!T22="","",(Alderney!T22))</f>
        <v>1*4</v>
      </c>
      <c r="R64" s="41" t="str">
        <f>IF(Alderney!U22="","",(Alderney!U22))</f>
        <v>2*4</v>
      </c>
      <c r="S64" s="41" t="str">
        <f>IF(Alderney!V22="","",(Alderney!V22))</f>
        <v>4*3</v>
      </c>
      <c r="T64" s="41" t="str">
        <f>IF(Alderney!W22="","",(Alderney!W22))</f>
        <v>0*4</v>
      </c>
      <c r="U64" s="41" t="str">
        <f>IF(Alderney!X22="","",(Alderney!X22))</f>
        <v>1*4</v>
      </c>
      <c r="V64" s="41" t="str">
        <f>IF(Alderney!Y22="","",(Alderney!Y22))</f>
        <v>4*2</v>
      </c>
      <c r="W64" s="182"/>
      <c r="X64" s="182"/>
      <c r="Y64" s="233"/>
      <c r="AA64" s="239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233"/>
    </row>
    <row r="65" spans="2:51" ht="12" customHeight="1" x14ac:dyDescent="0.2">
      <c r="B65" s="266"/>
      <c r="C65" s="271" t="str">
        <f>IF(Alderney!E23="","",Alderney!E23)</f>
        <v>Ricky Powell</v>
      </c>
      <c r="D65" s="259" t="str">
        <f>LEFT($B$49,3)</f>
        <v>Aly</v>
      </c>
      <c r="E65" s="251">
        <f>IF(Alderney!G23="","",Alderney!G23)</f>
        <v>4</v>
      </c>
      <c r="F65" s="181" t="str">
        <f>IF(Alderney!H23=0,"",Alderney!H23)</f>
        <v/>
      </c>
      <c r="G65" s="186">
        <f>IF(Alderney!I23=0,"",Alderney!I23)</f>
        <v>4</v>
      </c>
      <c r="H65" s="186">
        <f>IF(Alderney!J23=0,"",Alderney!J23)</f>
        <v>1</v>
      </c>
      <c r="I65" s="252">
        <f>IF(Alderney!K23=0,"",Alderney!K23)</f>
        <v>16</v>
      </c>
      <c r="J65" s="163" t="str">
        <f>IF(Alderney!M23="","",(Alderney!M23))</f>
        <v/>
      </c>
      <c r="K65" s="163">
        <f>IF(Alderney!N23="","",(Alderney!N23))</f>
        <v>18.25</v>
      </c>
      <c r="L65" s="163">
        <f>IF(Alderney!O23="","",(Alderney!O23))</f>
        <v>22.24</v>
      </c>
      <c r="M65" s="163">
        <f>IF(Alderney!P23="","",(Alderney!P23))</f>
        <v>16.25</v>
      </c>
      <c r="N65" s="163">
        <f>IF(Alderney!Q23="","",(Alderney!Q23))</f>
        <v>19.010000000000002</v>
      </c>
      <c r="O65" s="163" t="str">
        <f>IF(Alderney!R23="","",(Alderney!R23))</f>
        <v/>
      </c>
      <c r="P65" s="163" t="str">
        <f>IF(Alderney!S23="","",(Alderney!S23))</f>
        <v/>
      </c>
      <c r="Q65" s="163" t="str">
        <f>IF(Alderney!T23="","",(Alderney!T23))</f>
        <v/>
      </c>
      <c r="R65" s="163" t="str">
        <f>IF(Alderney!U23="","",(Alderney!U23))</f>
        <v/>
      </c>
      <c r="S65" s="163" t="str">
        <f>IF(Alderney!V23="","",(Alderney!V23))</f>
        <v/>
      </c>
      <c r="T65" s="163" t="str">
        <f>IF(Alderney!W23="","",(Alderney!W23))</f>
        <v/>
      </c>
      <c r="U65" s="163" t="str">
        <f>IF(Alderney!X23="","",(Alderney!X23))</f>
        <v/>
      </c>
      <c r="V65" s="163" t="str">
        <f>IF(Alderney!Y23="","",(Alderney!Y23))</f>
        <v/>
      </c>
      <c r="W65" s="186" t="str">
        <f>IF(Alderney!AA23=0,"",(Alderney!AA23))</f>
        <v/>
      </c>
      <c r="X65" s="244">
        <f>IF(Alderney!AB23=0,"",(Alderney!AB23))</f>
        <v>18.9375</v>
      </c>
      <c r="Y65" s="245">
        <f>IF(Alderney!AC23=0,"",(Alderney!AC23))</f>
        <v>18.9375</v>
      </c>
      <c r="AA65" s="246">
        <f>Y65</f>
        <v>18.9375</v>
      </c>
      <c r="AB65" s="243">
        <f>X65</f>
        <v>18.9375</v>
      </c>
      <c r="AC65" s="185" t="str">
        <f>C65</f>
        <v>Ricky Powell</v>
      </c>
      <c r="AD65" s="185" t="str">
        <f>LEFT($B$49,3)</f>
        <v>Aly</v>
      </c>
      <c r="AE65" s="185">
        <f t="shared" ref="AE65:AY65" si="29">E65</f>
        <v>4</v>
      </c>
      <c r="AF65" s="185" t="str">
        <f t="shared" si="29"/>
        <v/>
      </c>
      <c r="AG65" s="247">
        <f t="shared" si="29"/>
        <v>4</v>
      </c>
      <c r="AH65" s="247">
        <f t="shared" si="29"/>
        <v>1</v>
      </c>
      <c r="AI65" s="247">
        <f t="shared" si="29"/>
        <v>16</v>
      </c>
      <c r="AJ65" s="243" t="str">
        <f t="shared" si="29"/>
        <v/>
      </c>
      <c r="AK65" s="243">
        <f t="shared" si="29"/>
        <v>18.25</v>
      </c>
      <c r="AL65" s="243">
        <f t="shared" si="29"/>
        <v>22.24</v>
      </c>
      <c r="AM65" s="243">
        <f t="shared" si="29"/>
        <v>16.25</v>
      </c>
      <c r="AN65" s="243">
        <f t="shared" si="29"/>
        <v>19.010000000000002</v>
      </c>
      <c r="AO65" s="243" t="str">
        <f t="shared" si="29"/>
        <v/>
      </c>
      <c r="AP65" s="243" t="str">
        <f t="shared" si="29"/>
        <v/>
      </c>
      <c r="AQ65" s="243" t="str">
        <f t="shared" si="29"/>
        <v/>
      </c>
      <c r="AR65" s="243" t="str">
        <f t="shared" si="29"/>
        <v/>
      </c>
      <c r="AS65" s="243" t="str">
        <f t="shared" si="29"/>
        <v/>
      </c>
      <c r="AT65" s="243" t="str">
        <f t="shared" si="29"/>
        <v/>
      </c>
      <c r="AU65" s="243" t="str">
        <f t="shared" si="29"/>
        <v/>
      </c>
      <c r="AV65" s="243" t="str">
        <f t="shared" si="29"/>
        <v/>
      </c>
      <c r="AW65" s="247" t="str">
        <f t="shared" si="29"/>
        <v/>
      </c>
      <c r="AX65" s="243">
        <f t="shared" si="29"/>
        <v>18.9375</v>
      </c>
      <c r="AY65" s="248">
        <f t="shared" si="29"/>
        <v>18.9375</v>
      </c>
    </row>
    <row r="66" spans="2:51" ht="12" customHeight="1" x14ac:dyDescent="0.2">
      <c r="B66" s="266"/>
      <c r="C66" s="272"/>
      <c r="D66" s="235"/>
      <c r="E66" s="239"/>
      <c r="F66" s="182"/>
      <c r="G66" s="182"/>
      <c r="H66" s="182"/>
      <c r="I66" s="233"/>
      <c r="J66" s="41" t="str">
        <f>IF(Alderney!M24="","",(Alderney!M24))</f>
        <v/>
      </c>
      <c r="K66" s="41" t="str">
        <f>IF(Alderney!N24="","",(Alderney!N24))</f>
        <v>0*4</v>
      </c>
      <c r="L66" s="41" t="str">
        <f>IF(Alderney!O24="","",(Alderney!O24))</f>
        <v>0*4</v>
      </c>
      <c r="M66" s="41" t="str">
        <f>IF(Alderney!P24="","",(Alderney!P24))</f>
        <v>1*4</v>
      </c>
      <c r="N66" s="41" t="str">
        <f>IF(Alderney!Q24="","",(Alderney!Q24))</f>
        <v>0*4</v>
      </c>
      <c r="O66" s="41" t="str">
        <f>IF(Alderney!R24="","",(Alderney!R24))</f>
        <v/>
      </c>
      <c r="P66" s="41" t="str">
        <f>IF(Alderney!S24="","",(Alderney!S24))</f>
        <v/>
      </c>
      <c r="Q66" s="41" t="str">
        <f>IF(Alderney!T24="","",(Alderney!T24))</f>
        <v/>
      </c>
      <c r="R66" s="41" t="str">
        <f>IF(Alderney!U24="","",(Alderney!U24))</f>
        <v/>
      </c>
      <c r="S66" s="41" t="str">
        <f>IF(Alderney!V24="","",(Alderney!V24))</f>
        <v/>
      </c>
      <c r="T66" s="41" t="str">
        <f>IF(Alderney!W24="","",(Alderney!W24))</f>
        <v/>
      </c>
      <c r="U66" s="41" t="str">
        <f>IF(Alderney!X24="","",(Alderney!X24))</f>
        <v/>
      </c>
      <c r="V66" s="41" t="str">
        <f>IF(Alderney!Y24="","",(Alderney!Y24))</f>
        <v/>
      </c>
      <c r="W66" s="182"/>
      <c r="X66" s="182"/>
      <c r="Y66" s="233"/>
      <c r="AA66" s="239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233"/>
    </row>
    <row r="67" spans="2:51" ht="12" customHeight="1" x14ac:dyDescent="0.2">
      <c r="B67" s="266"/>
      <c r="C67" s="271" t="str">
        <f>IF(Alderney!E25="","",Alderney!E25)</f>
        <v>Connor Morris</v>
      </c>
      <c r="D67" s="259" t="str">
        <f>LEFT($B$49,3)</f>
        <v>Aly</v>
      </c>
      <c r="E67" s="251">
        <f>IF(Alderney!G25="","",Alderney!G25)</f>
        <v>10</v>
      </c>
      <c r="F67" s="181" t="str">
        <f>IF(Alderney!H25=0,"",Alderney!H25)</f>
        <v/>
      </c>
      <c r="G67" s="186">
        <f>IF(Alderney!I25=0,"",Alderney!I25)</f>
        <v>10</v>
      </c>
      <c r="H67" s="186">
        <f>IF(Alderney!J25=0,"",Alderney!J25)</f>
        <v>10</v>
      </c>
      <c r="I67" s="252">
        <f>IF(Alderney!K25=0,"",Alderney!K25)</f>
        <v>40</v>
      </c>
      <c r="J67" s="163">
        <f>IF(Alderney!M25="","",(Alderney!M25))</f>
        <v>16.579999999999998</v>
      </c>
      <c r="K67" s="163">
        <f>IF(Alderney!N25="","",(Alderney!N25))</f>
        <v>14.65</v>
      </c>
      <c r="L67" s="163">
        <f>IF(Alderney!O25="","",(Alderney!O25))</f>
        <v>15.02</v>
      </c>
      <c r="M67" s="163">
        <f>IF(Alderney!P25="","",(Alderney!P25))</f>
        <v>17.95</v>
      </c>
      <c r="N67" s="163">
        <f>IF(Alderney!Q25="","",(Alderney!Q25))</f>
        <v>19.68</v>
      </c>
      <c r="O67" s="163">
        <f>IF(Alderney!R25="","",(Alderney!R25))</f>
        <v>15.6</v>
      </c>
      <c r="P67" s="163">
        <f>IF(Alderney!S25="","",(Alderney!S25))</f>
        <v>15.65</v>
      </c>
      <c r="Q67" s="163" t="str">
        <f>IF(Alderney!T25="","",(Alderney!T25))</f>
        <v/>
      </c>
      <c r="R67" s="163" t="str">
        <f>IF(Alderney!U25="","",(Alderney!U25))</f>
        <v/>
      </c>
      <c r="S67" s="163">
        <f>IF(Alderney!V25="","",(Alderney!V25))</f>
        <v>19.2</v>
      </c>
      <c r="T67" s="163" t="str">
        <f>IF(Alderney!W25="","",(Alderney!W25))</f>
        <v/>
      </c>
      <c r="U67" s="163">
        <f>IF(Alderney!X25="","",(Alderney!X25))</f>
        <v>18.95</v>
      </c>
      <c r="V67" s="163">
        <f>IF(Alderney!Y25="","",(Alderney!Y25))</f>
        <v>18.600000000000001</v>
      </c>
      <c r="W67" s="186">
        <f>IF(Alderney!AA25=0,"",(Alderney!AA25))</f>
        <v>1</v>
      </c>
      <c r="X67" s="244">
        <f>IF(Alderney!AB25=0,"",(Alderney!AB25))</f>
        <v>17.187999999999995</v>
      </c>
      <c r="Y67" s="245">
        <f>IF(Alderney!AC25=0,"",(Alderney!AC25))</f>
        <v>17.187999999999995</v>
      </c>
      <c r="AA67" s="246">
        <f>Y67</f>
        <v>17.187999999999995</v>
      </c>
      <c r="AB67" s="243">
        <f>X67</f>
        <v>17.187999999999995</v>
      </c>
      <c r="AC67" s="185" t="str">
        <f>C67</f>
        <v>Connor Morris</v>
      </c>
      <c r="AD67" s="185" t="str">
        <f>LEFT($B$49,3)</f>
        <v>Aly</v>
      </c>
      <c r="AE67" s="185">
        <f t="shared" ref="AE67:AY67" si="30">E67</f>
        <v>10</v>
      </c>
      <c r="AF67" s="185" t="str">
        <f t="shared" si="30"/>
        <v/>
      </c>
      <c r="AG67" s="247">
        <f t="shared" si="30"/>
        <v>10</v>
      </c>
      <c r="AH67" s="247">
        <f t="shared" si="30"/>
        <v>10</v>
      </c>
      <c r="AI67" s="247">
        <f t="shared" si="30"/>
        <v>40</v>
      </c>
      <c r="AJ67" s="243">
        <f t="shared" si="30"/>
        <v>16.579999999999998</v>
      </c>
      <c r="AK67" s="243">
        <f t="shared" si="30"/>
        <v>14.65</v>
      </c>
      <c r="AL67" s="243">
        <f t="shared" si="30"/>
        <v>15.02</v>
      </c>
      <c r="AM67" s="243">
        <f t="shared" si="30"/>
        <v>17.95</v>
      </c>
      <c r="AN67" s="243">
        <f t="shared" si="30"/>
        <v>19.68</v>
      </c>
      <c r="AO67" s="243">
        <f t="shared" si="30"/>
        <v>15.6</v>
      </c>
      <c r="AP67" s="243">
        <f t="shared" si="30"/>
        <v>15.65</v>
      </c>
      <c r="AQ67" s="243" t="str">
        <f t="shared" si="30"/>
        <v/>
      </c>
      <c r="AR67" s="243" t="str">
        <f t="shared" si="30"/>
        <v/>
      </c>
      <c r="AS67" s="243">
        <f t="shared" si="30"/>
        <v>19.2</v>
      </c>
      <c r="AT67" s="243" t="str">
        <f t="shared" si="30"/>
        <v/>
      </c>
      <c r="AU67" s="243">
        <f t="shared" si="30"/>
        <v>18.95</v>
      </c>
      <c r="AV67" s="243">
        <f t="shared" si="30"/>
        <v>18.600000000000001</v>
      </c>
      <c r="AW67" s="247">
        <f t="shared" si="30"/>
        <v>1</v>
      </c>
      <c r="AX67" s="243">
        <f t="shared" si="30"/>
        <v>17.187999999999995</v>
      </c>
      <c r="AY67" s="248">
        <f t="shared" si="30"/>
        <v>17.187999999999995</v>
      </c>
    </row>
    <row r="68" spans="2:51" ht="12" customHeight="1" x14ac:dyDescent="0.2">
      <c r="B68" s="266"/>
      <c r="C68" s="272"/>
      <c r="D68" s="235"/>
      <c r="E68" s="239"/>
      <c r="F68" s="182"/>
      <c r="G68" s="182"/>
      <c r="H68" s="182"/>
      <c r="I68" s="233"/>
      <c r="J68" s="41" t="str">
        <f>IF(Alderney!M26="","",(Alderney!M26))</f>
        <v>1*4</v>
      </c>
      <c r="K68" s="41" t="str">
        <f>IF(Alderney!N26="","",(Alderney!N26))</f>
        <v>0*4</v>
      </c>
      <c r="L68" s="41" t="str">
        <f>IF(Alderney!O26="","",(Alderney!O26))</f>
        <v>1*4</v>
      </c>
      <c r="M68" s="41" t="str">
        <f>IF(Alderney!P26="","",(Alderney!P26))</f>
        <v>2*4</v>
      </c>
      <c r="N68" s="41" t="str">
        <f>IF(Alderney!Q26="","",(Alderney!Q26))</f>
        <v>1*4(1)</v>
      </c>
      <c r="O68" s="41" t="str">
        <f>IF(Alderney!R26="","",(Alderney!R26))</f>
        <v>0*4</v>
      </c>
      <c r="P68" s="41" t="str">
        <f>IF(Alderney!S26="","",(Alderney!S26))</f>
        <v>0*4</v>
      </c>
      <c r="Q68" s="41" t="str">
        <f>IF(Alderney!T26="","",(Alderney!T26))</f>
        <v/>
      </c>
      <c r="R68" s="41" t="str">
        <f>IF(Alderney!U26="","",(Alderney!U26))</f>
        <v/>
      </c>
      <c r="S68" s="41" t="str">
        <f>IF(Alderney!V26="","",(Alderney!V26))</f>
        <v>1*4</v>
      </c>
      <c r="T68" s="41" t="str">
        <f>IF(Alderney!W26="","",(Alderney!W26))</f>
        <v/>
      </c>
      <c r="U68" s="41" t="str">
        <f>IF(Alderney!X26="","",(Alderney!X26))</f>
        <v>1*4</v>
      </c>
      <c r="V68" s="41" t="str">
        <f>IF(Alderney!Y26="","",(Alderney!Y26))</f>
        <v>3*4</v>
      </c>
      <c r="W68" s="182"/>
      <c r="X68" s="182"/>
      <c r="Y68" s="233"/>
      <c r="AA68" s="239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233"/>
    </row>
    <row r="69" spans="2:51" ht="12" customHeight="1" x14ac:dyDescent="0.2">
      <c r="B69" s="266"/>
      <c r="C69" s="271" t="str">
        <f>IF(Alderney!E27="","",Alderney!E27)</f>
        <v>Aaron Eyres</v>
      </c>
      <c r="D69" s="259" t="str">
        <f>LEFT($B$49,3)</f>
        <v>Aly</v>
      </c>
      <c r="E69" s="251">
        <f>IF(Alderney!G27="","",Alderney!G27)</f>
        <v>8</v>
      </c>
      <c r="F69" s="181" t="str">
        <f>IF(Alderney!H27=0,"",Alderney!H27)</f>
        <v/>
      </c>
      <c r="G69" s="186">
        <f>IF(Alderney!I27=0,"",Alderney!I27)</f>
        <v>8</v>
      </c>
      <c r="H69" s="186">
        <f>IF(Alderney!J27=0,"",Alderney!J27)</f>
        <v>6</v>
      </c>
      <c r="I69" s="252">
        <f>IF(Alderney!K27=0,"",Alderney!K27)</f>
        <v>32</v>
      </c>
      <c r="J69" s="163" t="str">
        <f>IF(Alderney!M27="","",(Alderney!M27))</f>
        <v/>
      </c>
      <c r="K69" s="163" t="str">
        <f>IF(Alderney!N27="","",(Alderney!N27))</f>
        <v/>
      </c>
      <c r="L69" s="163" t="str">
        <f>IF(Alderney!O27="","",(Alderney!O27))</f>
        <v/>
      </c>
      <c r="M69" s="163" t="str">
        <f>IF(Alderney!P27="","",(Alderney!P27))</f>
        <v/>
      </c>
      <c r="N69" s="163" t="str">
        <f>IF(Alderney!Q27="","",(Alderney!Q27))</f>
        <v/>
      </c>
      <c r="O69" s="163">
        <f>IF(Alderney!R27="","",(Alderney!R27))</f>
        <v>13.84</v>
      </c>
      <c r="P69" s="163">
        <f>IF(Alderney!S27="","",(Alderney!S27))</f>
        <v>16.2</v>
      </c>
      <c r="Q69" s="163">
        <f>IF(Alderney!T27="","",(Alderney!T27))</f>
        <v>18.489999999999998</v>
      </c>
      <c r="R69" s="163">
        <f>IF(Alderney!U27="","",(Alderney!U27))</f>
        <v>21.04</v>
      </c>
      <c r="S69" s="163">
        <f>IF(Alderney!V27="","",(Alderney!V27))</f>
        <v>15.41</v>
      </c>
      <c r="T69" s="163">
        <f>IF(Alderney!W27="","",(Alderney!W27))</f>
        <v>19.43</v>
      </c>
      <c r="U69" s="163">
        <f>IF(Alderney!X27="","",(Alderney!X27))</f>
        <v>19.11</v>
      </c>
      <c r="V69" s="163">
        <f>IF(Alderney!Y27="","",(Alderney!Y27))</f>
        <v>17.68</v>
      </c>
      <c r="W69" s="186" t="str">
        <f>IF(Alderney!AA27=0,"",(Alderney!AA27))</f>
        <v/>
      </c>
      <c r="X69" s="244">
        <f>IF(Alderney!AB27=0,"",(Alderney!AB27))</f>
        <v>17.649999999999999</v>
      </c>
      <c r="Y69" s="245">
        <f>IF(Alderney!AC27=0,"",(Alderney!AC27))</f>
        <v>17.649999999999999</v>
      </c>
      <c r="AA69" s="246">
        <f>Y69</f>
        <v>17.649999999999999</v>
      </c>
      <c r="AB69" s="243">
        <f>X69</f>
        <v>17.649999999999999</v>
      </c>
      <c r="AC69" s="185" t="str">
        <f>C69</f>
        <v>Aaron Eyres</v>
      </c>
      <c r="AD69" s="185" t="str">
        <f>LEFT($B$49,3)</f>
        <v>Aly</v>
      </c>
      <c r="AE69" s="185">
        <f t="shared" ref="AE69:AY69" si="31">E69</f>
        <v>8</v>
      </c>
      <c r="AF69" s="185" t="str">
        <f t="shared" si="31"/>
        <v/>
      </c>
      <c r="AG69" s="247">
        <f t="shared" si="31"/>
        <v>8</v>
      </c>
      <c r="AH69" s="247">
        <f t="shared" si="31"/>
        <v>6</v>
      </c>
      <c r="AI69" s="247">
        <f t="shared" si="31"/>
        <v>32</v>
      </c>
      <c r="AJ69" s="243" t="str">
        <f t="shared" si="31"/>
        <v/>
      </c>
      <c r="AK69" s="243" t="str">
        <f t="shared" si="31"/>
        <v/>
      </c>
      <c r="AL69" s="243" t="str">
        <f t="shared" si="31"/>
        <v/>
      </c>
      <c r="AM69" s="243" t="str">
        <f t="shared" si="31"/>
        <v/>
      </c>
      <c r="AN69" s="243" t="str">
        <f t="shared" si="31"/>
        <v/>
      </c>
      <c r="AO69" s="243">
        <f t="shared" si="31"/>
        <v>13.84</v>
      </c>
      <c r="AP69" s="243">
        <f t="shared" si="31"/>
        <v>16.2</v>
      </c>
      <c r="AQ69" s="243">
        <f t="shared" si="31"/>
        <v>18.489999999999998</v>
      </c>
      <c r="AR69" s="243">
        <f t="shared" si="31"/>
        <v>21.04</v>
      </c>
      <c r="AS69" s="243">
        <f t="shared" si="31"/>
        <v>15.41</v>
      </c>
      <c r="AT69" s="243">
        <f t="shared" si="31"/>
        <v>19.43</v>
      </c>
      <c r="AU69" s="243">
        <f t="shared" si="31"/>
        <v>19.11</v>
      </c>
      <c r="AV69" s="243">
        <f t="shared" si="31"/>
        <v>17.68</v>
      </c>
      <c r="AW69" s="247" t="str">
        <f t="shared" si="31"/>
        <v/>
      </c>
      <c r="AX69" s="243">
        <f t="shared" si="31"/>
        <v>17.649999999999999</v>
      </c>
      <c r="AY69" s="248">
        <f t="shared" si="31"/>
        <v>17.649999999999999</v>
      </c>
    </row>
    <row r="70" spans="2:51" ht="12" customHeight="1" x14ac:dyDescent="0.2">
      <c r="B70" s="266"/>
      <c r="C70" s="272"/>
      <c r="D70" s="235"/>
      <c r="E70" s="239"/>
      <c r="F70" s="182"/>
      <c r="G70" s="182"/>
      <c r="H70" s="182"/>
      <c r="I70" s="233"/>
      <c r="J70" s="41" t="str">
        <f>IF(Alderney!M28="","",(Alderney!M28))</f>
        <v/>
      </c>
      <c r="K70" s="41" t="str">
        <f>IF(Alderney!N28="","",(Alderney!N28))</f>
        <v/>
      </c>
      <c r="L70" s="41" t="str">
        <f>IF(Alderney!O28="","",(Alderney!O28))</f>
        <v/>
      </c>
      <c r="M70" s="41" t="str">
        <f>IF(Alderney!P28="","",(Alderney!P28))</f>
        <v/>
      </c>
      <c r="N70" s="41" t="str">
        <f>IF(Alderney!Q28="","",(Alderney!Q28))</f>
        <v/>
      </c>
      <c r="O70" s="41" t="str">
        <f>IF(Alderney!R28="","",(Alderney!R28))</f>
        <v>2*4</v>
      </c>
      <c r="P70" s="41" t="str">
        <f>IF(Alderney!S28="","",(Alderney!S28))</f>
        <v>1*4</v>
      </c>
      <c r="Q70" s="41" t="str">
        <f>IF(Alderney!T28="","",(Alderney!T28))</f>
        <v>0*4</v>
      </c>
      <c r="R70" s="41" t="str">
        <f>IF(Alderney!U28="","",(Alderney!U28))</f>
        <v>0*4</v>
      </c>
      <c r="S70" s="41" t="str">
        <f>IF(Alderney!V28="","",(Alderney!V28))</f>
        <v>0*4</v>
      </c>
      <c r="T70" s="41" t="str">
        <f>IF(Alderney!W28="","",(Alderney!W28))</f>
        <v>0*4</v>
      </c>
      <c r="U70" s="41" t="str">
        <f>IF(Alderney!X28="","",(Alderney!X28))</f>
        <v>0*4</v>
      </c>
      <c r="V70" s="41" t="str">
        <f>IF(Alderney!Y28="","",(Alderney!Y28))</f>
        <v>3*4</v>
      </c>
      <c r="W70" s="182"/>
      <c r="X70" s="182"/>
      <c r="Y70" s="233"/>
      <c r="AA70" s="239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233"/>
    </row>
    <row r="71" spans="2:51" ht="12" customHeight="1" x14ac:dyDescent="0.2">
      <c r="B71" s="266"/>
      <c r="C71" s="271" t="str">
        <f>IF(Alderney!E29="","",Alderney!E29)</f>
        <v>Liam Roberts</v>
      </c>
      <c r="D71" s="259" t="str">
        <f>LEFT($B$49,3)</f>
        <v>Aly</v>
      </c>
      <c r="E71" s="251">
        <f>IF(Alderney!G29="","",Alderney!G29)</f>
        <v>6</v>
      </c>
      <c r="F71" s="181" t="str">
        <f>IF(Alderney!H29=0,"",Alderney!H29)</f>
        <v/>
      </c>
      <c r="G71" s="186">
        <f>IF(Alderney!I29=0,"",Alderney!I29)</f>
        <v>6</v>
      </c>
      <c r="H71" s="186">
        <f>IF(Alderney!J29=0,"",Alderney!J29)</f>
        <v>4</v>
      </c>
      <c r="I71" s="252">
        <f>IF(Alderney!K29=0,"",Alderney!K29)</f>
        <v>24</v>
      </c>
      <c r="J71" s="163" t="str">
        <f>IF(Alderney!M29="","",(Alderney!M29))</f>
        <v/>
      </c>
      <c r="K71" s="163" t="str">
        <f>IF(Alderney!N29="","",(Alderney!N29))</f>
        <v/>
      </c>
      <c r="L71" s="163" t="str">
        <f>IF(Alderney!O29="","",(Alderney!O29))</f>
        <v/>
      </c>
      <c r="M71" s="163" t="str">
        <f>IF(Alderney!P29="","",(Alderney!P29))</f>
        <v/>
      </c>
      <c r="N71" s="163" t="str">
        <f>IF(Alderney!Q29="","",(Alderney!Q29))</f>
        <v/>
      </c>
      <c r="O71" s="163">
        <f>IF(Alderney!R29="","",(Alderney!R29))</f>
        <v>19.670000000000002</v>
      </c>
      <c r="P71" s="163" t="str">
        <f>IF(Alderney!S29="","",(Alderney!S29))</f>
        <v/>
      </c>
      <c r="Q71" s="163">
        <f>IF(Alderney!T29="","",(Alderney!T29))</f>
        <v>15.34</v>
      </c>
      <c r="R71" s="163">
        <f>IF(Alderney!U29="","",(Alderney!U29))</f>
        <v>18.03</v>
      </c>
      <c r="S71" s="163">
        <f>IF(Alderney!V29="","",(Alderney!V29))</f>
        <v>15.99</v>
      </c>
      <c r="T71" s="163">
        <f>IF(Alderney!W29="","",(Alderney!W29))</f>
        <v>18.16</v>
      </c>
      <c r="U71" s="163" t="str">
        <f>IF(Alderney!X29="","",(Alderney!X29))</f>
        <v/>
      </c>
      <c r="V71" s="163">
        <f>IF(Alderney!Y29="","",(Alderney!Y29))</f>
        <v>15.63</v>
      </c>
      <c r="W71" s="186" t="str">
        <f>IF(Alderney!AA29=0,"",(Alderney!AA29))</f>
        <v/>
      </c>
      <c r="X71" s="244">
        <f>IF(Alderney!AB29=0,"",(Alderney!AB29))</f>
        <v>17.136666666666667</v>
      </c>
      <c r="Y71" s="245">
        <f>IF(Alderney!AC29=0,"",(Alderney!AC29))</f>
        <v>17.136666666666667</v>
      </c>
      <c r="AA71" s="246">
        <f>Y71</f>
        <v>17.136666666666667</v>
      </c>
      <c r="AB71" s="243">
        <f>X71</f>
        <v>17.136666666666667</v>
      </c>
      <c r="AC71" s="185" t="str">
        <f>C71</f>
        <v>Liam Roberts</v>
      </c>
      <c r="AD71" s="185" t="str">
        <f>LEFT($B$49,3)</f>
        <v>Aly</v>
      </c>
      <c r="AE71" s="185">
        <f t="shared" ref="AE71:AY71" si="32">E71</f>
        <v>6</v>
      </c>
      <c r="AF71" s="185" t="str">
        <f t="shared" si="32"/>
        <v/>
      </c>
      <c r="AG71" s="247">
        <f t="shared" si="32"/>
        <v>6</v>
      </c>
      <c r="AH71" s="247">
        <f t="shared" si="32"/>
        <v>4</v>
      </c>
      <c r="AI71" s="247">
        <f t="shared" si="32"/>
        <v>24</v>
      </c>
      <c r="AJ71" s="243" t="str">
        <f t="shared" si="32"/>
        <v/>
      </c>
      <c r="AK71" s="243" t="str">
        <f t="shared" si="32"/>
        <v/>
      </c>
      <c r="AL71" s="243" t="str">
        <f t="shared" si="32"/>
        <v/>
      </c>
      <c r="AM71" s="243" t="str">
        <f t="shared" si="32"/>
        <v/>
      </c>
      <c r="AN71" s="243" t="str">
        <f t="shared" si="32"/>
        <v/>
      </c>
      <c r="AO71" s="243">
        <f t="shared" si="32"/>
        <v>19.670000000000002</v>
      </c>
      <c r="AP71" s="243" t="str">
        <f t="shared" si="32"/>
        <v/>
      </c>
      <c r="AQ71" s="243">
        <f t="shared" si="32"/>
        <v>15.34</v>
      </c>
      <c r="AR71" s="243">
        <f t="shared" si="32"/>
        <v>18.03</v>
      </c>
      <c r="AS71" s="243">
        <f t="shared" si="32"/>
        <v>15.99</v>
      </c>
      <c r="AT71" s="243">
        <f t="shared" si="32"/>
        <v>18.16</v>
      </c>
      <c r="AU71" s="243" t="str">
        <f t="shared" si="32"/>
        <v/>
      </c>
      <c r="AV71" s="243">
        <f t="shared" si="32"/>
        <v>15.63</v>
      </c>
      <c r="AW71" s="247" t="str">
        <f t="shared" si="32"/>
        <v/>
      </c>
      <c r="AX71" s="243">
        <f t="shared" si="32"/>
        <v>17.136666666666667</v>
      </c>
      <c r="AY71" s="248">
        <f t="shared" si="32"/>
        <v>17.136666666666667</v>
      </c>
    </row>
    <row r="72" spans="2:51" ht="12" customHeight="1" x14ac:dyDescent="0.2">
      <c r="B72" s="266"/>
      <c r="C72" s="272"/>
      <c r="D72" s="235"/>
      <c r="E72" s="239"/>
      <c r="F72" s="182"/>
      <c r="G72" s="182"/>
      <c r="H72" s="182"/>
      <c r="I72" s="233"/>
      <c r="J72" s="41" t="str">
        <f>IF(Alderney!M30="","",(Alderney!M30))</f>
        <v/>
      </c>
      <c r="K72" s="41" t="str">
        <f>IF(Alderney!N30="","",(Alderney!N30))</f>
        <v/>
      </c>
      <c r="L72" s="41" t="str">
        <f>IF(Alderney!O30="","",(Alderney!O30))</f>
        <v/>
      </c>
      <c r="M72" s="41" t="str">
        <f>IF(Alderney!P30="","",(Alderney!P30))</f>
        <v/>
      </c>
      <c r="N72" s="41" t="str">
        <f>IF(Alderney!Q30="","",(Alderney!Q30))</f>
        <v/>
      </c>
      <c r="O72" s="41" t="str">
        <f>IF(Alderney!R30="","",(Alderney!R30))</f>
        <v>2*4</v>
      </c>
      <c r="P72" s="41" t="str">
        <f>IF(Alderney!S30="","",(Alderney!S30))</f>
        <v/>
      </c>
      <c r="Q72" s="41" t="str">
        <f>IF(Alderney!T30="","",(Alderney!T30))</f>
        <v>0*4</v>
      </c>
      <c r="R72" s="41" t="str">
        <f>IF(Alderney!U30="","",(Alderney!U30))</f>
        <v>0*4</v>
      </c>
      <c r="S72" s="41" t="str">
        <f>IF(Alderney!V30="","",(Alderney!V30))</f>
        <v>0*4</v>
      </c>
      <c r="T72" s="41" t="str">
        <f>IF(Alderney!W30="","",(Alderney!W30))</f>
        <v>0*4</v>
      </c>
      <c r="U72" s="41" t="str">
        <f>IF(Alderney!X30="","",(Alderney!X30))</f>
        <v/>
      </c>
      <c r="V72" s="41" t="str">
        <f>IF(Alderney!Y30="","",(Alderney!Y30))</f>
        <v>2*4</v>
      </c>
      <c r="W72" s="182"/>
      <c r="X72" s="182"/>
      <c r="Y72" s="233"/>
      <c r="AA72" s="239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233"/>
    </row>
    <row r="73" spans="2:51" ht="12" customHeight="1" x14ac:dyDescent="0.2">
      <c r="B73" s="266"/>
      <c r="C73" s="271" t="str">
        <f>IF(Alderney!E31="","",Alderney!E31)</f>
        <v>Rhys Smith</v>
      </c>
      <c r="D73" s="259" t="str">
        <f>LEFT($B$49,3)</f>
        <v>Aly</v>
      </c>
      <c r="E73" s="251">
        <f>IF(Alderney!G31="","",Alderney!G31)</f>
        <v>1</v>
      </c>
      <c r="F73" s="181">
        <f>IF(Alderney!H31=0,"",Alderney!H31)</f>
        <v>1</v>
      </c>
      <c r="G73" s="181" t="str">
        <f>IF(Alderney!I31=0,"",Alderney!I31)</f>
        <v/>
      </c>
      <c r="H73" s="186">
        <f>IF(Alderney!J31=0,"",Alderney!J31)</f>
        <v>4</v>
      </c>
      <c r="I73" s="252">
        <f>IF(Alderney!K31=0,"",Alderney!K31)</f>
        <v>2</v>
      </c>
      <c r="J73" s="163" t="str">
        <f>IF(Alderney!M31="","",(Alderney!M31))</f>
        <v/>
      </c>
      <c r="K73" s="163" t="str">
        <f>IF(Alderney!N31="","",(Alderney!N31))</f>
        <v/>
      </c>
      <c r="L73" s="163" t="str">
        <f>IF(Alderney!O31="","",(Alderney!O31))</f>
        <v/>
      </c>
      <c r="M73" s="163" t="str">
        <f>IF(Alderney!P31="","",(Alderney!P31))</f>
        <v/>
      </c>
      <c r="N73" s="163" t="str">
        <f>IF(Alderney!Q31="","",(Alderney!Q31))</f>
        <v/>
      </c>
      <c r="O73" s="163" t="str">
        <f>IF(Alderney!R31="","",(Alderney!R31))</f>
        <v/>
      </c>
      <c r="P73" s="163" t="str">
        <f>IF(Alderney!S31="","",(Alderney!S31))</f>
        <v/>
      </c>
      <c r="Q73" s="163">
        <f>IF(Alderney!T31="","",(Alderney!T31))</f>
        <v>21.29</v>
      </c>
      <c r="R73" s="163" t="str">
        <f>IF(Alderney!U31="","",(Alderney!U31))</f>
        <v/>
      </c>
      <c r="S73" s="163" t="str">
        <f>IF(Alderney!V31="","",(Alderney!V31))</f>
        <v/>
      </c>
      <c r="T73" s="163" t="str">
        <f>IF(Alderney!W31="","",(Alderney!W31))</f>
        <v/>
      </c>
      <c r="U73" s="163" t="str">
        <f>IF(Alderney!X31="","",(Alderney!X31))</f>
        <v/>
      </c>
      <c r="V73" s="163" t="str">
        <f>IF(Alderney!Y31="","",(Alderney!Y31))</f>
        <v/>
      </c>
      <c r="W73" s="186" t="str">
        <f>IF(Alderney!AA31=0,"",(Alderney!AA31))</f>
        <v/>
      </c>
      <c r="X73" s="244">
        <f>IF(Alderney!AB31=0,"",(Alderney!AB31))</f>
        <v>21.29</v>
      </c>
      <c r="Y73" s="245">
        <f>IF(Alderney!AC31=0,"",(Alderney!AC31))</f>
        <v>22.29</v>
      </c>
      <c r="AA73" s="246">
        <f>Y73</f>
        <v>22.29</v>
      </c>
      <c r="AB73" s="243">
        <f>X73</f>
        <v>21.29</v>
      </c>
      <c r="AC73" s="185" t="str">
        <f>C73</f>
        <v>Rhys Smith</v>
      </c>
      <c r="AD73" s="185" t="str">
        <f>LEFT($B$49,3)</f>
        <v>Aly</v>
      </c>
      <c r="AE73" s="185">
        <f t="shared" ref="AE73:AY73" si="33">E73</f>
        <v>1</v>
      </c>
      <c r="AF73" s="185">
        <f t="shared" si="33"/>
        <v>1</v>
      </c>
      <c r="AG73" s="185" t="str">
        <f t="shared" si="33"/>
        <v/>
      </c>
      <c r="AH73" s="247">
        <f t="shared" si="33"/>
        <v>4</v>
      </c>
      <c r="AI73" s="247">
        <f t="shared" si="33"/>
        <v>2</v>
      </c>
      <c r="AJ73" s="243" t="str">
        <f t="shared" si="33"/>
        <v/>
      </c>
      <c r="AK73" s="243" t="str">
        <f t="shared" si="33"/>
        <v/>
      </c>
      <c r="AL73" s="243" t="str">
        <f t="shared" si="33"/>
        <v/>
      </c>
      <c r="AM73" s="243" t="str">
        <f t="shared" si="33"/>
        <v/>
      </c>
      <c r="AN73" s="243" t="str">
        <f t="shared" si="33"/>
        <v/>
      </c>
      <c r="AO73" s="243" t="str">
        <f t="shared" si="33"/>
        <v/>
      </c>
      <c r="AP73" s="243" t="str">
        <f t="shared" si="33"/>
        <v/>
      </c>
      <c r="AQ73" s="243">
        <f t="shared" si="33"/>
        <v>21.29</v>
      </c>
      <c r="AR73" s="243" t="str">
        <f t="shared" si="33"/>
        <v/>
      </c>
      <c r="AS73" s="243" t="str">
        <f t="shared" si="33"/>
        <v/>
      </c>
      <c r="AT73" s="243" t="str">
        <f t="shared" si="33"/>
        <v/>
      </c>
      <c r="AU73" s="243" t="str">
        <f t="shared" si="33"/>
        <v/>
      </c>
      <c r="AV73" s="243" t="str">
        <f t="shared" si="33"/>
        <v/>
      </c>
      <c r="AW73" s="247" t="str">
        <f t="shared" si="33"/>
        <v/>
      </c>
      <c r="AX73" s="243">
        <f t="shared" si="33"/>
        <v>21.29</v>
      </c>
      <c r="AY73" s="248">
        <f t="shared" si="33"/>
        <v>22.29</v>
      </c>
    </row>
    <row r="74" spans="2:51" ht="12" customHeight="1" x14ac:dyDescent="0.2">
      <c r="B74" s="266"/>
      <c r="C74" s="272"/>
      <c r="D74" s="235"/>
      <c r="E74" s="239"/>
      <c r="F74" s="182"/>
      <c r="G74" s="182"/>
      <c r="H74" s="182"/>
      <c r="I74" s="233"/>
      <c r="J74" s="41" t="str">
        <f>IF(Alderney!M32="","",(Alderney!M32))</f>
        <v/>
      </c>
      <c r="K74" s="41" t="str">
        <f>IF(Alderney!N32="","",(Alderney!N32))</f>
        <v/>
      </c>
      <c r="L74" s="41" t="str">
        <f>IF(Alderney!O32="","",(Alderney!O32))</f>
        <v/>
      </c>
      <c r="M74" s="41" t="str">
        <f>IF(Alderney!P32="","",(Alderney!P32))</f>
        <v/>
      </c>
      <c r="N74" s="41" t="str">
        <f>IF(Alderney!Q32="","",(Alderney!Q32))</f>
        <v/>
      </c>
      <c r="O74" s="41" t="str">
        <f>IF(Alderney!R32="","",(Alderney!R32))</f>
        <v/>
      </c>
      <c r="P74" s="41" t="str">
        <f>IF(Alderney!S32="","",(Alderney!S32))</f>
        <v/>
      </c>
      <c r="Q74" s="41" t="str">
        <f>IF(Alderney!T32="","",(Alderney!T32))</f>
        <v>4*2</v>
      </c>
      <c r="R74" s="41" t="str">
        <f>IF(Alderney!U32="","",(Alderney!U32))</f>
        <v/>
      </c>
      <c r="S74" s="41" t="str">
        <f>IF(Alderney!V32="","",(Alderney!V32))</f>
        <v/>
      </c>
      <c r="T74" s="41" t="str">
        <f>IF(Alderney!W32="","",(Alderney!W32))</f>
        <v/>
      </c>
      <c r="U74" s="41" t="str">
        <f>IF(Alderney!X32="","",(Alderney!X32))</f>
        <v/>
      </c>
      <c r="V74" s="41" t="str">
        <f>IF(Alderney!Y32="","",(Alderney!Y32))</f>
        <v/>
      </c>
      <c r="W74" s="182"/>
      <c r="X74" s="182"/>
      <c r="Y74" s="233"/>
      <c r="AA74" s="239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233"/>
    </row>
    <row r="75" spans="2:51" ht="12" customHeight="1" x14ac:dyDescent="0.2">
      <c r="B75" s="266"/>
      <c r="C75" s="271" t="str">
        <f>IF(Alderney!E33="","",Alderney!E33)</f>
        <v/>
      </c>
      <c r="D75" s="259" t="str">
        <f>LEFT($B$49,3)</f>
        <v>Aly</v>
      </c>
      <c r="E75" s="251" t="str">
        <f>IF(Alderney!G33="","",Alderney!G33)</f>
        <v/>
      </c>
      <c r="F75" s="181" t="str">
        <f>IF(Alderney!H33=0,"",Alderney!H33)</f>
        <v/>
      </c>
      <c r="G75" s="181" t="str">
        <f>IF(Alderney!I33=0,"",Alderney!I33)</f>
        <v/>
      </c>
      <c r="H75" s="181" t="str">
        <f>IF(Alderney!J33=0,"",Alderney!J33)</f>
        <v/>
      </c>
      <c r="I75" s="250" t="str">
        <f>IF(Alderney!K33=0,"",Alderney!K33)</f>
        <v/>
      </c>
      <c r="J75" s="163" t="str">
        <f>IF(Alderney!M33="","",(Alderney!M33))</f>
        <v/>
      </c>
      <c r="K75" s="163" t="str">
        <f>IF(Alderney!N33="","",(Alderney!N33))</f>
        <v/>
      </c>
      <c r="L75" s="163" t="str">
        <f>IF(Alderney!O33="","",(Alderney!O33))</f>
        <v/>
      </c>
      <c r="M75" s="163" t="str">
        <f>IF(Alderney!P33="","",(Alderney!P33))</f>
        <v/>
      </c>
      <c r="N75" s="163" t="str">
        <f>IF(Alderney!Q33="","",(Alderney!Q33))</f>
        <v/>
      </c>
      <c r="O75" s="163" t="str">
        <f>IF(Alderney!R33="","",(Alderney!R33))</f>
        <v/>
      </c>
      <c r="P75" s="163" t="str">
        <f>IF(Alderney!S33="","",(Alderney!S33))</f>
        <v/>
      </c>
      <c r="Q75" s="163" t="str">
        <f>IF(Alderney!T33="","",(Alderney!T33))</f>
        <v/>
      </c>
      <c r="R75" s="163" t="str">
        <f>IF(Alderney!U33="","",(Alderney!U33))</f>
        <v/>
      </c>
      <c r="S75" s="163" t="str">
        <f>IF(Alderney!V33="","",(Alderney!V33))</f>
        <v/>
      </c>
      <c r="T75" s="163" t="str">
        <f>IF(Alderney!W33="","",(Alderney!W33))</f>
        <v/>
      </c>
      <c r="U75" s="163" t="str">
        <f>IF(Alderney!X33="","",(Alderney!X33))</f>
        <v/>
      </c>
      <c r="V75" s="163" t="str">
        <f>IF(Alderney!Y33="","",(Alderney!Y33))</f>
        <v/>
      </c>
      <c r="W75" s="186" t="str">
        <f>IF(Alderney!AA33=0,"",(Alderney!AA33))</f>
        <v/>
      </c>
      <c r="X75" s="244" t="str">
        <f>IF(Alderney!AB33=0,"",(Alderney!AB33))</f>
        <v/>
      </c>
      <c r="Y75" s="245" t="str">
        <f>IF(Alderney!AC33=0,"",(Alderney!AC33))</f>
        <v/>
      </c>
      <c r="AA75" s="246" t="str">
        <f>Y75</f>
        <v/>
      </c>
      <c r="AB75" s="243" t="str">
        <f>X75</f>
        <v/>
      </c>
      <c r="AC75" s="185" t="str">
        <f>C75</f>
        <v/>
      </c>
      <c r="AD75" s="185" t="str">
        <f>LEFT($B$49,3)</f>
        <v>Aly</v>
      </c>
      <c r="AE75" s="185" t="str">
        <f t="shared" ref="AE75:AY75" si="34">E75</f>
        <v/>
      </c>
      <c r="AF75" s="185" t="str">
        <f t="shared" si="34"/>
        <v/>
      </c>
      <c r="AG75" s="185" t="str">
        <f t="shared" si="34"/>
        <v/>
      </c>
      <c r="AH75" s="185" t="str">
        <f t="shared" si="34"/>
        <v/>
      </c>
      <c r="AI75" s="185" t="str">
        <f t="shared" si="34"/>
        <v/>
      </c>
      <c r="AJ75" s="243" t="str">
        <f t="shared" si="34"/>
        <v/>
      </c>
      <c r="AK75" s="243" t="str">
        <f t="shared" si="34"/>
        <v/>
      </c>
      <c r="AL75" s="243" t="str">
        <f t="shared" si="34"/>
        <v/>
      </c>
      <c r="AM75" s="243" t="str">
        <f t="shared" si="34"/>
        <v/>
      </c>
      <c r="AN75" s="243" t="str">
        <f t="shared" si="34"/>
        <v/>
      </c>
      <c r="AO75" s="243" t="str">
        <f t="shared" si="34"/>
        <v/>
      </c>
      <c r="AP75" s="243" t="str">
        <f t="shared" si="34"/>
        <v/>
      </c>
      <c r="AQ75" s="243" t="str">
        <f t="shared" si="34"/>
        <v/>
      </c>
      <c r="AR75" s="243" t="str">
        <f t="shared" si="34"/>
        <v/>
      </c>
      <c r="AS75" s="243" t="str">
        <f t="shared" si="34"/>
        <v/>
      </c>
      <c r="AT75" s="243" t="str">
        <f t="shared" si="34"/>
        <v/>
      </c>
      <c r="AU75" s="243" t="str">
        <f t="shared" si="34"/>
        <v/>
      </c>
      <c r="AV75" s="243" t="str">
        <f t="shared" si="34"/>
        <v/>
      </c>
      <c r="AW75" s="247" t="str">
        <f t="shared" si="34"/>
        <v/>
      </c>
      <c r="AX75" s="243" t="str">
        <f t="shared" si="34"/>
        <v/>
      </c>
      <c r="AY75" s="248" t="str">
        <f t="shared" si="34"/>
        <v/>
      </c>
    </row>
    <row r="76" spans="2:51" ht="12" customHeight="1" x14ac:dyDescent="0.2">
      <c r="B76" s="266"/>
      <c r="C76" s="272"/>
      <c r="D76" s="235"/>
      <c r="E76" s="239"/>
      <c r="F76" s="182"/>
      <c r="G76" s="182"/>
      <c r="H76" s="182"/>
      <c r="I76" s="233"/>
      <c r="J76" s="41" t="str">
        <f>IF(Alderney!M34="","",(Alderney!M34))</f>
        <v/>
      </c>
      <c r="K76" s="41" t="str">
        <f>IF(Alderney!N34="","",(Alderney!N34))</f>
        <v/>
      </c>
      <c r="L76" s="41" t="str">
        <f>IF(Alderney!O34="","",(Alderney!O34))</f>
        <v/>
      </c>
      <c r="M76" s="41" t="str">
        <f>IF(Alderney!P34="","",(Alderney!P34))</f>
        <v/>
      </c>
      <c r="N76" s="41" t="str">
        <f>IF(Alderney!Q34="","",(Alderney!Q34))</f>
        <v/>
      </c>
      <c r="O76" s="41" t="str">
        <f>IF(Alderney!R34="","",(Alderney!R34))</f>
        <v/>
      </c>
      <c r="P76" s="41" t="str">
        <f>IF(Alderney!S34="","",(Alderney!S34))</f>
        <v/>
      </c>
      <c r="Q76" s="41" t="str">
        <f>IF(Alderney!T34="","",(Alderney!T34))</f>
        <v/>
      </c>
      <c r="R76" s="41" t="str">
        <f>IF(Alderney!U34="","",(Alderney!U34))</f>
        <v/>
      </c>
      <c r="S76" s="41" t="str">
        <f>IF(Alderney!V34="","",(Alderney!V34))</f>
        <v/>
      </c>
      <c r="T76" s="41" t="str">
        <f>IF(Alderney!W34="","",(Alderney!W34))</f>
        <v/>
      </c>
      <c r="U76" s="41" t="str">
        <f>IF(Alderney!X34="","",(Alderney!X34))</f>
        <v/>
      </c>
      <c r="V76" s="41" t="str">
        <f>IF(Alderney!Y34="","",(Alderney!Y34))</f>
        <v/>
      </c>
      <c r="W76" s="182"/>
      <c r="X76" s="182"/>
      <c r="Y76" s="233"/>
      <c r="AA76" s="239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233"/>
    </row>
    <row r="77" spans="2:51" ht="12" customHeight="1" x14ac:dyDescent="0.2">
      <c r="B77" s="266"/>
      <c r="C77" s="271" t="str">
        <f>IF(Alderney!E35="","",Alderney!E35)</f>
        <v/>
      </c>
      <c r="D77" s="259" t="str">
        <f>LEFT($B$49,3)</f>
        <v>Aly</v>
      </c>
      <c r="E77" s="251" t="str">
        <f>IF(Alderney!G35="","",Alderney!G35)</f>
        <v/>
      </c>
      <c r="F77" s="181" t="str">
        <f>IF(Alderney!H35=0,"",Alderney!H35)</f>
        <v/>
      </c>
      <c r="G77" s="181" t="str">
        <f>IF(Alderney!I35=0,"",Alderney!I35)</f>
        <v/>
      </c>
      <c r="H77" s="181" t="str">
        <f>IF(Alderney!J35=0,"",Alderney!J35)</f>
        <v/>
      </c>
      <c r="I77" s="250" t="str">
        <f>IF(Alderney!K35=0,"",Alderney!K35)</f>
        <v/>
      </c>
      <c r="J77" s="163" t="str">
        <f>IF(Alderney!M35="","",(Alderney!M35))</f>
        <v/>
      </c>
      <c r="K77" s="163" t="str">
        <f>IF(Alderney!N35="","",(Alderney!N35))</f>
        <v/>
      </c>
      <c r="L77" s="163" t="str">
        <f>IF(Alderney!O35="","",(Alderney!O35))</f>
        <v/>
      </c>
      <c r="M77" s="163" t="str">
        <f>IF(Alderney!P35="","",(Alderney!P35))</f>
        <v/>
      </c>
      <c r="N77" s="163" t="str">
        <f>IF(Alderney!Q35="","",(Alderney!Q35))</f>
        <v/>
      </c>
      <c r="O77" s="163" t="str">
        <f>IF(Alderney!R35="","",(Alderney!R35))</f>
        <v/>
      </c>
      <c r="P77" s="163" t="str">
        <f>IF(Alderney!S35="","",(Alderney!S35))</f>
        <v/>
      </c>
      <c r="Q77" s="163" t="str">
        <f>IF(Alderney!T35="","",(Alderney!T35))</f>
        <v/>
      </c>
      <c r="R77" s="163" t="str">
        <f>IF(Alderney!U35="","",(Alderney!U35))</f>
        <v/>
      </c>
      <c r="S77" s="163" t="str">
        <f>IF(Alderney!V35="","",(Alderney!V35))</f>
        <v/>
      </c>
      <c r="T77" s="163" t="str">
        <f>IF(Alderney!W35="","",(Alderney!W35))</f>
        <v/>
      </c>
      <c r="U77" s="163" t="str">
        <f>IF(Alderney!X35="","",(Alderney!X35))</f>
        <v/>
      </c>
      <c r="V77" s="163" t="str">
        <f>IF(Alderney!Y35="","",(Alderney!Y35))</f>
        <v/>
      </c>
      <c r="W77" s="186" t="str">
        <f>IF(Alderney!AA35=0,"",(Alderney!AA35))</f>
        <v/>
      </c>
      <c r="X77" s="244" t="str">
        <f>IF(Alderney!AB35=0,"",(Alderney!AB35))</f>
        <v/>
      </c>
      <c r="Y77" s="245" t="str">
        <f>IF(Alderney!AC35=0,"",(Alderney!AC35))</f>
        <v/>
      </c>
      <c r="AA77" s="246" t="str">
        <f>Y77</f>
        <v/>
      </c>
      <c r="AB77" s="243" t="str">
        <f>X77</f>
        <v/>
      </c>
      <c r="AC77" s="185" t="str">
        <f>C77</f>
        <v/>
      </c>
      <c r="AD77" s="185" t="str">
        <f>LEFT($B$49,3)</f>
        <v>Aly</v>
      </c>
      <c r="AE77" s="185" t="str">
        <f t="shared" ref="AE77:AY77" si="35">E77</f>
        <v/>
      </c>
      <c r="AF77" s="185" t="str">
        <f t="shared" si="35"/>
        <v/>
      </c>
      <c r="AG77" s="185" t="str">
        <f t="shared" si="35"/>
        <v/>
      </c>
      <c r="AH77" s="185" t="str">
        <f t="shared" si="35"/>
        <v/>
      </c>
      <c r="AI77" s="185" t="str">
        <f t="shared" si="35"/>
        <v/>
      </c>
      <c r="AJ77" s="243" t="str">
        <f t="shared" si="35"/>
        <v/>
      </c>
      <c r="AK77" s="243" t="str">
        <f t="shared" si="35"/>
        <v/>
      </c>
      <c r="AL77" s="243" t="str">
        <f t="shared" si="35"/>
        <v/>
      </c>
      <c r="AM77" s="243" t="str">
        <f t="shared" si="35"/>
        <v/>
      </c>
      <c r="AN77" s="243" t="str">
        <f t="shared" si="35"/>
        <v/>
      </c>
      <c r="AO77" s="243" t="str">
        <f t="shared" si="35"/>
        <v/>
      </c>
      <c r="AP77" s="243" t="str">
        <f t="shared" si="35"/>
        <v/>
      </c>
      <c r="AQ77" s="243" t="str">
        <f t="shared" si="35"/>
        <v/>
      </c>
      <c r="AR77" s="243" t="str">
        <f t="shared" si="35"/>
        <v/>
      </c>
      <c r="AS77" s="243" t="str">
        <f t="shared" si="35"/>
        <v/>
      </c>
      <c r="AT77" s="243" t="str">
        <f t="shared" si="35"/>
        <v/>
      </c>
      <c r="AU77" s="243" t="str">
        <f t="shared" si="35"/>
        <v/>
      </c>
      <c r="AV77" s="243" t="str">
        <f t="shared" si="35"/>
        <v/>
      </c>
      <c r="AW77" s="247" t="str">
        <f t="shared" si="35"/>
        <v/>
      </c>
      <c r="AX77" s="243" t="str">
        <f t="shared" si="35"/>
        <v/>
      </c>
      <c r="AY77" s="248" t="str">
        <f t="shared" si="35"/>
        <v/>
      </c>
    </row>
    <row r="78" spans="2:51" ht="12" customHeight="1" x14ac:dyDescent="0.2">
      <c r="B78" s="266"/>
      <c r="C78" s="272"/>
      <c r="D78" s="235"/>
      <c r="E78" s="239"/>
      <c r="F78" s="182"/>
      <c r="G78" s="182"/>
      <c r="H78" s="182"/>
      <c r="I78" s="233"/>
      <c r="J78" s="41" t="str">
        <f>IF(Alderney!M36="","",(Alderney!M36))</f>
        <v/>
      </c>
      <c r="K78" s="41" t="str">
        <f>IF(Alderney!N36="","",(Alderney!N36))</f>
        <v/>
      </c>
      <c r="L78" s="41" t="str">
        <f>IF(Alderney!O36="","",(Alderney!O36))</f>
        <v/>
      </c>
      <c r="M78" s="41" t="str">
        <f>IF(Alderney!P36="","",(Alderney!P36))</f>
        <v/>
      </c>
      <c r="N78" s="41" t="str">
        <f>IF(Alderney!Q36="","",(Alderney!Q36))</f>
        <v/>
      </c>
      <c r="O78" s="41" t="str">
        <f>IF(Alderney!R36="","",(Alderney!R36))</f>
        <v/>
      </c>
      <c r="P78" s="41" t="str">
        <f>IF(Alderney!S36="","",(Alderney!S36))</f>
        <v/>
      </c>
      <c r="Q78" s="41" t="str">
        <f>IF(Alderney!T36="","",(Alderney!T36))</f>
        <v/>
      </c>
      <c r="R78" s="41" t="str">
        <f>IF(Alderney!U36="","",(Alderney!U36))</f>
        <v/>
      </c>
      <c r="S78" s="41" t="str">
        <f>IF(Alderney!V36="","",(Alderney!V36))</f>
        <v/>
      </c>
      <c r="T78" s="41" t="str">
        <f>IF(Alderney!W36="","",(Alderney!W36))</f>
        <v/>
      </c>
      <c r="U78" s="41" t="str">
        <f>IF(Alderney!X36="","",(Alderney!X36))</f>
        <v/>
      </c>
      <c r="V78" s="41" t="str">
        <f>IF(Alderney!Y36="","",(Alderney!Y36))</f>
        <v/>
      </c>
      <c r="W78" s="182"/>
      <c r="X78" s="182"/>
      <c r="Y78" s="233"/>
      <c r="AA78" s="239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233"/>
    </row>
    <row r="79" spans="2:51" ht="12" customHeight="1" x14ac:dyDescent="0.2">
      <c r="B79" s="266"/>
      <c r="C79" s="271" t="str">
        <f>IF(Alderney!E37="","",Alderney!E37)</f>
        <v/>
      </c>
      <c r="D79" s="259" t="str">
        <f>LEFT($B$49,3)</f>
        <v>Aly</v>
      </c>
      <c r="E79" s="251" t="str">
        <f>IF(Alderney!G37="","",Alderney!G37)</f>
        <v/>
      </c>
      <c r="F79" s="181" t="str">
        <f>IF(Alderney!H37=0,"",Alderney!H37)</f>
        <v/>
      </c>
      <c r="G79" s="181" t="str">
        <f>IF(Alderney!I37=0,"",Alderney!I37)</f>
        <v/>
      </c>
      <c r="H79" s="181" t="str">
        <f>IF(Alderney!J37=0,"",Alderney!J37)</f>
        <v/>
      </c>
      <c r="I79" s="250" t="str">
        <f>IF(Alderney!K37=0,"",Alderney!K37)</f>
        <v/>
      </c>
      <c r="J79" s="163" t="str">
        <f>IF(Alderney!M37="","",(Alderney!M37))</f>
        <v/>
      </c>
      <c r="K79" s="163" t="str">
        <f>IF(Alderney!N37="","",(Alderney!N37))</f>
        <v/>
      </c>
      <c r="L79" s="163" t="str">
        <f>IF(Alderney!O37="","",(Alderney!O37))</f>
        <v/>
      </c>
      <c r="M79" s="163" t="str">
        <f>IF(Alderney!P37="","",(Alderney!P37))</f>
        <v/>
      </c>
      <c r="N79" s="163" t="str">
        <f>IF(Alderney!Q37="","",(Alderney!Q37))</f>
        <v/>
      </c>
      <c r="O79" s="163" t="str">
        <f>IF(Alderney!R37="","",(Alderney!R37))</f>
        <v/>
      </c>
      <c r="P79" s="163" t="str">
        <f>IF(Alderney!S37="","",(Alderney!S37))</f>
        <v/>
      </c>
      <c r="Q79" s="163" t="str">
        <f>IF(Alderney!T37="","",(Alderney!T37))</f>
        <v/>
      </c>
      <c r="R79" s="163" t="str">
        <f>IF(Alderney!U37="","",(Alderney!U37))</f>
        <v/>
      </c>
      <c r="S79" s="163" t="str">
        <f>IF(Alderney!V37="","",(Alderney!V37))</f>
        <v/>
      </c>
      <c r="T79" s="163" t="str">
        <f>IF(Alderney!W37="","",(Alderney!W37))</f>
        <v/>
      </c>
      <c r="U79" s="163" t="str">
        <f>IF(Alderney!X37="","",(Alderney!X37))</f>
        <v/>
      </c>
      <c r="V79" s="163" t="str">
        <f>IF(Alderney!Y37="","",(Alderney!Y37))</f>
        <v/>
      </c>
      <c r="W79" s="186" t="str">
        <f>IF(Alderney!AA37=0,"",(Alderney!AA37))</f>
        <v/>
      </c>
      <c r="X79" s="244" t="str">
        <f>IF(Alderney!AB37=0,"",(Alderney!AB37))</f>
        <v/>
      </c>
      <c r="Y79" s="245" t="str">
        <f>IF(Alderney!AC37=0,"",(Alderney!AC37))</f>
        <v/>
      </c>
      <c r="AA79" s="246" t="str">
        <f>Y79</f>
        <v/>
      </c>
      <c r="AB79" s="243" t="str">
        <f>X79</f>
        <v/>
      </c>
      <c r="AC79" s="185" t="str">
        <f>C79</f>
        <v/>
      </c>
      <c r="AD79" s="185" t="str">
        <f>LEFT($B$49,3)</f>
        <v>Aly</v>
      </c>
      <c r="AE79" s="185" t="str">
        <f t="shared" ref="AE79:AY79" si="36">E79</f>
        <v/>
      </c>
      <c r="AF79" s="185" t="str">
        <f t="shared" si="36"/>
        <v/>
      </c>
      <c r="AG79" s="185" t="str">
        <f t="shared" si="36"/>
        <v/>
      </c>
      <c r="AH79" s="185" t="str">
        <f t="shared" si="36"/>
        <v/>
      </c>
      <c r="AI79" s="185" t="str">
        <f t="shared" si="36"/>
        <v/>
      </c>
      <c r="AJ79" s="243" t="str">
        <f t="shared" si="36"/>
        <v/>
      </c>
      <c r="AK79" s="243" t="str">
        <f t="shared" si="36"/>
        <v/>
      </c>
      <c r="AL79" s="243" t="str">
        <f t="shared" si="36"/>
        <v/>
      </c>
      <c r="AM79" s="243" t="str">
        <f t="shared" si="36"/>
        <v/>
      </c>
      <c r="AN79" s="243" t="str">
        <f t="shared" si="36"/>
        <v/>
      </c>
      <c r="AO79" s="243" t="str">
        <f t="shared" si="36"/>
        <v/>
      </c>
      <c r="AP79" s="243" t="str">
        <f t="shared" si="36"/>
        <v/>
      </c>
      <c r="AQ79" s="243" t="str">
        <f t="shared" si="36"/>
        <v/>
      </c>
      <c r="AR79" s="243" t="str">
        <f t="shared" si="36"/>
        <v/>
      </c>
      <c r="AS79" s="243" t="str">
        <f t="shared" si="36"/>
        <v/>
      </c>
      <c r="AT79" s="243" t="str">
        <f t="shared" si="36"/>
        <v/>
      </c>
      <c r="AU79" s="243" t="str">
        <f t="shared" si="36"/>
        <v/>
      </c>
      <c r="AV79" s="243" t="str">
        <f t="shared" si="36"/>
        <v/>
      </c>
      <c r="AW79" s="247" t="str">
        <f t="shared" si="36"/>
        <v/>
      </c>
      <c r="AX79" s="243" t="str">
        <f t="shared" si="36"/>
        <v/>
      </c>
      <c r="AY79" s="248" t="str">
        <f t="shared" si="36"/>
        <v/>
      </c>
    </row>
    <row r="80" spans="2:51" ht="12" customHeight="1" x14ac:dyDescent="0.2">
      <c r="B80" s="266"/>
      <c r="C80" s="272"/>
      <c r="D80" s="235"/>
      <c r="E80" s="239"/>
      <c r="F80" s="182"/>
      <c r="G80" s="182"/>
      <c r="H80" s="182"/>
      <c r="I80" s="233"/>
      <c r="J80" s="41" t="str">
        <f>IF(Alderney!M38="","",(Alderney!M38))</f>
        <v/>
      </c>
      <c r="K80" s="41" t="str">
        <f>IF(Alderney!N38="","",(Alderney!N38))</f>
        <v/>
      </c>
      <c r="L80" s="41" t="str">
        <f>IF(Alderney!O38="","",(Alderney!O38))</f>
        <v/>
      </c>
      <c r="M80" s="41" t="str">
        <f>IF(Alderney!P38="","",(Alderney!P38))</f>
        <v/>
      </c>
      <c r="N80" s="41" t="str">
        <f>IF(Alderney!Q38="","",(Alderney!Q38))</f>
        <v/>
      </c>
      <c r="O80" s="41" t="str">
        <f>IF(Alderney!R38="","",(Alderney!R38))</f>
        <v/>
      </c>
      <c r="P80" s="41" t="str">
        <f>IF(Alderney!S38="","",(Alderney!S38))</f>
        <v/>
      </c>
      <c r="Q80" s="41" t="str">
        <f>IF(Alderney!T38="","",(Alderney!T38))</f>
        <v/>
      </c>
      <c r="R80" s="41" t="str">
        <f>IF(Alderney!U38="","",(Alderney!U38))</f>
        <v/>
      </c>
      <c r="S80" s="41" t="str">
        <f>IF(Alderney!V38="","",(Alderney!V38))</f>
        <v/>
      </c>
      <c r="T80" s="41" t="str">
        <f>IF(Alderney!W38="","",(Alderney!W38))</f>
        <v/>
      </c>
      <c r="U80" s="41" t="str">
        <f>IF(Alderney!X38="","",(Alderney!X38))</f>
        <v/>
      </c>
      <c r="V80" s="41" t="str">
        <f>IF(Alderney!Y38="","",(Alderney!Y38))</f>
        <v/>
      </c>
      <c r="W80" s="182"/>
      <c r="X80" s="182"/>
      <c r="Y80" s="233"/>
      <c r="AA80" s="239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233"/>
    </row>
    <row r="81" spans="2:51" ht="12" customHeight="1" x14ac:dyDescent="0.2">
      <c r="B81" s="266"/>
      <c r="C81" s="271" t="str">
        <f>IF(Alderney!E39="","",Alderney!E39)</f>
        <v/>
      </c>
      <c r="D81" s="259" t="str">
        <f>LEFT($B$49,3)</f>
        <v>Aly</v>
      </c>
      <c r="E81" s="251" t="str">
        <f>IF(Alderney!G39="","",Alderney!G39)</f>
        <v/>
      </c>
      <c r="F81" s="181" t="str">
        <f>IF(Alderney!H39=0,"",Alderney!H39)</f>
        <v/>
      </c>
      <c r="G81" s="181" t="str">
        <f>IF(Alderney!I39=0,"",Alderney!I39)</f>
        <v/>
      </c>
      <c r="H81" s="181" t="str">
        <f>IF(Alderney!J39=0,"",Alderney!J39)</f>
        <v/>
      </c>
      <c r="I81" s="250" t="str">
        <f>IF(Alderney!K39=0,"",Alderney!K39)</f>
        <v/>
      </c>
      <c r="J81" s="163" t="str">
        <f>IF(Alderney!M39="","",(Alderney!M39))</f>
        <v/>
      </c>
      <c r="K81" s="163" t="str">
        <f>IF(Alderney!N39="","",(Alderney!N39))</f>
        <v/>
      </c>
      <c r="L81" s="163" t="str">
        <f>IF(Alderney!O39="","",(Alderney!O39))</f>
        <v/>
      </c>
      <c r="M81" s="163" t="str">
        <f>IF(Alderney!P39="","",(Alderney!P39))</f>
        <v/>
      </c>
      <c r="N81" s="163" t="str">
        <f>IF(Alderney!Q39="","",(Alderney!Q39))</f>
        <v/>
      </c>
      <c r="O81" s="163" t="str">
        <f>IF(Alderney!R39="","",(Alderney!R39))</f>
        <v/>
      </c>
      <c r="P81" s="163" t="str">
        <f>IF(Alderney!S39="","",(Alderney!S39))</f>
        <v/>
      </c>
      <c r="Q81" s="163" t="str">
        <f>IF(Alderney!T39="","",(Alderney!T39))</f>
        <v/>
      </c>
      <c r="R81" s="163" t="str">
        <f>IF(Alderney!U39="","",(Alderney!U39))</f>
        <v/>
      </c>
      <c r="S81" s="163" t="str">
        <f>IF(Alderney!V39="","",(Alderney!V39))</f>
        <v/>
      </c>
      <c r="T81" s="163" t="str">
        <f>IF(Alderney!W39="","",(Alderney!W39))</f>
        <v/>
      </c>
      <c r="U81" s="163" t="str">
        <f>IF(Alderney!X39="","",(Alderney!X39))</f>
        <v/>
      </c>
      <c r="V81" s="163" t="str">
        <f>IF(Alderney!Y39="","",(Alderney!Y39))</f>
        <v/>
      </c>
      <c r="W81" s="186" t="str">
        <f>IF(Alderney!AA39=0,"",(Alderney!AA39))</f>
        <v/>
      </c>
      <c r="X81" s="244" t="str">
        <f>IF(Alderney!AB39=0,"",(Alderney!AB39))</f>
        <v/>
      </c>
      <c r="Y81" s="245" t="str">
        <f>IF(Alderney!AC39=0,"",(Alderney!AC39))</f>
        <v/>
      </c>
      <c r="AA81" s="246" t="str">
        <f>Y81</f>
        <v/>
      </c>
      <c r="AB81" s="243" t="str">
        <f>X81</f>
        <v/>
      </c>
      <c r="AC81" s="185" t="str">
        <f>C81</f>
        <v/>
      </c>
      <c r="AD81" s="185" t="str">
        <f>LEFT($B$49,3)</f>
        <v>Aly</v>
      </c>
      <c r="AE81" s="185" t="str">
        <f t="shared" ref="AE81:AY81" si="37">E81</f>
        <v/>
      </c>
      <c r="AF81" s="185" t="str">
        <f t="shared" si="37"/>
        <v/>
      </c>
      <c r="AG81" s="185" t="str">
        <f t="shared" si="37"/>
        <v/>
      </c>
      <c r="AH81" s="185" t="str">
        <f t="shared" si="37"/>
        <v/>
      </c>
      <c r="AI81" s="185" t="str">
        <f t="shared" si="37"/>
        <v/>
      </c>
      <c r="AJ81" s="243" t="str">
        <f t="shared" si="37"/>
        <v/>
      </c>
      <c r="AK81" s="243" t="str">
        <f t="shared" si="37"/>
        <v/>
      </c>
      <c r="AL81" s="243" t="str">
        <f t="shared" si="37"/>
        <v/>
      </c>
      <c r="AM81" s="243" t="str">
        <f t="shared" si="37"/>
        <v/>
      </c>
      <c r="AN81" s="243" t="str">
        <f t="shared" si="37"/>
        <v/>
      </c>
      <c r="AO81" s="243" t="str">
        <f t="shared" si="37"/>
        <v/>
      </c>
      <c r="AP81" s="243" t="str">
        <f t="shared" si="37"/>
        <v/>
      </c>
      <c r="AQ81" s="243" t="str">
        <f t="shared" si="37"/>
        <v/>
      </c>
      <c r="AR81" s="243" t="str">
        <f t="shared" si="37"/>
        <v/>
      </c>
      <c r="AS81" s="243" t="str">
        <f t="shared" si="37"/>
        <v/>
      </c>
      <c r="AT81" s="243" t="str">
        <f t="shared" si="37"/>
        <v/>
      </c>
      <c r="AU81" s="243" t="str">
        <f t="shared" si="37"/>
        <v/>
      </c>
      <c r="AV81" s="243" t="str">
        <f t="shared" si="37"/>
        <v/>
      </c>
      <c r="AW81" s="247" t="str">
        <f t="shared" si="37"/>
        <v/>
      </c>
      <c r="AX81" s="243" t="str">
        <f t="shared" si="37"/>
        <v/>
      </c>
      <c r="AY81" s="248" t="str">
        <f t="shared" si="37"/>
        <v/>
      </c>
    </row>
    <row r="82" spans="2:51" ht="12" customHeight="1" x14ac:dyDescent="0.2">
      <c r="B82" s="266"/>
      <c r="C82" s="272"/>
      <c r="D82" s="235"/>
      <c r="E82" s="239"/>
      <c r="F82" s="182"/>
      <c r="G82" s="182"/>
      <c r="H82" s="182"/>
      <c r="I82" s="233"/>
      <c r="J82" s="41" t="str">
        <f>IF(Alderney!M40="","",(Alderney!M40))</f>
        <v/>
      </c>
      <c r="K82" s="41" t="str">
        <f>IF(Alderney!N40="","",(Alderney!N40))</f>
        <v/>
      </c>
      <c r="L82" s="41" t="str">
        <f>IF(Alderney!O40="","",(Alderney!O40))</f>
        <v/>
      </c>
      <c r="M82" s="41" t="str">
        <f>IF(Alderney!P40="","",(Alderney!P40))</f>
        <v/>
      </c>
      <c r="N82" s="41" t="str">
        <f>IF(Alderney!Q40="","",(Alderney!Q40))</f>
        <v/>
      </c>
      <c r="O82" s="41" t="str">
        <f>IF(Alderney!R40="","",(Alderney!R40))</f>
        <v/>
      </c>
      <c r="P82" s="41" t="str">
        <f>IF(Alderney!S40="","",(Alderney!S40))</f>
        <v/>
      </c>
      <c r="Q82" s="41" t="str">
        <f>IF(Alderney!T40="","",(Alderney!T40))</f>
        <v/>
      </c>
      <c r="R82" s="41" t="str">
        <f>IF(Alderney!U40="","",(Alderney!U40))</f>
        <v/>
      </c>
      <c r="S82" s="41" t="str">
        <f>IF(Alderney!V40="","",(Alderney!V40))</f>
        <v/>
      </c>
      <c r="T82" s="41" t="str">
        <f>IF(Alderney!W40="","",(Alderney!W40))</f>
        <v/>
      </c>
      <c r="U82" s="41" t="str">
        <f>IF(Alderney!X40="","",(Alderney!X40))</f>
        <v/>
      </c>
      <c r="V82" s="41" t="str">
        <f>IF(Alderney!Y40="","",(Alderney!Y40))</f>
        <v/>
      </c>
      <c r="W82" s="182"/>
      <c r="X82" s="182"/>
      <c r="Y82" s="233"/>
      <c r="AA82" s="239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233"/>
    </row>
    <row r="83" spans="2:51" ht="12" customHeight="1" x14ac:dyDescent="0.2">
      <c r="B83" s="266"/>
      <c r="C83" s="271" t="str">
        <f>IF(Alderney!E41="","",Alderney!E41)</f>
        <v/>
      </c>
      <c r="D83" s="259" t="str">
        <f>LEFT($B$49,3)</f>
        <v>Aly</v>
      </c>
      <c r="E83" s="251" t="str">
        <f>IF(Alderney!G41="","",Alderney!G41)</f>
        <v/>
      </c>
      <c r="F83" s="181" t="str">
        <f>IF(Alderney!H41=0,"",Alderney!H41)</f>
        <v/>
      </c>
      <c r="G83" s="181" t="str">
        <f>IF(Alderney!I41=0,"",Alderney!I41)</f>
        <v/>
      </c>
      <c r="H83" s="181" t="str">
        <f>IF(Alderney!J41=0,"",Alderney!J41)</f>
        <v/>
      </c>
      <c r="I83" s="250" t="str">
        <f>IF(Alderney!K41=0,"",Alderney!K41)</f>
        <v/>
      </c>
      <c r="J83" s="163" t="str">
        <f>IF(Alderney!M41="","",(Alderney!M41))</f>
        <v/>
      </c>
      <c r="K83" s="163" t="str">
        <f>IF(Alderney!N41="","",(Alderney!N41))</f>
        <v/>
      </c>
      <c r="L83" s="163" t="str">
        <f>IF(Alderney!O41="","",(Alderney!O41))</f>
        <v/>
      </c>
      <c r="M83" s="163" t="str">
        <f>IF(Alderney!P41="","",(Alderney!P41))</f>
        <v/>
      </c>
      <c r="N83" s="163" t="str">
        <f>IF(Alderney!Q41="","",(Alderney!Q41))</f>
        <v/>
      </c>
      <c r="O83" s="163" t="str">
        <f>IF(Alderney!R41="","",(Alderney!R41))</f>
        <v/>
      </c>
      <c r="P83" s="163" t="str">
        <f>IF(Alderney!S41="","",(Alderney!S41))</f>
        <v/>
      </c>
      <c r="Q83" s="163" t="str">
        <f>IF(Alderney!T41="","",(Alderney!T41))</f>
        <v/>
      </c>
      <c r="R83" s="163" t="str">
        <f>IF(Alderney!U41="","",(Alderney!U41))</f>
        <v/>
      </c>
      <c r="S83" s="163" t="str">
        <f>IF(Alderney!V41="","",(Alderney!V41))</f>
        <v/>
      </c>
      <c r="T83" s="163" t="str">
        <f>IF(Alderney!W41="","",(Alderney!W41))</f>
        <v/>
      </c>
      <c r="U83" s="163" t="str">
        <f>IF(Alderney!X41="","",(Alderney!X41))</f>
        <v/>
      </c>
      <c r="V83" s="163" t="str">
        <f>IF(Alderney!Y41="","",(Alderney!Y41))</f>
        <v/>
      </c>
      <c r="W83" s="186" t="str">
        <f>IF(Alderney!AA41=0,"",(Alderney!AA41))</f>
        <v/>
      </c>
      <c r="X83" s="244" t="str">
        <f>IF(Alderney!AB41=0,"",(Alderney!AB41))</f>
        <v/>
      </c>
      <c r="Y83" s="245" t="str">
        <f>IF(Alderney!AC41=0,"",(Alderney!AC41))</f>
        <v/>
      </c>
      <c r="AA83" s="246" t="str">
        <f>Y83</f>
        <v/>
      </c>
      <c r="AB83" s="243" t="str">
        <f>X83</f>
        <v/>
      </c>
      <c r="AC83" s="185" t="str">
        <f>C83</f>
        <v/>
      </c>
      <c r="AD83" s="185" t="str">
        <f>LEFT($B$49,3)</f>
        <v>Aly</v>
      </c>
      <c r="AE83" s="185" t="str">
        <f t="shared" ref="AE83:AY83" si="38">E83</f>
        <v/>
      </c>
      <c r="AF83" s="185" t="str">
        <f t="shared" si="38"/>
        <v/>
      </c>
      <c r="AG83" s="185" t="str">
        <f t="shared" si="38"/>
        <v/>
      </c>
      <c r="AH83" s="185" t="str">
        <f t="shared" si="38"/>
        <v/>
      </c>
      <c r="AI83" s="185" t="str">
        <f t="shared" si="38"/>
        <v/>
      </c>
      <c r="AJ83" s="243" t="str">
        <f t="shared" si="38"/>
        <v/>
      </c>
      <c r="AK83" s="243" t="str">
        <f t="shared" si="38"/>
        <v/>
      </c>
      <c r="AL83" s="243" t="str">
        <f t="shared" si="38"/>
        <v/>
      </c>
      <c r="AM83" s="243" t="str">
        <f t="shared" si="38"/>
        <v/>
      </c>
      <c r="AN83" s="243" t="str">
        <f t="shared" si="38"/>
        <v/>
      </c>
      <c r="AO83" s="243" t="str">
        <f t="shared" si="38"/>
        <v/>
      </c>
      <c r="AP83" s="243" t="str">
        <f t="shared" si="38"/>
        <v/>
      </c>
      <c r="AQ83" s="243" t="str">
        <f t="shared" si="38"/>
        <v/>
      </c>
      <c r="AR83" s="243" t="str">
        <f t="shared" si="38"/>
        <v/>
      </c>
      <c r="AS83" s="243" t="str">
        <f t="shared" si="38"/>
        <v/>
      </c>
      <c r="AT83" s="243" t="str">
        <f t="shared" si="38"/>
        <v/>
      </c>
      <c r="AU83" s="243" t="str">
        <f t="shared" si="38"/>
        <v/>
      </c>
      <c r="AV83" s="243" t="str">
        <f t="shared" si="38"/>
        <v/>
      </c>
      <c r="AW83" s="247" t="str">
        <f t="shared" si="38"/>
        <v/>
      </c>
      <c r="AX83" s="243" t="str">
        <f t="shared" si="38"/>
        <v/>
      </c>
      <c r="AY83" s="248" t="str">
        <f t="shared" si="38"/>
        <v/>
      </c>
    </row>
    <row r="84" spans="2:51" ht="12" customHeight="1" x14ac:dyDescent="0.2">
      <c r="B84" s="266"/>
      <c r="C84" s="272"/>
      <c r="D84" s="235"/>
      <c r="E84" s="239"/>
      <c r="F84" s="182"/>
      <c r="G84" s="182"/>
      <c r="H84" s="182"/>
      <c r="I84" s="233"/>
      <c r="J84" s="41" t="str">
        <f>IF(Alderney!M42="","",(Alderney!M42))</f>
        <v/>
      </c>
      <c r="K84" s="41" t="str">
        <f>IF(Alderney!N42="","",(Alderney!N42))</f>
        <v/>
      </c>
      <c r="L84" s="41" t="str">
        <f>IF(Alderney!O42="","",(Alderney!O42))</f>
        <v/>
      </c>
      <c r="M84" s="41" t="str">
        <f>IF(Alderney!P42="","",(Alderney!P42))</f>
        <v/>
      </c>
      <c r="N84" s="41" t="str">
        <f>IF(Alderney!Q42="","",(Alderney!Q42))</f>
        <v/>
      </c>
      <c r="O84" s="41" t="str">
        <f>IF(Alderney!R42="","",(Alderney!R42))</f>
        <v/>
      </c>
      <c r="P84" s="41" t="str">
        <f>IF(Alderney!S42="","",(Alderney!S42))</f>
        <v/>
      </c>
      <c r="Q84" s="41" t="str">
        <f>IF(Alderney!T42="","",(Alderney!T42))</f>
        <v/>
      </c>
      <c r="R84" s="41" t="str">
        <f>IF(Alderney!U42="","",(Alderney!U42))</f>
        <v/>
      </c>
      <c r="S84" s="41" t="str">
        <f>IF(Alderney!V42="","",(Alderney!V42))</f>
        <v/>
      </c>
      <c r="T84" s="41" t="str">
        <f>IF(Alderney!W42="","",(Alderney!W42))</f>
        <v/>
      </c>
      <c r="U84" s="41" t="str">
        <f>IF(Alderney!X42="","",(Alderney!X42))</f>
        <v/>
      </c>
      <c r="V84" s="41" t="str">
        <f>IF(Alderney!Y42="","",(Alderney!Y42))</f>
        <v/>
      </c>
      <c r="W84" s="182"/>
      <c r="X84" s="182"/>
      <c r="Y84" s="233"/>
      <c r="AA84" s="239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233"/>
    </row>
    <row r="85" spans="2:51" ht="12" customHeight="1" x14ac:dyDescent="0.2">
      <c r="B85" s="266"/>
      <c r="C85" s="271" t="str">
        <f>IF(Alderney!E43="","",Alderney!E43)</f>
        <v/>
      </c>
      <c r="D85" s="259" t="str">
        <f>LEFT($B$49,3)</f>
        <v>Aly</v>
      </c>
      <c r="E85" s="251" t="str">
        <f>IF(Alderney!G43="","",Alderney!G43)</f>
        <v/>
      </c>
      <c r="F85" s="181" t="str">
        <f>IF(Alderney!H43=0,"",Alderney!H43)</f>
        <v/>
      </c>
      <c r="G85" s="181" t="str">
        <f>IF(Alderney!I43=0,"",Alderney!I43)</f>
        <v/>
      </c>
      <c r="H85" s="181" t="str">
        <f>IF(Alderney!J43=0,"",Alderney!J43)</f>
        <v/>
      </c>
      <c r="I85" s="250" t="str">
        <f>IF(Alderney!K43=0,"",Alderney!K43)</f>
        <v/>
      </c>
      <c r="J85" s="163" t="str">
        <f>IF(Alderney!M43="","",(Alderney!M43))</f>
        <v/>
      </c>
      <c r="K85" s="163" t="str">
        <f>IF(Alderney!N43="","",(Alderney!N43))</f>
        <v/>
      </c>
      <c r="L85" s="163" t="str">
        <f>IF(Alderney!O43="","",(Alderney!O43))</f>
        <v/>
      </c>
      <c r="M85" s="163" t="str">
        <f>IF(Alderney!P43="","",(Alderney!P43))</f>
        <v/>
      </c>
      <c r="N85" s="163" t="str">
        <f>IF(Alderney!Q43="","",(Alderney!Q43))</f>
        <v/>
      </c>
      <c r="O85" s="163" t="str">
        <f>IF(Alderney!R43="","",(Alderney!R43))</f>
        <v/>
      </c>
      <c r="P85" s="163" t="str">
        <f>IF(Alderney!S43="","",(Alderney!S43))</f>
        <v/>
      </c>
      <c r="Q85" s="163" t="str">
        <f>IF(Alderney!T43="","",(Alderney!T43))</f>
        <v/>
      </c>
      <c r="R85" s="163" t="str">
        <f>IF(Alderney!U43="","",(Alderney!U43))</f>
        <v/>
      </c>
      <c r="S85" s="163" t="str">
        <f>IF(Alderney!V43="","",(Alderney!V43))</f>
        <v/>
      </c>
      <c r="T85" s="163" t="str">
        <f>IF(Alderney!W43="","",(Alderney!W43))</f>
        <v/>
      </c>
      <c r="U85" s="163" t="str">
        <f>IF(Alderney!X43="","",(Alderney!X43))</f>
        <v/>
      </c>
      <c r="V85" s="163" t="str">
        <f>IF(Alderney!Y43="","",(Alderney!Y43))</f>
        <v/>
      </c>
      <c r="W85" s="186" t="str">
        <f>IF(Alderney!AA43=0,"",(Alderney!AA43))</f>
        <v/>
      </c>
      <c r="X85" s="244" t="str">
        <f>IF(Alderney!AB43=0,"",(Alderney!AB43))</f>
        <v/>
      </c>
      <c r="Y85" s="245" t="str">
        <f>IF(Alderney!AC43=0,"",(Alderney!AC43))</f>
        <v/>
      </c>
      <c r="AA85" s="246" t="str">
        <f>Y85</f>
        <v/>
      </c>
      <c r="AB85" s="243" t="str">
        <f>X85</f>
        <v/>
      </c>
      <c r="AC85" s="185" t="str">
        <f>C85</f>
        <v/>
      </c>
      <c r="AD85" s="185" t="str">
        <f>LEFT($B$49,3)</f>
        <v>Aly</v>
      </c>
      <c r="AE85" s="185" t="str">
        <f t="shared" ref="AE85:AY85" si="39">E85</f>
        <v/>
      </c>
      <c r="AF85" s="185" t="str">
        <f t="shared" si="39"/>
        <v/>
      </c>
      <c r="AG85" s="185" t="str">
        <f t="shared" si="39"/>
        <v/>
      </c>
      <c r="AH85" s="185" t="str">
        <f t="shared" si="39"/>
        <v/>
      </c>
      <c r="AI85" s="185" t="str">
        <f t="shared" si="39"/>
        <v/>
      </c>
      <c r="AJ85" s="243" t="str">
        <f t="shared" si="39"/>
        <v/>
      </c>
      <c r="AK85" s="243" t="str">
        <f t="shared" si="39"/>
        <v/>
      </c>
      <c r="AL85" s="243" t="str">
        <f t="shared" si="39"/>
        <v/>
      </c>
      <c r="AM85" s="243" t="str">
        <f t="shared" si="39"/>
        <v/>
      </c>
      <c r="AN85" s="243" t="str">
        <f t="shared" si="39"/>
        <v/>
      </c>
      <c r="AO85" s="243" t="str">
        <f t="shared" si="39"/>
        <v/>
      </c>
      <c r="AP85" s="243" t="str">
        <f t="shared" si="39"/>
        <v/>
      </c>
      <c r="AQ85" s="243" t="str">
        <f t="shared" si="39"/>
        <v/>
      </c>
      <c r="AR85" s="243" t="str">
        <f t="shared" si="39"/>
        <v/>
      </c>
      <c r="AS85" s="243" t="str">
        <f t="shared" si="39"/>
        <v/>
      </c>
      <c r="AT85" s="243" t="str">
        <f t="shared" si="39"/>
        <v/>
      </c>
      <c r="AU85" s="243" t="str">
        <f t="shared" si="39"/>
        <v/>
      </c>
      <c r="AV85" s="243" t="str">
        <f t="shared" si="39"/>
        <v/>
      </c>
      <c r="AW85" s="247" t="str">
        <f t="shared" si="39"/>
        <v/>
      </c>
      <c r="AX85" s="243" t="str">
        <f t="shared" si="39"/>
        <v/>
      </c>
      <c r="AY85" s="248" t="str">
        <f t="shared" si="39"/>
        <v/>
      </c>
    </row>
    <row r="86" spans="2:51" ht="12" customHeight="1" x14ac:dyDescent="0.2">
      <c r="B86" s="266"/>
      <c r="C86" s="272"/>
      <c r="D86" s="235"/>
      <c r="E86" s="239"/>
      <c r="F86" s="182"/>
      <c r="G86" s="182"/>
      <c r="H86" s="182"/>
      <c r="I86" s="233"/>
      <c r="J86" s="41" t="str">
        <f>IF(Alderney!M44="","",(Alderney!M44))</f>
        <v/>
      </c>
      <c r="K86" s="41" t="str">
        <f>IF(Alderney!N44="","",(Alderney!N44))</f>
        <v/>
      </c>
      <c r="L86" s="41" t="str">
        <f>IF(Alderney!O44="","",(Alderney!O44))</f>
        <v/>
      </c>
      <c r="M86" s="41" t="str">
        <f>IF(Alderney!P44="","",(Alderney!P44))</f>
        <v/>
      </c>
      <c r="N86" s="41" t="str">
        <f>IF(Alderney!Q44="","",(Alderney!Q44))</f>
        <v/>
      </c>
      <c r="O86" s="41" t="str">
        <f>IF(Alderney!R44="","",(Alderney!R44))</f>
        <v/>
      </c>
      <c r="P86" s="41" t="str">
        <f>IF(Alderney!S44="","",(Alderney!S44))</f>
        <v/>
      </c>
      <c r="Q86" s="41" t="str">
        <f>IF(Alderney!T44="","",(Alderney!T44))</f>
        <v/>
      </c>
      <c r="R86" s="41" t="str">
        <f>IF(Alderney!U44="","",(Alderney!U44))</f>
        <v/>
      </c>
      <c r="S86" s="41" t="str">
        <f>IF(Alderney!V44="","",(Alderney!V44))</f>
        <v/>
      </c>
      <c r="T86" s="41" t="str">
        <f>IF(Alderney!W44="","",(Alderney!W44))</f>
        <v/>
      </c>
      <c r="U86" s="41" t="str">
        <f>IF(Alderney!X44="","",(Alderney!X44))</f>
        <v/>
      </c>
      <c r="V86" s="41" t="str">
        <f>IF(Alderney!Y44="","",(Alderney!Y44))</f>
        <v/>
      </c>
      <c r="W86" s="182"/>
      <c r="X86" s="182"/>
      <c r="Y86" s="233"/>
      <c r="AA86" s="239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233"/>
    </row>
    <row r="87" spans="2:51" ht="12" customHeight="1" x14ac:dyDescent="0.2">
      <c r="B87" s="266"/>
      <c r="C87" s="271" t="str">
        <f>IF(Alderney!E45="","",Alderney!E45)</f>
        <v/>
      </c>
      <c r="D87" s="259" t="str">
        <f>LEFT($B$49,3)</f>
        <v>Aly</v>
      </c>
      <c r="E87" s="251" t="str">
        <f>IF(Alderney!G45="","",Alderney!G45)</f>
        <v/>
      </c>
      <c r="F87" s="181" t="str">
        <f>IF(Alderney!H45=0,"",Alderney!H45)</f>
        <v/>
      </c>
      <c r="G87" s="181" t="str">
        <f>IF(Alderney!I45=0,"",Alderney!I45)</f>
        <v/>
      </c>
      <c r="H87" s="181" t="str">
        <f>IF(Alderney!J45=0,"",Alderney!J45)</f>
        <v/>
      </c>
      <c r="I87" s="250" t="str">
        <f>IF(Alderney!K45=0,"",Alderney!K45)</f>
        <v/>
      </c>
      <c r="J87" s="163" t="str">
        <f>IF(Alderney!M45="","",(Alderney!M45))</f>
        <v/>
      </c>
      <c r="K87" s="163" t="str">
        <f>IF(Alderney!N45="","",(Alderney!N45))</f>
        <v/>
      </c>
      <c r="L87" s="163" t="str">
        <f>IF(Alderney!O45="","",(Alderney!O45))</f>
        <v/>
      </c>
      <c r="M87" s="163" t="str">
        <f>IF(Alderney!P45="","",(Alderney!P45))</f>
        <v/>
      </c>
      <c r="N87" s="163" t="str">
        <f>IF(Alderney!Q45="","",(Alderney!Q45))</f>
        <v/>
      </c>
      <c r="O87" s="163" t="str">
        <f>IF(Alderney!R45="","",(Alderney!R45))</f>
        <v/>
      </c>
      <c r="P87" s="163" t="str">
        <f>IF(Alderney!S45="","",(Alderney!S45))</f>
        <v/>
      </c>
      <c r="Q87" s="163" t="str">
        <f>IF(Alderney!T45="","",(Alderney!T45))</f>
        <v/>
      </c>
      <c r="R87" s="163" t="str">
        <f>IF(Alderney!U45="","",(Alderney!U45))</f>
        <v/>
      </c>
      <c r="S87" s="163" t="str">
        <f>IF(Alderney!V45="","",(Alderney!V45))</f>
        <v/>
      </c>
      <c r="T87" s="163" t="str">
        <f>IF(Alderney!W45="","",(Alderney!W45))</f>
        <v/>
      </c>
      <c r="U87" s="163" t="str">
        <f>IF(Alderney!X45="","",(Alderney!X45))</f>
        <v/>
      </c>
      <c r="V87" s="163" t="str">
        <f>IF(Alderney!Y45="","",(Alderney!Y45))</f>
        <v/>
      </c>
      <c r="W87" s="186" t="str">
        <f>IF(Alderney!AA45=0,"",(Alderney!AA45))</f>
        <v/>
      </c>
      <c r="X87" s="244" t="str">
        <f>IF(Alderney!AB45=0,"",(Alderney!AB45))</f>
        <v/>
      </c>
      <c r="Y87" s="245" t="str">
        <f>IF(Alderney!AC45=0,"",(Alderney!AC45))</f>
        <v/>
      </c>
      <c r="AA87" s="246" t="str">
        <f>Y87</f>
        <v/>
      </c>
      <c r="AB87" s="243" t="str">
        <f>X87</f>
        <v/>
      </c>
      <c r="AC87" s="185" t="str">
        <f>C87</f>
        <v/>
      </c>
      <c r="AD87" s="185" t="str">
        <f>LEFT($B$49,3)</f>
        <v>Aly</v>
      </c>
      <c r="AE87" s="185" t="str">
        <f t="shared" ref="AE87:AY87" si="40">E87</f>
        <v/>
      </c>
      <c r="AF87" s="185" t="str">
        <f t="shared" si="40"/>
        <v/>
      </c>
      <c r="AG87" s="185" t="str">
        <f t="shared" si="40"/>
        <v/>
      </c>
      <c r="AH87" s="185" t="str">
        <f t="shared" si="40"/>
        <v/>
      </c>
      <c r="AI87" s="185" t="str">
        <f t="shared" si="40"/>
        <v/>
      </c>
      <c r="AJ87" s="243" t="str">
        <f t="shared" si="40"/>
        <v/>
      </c>
      <c r="AK87" s="243" t="str">
        <f t="shared" si="40"/>
        <v/>
      </c>
      <c r="AL87" s="243" t="str">
        <f t="shared" si="40"/>
        <v/>
      </c>
      <c r="AM87" s="243" t="str">
        <f t="shared" si="40"/>
        <v/>
      </c>
      <c r="AN87" s="243" t="str">
        <f t="shared" si="40"/>
        <v/>
      </c>
      <c r="AO87" s="243" t="str">
        <f t="shared" si="40"/>
        <v/>
      </c>
      <c r="AP87" s="243" t="str">
        <f t="shared" si="40"/>
        <v/>
      </c>
      <c r="AQ87" s="243" t="str">
        <f t="shared" si="40"/>
        <v/>
      </c>
      <c r="AR87" s="243" t="str">
        <f t="shared" si="40"/>
        <v/>
      </c>
      <c r="AS87" s="243" t="str">
        <f t="shared" si="40"/>
        <v/>
      </c>
      <c r="AT87" s="243" t="str">
        <f t="shared" si="40"/>
        <v/>
      </c>
      <c r="AU87" s="243" t="str">
        <f t="shared" si="40"/>
        <v/>
      </c>
      <c r="AV87" s="243" t="str">
        <f t="shared" si="40"/>
        <v/>
      </c>
      <c r="AW87" s="247" t="str">
        <f t="shared" si="40"/>
        <v/>
      </c>
      <c r="AX87" s="243" t="str">
        <f t="shared" si="40"/>
        <v/>
      </c>
      <c r="AY87" s="248" t="str">
        <f t="shared" si="40"/>
        <v/>
      </c>
    </row>
    <row r="88" spans="2:51" ht="12" customHeight="1" x14ac:dyDescent="0.2">
      <c r="B88" s="266"/>
      <c r="C88" s="272"/>
      <c r="D88" s="235"/>
      <c r="E88" s="239"/>
      <c r="F88" s="182"/>
      <c r="G88" s="182"/>
      <c r="H88" s="182"/>
      <c r="I88" s="233"/>
      <c r="J88" s="41" t="str">
        <f>IF(Alderney!M46="","",(Alderney!M46))</f>
        <v/>
      </c>
      <c r="K88" s="41" t="str">
        <f>IF(Alderney!N46="","",(Alderney!N46))</f>
        <v/>
      </c>
      <c r="L88" s="41" t="str">
        <f>IF(Alderney!O46="","",(Alderney!O46))</f>
        <v/>
      </c>
      <c r="M88" s="41" t="str">
        <f>IF(Alderney!P46="","",(Alderney!P46))</f>
        <v/>
      </c>
      <c r="N88" s="41" t="str">
        <f>IF(Alderney!Q46="","",(Alderney!Q46))</f>
        <v/>
      </c>
      <c r="O88" s="41" t="str">
        <f>IF(Alderney!R46="","",(Alderney!R46))</f>
        <v/>
      </c>
      <c r="P88" s="41" t="str">
        <f>IF(Alderney!S46="","",(Alderney!S46))</f>
        <v/>
      </c>
      <c r="Q88" s="41" t="str">
        <f>IF(Alderney!T46="","",(Alderney!T46))</f>
        <v/>
      </c>
      <c r="R88" s="41" t="str">
        <f>IF(Alderney!U46="","",(Alderney!U46))</f>
        <v/>
      </c>
      <c r="S88" s="41" t="str">
        <f>IF(Alderney!V46="","",(Alderney!V46))</f>
        <v/>
      </c>
      <c r="T88" s="41" t="str">
        <f>IF(Alderney!W46="","",(Alderney!W46))</f>
        <v/>
      </c>
      <c r="U88" s="41" t="str">
        <f>IF(Alderney!X46="","",(Alderney!X46))</f>
        <v/>
      </c>
      <c r="V88" s="41" t="str">
        <f>IF(Alderney!Y46="","",(Alderney!Y46))</f>
        <v/>
      </c>
      <c r="W88" s="182"/>
      <c r="X88" s="182"/>
      <c r="Y88" s="233"/>
      <c r="AA88" s="239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233"/>
    </row>
    <row r="89" spans="2:51" ht="12" customHeight="1" x14ac:dyDescent="0.2">
      <c r="B89" s="266"/>
      <c r="C89" s="271" t="str">
        <f>IF(Alderney!E47="","",Alderney!E47)</f>
        <v/>
      </c>
      <c r="D89" s="259" t="str">
        <f>LEFT($B$49,3)</f>
        <v>Aly</v>
      </c>
      <c r="E89" s="251" t="str">
        <f>IF(Alderney!G47="","",Alderney!G47)</f>
        <v/>
      </c>
      <c r="F89" s="181" t="str">
        <f>IF(Alderney!H47=0,"",Alderney!H47)</f>
        <v/>
      </c>
      <c r="G89" s="181" t="str">
        <f>IF(Alderney!I47=0,"",Alderney!I47)</f>
        <v/>
      </c>
      <c r="H89" s="181" t="str">
        <f>IF(Alderney!J47=0,"",Alderney!J47)</f>
        <v/>
      </c>
      <c r="I89" s="250" t="str">
        <f>IF(Alderney!K47=0,"",Alderney!K47)</f>
        <v/>
      </c>
      <c r="J89" s="163" t="str">
        <f>IF(Alderney!M47="","",(Alderney!M47))</f>
        <v/>
      </c>
      <c r="K89" s="163" t="str">
        <f>IF(Alderney!N47="","",(Alderney!N47))</f>
        <v/>
      </c>
      <c r="L89" s="163" t="str">
        <f>IF(Alderney!O47="","",(Alderney!O47))</f>
        <v/>
      </c>
      <c r="M89" s="163" t="str">
        <f>IF(Alderney!P47="","",(Alderney!P47))</f>
        <v/>
      </c>
      <c r="N89" s="163" t="str">
        <f>IF(Alderney!Q47="","",(Alderney!Q47))</f>
        <v/>
      </c>
      <c r="O89" s="163" t="str">
        <f>IF(Alderney!R47="","",(Alderney!R47))</f>
        <v/>
      </c>
      <c r="P89" s="163" t="str">
        <f>IF(Alderney!S47="","",(Alderney!S47))</f>
        <v/>
      </c>
      <c r="Q89" s="163" t="str">
        <f>IF(Alderney!T47="","",(Alderney!T47))</f>
        <v/>
      </c>
      <c r="R89" s="163" t="str">
        <f>IF(Alderney!U47="","",(Alderney!U47))</f>
        <v/>
      </c>
      <c r="S89" s="163" t="str">
        <f>IF(Alderney!V47="","",(Alderney!V47))</f>
        <v/>
      </c>
      <c r="T89" s="163" t="str">
        <f>IF(Alderney!W47="","",(Alderney!W47))</f>
        <v/>
      </c>
      <c r="U89" s="163" t="str">
        <f>IF(Alderney!X47="","",(Alderney!X47))</f>
        <v/>
      </c>
      <c r="V89" s="163" t="str">
        <f>IF(Alderney!Y47="","",(Alderney!Y47))</f>
        <v/>
      </c>
      <c r="W89" s="186" t="str">
        <f>IF(Alderney!AA47=0,"",(Alderney!AA47))</f>
        <v/>
      </c>
      <c r="X89" s="244" t="str">
        <f>IF(Alderney!AB47=0,"",(Alderney!AB47))</f>
        <v/>
      </c>
      <c r="Y89" s="245" t="str">
        <f>IF(Alderney!AC47=0,"",(Alderney!AC47))</f>
        <v/>
      </c>
      <c r="AA89" s="246" t="str">
        <f>Y89</f>
        <v/>
      </c>
      <c r="AB89" s="243" t="str">
        <f>X89</f>
        <v/>
      </c>
      <c r="AC89" s="185" t="str">
        <f>C89</f>
        <v/>
      </c>
      <c r="AD89" s="185" t="str">
        <f>LEFT($B$49,3)</f>
        <v>Aly</v>
      </c>
      <c r="AE89" s="185" t="str">
        <f t="shared" ref="AE89:AY89" si="41">E89</f>
        <v/>
      </c>
      <c r="AF89" s="185" t="str">
        <f t="shared" si="41"/>
        <v/>
      </c>
      <c r="AG89" s="185" t="str">
        <f t="shared" si="41"/>
        <v/>
      </c>
      <c r="AH89" s="185" t="str">
        <f t="shared" si="41"/>
        <v/>
      </c>
      <c r="AI89" s="185" t="str">
        <f t="shared" si="41"/>
        <v/>
      </c>
      <c r="AJ89" s="243" t="str">
        <f t="shared" si="41"/>
        <v/>
      </c>
      <c r="AK89" s="243" t="str">
        <f t="shared" si="41"/>
        <v/>
      </c>
      <c r="AL89" s="243" t="str">
        <f t="shared" si="41"/>
        <v/>
      </c>
      <c r="AM89" s="243" t="str">
        <f t="shared" si="41"/>
        <v/>
      </c>
      <c r="AN89" s="243" t="str">
        <f t="shared" si="41"/>
        <v/>
      </c>
      <c r="AO89" s="243" t="str">
        <f t="shared" si="41"/>
        <v/>
      </c>
      <c r="AP89" s="243" t="str">
        <f t="shared" si="41"/>
        <v/>
      </c>
      <c r="AQ89" s="243" t="str">
        <f t="shared" si="41"/>
        <v/>
      </c>
      <c r="AR89" s="243" t="str">
        <f t="shared" si="41"/>
        <v/>
      </c>
      <c r="AS89" s="243" t="str">
        <f t="shared" si="41"/>
        <v/>
      </c>
      <c r="AT89" s="243" t="str">
        <f t="shared" si="41"/>
        <v/>
      </c>
      <c r="AU89" s="243" t="str">
        <f t="shared" si="41"/>
        <v/>
      </c>
      <c r="AV89" s="243" t="str">
        <f t="shared" si="41"/>
        <v/>
      </c>
      <c r="AW89" s="247" t="str">
        <f t="shared" si="41"/>
        <v/>
      </c>
      <c r="AX89" s="243" t="str">
        <f t="shared" si="41"/>
        <v/>
      </c>
      <c r="AY89" s="248" t="str">
        <f t="shared" si="41"/>
        <v/>
      </c>
    </row>
    <row r="90" spans="2:51" ht="12.75" customHeight="1" x14ac:dyDescent="0.2">
      <c r="B90" s="211"/>
      <c r="C90" s="277"/>
      <c r="D90" s="211"/>
      <c r="E90" s="223"/>
      <c r="F90" s="225"/>
      <c r="G90" s="225"/>
      <c r="H90" s="225"/>
      <c r="I90" s="228"/>
      <c r="J90" s="165" t="str">
        <f>IF(Alderney!M48="","",(Alderney!M48))</f>
        <v/>
      </c>
      <c r="K90" s="165" t="str">
        <f>IF(Alderney!N48="","",(Alderney!N48))</f>
        <v/>
      </c>
      <c r="L90" s="165" t="str">
        <f>IF(Alderney!O48="","",(Alderney!O48))</f>
        <v/>
      </c>
      <c r="M90" s="165" t="str">
        <f>IF(Alderney!P48="","",(Alderney!P48))</f>
        <v/>
      </c>
      <c r="N90" s="165" t="str">
        <f>IF(Alderney!Q48="","",(Alderney!Q48))</f>
        <v/>
      </c>
      <c r="O90" s="165" t="str">
        <f>IF(Alderney!R48="","",(Alderney!R48))</f>
        <v/>
      </c>
      <c r="P90" s="165" t="str">
        <f>IF(Alderney!S48="","",(Alderney!S48))</f>
        <v/>
      </c>
      <c r="Q90" s="165" t="str">
        <f>IF(Alderney!T48="","",(Alderney!T48))</f>
        <v/>
      </c>
      <c r="R90" s="165" t="str">
        <f>IF(Alderney!U48="","",(Alderney!U48))</f>
        <v/>
      </c>
      <c r="S90" s="165" t="str">
        <f>IF(Alderney!V48="","",(Alderney!V48))</f>
        <v/>
      </c>
      <c r="T90" s="165" t="str">
        <f>IF(Alderney!W48="","",(Alderney!W48))</f>
        <v/>
      </c>
      <c r="U90" s="165" t="str">
        <f>IF(Alderney!X48="","",(Alderney!X48))</f>
        <v/>
      </c>
      <c r="V90" s="165" t="str">
        <f>IF(Alderney!Y48="","",(Alderney!Y48))</f>
        <v/>
      </c>
      <c r="W90" s="225"/>
      <c r="X90" s="225"/>
      <c r="Y90" s="228"/>
      <c r="AA90" s="239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233"/>
    </row>
    <row r="91" spans="2:51" ht="13.5" customHeight="1" x14ac:dyDescent="0.2">
      <c r="B91" s="265" t="s">
        <v>19</v>
      </c>
      <c r="C91" s="264" t="str">
        <f>IF(Boscombe!E7="","",Boscombe!E7)</f>
        <v>Rob Channing</v>
      </c>
      <c r="D91" s="260" t="str">
        <f>LEFT($B$91,3)</f>
        <v>Bos</v>
      </c>
      <c r="E91" s="256">
        <f>IF(Boscombe!G7="","",Boscombe!G7)</f>
        <v>8</v>
      </c>
      <c r="F91" s="257">
        <f>IF(Boscombe!H7=0,"",Boscombe!H7)</f>
        <v>4</v>
      </c>
      <c r="G91" s="253">
        <f>IF(Boscombe!I7=0,"",Boscombe!I7)</f>
        <v>4</v>
      </c>
      <c r="H91" s="253">
        <f>IF(Boscombe!J7=0,"",Boscombe!J7)</f>
        <v>26</v>
      </c>
      <c r="I91" s="258">
        <f>IF(Boscombe!K7=0,"",Boscombe!K7)</f>
        <v>20</v>
      </c>
      <c r="J91" s="161">
        <f>IF(Boscombe!M7="","",Boscombe!M7)</f>
        <v>23.05</v>
      </c>
      <c r="K91" s="162">
        <f>IF(Boscombe!N7="","",Boscombe!N7)</f>
        <v>23.7</v>
      </c>
      <c r="L91" s="162" t="str">
        <f>IF(Boscombe!O7="","",Boscombe!O7)</f>
        <v/>
      </c>
      <c r="M91" s="162" t="str">
        <f>IF(Boscombe!P7="","",Boscombe!P7)</f>
        <v/>
      </c>
      <c r="N91" s="162" t="str">
        <f>IF(Boscombe!Q7="","",Boscombe!Q7)</f>
        <v/>
      </c>
      <c r="O91" s="162">
        <f>IF(Boscombe!R7="","",Boscombe!R7)</f>
        <v>21.49</v>
      </c>
      <c r="P91" s="162">
        <f>IF(Boscombe!S7="","",Boscombe!S7)</f>
        <v>23.3</v>
      </c>
      <c r="Q91" s="162">
        <f>IF(Boscombe!T7="","",Boscombe!T7)</f>
        <v>27.07</v>
      </c>
      <c r="R91" s="162">
        <f>IF(Boscombe!U7="","",Boscombe!U7)</f>
        <v>24.43</v>
      </c>
      <c r="S91" s="162">
        <f>IF(Boscombe!V7="","",Boscombe!V7)</f>
        <v>20.09</v>
      </c>
      <c r="T91" s="162" t="str">
        <f>IF(Boscombe!W7="","",Boscombe!W7)</f>
        <v/>
      </c>
      <c r="U91" s="162">
        <f>IF(Boscombe!X7="","",Boscombe!X7)</f>
        <v>25.05</v>
      </c>
      <c r="V91" s="162" t="str">
        <f>IF(Boscombe!Y7="","",Boscombe!Y7)</f>
        <v/>
      </c>
      <c r="W91" s="262">
        <f>IF(Boscombe!AA7=0,"",Boscombe!AA7)</f>
        <v>3</v>
      </c>
      <c r="X91" s="254">
        <f>IF(Boscombe!AB7=0,"",Boscombe!AB7)</f>
        <v>23.522500000000001</v>
      </c>
      <c r="Y91" s="255">
        <f>IF(Boscombe!AC7=0,"",Boscombe!AC7)</f>
        <v>27.522500000000001</v>
      </c>
      <c r="AA91" s="246">
        <f>Y91</f>
        <v>27.522500000000001</v>
      </c>
      <c r="AB91" s="243">
        <f>X91</f>
        <v>23.522500000000001</v>
      </c>
      <c r="AC91" s="185" t="str">
        <f>C91</f>
        <v>Rob Channing</v>
      </c>
      <c r="AD91" s="185" t="str">
        <f>LEFT($B$91,3)</f>
        <v>Bos</v>
      </c>
      <c r="AE91" s="185">
        <f t="shared" ref="AE91:AY91" si="42">E91</f>
        <v>8</v>
      </c>
      <c r="AF91" s="185">
        <f t="shared" si="42"/>
        <v>4</v>
      </c>
      <c r="AG91" s="247">
        <f t="shared" si="42"/>
        <v>4</v>
      </c>
      <c r="AH91" s="247">
        <f t="shared" si="42"/>
        <v>26</v>
      </c>
      <c r="AI91" s="247">
        <f t="shared" si="42"/>
        <v>20</v>
      </c>
      <c r="AJ91" s="243">
        <f t="shared" si="42"/>
        <v>23.05</v>
      </c>
      <c r="AK91" s="243">
        <f t="shared" si="42"/>
        <v>23.7</v>
      </c>
      <c r="AL91" s="243" t="str">
        <f t="shared" si="42"/>
        <v/>
      </c>
      <c r="AM91" s="243" t="str">
        <f t="shared" si="42"/>
        <v/>
      </c>
      <c r="AN91" s="243" t="str">
        <f t="shared" si="42"/>
        <v/>
      </c>
      <c r="AO91" s="243">
        <f t="shared" si="42"/>
        <v>21.49</v>
      </c>
      <c r="AP91" s="243">
        <f t="shared" si="42"/>
        <v>23.3</v>
      </c>
      <c r="AQ91" s="243">
        <f t="shared" si="42"/>
        <v>27.07</v>
      </c>
      <c r="AR91" s="243">
        <f t="shared" si="42"/>
        <v>24.43</v>
      </c>
      <c r="AS91" s="243">
        <f t="shared" si="42"/>
        <v>20.09</v>
      </c>
      <c r="AT91" s="243" t="str">
        <f t="shared" si="42"/>
        <v/>
      </c>
      <c r="AU91" s="243">
        <f t="shared" si="42"/>
        <v>25.05</v>
      </c>
      <c r="AV91" s="243" t="str">
        <f t="shared" si="42"/>
        <v/>
      </c>
      <c r="AW91" s="247">
        <f t="shared" si="42"/>
        <v>3</v>
      </c>
      <c r="AX91" s="243">
        <f t="shared" si="42"/>
        <v>23.522500000000001</v>
      </c>
      <c r="AY91" s="248">
        <f t="shared" si="42"/>
        <v>27.522500000000001</v>
      </c>
    </row>
    <row r="92" spans="2:51" ht="12" customHeight="1" x14ac:dyDescent="0.2">
      <c r="B92" s="266"/>
      <c r="C92" s="235"/>
      <c r="D92" s="235"/>
      <c r="E92" s="239"/>
      <c r="F92" s="182"/>
      <c r="G92" s="182"/>
      <c r="H92" s="182"/>
      <c r="I92" s="233"/>
      <c r="J92" s="163" t="str">
        <f>IF(Boscombe!M8="","",Boscombe!M8)</f>
        <v>3*4</v>
      </c>
      <c r="K92" s="41" t="str">
        <f>IF(Boscombe!N8="","",Boscombe!N8)</f>
        <v>4*3</v>
      </c>
      <c r="L92" s="41" t="str">
        <f>IF(Boscombe!O8="","",Boscombe!O8)</f>
        <v/>
      </c>
      <c r="M92" s="41" t="str">
        <f>IF(Boscombe!P8="","",Boscombe!P8)</f>
        <v/>
      </c>
      <c r="N92" s="41" t="str">
        <f>IF(Boscombe!Q8="","",Boscombe!Q8)</f>
        <v/>
      </c>
      <c r="O92" s="41" t="str">
        <f>IF(Boscombe!R8="","",Boscombe!R8)</f>
        <v>2*4(2)</v>
      </c>
      <c r="P92" s="41" t="str">
        <f>IF(Boscombe!S8="","",Boscombe!S8)</f>
        <v>4*0</v>
      </c>
      <c r="Q92" s="41" t="str">
        <f>IF(Boscombe!T8="","",Boscombe!T8)</f>
        <v>3*4</v>
      </c>
      <c r="R92" s="41" t="str">
        <f>IF(Boscombe!U8="","",Boscombe!U8)</f>
        <v>4*1(1)</v>
      </c>
      <c r="S92" s="41" t="str">
        <f>IF(Boscombe!V8="","",Boscombe!V8)</f>
        <v>2*4</v>
      </c>
      <c r="T92" s="41" t="str">
        <f>IF(Boscombe!W8="","",Boscombe!W8)</f>
        <v/>
      </c>
      <c r="U92" s="41" t="str">
        <f>IF(Boscombe!X8="","",Boscombe!X8)</f>
        <v>4*0</v>
      </c>
      <c r="V92" s="41" t="str">
        <f>IF(Boscombe!Y8="","",Boscombe!Y8)</f>
        <v/>
      </c>
      <c r="W92" s="201"/>
      <c r="X92" s="182"/>
      <c r="Y92" s="233"/>
      <c r="AA92" s="239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233"/>
    </row>
    <row r="93" spans="2:51" ht="12" customHeight="1" x14ac:dyDescent="0.2">
      <c r="B93" s="266"/>
      <c r="C93" s="263" t="str">
        <f>IF(Boscombe!E9="","",Boscombe!E9)</f>
        <v>Colin Earley</v>
      </c>
      <c r="D93" s="259" t="str">
        <f>LEFT($B$91,3)</f>
        <v>Bos</v>
      </c>
      <c r="E93" s="251">
        <f>IF(Boscombe!G9="","",Boscombe!G9)</f>
        <v>12</v>
      </c>
      <c r="F93" s="181">
        <f>IF(Boscombe!H9=0,"",Boscombe!H9)</f>
        <v>4</v>
      </c>
      <c r="G93" s="186">
        <f>IF(Boscombe!I9=0,"",Boscombe!I9)</f>
        <v>8</v>
      </c>
      <c r="H93" s="186">
        <f>IF(Boscombe!J9=0,"",Boscombe!J9)</f>
        <v>22</v>
      </c>
      <c r="I93" s="252">
        <f>IF(Boscombe!K9=0,"",Boscombe!K9)</f>
        <v>37</v>
      </c>
      <c r="J93" s="163" t="str">
        <f>IF(Boscombe!M9="","",Boscombe!M9)</f>
        <v/>
      </c>
      <c r="K93" s="41">
        <f>IF(Boscombe!N9="","",Boscombe!N9)</f>
        <v>17.579999999999998</v>
      </c>
      <c r="L93" s="41">
        <f>IF(Boscombe!O9="","",Boscombe!O9)</f>
        <v>19.2</v>
      </c>
      <c r="M93" s="41">
        <f>IF(Boscombe!P9="","",Boscombe!P9)</f>
        <v>16.84</v>
      </c>
      <c r="N93" s="41">
        <f>IF(Boscombe!Q9="","",Boscombe!Q9)</f>
        <v>24.28</v>
      </c>
      <c r="O93" s="41">
        <f>IF(Boscombe!R9="","",Boscombe!R9)</f>
        <v>20.77</v>
      </c>
      <c r="P93" s="41">
        <f>IF(Boscombe!S9="","",Boscombe!S9)</f>
        <v>19.41</v>
      </c>
      <c r="Q93" s="41">
        <f>IF(Boscombe!T9="","",Boscombe!T9)</f>
        <v>20.23</v>
      </c>
      <c r="R93" s="41">
        <f>IF(Boscombe!U9="","",Boscombe!U9)</f>
        <v>20.67</v>
      </c>
      <c r="S93" s="41">
        <f>IF(Boscombe!V9="","",Boscombe!V9)</f>
        <v>18.22</v>
      </c>
      <c r="T93" s="41">
        <f>IF(Boscombe!W9="","",Boscombe!W9)</f>
        <v>19.04</v>
      </c>
      <c r="U93" s="41">
        <f>IF(Boscombe!X9="","",Boscombe!X9)</f>
        <v>19.48</v>
      </c>
      <c r="V93" s="41">
        <f>IF(Boscombe!Y9="","",Boscombe!Y9)</f>
        <v>20.99</v>
      </c>
      <c r="W93" s="249">
        <f>IF(Boscombe!AA9=0,"",Boscombe!AA9)</f>
        <v>1</v>
      </c>
      <c r="X93" s="244">
        <f>IF(Boscombe!AB9=0,"",Boscombe!AB9)</f>
        <v>19.725833333333334</v>
      </c>
      <c r="Y93" s="245">
        <f>IF(Boscombe!AC9=0,"",Boscombe!AC9)</f>
        <v>23.725833333333334</v>
      </c>
      <c r="AA93" s="246">
        <f>Y93</f>
        <v>23.725833333333334</v>
      </c>
      <c r="AB93" s="243">
        <f>X93</f>
        <v>19.725833333333334</v>
      </c>
      <c r="AC93" s="185" t="str">
        <f>C93</f>
        <v>Colin Earley</v>
      </c>
      <c r="AD93" s="185" t="str">
        <f>LEFT($B$91,3)</f>
        <v>Bos</v>
      </c>
      <c r="AE93" s="185">
        <f t="shared" ref="AE93:AY93" si="43">E93</f>
        <v>12</v>
      </c>
      <c r="AF93" s="185">
        <f t="shared" si="43"/>
        <v>4</v>
      </c>
      <c r="AG93" s="247">
        <f t="shared" si="43"/>
        <v>8</v>
      </c>
      <c r="AH93" s="247">
        <f t="shared" si="43"/>
        <v>22</v>
      </c>
      <c r="AI93" s="247">
        <f t="shared" si="43"/>
        <v>37</v>
      </c>
      <c r="AJ93" s="243" t="str">
        <f t="shared" si="43"/>
        <v/>
      </c>
      <c r="AK93" s="243">
        <f t="shared" si="43"/>
        <v>17.579999999999998</v>
      </c>
      <c r="AL93" s="243">
        <f t="shared" si="43"/>
        <v>19.2</v>
      </c>
      <c r="AM93" s="243">
        <f t="shared" si="43"/>
        <v>16.84</v>
      </c>
      <c r="AN93" s="243">
        <f t="shared" si="43"/>
        <v>24.28</v>
      </c>
      <c r="AO93" s="243">
        <f t="shared" si="43"/>
        <v>20.77</v>
      </c>
      <c r="AP93" s="243">
        <f t="shared" si="43"/>
        <v>19.41</v>
      </c>
      <c r="AQ93" s="243">
        <f t="shared" si="43"/>
        <v>20.23</v>
      </c>
      <c r="AR93" s="243">
        <f t="shared" si="43"/>
        <v>20.67</v>
      </c>
      <c r="AS93" s="243">
        <f t="shared" si="43"/>
        <v>18.22</v>
      </c>
      <c r="AT93" s="243">
        <f t="shared" si="43"/>
        <v>19.04</v>
      </c>
      <c r="AU93" s="243">
        <f t="shared" si="43"/>
        <v>19.48</v>
      </c>
      <c r="AV93" s="243">
        <f t="shared" si="43"/>
        <v>20.99</v>
      </c>
      <c r="AW93" s="247">
        <f t="shared" si="43"/>
        <v>1</v>
      </c>
      <c r="AX93" s="243">
        <f t="shared" si="43"/>
        <v>19.725833333333334</v>
      </c>
      <c r="AY93" s="248">
        <f t="shared" si="43"/>
        <v>23.725833333333334</v>
      </c>
    </row>
    <row r="94" spans="2:51" ht="12" customHeight="1" x14ac:dyDescent="0.2">
      <c r="B94" s="266"/>
      <c r="C94" s="235"/>
      <c r="D94" s="235"/>
      <c r="E94" s="239"/>
      <c r="F94" s="182"/>
      <c r="G94" s="182"/>
      <c r="H94" s="182"/>
      <c r="I94" s="233"/>
      <c r="J94" s="163" t="str">
        <f>IF(Boscombe!M10="","",Boscombe!M10)</f>
        <v/>
      </c>
      <c r="K94" s="41" t="str">
        <f>IF(Boscombe!N10="","",Boscombe!N10)</f>
        <v>4*0</v>
      </c>
      <c r="L94" s="41" t="str">
        <f>IF(Boscombe!O10="","",Boscombe!O10)</f>
        <v>0*4</v>
      </c>
      <c r="M94" s="41" t="str">
        <f>IF(Boscombe!P10="","",Boscombe!P10)</f>
        <v>2*4</v>
      </c>
      <c r="N94" s="41" t="str">
        <f>IF(Boscombe!Q10="","",Boscombe!Q10)</f>
        <v>4*1(1)</v>
      </c>
      <c r="O94" s="41" t="str">
        <f>IF(Boscombe!R10="","",Boscombe!R10)</f>
        <v>4*2</v>
      </c>
      <c r="P94" s="41" t="str">
        <f>IF(Boscombe!S10="","",Boscombe!S10)</f>
        <v>4*2</v>
      </c>
      <c r="Q94" s="41" t="str">
        <f>IF(Boscombe!T10="","",Boscombe!T10)</f>
        <v>0*4</v>
      </c>
      <c r="R94" s="41" t="str">
        <f>IF(Boscombe!U10="","",Boscombe!U10)</f>
        <v>0*4</v>
      </c>
      <c r="S94" s="41" t="str">
        <f>IF(Boscombe!V10="","",Boscombe!V10)</f>
        <v>0*4</v>
      </c>
      <c r="T94" s="41" t="str">
        <f>IF(Boscombe!W10="","",Boscombe!W10)</f>
        <v>2*4</v>
      </c>
      <c r="U94" s="41" t="str">
        <f>IF(Boscombe!X10="","",Boscombe!X10)</f>
        <v>0*4</v>
      </c>
      <c r="V94" s="41" t="str">
        <f>IF(Boscombe!Y10="","",Boscombe!Y10)</f>
        <v>2*4</v>
      </c>
      <c r="W94" s="201"/>
      <c r="X94" s="182"/>
      <c r="Y94" s="233"/>
      <c r="AA94" s="239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233"/>
    </row>
    <row r="95" spans="2:51" ht="12" customHeight="1" x14ac:dyDescent="0.2">
      <c r="B95" s="266"/>
      <c r="C95" s="263" t="str">
        <f>IF(Boscombe!E11="","",Boscombe!E11)</f>
        <v>Graham Platt</v>
      </c>
      <c r="D95" s="259" t="str">
        <f>LEFT($B$91,3)</f>
        <v>Bos</v>
      </c>
      <c r="E95" s="251" t="str">
        <f>IF(Boscombe!G11="","",Boscombe!G11)</f>
        <v/>
      </c>
      <c r="F95" s="181" t="str">
        <f>IF(Boscombe!H11=0,"",Boscombe!H11)</f>
        <v/>
      </c>
      <c r="G95" s="181" t="str">
        <f>IF(Boscombe!I11=0,"",Boscombe!I11)</f>
        <v/>
      </c>
      <c r="H95" s="181" t="str">
        <f>IF(Boscombe!J11=0,"",Boscombe!J11)</f>
        <v/>
      </c>
      <c r="I95" s="250" t="str">
        <f>IF(Boscombe!K11=0,"",Boscombe!K11)</f>
        <v/>
      </c>
      <c r="J95" s="163" t="str">
        <f>IF(Boscombe!M11="","",Boscombe!M11)</f>
        <v/>
      </c>
      <c r="K95" s="41" t="str">
        <f>IF(Boscombe!N11="","",Boscombe!N11)</f>
        <v/>
      </c>
      <c r="L95" s="41" t="str">
        <f>IF(Boscombe!O11="","",Boscombe!O11)</f>
        <v/>
      </c>
      <c r="M95" s="41" t="str">
        <f>IF(Boscombe!P11="","",Boscombe!P11)</f>
        <v/>
      </c>
      <c r="N95" s="41" t="str">
        <f>IF(Boscombe!Q11="","",Boscombe!Q11)</f>
        <v/>
      </c>
      <c r="O95" s="41" t="str">
        <f>IF(Boscombe!R11="","",Boscombe!R11)</f>
        <v/>
      </c>
      <c r="P95" s="41" t="str">
        <f>IF(Boscombe!S11="","",Boscombe!S11)</f>
        <v/>
      </c>
      <c r="Q95" s="41" t="str">
        <f>IF(Boscombe!T11="","",Boscombe!T11)</f>
        <v/>
      </c>
      <c r="R95" s="41" t="str">
        <f>IF(Boscombe!U11="","",Boscombe!U11)</f>
        <v/>
      </c>
      <c r="S95" s="41" t="str">
        <f>IF(Boscombe!V11="","",Boscombe!V11)</f>
        <v/>
      </c>
      <c r="T95" s="41" t="str">
        <f>IF(Boscombe!W11="","",Boscombe!W11)</f>
        <v/>
      </c>
      <c r="U95" s="41" t="str">
        <f>IF(Boscombe!X11="","",Boscombe!X11)</f>
        <v/>
      </c>
      <c r="V95" s="41" t="str">
        <f>IF(Boscombe!Y11="","",Boscombe!Y11)</f>
        <v/>
      </c>
      <c r="W95" s="249" t="str">
        <f>IF(Boscombe!AA11=0,"",Boscombe!AA11)</f>
        <v/>
      </c>
      <c r="X95" s="244" t="str">
        <f>IF(Boscombe!AB11=0,"",Boscombe!AB11)</f>
        <v/>
      </c>
      <c r="Y95" s="245" t="str">
        <f>IF(Boscombe!AC11=0,"",Boscombe!AC11)</f>
        <v/>
      </c>
      <c r="AA95" s="246" t="str">
        <f>Y95</f>
        <v/>
      </c>
      <c r="AB95" s="243" t="str">
        <f>X95</f>
        <v/>
      </c>
      <c r="AC95" s="185" t="str">
        <f>C95</f>
        <v>Graham Platt</v>
      </c>
      <c r="AD95" s="185" t="str">
        <f>LEFT($B$91,3)</f>
        <v>Bos</v>
      </c>
      <c r="AE95" s="185" t="str">
        <f t="shared" ref="AE95:AY95" si="44">E95</f>
        <v/>
      </c>
      <c r="AF95" s="185" t="str">
        <f t="shared" si="44"/>
        <v/>
      </c>
      <c r="AG95" s="185" t="str">
        <f t="shared" si="44"/>
        <v/>
      </c>
      <c r="AH95" s="185" t="str">
        <f t="shared" si="44"/>
        <v/>
      </c>
      <c r="AI95" s="185" t="str">
        <f t="shared" si="44"/>
        <v/>
      </c>
      <c r="AJ95" s="243" t="str">
        <f t="shared" si="44"/>
        <v/>
      </c>
      <c r="AK95" s="243" t="str">
        <f t="shared" si="44"/>
        <v/>
      </c>
      <c r="AL95" s="243" t="str">
        <f t="shared" si="44"/>
        <v/>
      </c>
      <c r="AM95" s="243" t="str">
        <f t="shared" si="44"/>
        <v/>
      </c>
      <c r="AN95" s="243" t="str">
        <f t="shared" si="44"/>
        <v/>
      </c>
      <c r="AO95" s="243" t="str">
        <f t="shared" si="44"/>
        <v/>
      </c>
      <c r="AP95" s="243" t="str">
        <f t="shared" si="44"/>
        <v/>
      </c>
      <c r="AQ95" s="243" t="str">
        <f t="shared" si="44"/>
        <v/>
      </c>
      <c r="AR95" s="243" t="str">
        <f t="shared" si="44"/>
        <v/>
      </c>
      <c r="AS95" s="243" t="str">
        <f t="shared" si="44"/>
        <v/>
      </c>
      <c r="AT95" s="243" t="str">
        <f t="shared" si="44"/>
        <v/>
      </c>
      <c r="AU95" s="243" t="str">
        <f t="shared" si="44"/>
        <v/>
      </c>
      <c r="AV95" s="243" t="str">
        <f t="shared" si="44"/>
        <v/>
      </c>
      <c r="AW95" s="247" t="str">
        <f t="shared" si="44"/>
        <v/>
      </c>
      <c r="AX95" s="243" t="str">
        <f t="shared" si="44"/>
        <v/>
      </c>
      <c r="AY95" s="248" t="str">
        <f t="shared" si="44"/>
        <v/>
      </c>
    </row>
    <row r="96" spans="2:51" ht="12" customHeight="1" x14ac:dyDescent="0.2">
      <c r="B96" s="266"/>
      <c r="C96" s="235"/>
      <c r="D96" s="235"/>
      <c r="E96" s="239"/>
      <c r="F96" s="182"/>
      <c r="G96" s="182"/>
      <c r="H96" s="182"/>
      <c r="I96" s="233"/>
      <c r="J96" s="163" t="str">
        <f>IF(Boscombe!M12="","",Boscombe!M12)</f>
        <v/>
      </c>
      <c r="K96" s="41" t="str">
        <f>IF(Boscombe!N12="","",Boscombe!N12)</f>
        <v/>
      </c>
      <c r="L96" s="41" t="str">
        <f>IF(Boscombe!O12="","",Boscombe!O12)</f>
        <v/>
      </c>
      <c r="M96" s="41" t="str">
        <f>IF(Boscombe!P12="","",Boscombe!P12)</f>
        <v/>
      </c>
      <c r="N96" s="41" t="str">
        <f>IF(Boscombe!Q12="","",Boscombe!Q12)</f>
        <v/>
      </c>
      <c r="O96" s="41" t="str">
        <f>IF(Boscombe!R12="","",Boscombe!R12)</f>
        <v/>
      </c>
      <c r="P96" s="41" t="str">
        <f>IF(Boscombe!S12="","",Boscombe!S12)</f>
        <v/>
      </c>
      <c r="Q96" s="41" t="str">
        <f>IF(Boscombe!T12="","",Boscombe!T12)</f>
        <v/>
      </c>
      <c r="R96" s="41" t="str">
        <f>IF(Boscombe!U12="","",Boscombe!U12)</f>
        <v/>
      </c>
      <c r="S96" s="41" t="str">
        <f>IF(Boscombe!V12="","",Boscombe!V12)</f>
        <v/>
      </c>
      <c r="T96" s="41" t="str">
        <f>IF(Boscombe!W12="","",Boscombe!W12)</f>
        <v/>
      </c>
      <c r="U96" s="41" t="str">
        <f>IF(Boscombe!X12="","",Boscombe!X12)</f>
        <v/>
      </c>
      <c r="V96" s="41" t="str">
        <f>IF(Boscombe!Y12="","",Boscombe!Y12)</f>
        <v/>
      </c>
      <c r="W96" s="201"/>
      <c r="X96" s="182"/>
      <c r="Y96" s="233"/>
      <c r="AA96" s="239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233"/>
    </row>
    <row r="97" spans="2:51" ht="12" customHeight="1" x14ac:dyDescent="0.2">
      <c r="B97" s="266"/>
      <c r="C97" s="263" t="str">
        <f>IF(Boscombe!E13="","",Boscombe!E13)</f>
        <v>Richard Alcock</v>
      </c>
      <c r="D97" s="259" t="str">
        <f>LEFT($B$91,3)</f>
        <v>Bos</v>
      </c>
      <c r="E97" s="251">
        <f>IF(Boscombe!G13="","",Boscombe!G13)</f>
        <v>1</v>
      </c>
      <c r="F97" s="181" t="str">
        <f>IF(Boscombe!H13=0,"",Boscombe!H13)</f>
        <v/>
      </c>
      <c r="G97" s="186">
        <f>IF(Boscombe!I13=0,"",Boscombe!I13)</f>
        <v>1</v>
      </c>
      <c r="H97" s="186">
        <f>IF(Boscombe!J13=0,"",Boscombe!J13)</f>
        <v>3</v>
      </c>
      <c r="I97" s="252">
        <f>IF(Boscombe!K13=0,"",Boscombe!K13)</f>
        <v>4</v>
      </c>
      <c r="J97" s="163" t="str">
        <f>IF(Boscombe!M13="","",Boscombe!M13)</f>
        <v/>
      </c>
      <c r="K97" s="41" t="str">
        <f>IF(Boscombe!N13="","",Boscombe!N13)</f>
        <v/>
      </c>
      <c r="L97" s="41" t="str">
        <f>IF(Boscombe!O13="","",Boscombe!O13)</f>
        <v/>
      </c>
      <c r="M97" s="41" t="str">
        <f>IF(Boscombe!P13="","",Boscombe!P13)</f>
        <v/>
      </c>
      <c r="N97" s="41" t="str">
        <f>IF(Boscombe!Q13="","",Boscombe!Q13)</f>
        <v/>
      </c>
      <c r="O97" s="41" t="str">
        <f>IF(Boscombe!R13="","",Boscombe!R13)</f>
        <v/>
      </c>
      <c r="P97" s="41" t="str">
        <f>IF(Boscombe!S13="","",Boscombe!S13)</f>
        <v/>
      </c>
      <c r="Q97" s="41" t="str">
        <f>IF(Boscombe!T13="","",Boscombe!T13)</f>
        <v/>
      </c>
      <c r="R97" s="41">
        <f>IF(Boscombe!U13="","",Boscombe!U13)</f>
        <v>18.54</v>
      </c>
      <c r="S97" s="41" t="str">
        <f>IF(Boscombe!V13="","",Boscombe!V13)</f>
        <v/>
      </c>
      <c r="T97" s="41" t="str">
        <f>IF(Boscombe!W13="","",Boscombe!W13)</f>
        <v/>
      </c>
      <c r="U97" s="41" t="str">
        <f>IF(Boscombe!X13="","",Boscombe!X13)</f>
        <v/>
      </c>
      <c r="V97" s="41" t="str">
        <f>IF(Boscombe!Y13="","",Boscombe!Y13)</f>
        <v/>
      </c>
      <c r="W97" s="249" t="str">
        <f>IF(Boscombe!AA13=0,"",Boscombe!AA13)</f>
        <v/>
      </c>
      <c r="X97" s="244">
        <f>IF(Boscombe!AB13=0,"",Boscombe!AB13)</f>
        <v>18.54</v>
      </c>
      <c r="Y97" s="245">
        <f>IF(Boscombe!AC13=0,"",Boscombe!AC13)</f>
        <v>18.54</v>
      </c>
      <c r="AA97" s="246">
        <f>Y97</f>
        <v>18.54</v>
      </c>
      <c r="AB97" s="243">
        <f>X97</f>
        <v>18.54</v>
      </c>
      <c r="AC97" s="185" t="str">
        <f>C97</f>
        <v>Richard Alcock</v>
      </c>
      <c r="AD97" s="185" t="str">
        <f>LEFT($B$91,3)</f>
        <v>Bos</v>
      </c>
      <c r="AE97" s="185">
        <f t="shared" ref="AE97:AY97" si="45">E97</f>
        <v>1</v>
      </c>
      <c r="AF97" s="185" t="str">
        <f t="shared" si="45"/>
        <v/>
      </c>
      <c r="AG97" s="247">
        <f t="shared" si="45"/>
        <v>1</v>
      </c>
      <c r="AH97" s="247">
        <f t="shared" si="45"/>
        <v>3</v>
      </c>
      <c r="AI97" s="247">
        <f t="shared" si="45"/>
        <v>4</v>
      </c>
      <c r="AJ97" s="243" t="str">
        <f t="shared" si="45"/>
        <v/>
      </c>
      <c r="AK97" s="243" t="str">
        <f t="shared" si="45"/>
        <v/>
      </c>
      <c r="AL97" s="243" t="str">
        <f t="shared" si="45"/>
        <v/>
      </c>
      <c r="AM97" s="243" t="str">
        <f t="shared" si="45"/>
        <v/>
      </c>
      <c r="AN97" s="243" t="str">
        <f t="shared" si="45"/>
        <v/>
      </c>
      <c r="AO97" s="243" t="str">
        <f t="shared" si="45"/>
        <v/>
      </c>
      <c r="AP97" s="243" t="str">
        <f t="shared" si="45"/>
        <v/>
      </c>
      <c r="AQ97" s="243" t="str">
        <f t="shared" si="45"/>
        <v/>
      </c>
      <c r="AR97" s="243">
        <f t="shared" si="45"/>
        <v>18.54</v>
      </c>
      <c r="AS97" s="243" t="str">
        <f t="shared" si="45"/>
        <v/>
      </c>
      <c r="AT97" s="243" t="str">
        <f t="shared" si="45"/>
        <v/>
      </c>
      <c r="AU97" s="243" t="str">
        <f t="shared" si="45"/>
        <v/>
      </c>
      <c r="AV97" s="243" t="str">
        <f t="shared" si="45"/>
        <v/>
      </c>
      <c r="AW97" s="247" t="str">
        <f t="shared" si="45"/>
        <v/>
      </c>
      <c r="AX97" s="243">
        <f t="shared" si="45"/>
        <v>18.54</v>
      </c>
      <c r="AY97" s="248">
        <f t="shared" si="45"/>
        <v>18.54</v>
      </c>
    </row>
    <row r="98" spans="2:51" ht="12" customHeight="1" x14ac:dyDescent="0.2">
      <c r="B98" s="266"/>
      <c r="C98" s="235"/>
      <c r="D98" s="235"/>
      <c r="E98" s="239"/>
      <c r="F98" s="182"/>
      <c r="G98" s="182"/>
      <c r="H98" s="182"/>
      <c r="I98" s="233"/>
      <c r="J98" s="163" t="str">
        <f>IF(Boscombe!M14="","",Boscombe!M14)</f>
        <v/>
      </c>
      <c r="K98" s="41" t="str">
        <f>IF(Boscombe!N14="","",Boscombe!N14)</f>
        <v/>
      </c>
      <c r="L98" s="41" t="str">
        <f>IF(Boscombe!O14="","",Boscombe!O14)</f>
        <v/>
      </c>
      <c r="M98" s="41" t="str">
        <f>IF(Boscombe!P14="","",Boscombe!P14)</f>
        <v/>
      </c>
      <c r="N98" s="41" t="str">
        <f>IF(Boscombe!Q14="","",Boscombe!Q14)</f>
        <v/>
      </c>
      <c r="O98" s="41" t="str">
        <f>IF(Boscombe!R14="","",Boscombe!R14)</f>
        <v/>
      </c>
      <c r="P98" s="41" t="str">
        <f>IF(Boscombe!S14="","",Boscombe!S14)</f>
        <v/>
      </c>
      <c r="Q98" s="41" t="str">
        <f>IF(Boscombe!T14="","",Boscombe!T14)</f>
        <v/>
      </c>
      <c r="R98" s="41" t="str">
        <f>IF(Boscombe!U14="","",Boscombe!U14)</f>
        <v>3*4</v>
      </c>
      <c r="S98" s="41" t="str">
        <f>IF(Boscombe!V14="","",Boscombe!V14)</f>
        <v/>
      </c>
      <c r="T98" s="41" t="str">
        <f>IF(Boscombe!W14="","",Boscombe!W14)</f>
        <v/>
      </c>
      <c r="U98" s="41" t="str">
        <f>IF(Boscombe!X14="","",Boscombe!X14)</f>
        <v/>
      </c>
      <c r="V98" s="41" t="str">
        <f>IF(Boscombe!Y14="","",Boscombe!Y14)</f>
        <v/>
      </c>
      <c r="W98" s="201"/>
      <c r="X98" s="182"/>
      <c r="Y98" s="233"/>
      <c r="AA98" s="239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233"/>
    </row>
    <row r="99" spans="2:51" ht="12" customHeight="1" x14ac:dyDescent="0.2">
      <c r="B99" s="266"/>
      <c r="C99" s="263" t="str">
        <f>IF(Boscombe!E15="","",Boscombe!E15)</f>
        <v>Gary Rafferty</v>
      </c>
      <c r="D99" s="259" t="str">
        <f>LEFT($B$91,3)</f>
        <v>Bos</v>
      </c>
      <c r="E99" s="251" t="str">
        <f>IF(Boscombe!G15="","",Boscombe!G15)</f>
        <v/>
      </c>
      <c r="F99" s="181" t="str">
        <f>IF(Boscombe!H15=0,"",Boscombe!H15)</f>
        <v/>
      </c>
      <c r="G99" s="181" t="str">
        <f>IF(Boscombe!I15=0,"",Boscombe!I15)</f>
        <v/>
      </c>
      <c r="H99" s="181" t="str">
        <f>IF(Boscombe!J15=0,"",Boscombe!J15)</f>
        <v/>
      </c>
      <c r="I99" s="250" t="str">
        <f>IF(Boscombe!K15=0,"",Boscombe!K15)</f>
        <v/>
      </c>
      <c r="J99" s="163" t="str">
        <f>IF(Boscombe!M15="","",Boscombe!M15)</f>
        <v/>
      </c>
      <c r="K99" s="41" t="str">
        <f>IF(Boscombe!N15="","",Boscombe!N15)</f>
        <v/>
      </c>
      <c r="L99" s="41" t="str">
        <f>IF(Boscombe!O15="","",Boscombe!O15)</f>
        <v/>
      </c>
      <c r="M99" s="41" t="str">
        <f>IF(Boscombe!P15="","",Boscombe!P15)</f>
        <v/>
      </c>
      <c r="N99" s="41" t="str">
        <f>IF(Boscombe!Q15="","",Boscombe!Q15)</f>
        <v/>
      </c>
      <c r="O99" s="41" t="str">
        <f>IF(Boscombe!R15="","",Boscombe!R15)</f>
        <v/>
      </c>
      <c r="P99" s="41" t="str">
        <f>IF(Boscombe!S15="","",Boscombe!S15)</f>
        <v/>
      </c>
      <c r="Q99" s="41" t="str">
        <f>IF(Boscombe!T15="","",Boscombe!T15)</f>
        <v/>
      </c>
      <c r="R99" s="41" t="str">
        <f>IF(Boscombe!U15="","",Boscombe!U15)</f>
        <v/>
      </c>
      <c r="S99" s="41" t="str">
        <f>IF(Boscombe!V15="","",Boscombe!V15)</f>
        <v/>
      </c>
      <c r="T99" s="41" t="str">
        <f>IF(Boscombe!W15="","",Boscombe!W15)</f>
        <v/>
      </c>
      <c r="U99" s="41" t="str">
        <f>IF(Boscombe!X15="","",Boscombe!X15)</f>
        <v/>
      </c>
      <c r="V99" s="41" t="str">
        <f>IF(Boscombe!Y15="","",Boscombe!Y15)</f>
        <v/>
      </c>
      <c r="W99" s="249" t="str">
        <f>IF(Boscombe!AA15=0,"",Boscombe!AA15)</f>
        <v/>
      </c>
      <c r="X99" s="244" t="str">
        <f>IF(Boscombe!AB15=0,"",Boscombe!AB15)</f>
        <v/>
      </c>
      <c r="Y99" s="245" t="str">
        <f>IF(Boscombe!AC15=0,"",Boscombe!AC15)</f>
        <v/>
      </c>
      <c r="AA99" s="246" t="str">
        <f>Y99</f>
        <v/>
      </c>
      <c r="AB99" s="243" t="str">
        <f>X99</f>
        <v/>
      </c>
      <c r="AC99" s="185" t="str">
        <f>C99</f>
        <v>Gary Rafferty</v>
      </c>
      <c r="AD99" s="185" t="str">
        <f>LEFT($B$91,3)</f>
        <v>Bos</v>
      </c>
      <c r="AE99" s="185" t="str">
        <f t="shared" ref="AE99:AY99" si="46">E99</f>
        <v/>
      </c>
      <c r="AF99" s="185" t="str">
        <f t="shared" si="46"/>
        <v/>
      </c>
      <c r="AG99" s="185" t="str">
        <f t="shared" si="46"/>
        <v/>
      </c>
      <c r="AH99" s="185" t="str">
        <f t="shared" si="46"/>
        <v/>
      </c>
      <c r="AI99" s="185" t="str">
        <f t="shared" si="46"/>
        <v/>
      </c>
      <c r="AJ99" s="243" t="str">
        <f t="shared" si="46"/>
        <v/>
      </c>
      <c r="AK99" s="243" t="str">
        <f t="shared" si="46"/>
        <v/>
      </c>
      <c r="AL99" s="243" t="str">
        <f t="shared" si="46"/>
        <v/>
      </c>
      <c r="AM99" s="243" t="str">
        <f t="shared" si="46"/>
        <v/>
      </c>
      <c r="AN99" s="243" t="str">
        <f t="shared" si="46"/>
        <v/>
      </c>
      <c r="AO99" s="243" t="str">
        <f t="shared" si="46"/>
        <v/>
      </c>
      <c r="AP99" s="243" t="str">
        <f t="shared" si="46"/>
        <v/>
      </c>
      <c r="AQ99" s="243" t="str">
        <f t="shared" si="46"/>
        <v/>
      </c>
      <c r="AR99" s="243" t="str">
        <f t="shared" si="46"/>
        <v/>
      </c>
      <c r="AS99" s="243" t="str">
        <f t="shared" si="46"/>
        <v/>
      </c>
      <c r="AT99" s="243" t="str">
        <f t="shared" si="46"/>
        <v/>
      </c>
      <c r="AU99" s="243" t="str">
        <f t="shared" si="46"/>
        <v/>
      </c>
      <c r="AV99" s="243" t="str">
        <f t="shared" si="46"/>
        <v/>
      </c>
      <c r="AW99" s="247" t="str">
        <f t="shared" si="46"/>
        <v/>
      </c>
      <c r="AX99" s="243" t="str">
        <f t="shared" si="46"/>
        <v/>
      </c>
      <c r="AY99" s="248" t="str">
        <f t="shared" si="46"/>
        <v/>
      </c>
    </row>
    <row r="100" spans="2:51" ht="12" customHeight="1" x14ac:dyDescent="0.2">
      <c r="B100" s="266"/>
      <c r="C100" s="235"/>
      <c r="D100" s="235"/>
      <c r="E100" s="239"/>
      <c r="F100" s="182"/>
      <c r="G100" s="182"/>
      <c r="H100" s="182"/>
      <c r="I100" s="233"/>
      <c r="J100" s="163" t="str">
        <f>IF(Boscombe!M16="","",Boscombe!M16)</f>
        <v/>
      </c>
      <c r="K100" s="41" t="str">
        <f>IF(Boscombe!N16="","",Boscombe!N16)</f>
        <v/>
      </c>
      <c r="L100" s="41" t="str">
        <f>IF(Boscombe!O16="","",Boscombe!O16)</f>
        <v/>
      </c>
      <c r="M100" s="41" t="str">
        <f>IF(Boscombe!P16="","",Boscombe!P16)</f>
        <v/>
      </c>
      <c r="N100" s="41" t="str">
        <f>IF(Boscombe!Q16="","",Boscombe!Q16)</f>
        <v/>
      </c>
      <c r="O100" s="41" t="str">
        <f>IF(Boscombe!R16="","",Boscombe!R16)</f>
        <v/>
      </c>
      <c r="P100" s="41" t="str">
        <f>IF(Boscombe!S16="","",Boscombe!S16)</f>
        <v/>
      </c>
      <c r="Q100" s="41" t="str">
        <f>IF(Boscombe!T16="","",Boscombe!T16)</f>
        <v/>
      </c>
      <c r="R100" s="41" t="str">
        <f>IF(Boscombe!U16="","",Boscombe!U16)</f>
        <v/>
      </c>
      <c r="S100" s="41" t="str">
        <f>IF(Boscombe!V16="","",Boscombe!V16)</f>
        <v/>
      </c>
      <c r="T100" s="41" t="str">
        <f>IF(Boscombe!W16="","",Boscombe!W16)</f>
        <v/>
      </c>
      <c r="U100" s="41" t="str">
        <f>IF(Boscombe!X16="","",Boscombe!X16)</f>
        <v/>
      </c>
      <c r="V100" s="41" t="str">
        <f>IF(Boscombe!Y16="","",Boscombe!Y16)</f>
        <v/>
      </c>
      <c r="W100" s="201"/>
      <c r="X100" s="182"/>
      <c r="Y100" s="233"/>
      <c r="AA100" s="239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233"/>
    </row>
    <row r="101" spans="2:51" ht="12" customHeight="1" x14ac:dyDescent="0.2">
      <c r="B101" s="266"/>
      <c r="C101" s="263" t="str">
        <f>IF(Boscombe!E17="","",Boscombe!E17)</f>
        <v>Paul Burnham</v>
      </c>
      <c r="D101" s="259" t="str">
        <f>LEFT($B$91,3)</f>
        <v>Bos</v>
      </c>
      <c r="E101" s="251">
        <f>IF(Boscombe!G17="","",Boscombe!G17)</f>
        <v>1</v>
      </c>
      <c r="F101" s="181" t="str">
        <f>IF(Boscombe!H17=0,"",Boscombe!H17)</f>
        <v/>
      </c>
      <c r="G101" s="186">
        <f>IF(Boscombe!I17=0,"",Boscombe!I17)</f>
        <v>1</v>
      </c>
      <c r="H101" s="186">
        <f>IF(Boscombe!J17=0,"",Boscombe!J17)</f>
        <v>1</v>
      </c>
      <c r="I101" s="252">
        <f>IF(Boscombe!K17=0,"",Boscombe!K17)</f>
        <v>4</v>
      </c>
      <c r="J101" s="163" t="str">
        <f>IF(Boscombe!M17="","",Boscombe!M17)</f>
        <v/>
      </c>
      <c r="K101" s="41" t="str">
        <f>IF(Boscombe!N17="","",Boscombe!N17)</f>
        <v/>
      </c>
      <c r="L101" s="41" t="str">
        <f>IF(Boscombe!O17="","",Boscombe!O17)</f>
        <v/>
      </c>
      <c r="M101" s="41" t="str">
        <f>IF(Boscombe!P17="","",Boscombe!P17)</f>
        <v/>
      </c>
      <c r="N101" s="41">
        <f>IF(Boscombe!Q17="","",Boscombe!Q17)</f>
        <v>17.829999999999998</v>
      </c>
      <c r="O101" s="41" t="str">
        <f>IF(Boscombe!R17="","",Boscombe!R17)</f>
        <v/>
      </c>
      <c r="P101" s="41" t="str">
        <f>IF(Boscombe!S17="","",Boscombe!S17)</f>
        <v/>
      </c>
      <c r="Q101" s="41" t="str">
        <f>IF(Boscombe!T17="","",Boscombe!T17)</f>
        <v/>
      </c>
      <c r="R101" s="41" t="str">
        <f>IF(Boscombe!U17="","",Boscombe!U17)</f>
        <v/>
      </c>
      <c r="S101" s="41" t="str">
        <f>IF(Boscombe!V17="","",Boscombe!V17)</f>
        <v/>
      </c>
      <c r="T101" s="41" t="str">
        <f>IF(Boscombe!W17="","",Boscombe!W17)</f>
        <v/>
      </c>
      <c r="U101" s="41" t="str">
        <f>IF(Boscombe!X17="","",Boscombe!X17)</f>
        <v/>
      </c>
      <c r="V101" s="41" t="str">
        <f>IF(Boscombe!Y17="","",Boscombe!Y17)</f>
        <v/>
      </c>
      <c r="W101" s="249" t="str">
        <f>IF(Boscombe!AA17=0,"",Boscombe!AA17)</f>
        <v/>
      </c>
      <c r="X101" s="244">
        <f>IF(Boscombe!AB17=0,"",Boscombe!AB17)</f>
        <v>17.829999999999998</v>
      </c>
      <c r="Y101" s="245">
        <f>IF(Boscombe!AC17=0,"",Boscombe!AC17)</f>
        <v>17.829999999999998</v>
      </c>
      <c r="AA101" s="246">
        <f>Y101</f>
        <v>17.829999999999998</v>
      </c>
      <c r="AB101" s="243">
        <f>X101</f>
        <v>17.829999999999998</v>
      </c>
      <c r="AC101" s="185" t="str">
        <f>C101</f>
        <v>Paul Burnham</v>
      </c>
      <c r="AD101" s="185" t="str">
        <f>LEFT($B$91,3)</f>
        <v>Bos</v>
      </c>
      <c r="AE101" s="185">
        <f t="shared" ref="AE101:AY101" si="47">E101</f>
        <v>1</v>
      </c>
      <c r="AF101" s="185" t="str">
        <f t="shared" si="47"/>
        <v/>
      </c>
      <c r="AG101" s="247">
        <f t="shared" si="47"/>
        <v>1</v>
      </c>
      <c r="AH101" s="247">
        <f t="shared" si="47"/>
        <v>1</v>
      </c>
      <c r="AI101" s="247">
        <f t="shared" si="47"/>
        <v>4</v>
      </c>
      <c r="AJ101" s="243" t="str">
        <f t="shared" si="47"/>
        <v/>
      </c>
      <c r="AK101" s="243" t="str">
        <f t="shared" si="47"/>
        <v/>
      </c>
      <c r="AL101" s="243" t="str">
        <f t="shared" si="47"/>
        <v/>
      </c>
      <c r="AM101" s="243" t="str">
        <f t="shared" si="47"/>
        <v/>
      </c>
      <c r="AN101" s="243">
        <f t="shared" si="47"/>
        <v>17.829999999999998</v>
      </c>
      <c r="AO101" s="243" t="str">
        <f t="shared" si="47"/>
        <v/>
      </c>
      <c r="AP101" s="243" t="str">
        <f t="shared" si="47"/>
        <v/>
      </c>
      <c r="AQ101" s="243" t="str">
        <f t="shared" si="47"/>
        <v/>
      </c>
      <c r="AR101" s="243" t="str">
        <f t="shared" si="47"/>
        <v/>
      </c>
      <c r="AS101" s="243" t="str">
        <f t="shared" si="47"/>
        <v/>
      </c>
      <c r="AT101" s="243" t="str">
        <f t="shared" si="47"/>
        <v/>
      </c>
      <c r="AU101" s="243" t="str">
        <f t="shared" si="47"/>
        <v/>
      </c>
      <c r="AV101" s="243" t="str">
        <f t="shared" si="47"/>
        <v/>
      </c>
      <c r="AW101" s="247" t="str">
        <f t="shared" si="47"/>
        <v/>
      </c>
      <c r="AX101" s="243">
        <f t="shared" si="47"/>
        <v>17.829999999999998</v>
      </c>
      <c r="AY101" s="248">
        <f t="shared" si="47"/>
        <v>17.829999999999998</v>
      </c>
    </row>
    <row r="102" spans="2:51" ht="12" customHeight="1" x14ac:dyDescent="0.2">
      <c r="B102" s="266"/>
      <c r="C102" s="235"/>
      <c r="D102" s="235"/>
      <c r="E102" s="239"/>
      <c r="F102" s="182"/>
      <c r="G102" s="182"/>
      <c r="H102" s="182"/>
      <c r="I102" s="233"/>
      <c r="J102" s="163" t="str">
        <f>IF(Boscombe!M18="","",Boscombe!M18)</f>
        <v/>
      </c>
      <c r="K102" s="41" t="str">
        <f>IF(Boscombe!N18="","",Boscombe!N18)</f>
        <v/>
      </c>
      <c r="L102" s="41" t="str">
        <f>IF(Boscombe!O18="","",Boscombe!O18)</f>
        <v/>
      </c>
      <c r="M102" s="41" t="str">
        <f>IF(Boscombe!P18="","",Boscombe!P18)</f>
        <v/>
      </c>
      <c r="N102" s="41" t="str">
        <f>IF(Boscombe!Q18="","",Boscombe!Q18)</f>
        <v>1*4</v>
      </c>
      <c r="O102" s="41" t="str">
        <f>IF(Boscombe!R18="","",Boscombe!R18)</f>
        <v/>
      </c>
      <c r="P102" s="41" t="str">
        <f>IF(Boscombe!S18="","",Boscombe!S18)</f>
        <v/>
      </c>
      <c r="Q102" s="41" t="str">
        <f>IF(Boscombe!T18="","",Boscombe!T18)</f>
        <v/>
      </c>
      <c r="R102" s="41" t="str">
        <f>IF(Boscombe!U18="","",Boscombe!U18)</f>
        <v/>
      </c>
      <c r="S102" s="41" t="str">
        <f>IF(Boscombe!V18="","",Boscombe!V18)</f>
        <v/>
      </c>
      <c r="T102" s="41" t="str">
        <f>IF(Boscombe!W18="","",Boscombe!W18)</f>
        <v/>
      </c>
      <c r="U102" s="41" t="str">
        <f>IF(Boscombe!X18="","",Boscombe!X18)</f>
        <v/>
      </c>
      <c r="V102" s="41" t="str">
        <f>IF(Boscombe!Y18="","",Boscombe!Y18)</f>
        <v/>
      </c>
      <c r="W102" s="201"/>
      <c r="X102" s="182"/>
      <c r="Y102" s="233"/>
      <c r="AA102" s="239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233"/>
    </row>
    <row r="103" spans="2:51" ht="12" customHeight="1" x14ac:dyDescent="0.2">
      <c r="B103" s="266"/>
      <c r="C103" s="263" t="str">
        <f>IF(Boscombe!E19="","",Boscombe!E19)</f>
        <v>Mike Stokes</v>
      </c>
      <c r="D103" s="259" t="str">
        <f>LEFT($B$91,3)</f>
        <v>Bos</v>
      </c>
      <c r="E103" s="251">
        <f>IF(Boscombe!G19="","",Boscombe!G19)</f>
        <v>6</v>
      </c>
      <c r="F103" s="181">
        <f>IF(Boscombe!H19=0,"",Boscombe!H19)</f>
        <v>1</v>
      </c>
      <c r="G103" s="186">
        <f>IF(Boscombe!I19=0,"",Boscombe!I19)</f>
        <v>5</v>
      </c>
      <c r="H103" s="186">
        <f>IF(Boscombe!J19=0,"",Boscombe!J19)</f>
        <v>12</v>
      </c>
      <c r="I103" s="252">
        <f>IF(Boscombe!K19=0,"",Boscombe!K19)</f>
        <v>22</v>
      </c>
      <c r="J103" s="163">
        <f>IF(Boscombe!M19="","",Boscombe!M19)</f>
        <v>22.82</v>
      </c>
      <c r="K103" s="41">
        <f>IF(Boscombe!N19="","",Boscombe!N19)</f>
        <v>18.2</v>
      </c>
      <c r="L103" s="41" t="str">
        <f>IF(Boscombe!O19="","",Boscombe!O19)</f>
        <v/>
      </c>
      <c r="M103" s="41">
        <f>IF(Boscombe!P19="","",Boscombe!P19)</f>
        <v>19.32</v>
      </c>
      <c r="N103" s="41" t="str">
        <f>IF(Boscombe!Q19="","",Boscombe!Q19)</f>
        <v/>
      </c>
      <c r="O103" s="41" t="str">
        <f>IF(Boscombe!R19="","",Boscombe!R19)</f>
        <v/>
      </c>
      <c r="P103" s="41" t="str">
        <f>IF(Boscombe!S19="","",Boscombe!S19)</f>
        <v/>
      </c>
      <c r="Q103" s="41" t="str">
        <f>IF(Boscombe!T19="","",Boscombe!T19)</f>
        <v/>
      </c>
      <c r="R103" s="41" t="str">
        <f>IF(Boscombe!U19="","",Boscombe!U19)</f>
        <v/>
      </c>
      <c r="S103" s="41" t="str">
        <f>IF(Boscombe!V19="","",Boscombe!V19)</f>
        <v/>
      </c>
      <c r="T103" s="41">
        <f>IF(Boscombe!W19="","",Boscombe!W19)</f>
        <v>18.649999999999999</v>
      </c>
      <c r="U103" s="41">
        <f>IF(Boscombe!X19="","",Boscombe!X19)</f>
        <v>17.96</v>
      </c>
      <c r="V103" s="41">
        <f>IF(Boscombe!Y19="","",Boscombe!Y19)</f>
        <v>17.61</v>
      </c>
      <c r="W103" s="249">
        <f>IF(Boscombe!AA19=0,"",Boscombe!AA19)</f>
        <v>2</v>
      </c>
      <c r="X103" s="244">
        <f>IF(Boscombe!AB19=0,"",Boscombe!AB19)</f>
        <v>19.09333333333333</v>
      </c>
      <c r="Y103" s="245">
        <f>IF(Boscombe!AC19=0,"",Boscombe!AC19)</f>
        <v>20.09333333333333</v>
      </c>
      <c r="AA103" s="246">
        <f>Y103</f>
        <v>20.09333333333333</v>
      </c>
      <c r="AB103" s="243">
        <f>X103</f>
        <v>19.09333333333333</v>
      </c>
      <c r="AC103" s="185" t="str">
        <f>C103</f>
        <v>Mike Stokes</v>
      </c>
      <c r="AD103" s="185" t="str">
        <f>LEFT($B$91,3)</f>
        <v>Bos</v>
      </c>
      <c r="AE103" s="185">
        <f t="shared" ref="AE103:AY103" si="48">E103</f>
        <v>6</v>
      </c>
      <c r="AF103" s="185">
        <f t="shared" si="48"/>
        <v>1</v>
      </c>
      <c r="AG103" s="247">
        <f t="shared" si="48"/>
        <v>5</v>
      </c>
      <c r="AH103" s="247">
        <f t="shared" si="48"/>
        <v>12</v>
      </c>
      <c r="AI103" s="247">
        <f t="shared" si="48"/>
        <v>22</v>
      </c>
      <c r="AJ103" s="243">
        <f t="shared" si="48"/>
        <v>22.82</v>
      </c>
      <c r="AK103" s="243">
        <f t="shared" si="48"/>
        <v>18.2</v>
      </c>
      <c r="AL103" s="243" t="str">
        <f t="shared" si="48"/>
        <v/>
      </c>
      <c r="AM103" s="243">
        <f t="shared" si="48"/>
        <v>19.32</v>
      </c>
      <c r="AN103" s="243" t="str">
        <f t="shared" si="48"/>
        <v/>
      </c>
      <c r="AO103" s="243" t="str">
        <f t="shared" si="48"/>
        <v/>
      </c>
      <c r="AP103" s="243" t="str">
        <f t="shared" si="48"/>
        <v/>
      </c>
      <c r="AQ103" s="243" t="str">
        <f t="shared" si="48"/>
        <v/>
      </c>
      <c r="AR103" s="243" t="str">
        <f t="shared" si="48"/>
        <v/>
      </c>
      <c r="AS103" s="243" t="str">
        <f t="shared" si="48"/>
        <v/>
      </c>
      <c r="AT103" s="243">
        <f t="shared" si="48"/>
        <v>18.649999999999999</v>
      </c>
      <c r="AU103" s="243">
        <f t="shared" si="48"/>
        <v>17.96</v>
      </c>
      <c r="AV103" s="243">
        <f t="shared" si="48"/>
        <v>17.61</v>
      </c>
      <c r="AW103" s="247">
        <f t="shared" si="48"/>
        <v>2</v>
      </c>
      <c r="AX103" s="243">
        <f t="shared" si="48"/>
        <v>19.09333333333333</v>
      </c>
      <c r="AY103" s="248">
        <f t="shared" si="48"/>
        <v>20.09333333333333</v>
      </c>
    </row>
    <row r="104" spans="2:51" ht="12" customHeight="1" x14ac:dyDescent="0.2">
      <c r="B104" s="266"/>
      <c r="C104" s="235"/>
      <c r="D104" s="235"/>
      <c r="E104" s="239"/>
      <c r="F104" s="182"/>
      <c r="G104" s="182"/>
      <c r="H104" s="182"/>
      <c r="I104" s="233"/>
      <c r="J104" s="163" t="str">
        <f>IF(Boscombe!M20="","",Boscombe!M20)</f>
        <v>2*4(2)</v>
      </c>
      <c r="K104" s="41" t="str">
        <f>IF(Boscombe!N20="","",Boscombe!N20)</f>
        <v>1*4</v>
      </c>
      <c r="L104" s="41" t="str">
        <f>IF(Boscombe!O20="","",Boscombe!O20)</f>
        <v/>
      </c>
      <c r="M104" s="41" t="str">
        <f>IF(Boscombe!P20="","",Boscombe!P20)</f>
        <v>1*4</v>
      </c>
      <c r="N104" s="41" t="str">
        <f>IF(Boscombe!Q20="","",Boscombe!Q20)</f>
        <v/>
      </c>
      <c r="O104" s="41" t="str">
        <f>IF(Boscombe!R20="","",Boscombe!R20)</f>
        <v/>
      </c>
      <c r="P104" s="41" t="str">
        <f>IF(Boscombe!S20="","",Boscombe!S20)</f>
        <v/>
      </c>
      <c r="Q104" s="41" t="str">
        <f>IF(Boscombe!T20="","",Boscombe!T20)</f>
        <v/>
      </c>
      <c r="R104" s="41" t="str">
        <f>IF(Boscombe!U20="","",Boscombe!U20)</f>
        <v/>
      </c>
      <c r="S104" s="41" t="str">
        <f>IF(Boscombe!V20="","",Boscombe!V20)</f>
        <v/>
      </c>
      <c r="T104" s="41" t="str">
        <f>IF(Boscombe!W20="","",Boscombe!W20)</f>
        <v>2*4</v>
      </c>
      <c r="U104" s="41" t="str">
        <f>IF(Boscombe!X20="","",Boscombe!X20)</f>
        <v>4*2</v>
      </c>
      <c r="V104" s="41" t="str">
        <f>IF(Boscombe!Y20="","",Boscombe!Y20)</f>
        <v>2*4</v>
      </c>
      <c r="W104" s="201"/>
      <c r="X104" s="182"/>
      <c r="Y104" s="233"/>
      <c r="AA104" s="239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233"/>
    </row>
    <row r="105" spans="2:51" ht="12" customHeight="1" x14ac:dyDescent="0.2">
      <c r="B105" s="266"/>
      <c r="C105" s="263" t="str">
        <f>IF(Boscombe!E21="","",Boscombe!E21)</f>
        <v>Nigel Gallimore</v>
      </c>
      <c r="D105" s="259" t="str">
        <f>LEFT($B$91,3)</f>
        <v>Bos</v>
      </c>
      <c r="E105" s="251">
        <f>IF(Boscombe!G21="","",Boscombe!G21)</f>
        <v>5</v>
      </c>
      <c r="F105" s="181">
        <f>IF(Boscombe!H21=0,"",Boscombe!H21)</f>
        <v>1</v>
      </c>
      <c r="G105" s="186">
        <f>IF(Boscombe!I21=0,"",Boscombe!I21)</f>
        <v>4</v>
      </c>
      <c r="H105" s="186">
        <f>IF(Boscombe!J21=0,"",Boscombe!J21)</f>
        <v>7</v>
      </c>
      <c r="I105" s="252">
        <f>IF(Boscombe!K21=0,"",Boscombe!K21)</f>
        <v>17</v>
      </c>
      <c r="J105" s="163">
        <f>IF(Boscombe!M21="","",Boscombe!M21)</f>
        <v>21.23</v>
      </c>
      <c r="K105" s="41">
        <f>IF(Boscombe!N21="","",Boscombe!N21)</f>
        <v>20.2</v>
      </c>
      <c r="L105" s="41">
        <f>IF(Boscombe!O21="","",Boscombe!O21)</f>
        <v>16.989999999999998</v>
      </c>
      <c r="M105" s="41">
        <f>IF(Boscombe!P21="","",Boscombe!P21)</f>
        <v>20.13</v>
      </c>
      <c r="N105" s="41" t="str">
        <f>IF(Boscombe!Q21="","",Boscombe!Q21)</f>
        <v/>
      </c>
      <c r="O105" s="41" t="str">
        <f>IF(Boscombe!R21="","",Boscombe!R21)</f>
        <v/>
      </c>
      <c r="P105" s="41" t="str">
        <f>IF(Boscombe!S21="","",Boscombe!S21)</f>
        <v/>
      </c>
      <c r="Q105" s="41" t="str">
        <f>IF(Boscombe!T21="","",Boscombe!T21)</f>
        <v/>
      </c>
      <c r="R105" s="41" t="str">
        <f>IF(Boscombe!U21="","",Boscombe!U21)</f>
        <v/>
      </c>
      <c r="S105" s="41" t="str">
        <f>IF(Boscombe!V21="","",Boscombe!V21)</f>
        <v/>
      </c>
      <c r="T105" s="41" t="str">
        <f>IF(Boscombe!W21="","",Boscombe!W21)</f>
        <v/>
      </c>
      <c r="U105" s="41" t="str">
        <f>IF(Boscombe!X21="","",Boscombe!X21)</f>
        <v/>
      </c>
      <c r="V105" s="41">
        <f>IF(Boscombe!Y21="","",Boscombe!Y21)</f>
        <v>21.99</v>
      </c>
      <c r="W105" s="249">
        <f>IF(Boscombe!AA21=0,"",Boscombe!AA21)</f>
        <v>1</v>
      </c>
      <c r="X105" s="244">
        <f>IF(Boscombe!AB21=0,"",Boscombe!AB21)</f>
        <v>20.107999999999997</v>
      </c>
      <c r="Y105" s="245">
        <f>IF(Boscombe!AC21=0,"",Boscombe!AC21)</f>
        <v>21.107999999999997</v>
      </c>
      <c r="AA105" s="246">
        <f>Y105</f>
        <v>21.107999999999997</v>
      </c>
      <c r="AB105" s="243">
        <f>X105</f>
        <v>20.107999999999997</v>
      </c>
      <c r="AC105" s="185" t="str">
        <f>C105</f>
        <v>Nigel Gallimore</v>
      </c>
      <c r="AD105" s="185" t="str">
        <f>LEFT($B$91,3)</f>
        <v>Bos</v>
      </c>
      <c r="AE105" s="185">
        <f t="shared" ref="AE105:AY105" si="49">E105</f>
        <v>5</v>
      </c>
      <c r="AF105" s="185">
        <f t="shared" si="49"/>
        <v>1</v>
      </c>
      <c r="AG105" s="247">
        <f t="shared" si="49"/>
        <v>4</v>
      </c>
      <c r="AH105" s="247">
        <f t="shared" si="49"/>
        <v>7</v>
      </c>
      <c r="AI105" s="247">
        <f t="shared" si="49"/>
        <v>17</v>
      </c>
      <c r="AJ105" s="243">
        <f t="shared" si="49"/>
        <v>21.23</v>
      </c>
      <c r="AK105" s="243">
        <f t="shared" si="49"/>
        <v>20.2</v>
      </c>
      <c r="AL105" s="243">
        <f t="shared" si="49"/>
        <v>16.989999999999998</v>
      </c>
      <c r="AM105" s="243">
        <f t="shared" si="49"/>
        <v>20.13</v>
      </c>
      <c r="AN105" s="243" t="str">
        <f t="shared" si="49"/>
        <v/>
      </c>
      <c r="AO105" s="243" t="str">
        <f t="shared" si="49"/>
        <v/>
      </c>
      <c r="AP105" s="243" t="str">
        <f t="shared" si="49"/>
        <v/>
      </c>
      <c r="AQ105" s="243" t="str">
        <f t="shared" si="49"/>
        <v/>
      </c>
      <c r="AR105" s="243" t="str">
        <f t="shared" si="49"/>
        <v/>
      </c>
      <c r="AS105" s="243" t="str">
        <f t="shared" si="49"/>
        <v/>
      </c>
      <c r="AT105" s="243" t="str">
        <f t="shared" si="49"/>
        <v/>
      </c>
      <c r="AU105" s="243" t="str">
        <f t="shared" si="49"/>
        <v/>
      </c>
      <c r="AV105" s="243">
        <f t="shared" si="49"/>
        <v>21.99</v>
      </c>
      <c r="AW105" s="247">
        <f t="shared" si="49"/>
        <v>1</v>
      </c>
      <c r="AX105" s="243">
        <f t="shared" si="49"/>
        <v>20.107999999999997</v>
      </c>
      <c r="AY105" s="248">
        <f t="shared" si="49"/>
        <v>21.107999999999997</v>
      </c>
    </row>
    <row r="106" spans="2:51" ht="12" customHeight="1" x14ac:dyDescent="0.2">
      <c r="B106" s="266"/>
      <c r="C106" s="235"/>
      <c r="D106" s="235"/>
      <c r="E106" s="239"/>
      <c r="F106" s="182"/>
      <c r="G106" s="182"/>
      <c r="H106" s="182"/>
      <c r="I106" s="233"/>
      <c r="J106" s="163" t="str">
        <f>IF(Boscombe!M22="","",Boscombe!M22)</f>
        <v>0*4</v>
      </c>
      <c r="K106" s="41" t="str">
        <f>IF(Boscombe!N22="","",Boscombe!N22)</f>
        <v>4*1</v>
      </c>
      <c r="L106" s="41" t="str">
        <f>IF(Boscombe!O22="","",Boscombe!O22)</f>
        <v>0*4</v>
      </c>
      <c r="M106" s="41" t="str">
        <f>IF(Boscombe!P22="","",Boscombe!P22)</f>
        <v>1*4(1)</v>
      </c>
      <c r="N106" s="41" t="str">
        <f>IF(Boscombe!Q22="","",Boscombe!Q22)</f>
        <v/>
      </c>
      <c r="O106" s="41" t="str">
        <f>IF(Boscombe!R22="","",Boscombe!R22)</f>
        <v/>
      </c>
      <c r="P106" s="41" t="str">
        <f>IF(Boscombe!S22="","",Boscombe!S22)</f>
        <v/>
      </c>
      <c r="Q106" s="41" t="str">
        <f>IF(Boscombe!T22="","",Boscombe!T22)</f>
        <v/>
      </c>
      <c r="R106" s="41" t="str">
        <f>IF(Boscombe!U22="","",Boscombe!U22)</f>
        <v/>
      </c>
      <c r="S106" s="41" t="str">
        <f>IF(Boscombe!V22="","",Boscombe!V22)</f>
        <v/>
      </c>
      <c r="T106" s="41" t="str">
        <f>IF(Boscombe!W22="","",Boscombe!W22)</f>
        <v/>
      </c>
      <c r="U106" s="41" t="str">
        <f>IF(Boscombe!X22="","",Boscombe!X22)</f>
        <v/>
      </c>
      <c r="V106" s="41" t="str">
        <f>IF(Boscombe!Y22="","",Boscombe!Y22)</f>
        <v>2*4</v>
      </c>
      <c r="W106" s="201"/>
      <c r="X106" s="182"/>
      <c r="Y106" s="233"/>
      <c r="AA106" s="239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233"/>
    </row>
    <row r="107" spans="2:51" ht="12" customHeight="1" x14ac:dyDescent="0.2">
      <c r="B107" s="266"/>
      <c r="C107" s="263" t="str">
        <f>IF(Boscombe!E23="","",Boscombe!E23)</f>
        <v>Grant Barnett</v>
      </c>
      <c r="D107" s="259" t="str">
        <f>LEFT($B$91,3)</f>
        <v>Bos</v>
      </c>
      <c r="E107" s="251">
        <f>IF(Boscombe!G23="","",Boscombe!G23)</f>
        <v>13</v>
      </c>
      <c r="F107" s="181">
        <f>IF(Boscombe!H23=0,"",Boscombe!H23)</f>
        <v>6</v>
      </c>
      <c r="G107" s="186">
        <f>IF(Boscombe!I23=0,"",Boscombe!I23)</f>
        <v>7</v>
      </c>
      <c r="H107" s="186">
        <f>IF(Boscombe!J23=0,"",Boscombe!J23)</f>
        <v>33</v>
      </c>
      <c r="I107" s="252">
        <f>IF(Boscombe!K23=0,"",Boscombe!K23)</f>
        <v>41</v>
      </c>
      <c r="J107" s="163">
        <f>IF(Boscombe!M23="","",Boscombe!M23)</f>
        <v>20.43</v>
      </c>
      <c r="K107" s="41">
        <f>IF(Boscombe!N23="","",Boscombe!N23)</f>
        <v>21.68</v>
      </c>
      <c r="L107" s="41">
        <f>IF(Boscombe!O23="","",Boscombe!O23)</f>
        <v>22.05</v>
      </c>
      <c r="M107" s="41">
        <f>IF(Boscombe!P23="","",Boscombe!P23)</f>
        <v>22.21</v>
      </c>
      <c r="N107" s="41">
        <f>IF(Boscombe!Q23="","",Boscombe!Q23)</f>
        <v>19.12</v>
      </c>
      <c r="O107" s="41">
        <f>IF(Boscombe!R23="","",Boscombe!R23)</f>
        <v>19.600000000000001</v>
      </c>
      <c r="P107" s="41">
        <f>IF(Boscombe!S23="","",Boscombe!S23)</f>
        <v>19.61</v>
      </c>
      <c r="Q107" s="41">
        <f>IF(Boscombe!T23="","",Boscombe!T23)</f>
        <v>22.31</v>
      </c>
      <c r="R107" s="41">
        <f>IF(Boscombe!U23="","",Boscombe!U23)</f>
        <v>18.46</v>
      </c>
      <c r="S107" s="41">
        <f>IF(Boscombe!V23="","",Boscombe!V23)</f>
        <v>20.79</v>
      </c>
      <c r="T107" s="41">
        <f>IF(Boscombe!W23="","",Boscombe!W23)</f>
        <v>18.86</v>
      </c>
      <c r="U107" s="41">
        <f>IF(Boscombe!X23="","",Boscombe!X23)</f>
        <v>16.05</v>
      </c>
      <c r="V107" s="41">
        <f>IF(Boscombe!Y23="","",Boscombe!Y23)</f>
        <v>21.55</v>
      </c>
      <c r="W107" s="249">
        <f>IF(Boscombe!AA23=0,"",Boscombe!AA23)</f>
        <v>1</v>
      </c>
      <c r="X107" s="244">
        <f>IF(Boscombe!AB23=0,"",Boscombe!AB23)</f>
        <v>20.209230769230771</v>
      </c>
      <c r="Y107" s="245">
        <f>IF(Boscombe!AC23=0,"",Boscombe!AC23)</f>
        <v>26.209230769230771</v>
      </c>
      <c r="AA107" s="246">
        <f>Y107</f>
        <v>26.209230769230771</v>
      </c>
      <c r="AB107" s="243">
        <f>X107</f>
        <v>20.209230769230771</v>
      </c>
      <c r="AC107" s="185" t="str">
        <f>C107</f>
        <v>Grant Barnett</v>
      </c>
      <c r="AD107" s="185" t="str">
        <f>LEFT($B$91,3)</f>
        <v>Bos</v>
      </c>
      <c r="AE107" s="185">
        <f t="shared" ref="AE107:AY107" si="50">E107</f>
        <v>13</v>
      </c>
      <c r="AF107" s="185">
        <f t="shared" si="50"/>
        <v>6</v>
      </c>
      <c r="AG107" s="247">
        <f t="shared" si="50"/>
        <v>7</v>
      </c>
      <c r="AH107" s="247">
        <f t="shared" si="50"/>
        <v>33</v>
      </c>
      <c r="AI107" s="247">
        <f t="shared" si="50"/>
        <v>41</v>
      </c>
      <c r="AJ107" s="243">
        <f t="shared" si="50"/>
        <v>20.43</v>
      </c>
      <c r="AK107" s="243">
        <f t="shared" si="50"/>
        <v>21.68</v>
      </c>
      <c r="AL107" s="243">
        <f t="shared" si="50"/>
        <v>22.05</v>
      </c>
      <c r="AM107" s="243">
        <f t="shared" si="50"/>
        <v>22.21</v>
      </c>
      <c r="AN107" s="243">
        <f t="shared" si="50"/>
        <v>19.12</v>
      </c>
      <c r="AO107" s="243">
        <f t="shared" si="50"/>
        <v>19.600000000000001</v>
      </c>
      <c r="AP107" s="243">
        <f t="shared" si="50"/>
        <v>19.61</v>
      </c>
      <c r="AQ107" s="243">
        <f t="shared" si="50"/>
        <v>22.31</v>
      </c>
      <c r="AR107" s="243">
        <f t="shared" si="50"/>
        <v>18.46</v>
      </c>
      <c r="AS107" s="243">
        <f t="shared" si="50"/>
        <v>20.79</v>
      </c>
      <c r="AT107" s="243">
        <f t="shared" si="50"/>
        <v>18.86</v>
      </c>
      <c r="AU107" s="243">
        <f t="shared" si="50"/>
        <v>16.05</v>
      </c>
      <c r="AV107" s="243">
        <f t="shared" si="50"/>
        <v>21.55</v>
      </c>
      <c r="AW107" s="247">
        <f t="shared" si="50"/>
        <v>1</v>
      </c>
      <c r="AX107" s="243">
        <f t="shared" si="50"/>
        <v>20.209230769230771</v>
      </c>
      <c r="AY107" s="248">
        <f t="shared" si="50"/>
        <v>26.209230769230771</v>
      </c>
    </row>
    <row r="108" spans="2:51" ht="12" customHeight="1" x14ac:dyDescent="0.2">
      <c r="B108" s="266"/>
      <c r="C108" s="235"/>
      <c r="D108" s="235"/>
      <c r="E108" s="239"/>
      <c r="F108" s="182"/>
      <c r="G108" s="182"/>
      <c r="H108" s="182"/>
      <c r="I108" s="233"/>
      <c r="J108" s="163" t="str">
        <f>IF(Boscombe!M24="","",Boscombe!M24)</f>
        <v>2*4</v>
      </c>
      <c r="K108" s="41" t="str">
        <f>IF(Boscombe!N24="","",Boscombe!N24)</f>
        <v>0*4</v>
      </c>
      <c r="L108" s="41" t="str">
        <f>IF(Boscombe!O24="","",Boscombe!O24)</f>
        <v>4*3</v>
      </c>
      <c r="M108" s="41" t="str">
        <f>IF(Boscombe!P24="","",Boscombe!P24)</f>
        <v>4*2</v>
      </c>
      <c r="N108" s="41" t="str">
        <f>IF(Boscombe!Q24="","",Boscombe!Q24)</f>
        <v>3*4</v>
      </c>
      <c r="O108" s="41" t="str">
        <f>IF(Boscombe!R24="","",Boscombe!R24)</f>
        <v>4*3</v>
      </c>
      <c r="P108" s="41" t="str">
        <f>IF(Boscombe!S24="","",Boscombe!S24)</f>
        <v>4*3</v>
      </c>
      <c r="Q108" s="41" t="str">
        <f>IF(Boscombe!T24="","",Boscombe!T24)</f>
        <v>3*4</v>
      </c>
      <c r="R108" s="41" t="str">
        <f>IF(Boscombe!U24="","",Boscombe!U24)</f>
        <v>0*4</v>
      </c>
      <c r="S108" s="41" t="str">
        <f>IF(Boscombe!V24="","",Boscombe!V24)</f>
        <v>4*2</v>
      </c>
      <c r="T108" s="41" t="str">
        <f>IF(Boscombe!W24="","",Boscombe!W24)</f>
        <v>0*4</v>
      </c>
      <c r="U108" s="41" t="str">
        <f>IF(Boscombe!X24="","",Boscombe!X24)</f>
        <v>1*4</v>
      </c>
      <c r="V108" s="41" t="str">
        <f>IF(Boscombe!Y24="","",Boscombe!Y24)</f>
        <v>4*0(1)</v>
      </c>
      <c r="W108" s="201"/>
      <c r="X108" s="182"/>
      <c r="Y108" s="233"/>
      <c r="AA108" s="239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233"/>
    </row>
    <row r="109" spans="2:51" ht="12" customHeight="1" x14ac:dyDescent="0.2">
      <c r="B109" s="266"/>
      <c r="C109" s="263" t="str">
        <f>IF(Boscombe!E25="","",Boscombe!E25)</f>
        <v>Colin Valentine</v>
      </c>
      <c r="D109" s="259" t="str">
        <f>LEFT($B$91,3)</f>
        <v>Bos</v>
      </c>
      <c r="E109" s="251" t="str">
        <f>IF(Boscombe!G25="","",Boscombe!G25)</f>
        <v/>
      </c>
      <c r="F109" s="181" t="str">
        <f>IF(Boscombe!H25=0,"",Boscombe!H25)</f>
        <v/>
      </c>
      <c r="G109" s="181" t="str">
        <f>IF(Boscombe!I25=0,"",Boscombe!I25)</f>
        <v/>
      </c>
      <c r="H109" s="181" t="str">
        <f>IF(Boscombe!J25=0,"",Boscombe!J25)</f>
        <v/>
      </c>
      <c r="I109" s="250" t="str">
        <f>IF(Boscombe!K25=0,"",Boscombe!K25)</f>
        <v/>
      </c>
      <c r="J109" s="163" t="str">
        <f>IF(Boscombe!M25="","",Boscombe!M25)</f>
        <v/>
      </c>
      <c r="K109" s="41" t="str">
        <f>IF(Boscombe!N25="","",Boscombe!N25)</f>
        <v/>
      </c>
      <c r="L109" s="41" t="str">
        <f>IF(Boscombe!O25="","",Boscombe!O25)</f>
        <v/>
      </c>
      <c r="M109" s="41" t="str">
        <f>IF(Boscombe!P25="","",Boscombe!P25)</f>
        <v/>
      </c>
      <c r="N109" s="41" t="str">
        <f>IF(Boscombe!Q25="","",Boscombe!Q25)</f>
        <v/>
      </c>
      <c r="O109" s="41" t="str">
        <f>IF(Boscombe!R25="","",Boscombe!R25)</f>
        <v/>
      </c>
      <c r="P109" s="41" t="str">
        <f>IF(Boscombe!S25="","",Boscombe!S25)</f>
        <v/>
      </c>
      <c r="Q109" s="41" t="str">
        <f>IF(Boscombe!T25="","",Boscombe!T25)</f>
        <v/>
      </c>
      <c r="R109" s="41" t="str">
        <f>IF(Boscombe!U25="","",Boscombe!U25)</f>
        <v/>
      </c>
      <c r="S109" s="41" t="str">
        <f>IF(Boscombe!V25="","",Boscombe!V25)</f>
        <v/>
      </c>
      <c r="T109" s="41" t="str">
        <f>IF(Boscombe!W25="","",Boscombe!W25)</f>
        <v/>
      </c>
      <c r="U109" s="41" t="str">
        <f>IF(Boscombe!X25="","",Boscombe!X25)</f>
        <v/>
      </c>
      <c r="V109" s="41" t="str">
        <f>IF(Boscombe!Y25="","",Boscombe!Y25)</f>
        <v/>
      </c>
      <c r="W109" s="249" t="str">
        <f>IF(Boscombe!AA25=0,"",Boscombe!AA25)</f>
        <v/>
      </c>
      <c r="X109" s="244" t="str">
        <f>IF(Boscombe!AB25=0,"",Boscombe!AB25)</f>
        <v/>
      </c>
      <c r="Y109" s="245" t="str">
        <f>IF(Boscombe!AC25=0,"",Boscombe!AC25)</f>
        <v/>
      </c>
      <c r="AA109" s="246" t="str">
        <f>Y109</f>
        <v/>
      </c>
      <c r="AB109" s="243" t="str">
        <f>X109</f>
        <v/>
      </c>
      <c r="AC109" s="185" t="str">
        <f>C109</f>
        <v>Colin Valentine</v>
      </c>
      <c r="AD109" s="185" t="str">
        <f>LEFT($B$91,3)</f>
        <v>Bos</v>
      </c>
      <c r="AE109" s="185" t="str">
        <f t="shared" ref="AE109:AY109" si="51">E109</f>
        <v/>
      </c>
      <c r="AF109" s="185" t="str">
        <f t="shared" si="51"/>
        <v/>
      </c>
      <c r="AG109" s="185" t="str">
        <f t="shared" si="51"/>
        <v/>
      </c>
      <c r="AH109" s="185" t="str">
        <f t="shared" si="51"/>
        <v/>
      </c>
      <c r="AI109" s="185" t="str">
        <f t="shared" si="51"/>
        <v/>
      </c>
      <c r="AJ109" s="243" t="str">
        <f t="shared" si="51"/>
        <v/>
      </c>
      <c r="AK109" s="243" t="str">
        <f t="shared" si="51"/>
        <v/>
      </c>
      <c r="AL109" s="243" t="str">
        <f t="shared" si="51"/>
        <v/>
      </c>
      <c r="AM109" s="243" t="str">
        <f t="shared" si="51"/>
        <v/>
      </c>
      <c r="AN109" s="243" t="str">
        <f t="shared" si="51"/>
        <v/>
      </c>
      <c r="AO109" s="243" t="str">
        <f t="shared" si="51"/>
        <v/>
      </c>
      <c r="AP109" s="243" t="str">
        <f t="shared" si="51"/>
        <v/>
      </c>
      <c r="AQ109" s="243" t="str">
        <f t="shared" si="51"/>
        <v/>
      </c>
      <c r="AR109" s="243" t="str">
        <f t="shared" si="51"/>
        <v/>
      </c>
      <c r="AS109" s="243" t="str">
        <f t="shared" si="51"/>
        <v/>
      </c>
      <c r="AT109" s="243" t="str">
        <f t="shared" si="51"/>
        <v/>
      </c>
      <c r="AU109" s="243" t="str">
        <f t="shared" si="51"/>
        <v/>
      </c>
      <c r="AV109" s="243" t="str">
        <f t="shared" si="51"/>
        <v/>
      </c>
      <c r="AW109" s="247" t="str">
        <f t="shared" si="51"/>
        <v/>
      </c>
      <c r="AX109" s="243" t="str">
        <f t="shared" si="51"/>
        <v/>
      </c>
      <c r="AY109" s="248" t="str">
        <f t="shared" si="51"/>
        <v/>
      </c>
    </row>
    <row r="110" spans="2:51" ht="12" customHeight="1" x14ac:dyDescent="0.2">
      <c r="B110" s="266"/>
      <c r="C110" s="235"/>
      <c r="D110" s="235"/>
      <c r="E110" s="239"/>
      <c r="F110" s="182"/>
      <c r="G110" s="182"/>
      <c r="H110" s="182"/>
      <c r="I110" s="233"/>
      <c r="J110" s="163" t="str">
        <f>IF(Boscombe!M26="","",Boscombe!M26)</f>
        <v/>
      </c>
      <c r="K110" s="41" t="str">
        <f>IF(Boscombe!N26="","",Boscombe!N26)</f>
        <v/>
      </c>
      <c r="L110" s="41" t="str">
        <f>IF(Boscombe!O26="","",Boscombe!O26)</f>
        <v/>
      </c>
      <c r="M110" s="41" t="str">
        <f>IF(Boscombe!P26="","",Boscombe!P26)</f>
        <v/>
      </c>
      <c r="N110" s="41" t="str">
        <f>IF(Boscombe!Q26="","",Boscombe!Q26)</f>
        <v/>
      </c>
      <c r="O110" s="41" t="str">
        <f>IF(Boscombe!R26="","",Boscombe!R26)</f>
        <v/>
      </c>
      <c r="P110" s="41" t="str">
        <f>IF(Boscombe!S26="","",Boscombe!S26)</f>
        <v/>
      </c>
      <c r="Q110" s="41" t="str">
        <f>IF(Boscombe!T26="","",Boscombe!T26)</f>
        <v/>
      </c>
      <c r="R110" s="41" t="str">
        <f>IF(Boscombe!U26="","",Boscombe!U26)</f>
        <v/>
      </c>
      <c r="S110" s="41" t="str">
        <f>IF(Boscombe!V26="","",Boscombe!V26)</f>
        <v/>
      </c>
      <c r="T110" s="41" t="str">
        <f>IF(Boscombe!W26="","",Boscombe!W26)</f>
        <v/>
      </c>
      <c r="U110" s="41" t="str">
        <f>IF(Boscombe!X26="","",Boscombe!X26)</f>
        <v/>
      </c>
      <c r="V110" s="41" t="str">
        <f>IF(Boscombe!Y26="","",Boscombe!Y26)</f>
        <v/>
      </c>
      <c r="W110" s="201"/>
      <c r="X110" s="182"/>
      <c r="Y110" s="233"/>
      <c r="AA110" s="239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233"/>
    </row>
    <row r="111" spans="2:51" ht="12" customHeight="1" x14ac:dyDescent="0.2">
      <c r="B111" s="266"/>
      <c r="C111" s="263" t="str">
        <f>IF(Boscombe!E27="","",Boscombe!E27)</f>
        <v>Jack Mitchell</v>
      </c>
      <c r="D111" s="259" t="str">
        <f>LEFT($B$91,3)</f>
        <v>Bos</v>
      </c>
      <c r="E111" s="251">
        <f>IF(Boscombe!G27="","",Boscombe!G27)</f>
        <v>4</v>
      </c>
      <c r="F111" s="181">
        <f>IF(Boscombe!H27=0,"",Boscombe!H27)</f>
        <v>1</v>
      </c>
      <c r="G111" s="186">
        <f>IF(Boscombe!I27=0,"",Boscombe!I27)</f>
        <v>3</v>
      </c>
      <c r="H111" s="186">
        <f>IF(Boscombe!J27=0,"",Boscombe!J27)</f>
        <v>9</v>
      </c>
      <c r="I111" s="252">
        <f>IF(Boscombe!K27=0,"",Boscombe!K27)</f>
        <v>15</v>
      </c>
      <c r="J111" s="163">
        <f>IF(Boscombe!M27="","",Boscombe!M27)</f>
        <v>21.04</v>
      </c>
      <c r="K111" s="41">
        <f>IF(Boscombe!N27="","",Boscombe!N27)</f>
        <v>20.57</v>
      </c>
      <c r="L111" s="41">
        <f>IF(Boscombe!O27="","",Boscombe!O27)</f>
        <v>21.22</v>
      </c>
      <c r="M111" s="41">
        <f>IF(Boscombe!P27="","",Boscombe!P27)</f>
        <v>17.34</v>
      </c>
      <c r="N111" s="41" t="str">
        <f>IF(Boscombe!Q27="","",Boscombe!Q27)</f>
        <v/>
      </c>
      <c r="O111" s="41" t="str">
        <f>IF(Boscombe!R27="","",Boscombe!R27)</f>
        <v/>
      </c>
      <c r="P111" s="41" t="str">
        <f>IF(Boscombe!S27="","",Boscombe!S27)</f>
        <v/>
      </c>
      <c r="Q111" s="41" t="str">
        <f>IF(Boscombe!T27="","",Boscombe!T27)</f>
        <v/>
      </c>
      <c r="R111" s="41" t="str">
        <f>IF(Boscombe!U27="","",Boscombe!U27)</f>
        <v/>
      </c>
      <c r="S111" s="41" t="str">
        <f>IF(Boscombe!V27="","",Boscombe!V27)</f>
        <v/>
      </c>
      <c r="T111" s="41" t="str">
        <f>IF(Boscombe!W27="","",Boscombe!W27)</f>
        <v/>
      </c>
      <c r="U111" s="41" t="str">
        <f>IF(Boscombe!X27="","",Boscombe!X27)</f>
        <v/>
      </c>
      <c r="V111" s="41" t="str">
        <f>IF(Boscombe!Y27="","",Boscombe!Y27)</f>
        <v/>
      </c>
      <c r="W111" s="249" t="str">
        <f>IF(Boscombe!AA27=0,"",Boscombe!AA27)</f>
        <v/>
      </c>
      <c r="X111" s="244">
        <f>IF(Boscombe!AB27=0,"",Boscombe!AB27)</f>
        <v>20.0425</v>
      </c>
      <c r="Y111" s="245">
        <f>IF(Boscombe!AC27=0,"",Boscombe!AC27)</f>
        <v>21.0425</v>
      </c>
      <c r="AA111" s="246">
        <f>Y111</f>
        <v>21.0425</v>
      </c>
      <c r="AB111" s="243">
        <f>X111</f>
        <v>20.0425</v>
      </c>
      <c r="AC111" s="185" t="str">
        <f>C111</f>
        <v>Jack Mitchell</v>
      </c>
      <c r="AD111" s="185" t="str">
        <f>LEFT($B$91,3)</f>
        <v>Bos</v>
      </c>
      <c r="AE111" s="185">
        <f t="shared" ref="AE111:AY111" si="52">E111</f>
        <v>4</v>
      </c>
      <c r="AF111" s="185">
        <f t="shared" si="52"/>
        <v>1</v>
      </c>
      <c r="AG111" s="247">
        <f t="shared" si="52"/>
        <v>3</v>
      </c>
      <c r="AH111" s="247">
        <f t="shared" si="52"/>
        <v>9</v>
      </c>
      <c r="AI111" s="247">
        <f t="shared" si="52"/>
        <v>15</v>
      </c>
      <c r="AJ111" s="243">
        <f t="shared" si="52"/>
        <v>21.04</v>
      </c>
      <c r="AK111" s="243">
        <f t="shared" si="52"/>
        <v>20.57</v>
      </c>
      <c r="AL111" s="243">
        <f t="shared" si="52"/>
        <v>21.22</v>
      </c>
      <c r="AM111" s="243">
        <f t="shared" si="52"/>
        <v>17.34</v>
      </c>
      <c r="AN111" s="243" t="str">
        <f t="shared" si="52"/>
        <v/>
      </c>
      <c r="AO111" s="243" t="str">
        <f t="shared" si="52"/>
        <v/>
      </c>
      <c r="AP111" s="243" t="str">
        <f t="shared" si="52"/>
        <v/>
      </c>
      <c r="AQ111" s="243" t="str">
        <f t="shared" si="52"/>
        <v/>
      </c>
      <c r="AR111" s="243" t="str">
        <f t="shared" si="52"/>
        <v/>
      </c>
      <c r="AS111" s="243" t="str">
        <f t="shared" si="52"/>
        <v/>
      </c>
      <c r="AT111" s="243" t="str">
        <f t="shared" si="52"/>
        <v/>
      </c>
      <c r="AU111" s="243" t="str">
        <f t="shared" si="52"/>
        <v/>
      </c>
      <c r="AV111" s="243" t="str">
        <f t="shared" si="52"/>
        <v/>
      </c>
      <c r="AW111" s="247" t="str">
        <f t="shared" si="52"/>
        <v/>
      </c>
      <c r="AX111" s="243">
        <f t="shared" si="52"/>
        <v>20.0425</v>
      </c>
      <c r="AY111" s="248">
        <f t="shared" si="52"/>
        <v>21.0425</v>
      </c>
    </row>
    <row r="112" spans="2:51" ht="12" customHeight="1" x14ac:dyDescent="0.2">
      <c r="B112" s="266"/>
      <c r="C112" s="235"/>
      <c r="D112" s="235"/>
      <c r="E112" s="239"/>
      <c r="F112" s="182"/>
      <c r="G112" s="182"/>
      <c r="H112" s="182"/>
      <c r="I112" s="233"/>
      <c r="J112" s="163" t="str">
        <f>IF(Boscombe!M28="","",Boscombe!M28)</f>
        <v>3*4</v>
      </c>
      <c r="K112" s="41" t="str">
        <f>IF(Boscombe!N28="","",Boscombe!N28)</f>
        <v>4*3</v>
      </c>
      <c r="L112" s="41" t="str">
        <f>IF(Boscombe!O28="","",Boscombe!O28)</f>
        <v>1*4</v>
      </c>
      <c r="M112" s="41" t="str">
        <f>IF(Boscombe!P28="","",Boscombe!P28)</f>
        <v>1*4</v>
      </c>
      <c r="N112" s="41" t="str">
        <f>IF(Boscombe!Q28="","",Boscombe!Q28)</f>
        <v/>
      </c>
      <c r="O112" s="41" t="str">
        <f>IF(Boscombe!R28="","",Boscombe!R28)</f>
        <v/>
      </c>
      <c r="P112" s="41" t="str">
        <f>IF(Boscombe!S28="","",Boscombe!S28)</f>
        <v/>
      </c>
      <c r="Q112" s="41" t="str">
        <f>IF(Boscombe!T28="","",Boscombe!T28)</f>
        <v/>
      </c>
      <c r="R112" s="41" t="str">
        <f>IF(Boscombe!U28="","",Boscombe!U28)</f>
        <v/>
      </c>
      <c r="S112" s="41" t="str">
        <f>IF(Boscombe!V28="","",Boscombe!V28)</f>
        <v/>
      </c>
      <c r="T112" s="41" t="str">
        <f>IF(Boscombe!W28="","",Boscombe!W28)</f>
        <v/>
      </c>
      <c r="U112" s="41" t="str">
        <f>IF(Boscombe!X28="","",Boscombe!X28)</f>
        <v/>
      </c>
      <c r="V112" s="41" t="str">
        <f>IF(Boscombe!Y28="","",Boscombe!Y28)</f>
        <v/>
      </c>
      <c r="W112" s="201"/>
      <c r="X112" s="182"/>
      <c r="Y112" s="233"/>
      <c r="AA112" s="239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233"/>
    </row>
    <row r="113" spans="2:51" ht="12" customHeight="1" x14ac:dyDescent="0.2">
      <c r="B113" s="266"/>
      <c r="C113" s="263" t="str">
        <f>IF(Boscombe!E29="","",Boscombe!E29)</f>
        <v>Mike Parkes</v>
      </c>
      <c r="D113" s="259" t="str">
        <f>LEFT($B$91,3)</f>
        <v>Bos</v>
      </c>
      <c r="E113" s="251">
        <f>IF(Boscombe!G29="","",Boscombe!G29)</f>
        <v>12</v>
      </c>
      <c r="F113" s="181">
        <f>IF(Boscombe!H29=0,"",Boscombe!H29)</f>
        <v>4</v>
      </c>
      <c r="G113" s="186">
        <f>IF(Boscombe!I29=0,"",Boscombe!I29)</f>
        <v>8</v>
      </c>
      <c r="H113" s="186">
        <f>IF(Boscombe!J29=0,"",Boscombe!J29)</f>
        <v>25</v>
      </c>
      <c r="I113" s="252">
        <f>IF(Boscombe!K29=0,"",Boscombe!K29)</f>
        <v>38</v>
      </c>
      <c r="J113" s="163">
        <f>IF(Boscombe!M29="","",Boscombe!M29)</f>
        <v>20.67</v>
      </c>
      <c r="K113" s="41">
        <f>IF(Boscombe!N29="","",Boscombe!N29)</f>
        <v>21.21</v>
      </c>
      <c r="L113" s="41">
        <f>IF(Boscombe!O29="","",Boscombe!O29)</f>
        <v>21.39</v>
      </c>
      <c r="M113" s="41">
        <f>IF(Boscombe!P29="","",Boscombe!P29)</f>
        <v>21.59</v>
      </c>
      <c r="N113" s="41">
        <f>IF(Boscombe!Q29="","",Boscombe!Q29)</f>
        <v>22.18</v>
      </c>
      <c r="O113" s="41">
        <f>IF(Boscombe!R29="","",Boscombe!R29)</f>
        <v>18.559999999999999</v>
      </c>
      <c r="P113" s="41">
        <f>IF(Boscombe!S29="","",Boscombe!S29)</f>
        <v>21.11</v>
      </c>
      <c r="Q113" s="41">
        <f>IF(Boscombe!T29="","",Boscombe!T29)</f>
        <v>22.1</v>
      </c>
      <c r="R113" s="41">
        <f>IF(Boscombe!U29="","",Boscombe!U29)</f>
        <v>20.04</v>
      </c>
      <c r="S113" s="41">
        <f>IF(Boscombe!V29="","",Boscombe!V29)</f>
        <v>16.13</v>
      </c>
      <c r="T113" s="41">
        <f>IF(Boscombe!W29="","",Boscombe!W29)</f>
        <v>21.54</v>
      </c>
      <c r="U113" s="41" t="str">
        <f>IF(Boscombe!X29="","",Boscombe!X29)</f>
        <v/>
      </c>
      <c r="V113" s="41">
        <f>IF(Boscombe!Y29="","",Boscombe!Y29)</f>
        <v>24.01</v>
      </c>
      <c r="W113" s="249">
        <f>IF(Boscombe!AA29=0,"",Boscombe!AA29)</f>
        <v>2</v>
      </c>
      <c r="X113" s="244">
        <f>IF(Boscombe!AB29=0,"",Boscombe!AB29)</f>
        <v>20.877499999999994</v>
      </c>
      <c r="Y113" s="245">
        <f>IF(Boscombe!AC29=0,"",Boscombe!AC29)</f>
        <v>24.877499999999994</v>
      </c>
      <c r="AA113" s="246">
        <f>Y113</f>
        <v>24.877499999999994</v>
      </c>
      <c r="AB113" s="243">
        <f>X113</f>
        <v>20.877499999999994</v>
      </c>
      <c r="AC113" s="185" t="str">
        <f>C113</f>
        <v>Mike Parkes</v>
      </c>
      <c r="AD113" s="185" t="str">
        <f>LEFT($B$91,3)</f>
        <v>Bos</v>
      </c>
      <c r="AE113" s="185">
        <f t="shared" ref="AE113:AY113" si="53">E113</f>
        <v>12</v>
      </c>
      <c r="AF113" s="185">
        <f t="shared" si="53"/>
        <v>4</v>
      </c>
      <c r="AG113" s="247">
        <f t="shared" si="53"/>
        <v>8</v>
      </c>
      <c r="AH113" s="247">
        <f t="shared" si="53"/>
        <v>25</v>
      </c>
      <c r="AI113" s="247">
        <f t="shared" si="53"/>
        <v>38</v>
      </c>
      <c r="AJ113" s="243">
        <f t="shared" si="53"/>
        <v>20.67</v>
      </c>
      <c r="AK113" s="243">
        <f t="shared" si="53"/>
        <v>21.21</v>
      </c>
      <c r="AL113" s="243">
        <f t="shared" si="53"/>
        <v>21.39</v>
      </c>
      <c r="AM113" s="243">
        <f t="shared" si="53"/>
        <v>21.59</v>
      </c>
      <c r="AN113" s="243">
        <f t="shared" si="53"/>
        <v>22.18</v>
      </c>
      <c r="AO113" s="243">
        <f t="shared" si="53"/>
        <v>18.559999999999999</v>
      </c>
      <c r="AP113" s="243">
        <f t="shared" si="53"/>
        <v>21.11</v>
      </c>
      <c r="AQ113" s="243">
        <f t="shared" si="53"/>
        <v>22.1</v>
      </c>
      <c r="AR113" s="243">
        <f t="shared" si="53"/>
        <v>20.04</v>
      </c>
      <c r="AS113" s="243">
        <f t="shared" si="53"/>
        <v>16.13</v>
      </c>
      <c r="AT113" s="243">
        <f t="shared" si="53"/>
        <v>21.54</v>
      </c>
      <c r="AU113" s="243" t="str">
        <f t="shared" si="53"/>
        <v/>
      </c>
      <c r="AV113" s="243">
        <f t="shared" si="53"/>
        <v>24.01</v>
      </c>
      <c r="AW113" s="247">
        <f t="shared" si="53"/>
        <v>2</v>
      </c>
      <c r="AX113" s="243">
        <f t="shared" si="53"/>
        <v>20.877499999999994</v>
      </c>
      <c r="AY113" s="248">
        <f t="shared" si="53"/>
        <v>24.877499999999994</v>
      </c>
    </row>
    <row r="114" spans="2:51" ht="12" customHeight="1" x14ac:dyDescent="0.2">
      <c r="B114" s="266"/>
      <c r="C114" s="235"/>
      <c r="D114" s="235"/>
      <c r="E114" s="239"/>
      <c r="F114" s="182"/>
      <c r="G114" s="182"/>
      <c r="H114" s="182"/>
      <c r="I114" s="233"/>
      <c r="J114" s="163" t="str">
        <f>IF(Boscombe!M30="","",Boscombe!M30)</f>
        <v>0*4</v>
      </c>
      <c r="K114" s="41" t="str">
        <f>IF(Boscombe!N30="","",Boscombe!N30)</f>
        <v>4*1</v>
      </c>
      <c r="L114" s="41" t="str">
        <f>IF(Boscombe!O30="","",Boscombe!O30)</f>
        <v>3*4</v>
      </c>
      <c r="M114" s="41" t="str">
        <f>IF(Boscombe!P30="","",Boscombe!P30)</f>
        <v>2*4</v>
      </c>
      <c r="N114" s="41" t="str">
        <f>IF(Boscombe!Q30="","",Boscombe!Q30)</f>
        <v>1*4</v>
      </c>
      <c r="O114" s="41" t="str">
        <f>IF(Boscombe!R30="","",Boscombe!R30)</f>
        <v>4*0</v>
      </c>
      <c r="P114" s="41" t="str">
        <f>IF(Boscombe!S30="","",Boscombe!S30)</f>
        <v>4*2</v>
      </c>
      <c r="Q114" s="41" t="str">
        <f>IF(Boscombe!T30="","",Boscombe!T30)</f>
        <v>1*4(1)</v>
      </c>
      <c r="R114" s="41" t="str">
        <f>IF(Boscombe!U30="","",Boscombe!U30)</f>
        <v>0*4</v>
      </c>
      <c r="S114" s="41" t="str">
        <f>IF(Boscombe!V30="","",Boscombe!V30)</f>
        <v>4*3(1)</v>
      </c>
      <c r="T114" s="41" t="str">
        <f>IF(Boscombe!W30="","",Boscombe!W30)</f>
        <v>0*4</v>
      </c>
      <c r="U114" s="41" t="str">
        <f>IF(Boscombe!X30="","",Boscombe!X30)</f>
        <v/>
      </c>
      <c r="V114" s="41" t="str">
        <f>IF(Boscombe!Y30="","",Boscombe!Y30)</f>
        <v>2*4</v>
      </c>
      <c r="W114" s="201"/>
      <c r="X114" s="182"/>
      <c r="Y114" s="233"/>
      <c r="AA114" s="239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233"/>
    </row>
    <row r="115" spans="2:51" ht="12" customHeight="1" x14ac:dyDescent="0.2">
      <c r="B115" s="266"/>
      <c r="C115" s="263" t="str">
        <f>IF(Boscombe!E31="","",Boscombe!E31)</f>
        <v>Dave Millis</v>
      </c>
      <c r="D115" s="259" t="str">
        <f>LEFT($B$91,3)</f>
        <v>Bos</v>
      </c>
      <c r="E115" s="251">
        <f>IF(Boscombe!G31="","",Boscombe!G31)</f>
        <v>3</v>
      </c>
      <c r="F115" s="181">
        <f>IF(Boscombe!H31=0,"",Boscombe!H31)</f>
        <v>1</v>
      </c>
      <c r="G115" s="186">
        <f>IF(Boscombe!I31=0,"",Boscombe!I31)</f>
        <v>2</v>
      </c>
      <c r="H115" s="186">
        <f>IF(Boscombe!J31=0,"",Boscombe!J31)</f>
        <v>4</v>
      </c>
      <c r="I115" s="252">
        <f>IF(Boscombe!K31=0,"",Boscombe!K31)</f>
        <v>8</v>
      </c>
      <c r="J115" s="163">
        <f>IF(Boscombe!M31="","",Boscombe!M31)</f>
        <v>20</v>
      </c>
      <c r="K115" s="41">
        <f>IF(Boscombe!N31="","",Boscombe!N31)</f>
        <v>18.39</v>
      </c>
      <c r="L115" s="41">
        <f>IF(Boscombe!O31="","",Boscombe!O31)</f>
        <v>15.17</v>
      </c>
      <c r="M115" s="41" t="str">
        <f>IF(Boscombe!P31="","",Boscombe!P31)</f>
        <v/>
      </c>
      <c r="N115" s="41" t="str">
        <f>IF(Boscombe!Q31="","",Boscombe!Q31)</f>
        <v/>
      </c>
      <c r="O115" s="41" t="str">
        <f>IF(Boscombe!R31="","",Boscombe!R31)</f>
        <v/>
      </c>
      <c r="P115" s="41" t="str">
        <f>IF(Boscombe!S31="","",Boscombe!S31)</f>
        <v/>
      </c>
      <c r="Q115" s="41" t="str">
        <f>IF(Boscombe!T31="","",Boscombe!T31)</f>
        <v/>
      </c>
      <c r="R115" s="41" t="str">
        <f>IF(Boscombe!U31="","",Boscombe!U31)</f>
        <v/>
      </c>
      <c r="S115" s="41" t="str">
        <f>IF(Boscombe!V31="","",Boscombe!V31)</f>
        <v/>
      </c>
      <c r="T115" s="41" t="str">
        <f>IF(Boscombe!W31="","",Boscombe!W31)</f>
        <v/>
      </c>
      <c r="U115" s="41" t="str">
        <f>IF(Boscombe!X31="","",Boscombe!X31)</f>
        <v/>
      </c>
      <c r="V115" s="41" t="str">
        <f>IF(Boscombe!Y31="","",Boscombe!Y31)</f>
        <v/>
      </c>
      <c r="W115" s="249" t="str">
        <f>IF(Boscombe!AA31=0,"",Boscombe!AA31)</f>
        <v/>
      </c>
      <c r="X115" s="244">
        <f>IF(Boscombe!AB31=0,"",Boscombe!AB31)</f>
        <v>17.853333333333335</v>
      </c>
      <c r="Y115" s="245">
        <f>IF(Boscombe!AC31=0,"",Boscombe!AC31)</f>
        <v>18.853333333333335</v>
      </c>
      <c r="AA115" s="246">
        <f>Y115</f>
        <v>18.853333333333335</v>
      </c>
      <c r="AB115" s="243">
        <f>X115</f>
        <v>17.853333333333335</v>
      </c>
      <c r="AC115" s="185" t="str">
        <f>C115</f>
        <v>Dave Millis</v>
      </c>
      <c r="AD115" s="185" t="str">
        <f>LEFT($B$91,3)</f>
        <v>Bos</v>
      </c>
      <c r="AE115" s="185">
        <f t="shared" ref="AE115:AY115" si="54">E115</f>
        <v>3</v>
      </c>
      <c r="AF115" s="185">
        <f t="shared" si="54"/>
        <v>1</v>
      </c>
      <c r="AG115" s="247">
        <f t="shared" si="54"/>
        <v>2</v>
      </c>
      <c r="AH115" s="247">
        <f t="shared" si="54"/>
        <v>4</v>
      </c>
      <c r="AI115" s="247">
        <f t="shared" si="54"/>
        <v>8</v>
      </c>
      <c r="AJ115" s="243">
        <f t="shared" si="54"/>
        <v>20</v>
      </c>
      <c r="AK115" s="243">
        <f t="shared" si="54"/>
        <v>18.39</v>
      </c>
      <c r="AL115" s="243">
        <f t="shared" si="54"/>
        <v>15.17</v>
      </c>
      <c r="AM115" s="243" t="str">
        <f t="shared" si="54"/>
        <v/>
      </c>
      <c r="AN115" s="243" t="str">
        <f t="shared" si="54"/>
        <v/>
      </c>
      <c r="AO115" s="243" t="str">
        <f t="shared" si="54"/>
        <v/>
      </c>
      <c r="AP115" s="243" t="str">
        <f t="shared" si="54"/>
        <v/>
      </c>
      <c r="AQ115" s="243" t="str">
        <f t="shared" si="54"/>
        <v/>
      </c>
      <c r="AR115" s="243" t="str">
        <f t="shared" si="54"/>
        <v/>
      </c>
      <c r="AS115" s="243" t="str">
        <f t="shared" si="54"/>
        <v/>
      </c>
      <c r="AT115" s="243" t="str">
        <f t="shared" si="54"/>
        <v/>
      </c>
      <c r="AU115" s="243" t="str">
        <f t="shared" si="54"/>
        <v/>
      </c>
      <c r="AV115" s="243" t="str">
        <f t="shared" si="54"/>
        <v/>
      </c>
      <c r="AW115" s="247" t="str">
        <f t="shared" si="54"/>
        <v/>
      </c>
      <c r="AX115" s="243">
        <f t="shared" si="54"/>
        <v>17.853333333333335</v>
      </c>
      <c r="AY115" s="248">
        <f t="shared" si="54"/>
        <v>18.853333333333335</v>
      </c>
    </row>
    <row r="116" spans="2:51" ht="12" customHeight="1" x14ac:dyDescent="0.2">
      <c r="B116" s="266"/>
      <c r="C116" s="235"/>
      <c r="D116" s="235"/>
      <c r="E116" s="239"/>
      <c r="F116" s="182"/>
      <c r="G116" s="182"/>
      <c r="H116" s="182"/>
      <c r="I116" s="233"/>
      <c r="J116" s="163" t="str">
        <f>IF(Boscombe!M32="","",Boscombe!M32)</f>
        <v>0*4</v>
      </c>
      <c r="K116" s="41" t="str">
        <f>IF(Boscombe!N32="","",Boscombe!N32)</f>
        <v>4*0</v>
      </c>
      <c r="L116" s="41" t="str">
        <f>IF(Boscombe!O32="","",Boscombe!O32)</f>
        <v>0*4</v>
      </c>
      <c r="M116" s="41" t="str">
        <f>IF(Boscombe!P32="","",Boscombe!P32)</f>
        <v/>
      </c>
      <c r="N116" s="41" t="str">
        <f>IF(Boscombe!Q32="","",Boscombe!Q32)</f>
        <v/>
      </c>
      <c r="O116" s="41" t="str">
        <f>IF(Boscombe!R32="","",Boscombe!R32)</f>
        <v/>
      </c>
      <c r="P116" s="41" t="str">
        <f>IF(Boscombe!S32="","",Boscombe!S32)</f>
        <v/>
      </c>
      <c r="Q116" s="41" t="str">
        <f>IF(Boscombe!T32="","",Boscombe!T32)</f>
        <v/>
      </c>
      <c r="R116" s="41" t="str">
        <f>IF(Boscombe!U32="","",Boscombe!U32)</f>
        <v/>
      </c>
      <c r="S116" s="41" t="str">
        <f>IF(Boscombe!V32="","",Boscombe!V32)</f>
        <v/>
      </c>
      <c r="T116" s="41" t="str">
        <f>IF(Boscombe!W32="","",Boscombe!W32)</f>
        <v/>
      </c>
      <c r="U116" s="41" t="str">
        <f>IF(Boscombe!X32="","",Boscombe!X32)</f>
        <v/>
      </c>
      <c r="V116" s="41" t="str">
        <f>IF(Boscombe!Y32="","",Boscombe!Y32)</f>
        <v/>
      </c>
      <c r="W116" s="201"/>
      <c r="X116" s="182"/>
      <c r="Y116" s="233"/>
      <c r="AA116" s="239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233"/>
    </row>
    <row r="117" spans="2:51" ht="12" customHeight="1" x14ac:dyDescent="0.2">
      <c r="B117" s="266"/>
      <c r="C117" s="263" t="str">
        <f>IF(Boscombe!E33="","",Boscombe!E33)</f>
        <v>Liam Kemp</v>
      </c>
      <c r="D117" s="259" t="str">
        <f>LEFT($B$91,3)</f>
        <v>Bos</v>
      </c>
      <c r="E117" s="251">
        <f>IF(Boscombe!G33="","",Boscombe!G33)</f>
        <v>3</v>
      </c>
      <c r="F117" s="181" t="str">
        <f>IF(Boscombe!H33=0,"",Boscombe!H33)</f>
        <v/>
      </c>
      <c r="G117" s="186">
        <f>IF(Boscombe!I33=0,"",Boscombe!I33)</f>
        <v>3</v>
      </c>
      <c r="H117" s="186">
        <f>IF(Boscombe!J33=0,"",Boscombe!J33)</f>
        <v>5</v>
      </c>
      <c r="I117" s="252">
        <f>IF(Boscombe!K33=0,"",Boscombe!K33)</f>
        <v>12</v>
      </c>
      <c r="J117" s="163">
        <f>IF(Boscombe!M33="","",Boscombe!M33)</f>
        <v>20.86</v>
      </c>
      <c r="K117" s="41" t="str">
        <f>IF(Boscombe!N33="","",Boscombe!N33)</f>
        <v/>
      </c>
      <c r="L117" s="41">
        <f>IF(Boscombe!O33="","",Boscombe!O33)</f>
        <v>25.59</v>
      </c>
      <c r="M117" s="41" t="str">
        <f>IF(Boscombe!P33="","",Boscombe!P33)</f>
        <v/>
      </c>
      <c r="N117" s="41">
        <f>IF(Boscombe!Q33="","",Boscombe!Q33)</f>
        <v>23.01</v>
      </c>
      <c r="O117" s="41" t="str">
        <f>IF(Boscombe!R33="","",Boscombe!R33)</f>
        <v/>
      </c>
      <c r="P117" s="41" t="str">
        <f>IF(Boscombe!S33="","",Boscombe!S33)</f>
        <v/>
      </c>
      <c r="Q117" s="41" t="str">
        <f>IF(Boscombe!T33="","",Boscombe!T33)</f>
        <v/>
      </c>
      <c r="R117" s="41" t="str">
        <f>IF(Boscombe!U33="","",Boscombe!U33)</f>
        <v/>
      </c>
      <c r="S117" s="41" t="str">
        <f>IF(Boscombe!V33="","",Boscombe!V33)</f>
        <v/>
      </c>
      <c r="T117" s="41" t="str">
        <f>IF(Boscombe!W33="","",Boscombe!W33)</f>
        <v/>
      </c>
      <c r="U117" s="41" t="str">
        <f>IF(Boscombe!X33="","",Boscombe!X33)</f>
        <v/>
      </c>
      <c r="V117" s="41" t="str">
        <f>IF(Boscombe!Y33="","",Boscombe!Y33)</f>
        <v/>
      </c>
      <c r="W117" s="249">
        <f>IF(Boscombe!AA33=0,"",Boscombe!AA33)</f>
        <v>1</v>
      </c>
      <c r="X117" s="244">
        <f>IF(Boscombe!AB33=0,"",Boscombe!AB33)</f>
        <v>23.153333333333336</v>
      </c>
      <c r="Y117" s="245">
        <f>IF(Boscombe!AC33=0,"",Boscombe!AC33)</f>
        <v>23.153333333333336</v>
      </c>
      <c r="AA117" s="246">
        <f>Y117</f>
        <v>23.153333333333336</v>
      </c>
      <c r="AB117" s="243">
        <f>X117</f>
        <v>23.153333333333336</v>
      </c>
      <c r="AC117" s="185" t="str">
        <f>C117</f>
        <v>Liam Kemp</v>
      </c>
      <c r="AD117" s="185" t="str">
        <f>LEFT($B$91,3)</f>
        <v>Bos</v>
      </c>
      <c r="AE117" s="185">
        <f t="shared" ref="AE117:AY117" si="55">E117</f>
        <v>3</v>
      </c>
      <c r="AF117" s="185" t="str">
        <f t="shared" si="55"/>
        <v/>
      </c>
      <c r="AG117" s="247">
        <f t="shared" si="55"/>
        <v>3</v>
      </c>
      <c r="AH117" s="247">
        <f t="shared" si="55"/>
        <v>5</v>
      </c>
      <c r="AI117" s="247">
        <f t="shared" si="55"/>
        <v>12</v>
      </c>
      <c r="AJ117" s="243">
        <f t="shared" si="55"/>
        <v>20.86</v>
      </c>
      <c r="AK117" s="243" t="str">
        <f t="shared" si="55"/>
        <v/>
      </c>
      <c r="AL117" s="243">
        <f t="shared" si="55"/>
        <v>25.59</v>
      </c>
      <c r="AM117" s="243" t="str">
        <f t="shared" si="55"/>
        <v/>
      </c>
      <c r="AN117" s="243">
        <f t="shared" si="55"/>
        <v>23.01</v>
      </c>
      <c r="AO117" s="243" t="str">
        <f t="shared" si="55"/>
        <v/>
      </c>
      <c r="AP117" s="243" t="str">
        <f t="shared" si="55"/>
        <v/>
      </c>
      <c r="AQ117" s="243" t="str">
        <f t="shared" si="55"/>
        <v/>
      </c>
      <c r="AR117" s="243" t="str">
        <f t="shared" si="55"/>
        <v/>
      </c>
      <c r="AS117" s="243" t="str">
        <f t="shared" si="55"/>
        <v/>
      </c>
      <c r="AT117" s="243" t="str">
        <f t="shared" si="55"/>
        <v/>
      </c>
      <c r="AU117" s="243" t="str">
        <f t="shared" si="55"/>
        <v/>
      </c>
      <c r="AV117" s="243" t="str">
        <f t="shared" si="55"/>
        <v/>
      </c>
      <c r="AW117" s="247">
        <f t="shared" si="55"/>
        <v>1</v>
      </c>
      <c r="AX117" s="243">
        <f t="shared" si="55"/>
        <v>23.153333333333336</v>
      </c>
      <c r="AY117" s="248">
        <f t="shared" si="55"/>
        <v>23.153333333333336</v>
      </c>
    </row>
    <row r="118" spans="2:51" ht="12" customHeight="1" x14ac:dyDescent="0.2">
      <c r="B118" s="266"/>
      <c r="C118" s="235"/>
      <c r="D118" s="235"/>
      <c r="E118" s="239"/>
      <c r="F118" s="182"/>
      <c r="G118" s="182"/>
      <c r="H118" s="182"/>
      <c r="I118" s="233"/>
      <c r="J118" s="163" t="str">
        <f>IF(Boscombe!M34="","",Boscombe!M34)</f>
        <v>0*4</v>
      </c>
      <c r="K118" s="41" t="str">
        <f>IF(Boscombe!N34="","",Boscombe!N34)</f>
        <v/>
      </c>
      <c r="L118" s="41" t="str">
        <f>IF(Boscombe!O34="","",Boscombe!O34)</f>
        <v>2*4</v>
      </c>
      <c r="M118" s="41" t="str">
        <f>IF(Boscombe!P34="","",Boscombe!P34)</f>
        <v/>
      </c>
      <c r="N118" s="41" t="str">
        <f>IF(Boscombe!Q34="","",Boscombe!Q34)</f>
        <v>3*4(1)</v>
      </c>
      <c r="O118" s="41" t="str">
        <f>IF(Boscombe!R34="","",Boscombe!R34)</f>
        <v/>
      </c>
      <c r="P118" s="41" t="str">
        <f>IF(Boscombe!S34="","",Boscombe!S34)</f>
        <v/>
      </c>
      <c r="Q118" s="41" t="str">
        <f>IF(Boscombe!T34="","",Boscombe!T34)</f>
        <v/>
      </c>
      <c r="R118" s="41" t="str">
        <f>IF(Boscombe!U34="","",Boscombe!U34)</f>
        <v/>
      </c>
      <c r="S118" s="41" t="str">
        <f>IF(Boscombe!V34="","",Boscombe!V34)</f>
        <v/>
      </c>
      <c r="T118" s="41" t="str">
        <f>IF(Boscombe!W34="","",Boscombe!W34)</f>
        <v/>
      </c>
      <c r="U118" s="41" t="str">
        <f>IF(Boscombe!X34="","",Boscombe!X34)</f>
        <v/>
      </c>
      <c r="V118" s="41" t="str">
        <f>IF(Boscombe!Y34="","",Boscombe!Y34)</f>
        <v/>
      </c>
      <c r="W118" s="201"/>
      <c r="X118" s="182"/>
      <c r="Y118" s="233"/>
      <c r="AA118" s="239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233"/>
    </row>
    <row r="119" spans="2:51" ht="12" customHeight="1" x14ac:dyDescent="0.2">
      <c r="B119" s="266"/>
      <c r="C119" s="263" t="str">
        <f>IF(Boscombe!E35="","",Boscombe!E35)</f>
        <v>Calum King</v>
      </c>
      <c r="D119" s="259" t="str">
        <f>LEFT($B$91,3)</f>
        <v>Bos</v>
      </c>
      <c r="E119" s="251">
        <f>IF(Boscombe!G35="","",Boscombe!G35)</f>
        <v>6</v>
      </c>
      <c r="F119" s="181">
        <f>IF(Boscombe!H35=0,"",Boscombe!H35)</f>
        <v>4</v>
      </c>
      <c r="G119" s="186">
        <f>IF(Boscombe!I35=0,"",Boscombe!I35)</f>
        <v>2</v>
      </c>
      <c r="H119" s="186">
        <f>IF(Boscombe!J35=0,"",Boscombe!J35)</f>
        <v>20</v>
      </c>
      <c r="I119" s="252">
        <f>IF(Boscombe!K35=0,"",Boscombe!K35)</f>
        <v>14</v>
      </c>
      <c r="J119" s="163" t="str">
        <f>IF(Boscombe!M35="","",Boscombe!M35)</f>
        <v/>
      </c>
      <c r="K119" s="41" t="str">
        <f>IF(Boscombe!N35="","",Boscombe!N35)</f>
        <v/>
      </c>
      <c r="L119" s="41" t="str">
        <f>IF(Boscombe!O35="","",Boscombe!O35)</f>
        <v/>
      </c>
      <c r="M119" s="41" t="str">
        <f>IF(Boscombe!P35="","",Boscombe!P35)</f>
        <v/>
      </c>
      <c r="N119" s="41" t="str">
        <f>IF(Boscombe!Q35="","",Boscombe!Q35)</f>
        <v/>
      </c>
      <c r="O119" s="41">
        <f>IF(Boscombe!R35="","",Boscombe!R35)</f>
        <v>22.31</v>
      </c>
      <c r="P119" s="41">
        <f>IF(Boscombe!S35="","",Boscombe!S35)</f>
        <v>20.76</v>
      </c>
      <c r="Q119" s="41">
        <f>IF(Boscombe!T35="","",Boscombe!T35)</f>
        <v>20.54</v>
      </c>
      <c r="R119" s="41" t="str">
        <f>IF(Boscombe!U35="","",Boscombe!U35)</f>
        <v/>
      </c>
      <c r="S119" s="41">
        <f>IF(Boscombe!V35="","",Boscombe!V35)</f>
        <v>20.309999999999999</v>
      </c>
      <c r="T119" s="41">
        <f>IF(Boscombe!W35="","",Boscombe!W35)</f>
        <v>22.52</v>
      </c>
      <c r="U119" s="41">
        <f>IF(Boscombe!X35="","",Boscombe!X35)</f>
        <v>21.83</v>
      </c>
      <c r="V119" s="41" t="str">
        <f>IF(Boscombe!Y35="","",Boscombe!Y35)</f>
        <v/>
      </c>
      <c r="W119" s="249">
        <f>IF(Boscombe!AA35=0,"",Boscombe!AA35)</f>
        <v>3</v>
      </c>
      <c r="X119" s="244">
        <f>IF(Boscombe!AB35=0,"",Boscombe!AB35)</f>
        <v>21.37833333333333</v>
      </c>
      <c r="Y119" s="245">
        <f>IF(Boscombe!AC35=0,"",Boscombe!AC35)</f>
        <v>25.37833333333333</v>
      </c>
      <c r="AA119" s="246">
        <f>Y119</f>
        <v>25.37833333333333</v>
      </c>
      <c r="AB119" s="243">
        <f>X119</f>
        <v>21.37833333333333</v>
      </c>
      <c r="AC119" s="185" t="str">
        <f>C119</f>
        <v>Calum King</v>
      </c>
      <c r="AD119" s="185" t="str">
        <f>LEFT($B$91,3)</f>
        <v>Bos</v>
      </c>
      <c r="AE119" s="185">
        <f t="shared" ref="AE119:AY119" si="56">E119</f>
        <v>6</v>
      </c>
      <c r="AF119" s="185">
        <f t="shared" si="56"/>
        <v>4</v>
      </c>
      <c r="AG119" s="247">
        <f t="shared" si="56"/>
        <v>2</v>
      </c>
      <c r="AH119" s="247">
        <f t="shared" si="56"/>
        <v>20</v>
      </c>
      <c r="AI119" s="247">
        <f t="shared" si="56"/>
        <v>14</v>
      </c>
      <c r="AJ119" s="243" t="str">
        <f t="shared" si="56"/>
        <v/>
      </c>
      <c r="AK119" s="243" t="str">
        <f t="shared" si="56"/>
        <v/>
      </c>
      <c r="AL119" s="243" t="str">
        <f t="shared" si="56"/>
        <v/>
      </c>
      <c r="AM119" s="243" t="str">
        <f t="shared" si="56"/>
        <v/>
      </c>
      <c r="AN119" s="243" t="str">
        <f t="shared" si="56"/>
        <v/>
      </c>
      <c r="AO119" s="243">
        <f t="shared" si="56"/>
        <v>22.31</v>
      </c>
      <c r="AP119" s="243">
        <f t="shared" si="56"/>
        <v>20.76</v>
      </c>
      <c r="AQ119" s="243">
        <f t="shared" si="56"/>
        <v>20.54</v>
      </c>
      <c r="AR119" s="243" t="str">
        <f t="shared" si="56"/>
        <v/>
      </c>
      <c r="AS119" s="243">
        <f t="shared" si="56"/>
        <v>20.309999999999999</v>
      </c>
      <c r="AT119" s="243">
        <f t="shared" si="56"/>
        <v>22.52</v>
      </c>
      <c r="AU119" s="243">
        <f t="shared" si="56"/>
        <v>21.83</v>
      </c>
      <c r="AV119" s="243" t="str">
        <f t="shared" si="56"/>
        <v/>
      </c>
      <c r="AW119" s="247">
        <f t="shared" si="56"/>
        <v>3</v>
      </c>
      <c r="AX119" s="243">
        <f t="shared" si="56"/>
        <v>21.37833333333333</v>
      </c>
      <c r="AY119" s="248">
        <f t="shared" si="56"/>
        <v>25.37833333333333</v>
      </c>
    </row>
    <row r="120" spans="2:51" ht="12" customHeight="1" x14ac:dyDescent="0.2">
      <c r="B120" s="266"/>
      <c r="C120" s="235"/>
      <c r="D120" s="235"/>
      <c r="E120" s="239"/>
      <c r="F120" s="182"/>
      <c r="G120" s="182"/>
      <c r="H120" s="182"/>
      <c r="I120" s="233"/>
      <c r="J120" s="163" t="str">
        <f>IF(Boscombe!M36="","",Boscombe!M36)</f>
        <v/>
      </c>
      <c r="K120" s="41" t="str">
        <f>IF(Boscombe!N36="","",Boscombe!N36)</f>
        <v/>
      </c>
      <c r="L120" s="41" t="str">
        <f>IF(Boscombe!O36="","",Boscombe!O36)</f>
        <v/>
      </c>
      <c r="M120" s="41" t="str">
        <f>IF(Boscombe!P36="","",Boscombe!P36)</f>
        <v/>
      </c>
      <c r="N120" s="41" t="str">
        <f>IF(Boscombe!Q36="","",Boscombe!Q36)</f>
        <v/>
      </c>
      <c r="O120" s="41" t="str">
        <f>IF(Boscombe!R36="","",Boscombe!R36)</f>
        <v>4*1(1)</v>
      </c>
      <c r="P120" s="41" t="str">
        <f>IF(Boscombe!S36="","",Boscombe!S36)</f>
        <v>4*3</v>
      </c>
      <c r="Q120" s="41" t="str">
        <f>IF(Boscombe!T36="","",Boscombe!T36)</f>
        <v>2*4</v>
      </c>
      <c r="R120" s="41" t="str">
        <f>IF(Boscombe!U36="","",Boscombe!U36)</f>
        <v/>
      </c>
      <c r="S120" s="41" t="str">
        <f>IF(Boscombe!V36="","",Boscombe!V36)</f>
        <v>4*2</v>
      </c>
      <c r="T120" s="41" t="str">
        <f>IF(Boscombe!W36="","",Boscombe!W36)</f>
        <v>4*0</v>
      </c>
      <c r="U120" s="41" t="str">
        <f>IF(Boscombe!X36="","",Boscombe!X36)</f>
        <v>2*4(2)</v>
      </c>
      <c r="V120" s="41" t="str">
        <f>IF(Boscombe!Y36="","",Boscombe!Y36)</f>
        <v/>
      </c>
      <c r="W120" s="201"/>
      <c r="X120" s="182"/>
      <c r="Y120" s="233"/>
      <c r="AA120" s="239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233"/>
    </row>
    <row r="121" spans="2:51" ht="12" customHeight="1" x14ac:dyDescent="0.2">
      <c r="B121" s="266"/>
      <c r="C121" s="263" t="str">
        <f>IF(Boscombe!E37="","",Boscombe!E37)</f>
        <v>Gordon Penn</v>
      </c>
      <c r="D121" s="259" t="str">
        <f>LEFT($B$91,3)</f>
        <v>Bos</v>
      </c>
      <c r="E121" s="251">
        <f>IF(Boscombe!G37="","",Boscombe!G37)</f>
        <v>9</v>
      </c>
      <c r="F121" s="181">
        <f>IF(Boscombe!H37=0,"",Boscombe!H37)</f>
        <v>7</v>
      </c>
      <c r="G121" s="186">
        <f>IF(Boscombe!I37=0,"",Boscombe!I37)</f>
        <v>2</v>
      </c>
      <c r="H121" s="186">
        <f>IF(Boscombe!J37=0,"",Boscombe!J37)</f>
        <v>34</v>
      </c>
      <c r="I121" s="252">
        <f>IF(Boscombe!K37=0,"",Boscombe!K37)</f>
        <v>17</v>
      </c>
      <c r="J121" s="163" t="str">
        <f>IF(Boscombe!M37="","",Boscombe!M37)</f>
        <v/>
      </c>
      <c r="K121" s="41" t="str">
        <f>IF(Boscombe!N37="","",Boscombe!N37)</f>
        <v/>
      </c>
      <c r="L121" s="41">
        <f>IF(Boscombe!O37="","",Boscombe!O37)</f>
        <v>21.46</v>
      </c>
      <c r="M121" s="41">
        <f>IF(Boscombe!P37="","",Boscombe!P37)</f>
        <v>22.77</v>
      </c>
      <c r="N121" s="41">
        <f>IF(Boscombe!Q37="","",Boscombe!Q37)</f>
        <v>21.74</v>
      </c>
      <c r="O121" s="41">
        <f>IF(Boscombe!R37="","",Boscombe!R37)</f>
        <v>19.05</v>
      </c>
      <c r="P121" s="41">
        <f>IF(Boscombe!S37="","",Boscombe!S37)</f>
        <v>19.97</v>
      </c>
      <c r="Q121" s="41">
        <f>IF(Boscombe!T37="","",Boscombe!T37)</f>
        <v>24.84</v>
      </c>
      <c r="R121" s="41">
        <f>IF(Boscombe!U37="","",Boscombe!U37)</f>
        <v>17.079999999999998</v>
      </c>
      <c r="S121" s="41">
        <f>IF(Boscombe!V37="","",Boscombe!V37)</f>
        <v>19.86</v>
      </c>
      <c r="T121" s="41" t="str">
        <f>IF(Boscombe!W37="","",Boscombe!W37)</f>
        <v/>
      </c>
      <c r="U121" s="41" t="str">
        <f>IF(Boscombe!X37="","",Boscombe!X37)</f>
        <v/>
      </c>
      <c r="V121" s="41">
        <f>IF(Boscombe!Y37="","",Boscombe!Y37)</f>
        <v>22.52</v>
      </c>
      <c r="W121" s="249">
        <f>IF(Boscombe!AA37=0,"",Boscombe!AA37)</f>
        <v>1</v>
      </c>
      <c r="X121" s="244">
        <f>IF(Boscombe!AB37=0,"",Boscombe!AB37)</f>
        <v>21.03222222222222</v>
      </c>
      <c r="Y121" s="245">
        <f>IF(Boscombe!AC37=0,"",Boscombe!AC37)</f>
        <v>28.03222222222222</v>
      </c>
      <c r="AA121" s="246">
        <f>Y121</f>
        <v>28.03222222222222</v>
      </c>
      <c r="AB121" s="243">
        <f>X121</f>
        <v>21.03222222222222</v>
      </c>
      <c r="AC121" s="185" t="str">
        <f>C121</f>
        <v>Gordon Penn</v>
      </c>
      <c r="AD121" s="185" t="str">
        <f>LEFT($B$91,3)</f>
        <v>Bos</v>
      </c>
      <c r="AE121" s="185">
        <f t="shared" ref="AE121:AY121" si="57">E121</f>
        <v>9</v>
      </c>
      <c r="AF121" s="185">
        <f t="shared" si="57"/>
        <v>7</v>
      </c>
      <c r="AG121" s="247">
        <f t="shared" si="57"/>
        <v>2</v>
      </c>
      <c r="AH121" s="247">
        <f t="shared" si="57"/>
        <v>34</v>
      </c>
      <c r="AI121" s="247">
        <f t="shared" si="57"/>
        <v>17</v>
      </c>
      <c r="AJ121" s="243" t="str">
        <f t="shared" si="57"/>
        <v/>
      </c>
      <c r="AK121" s="243" t="str">
        <f t="shared" si="57"/>
        <v/>
      </c>
      <c r="AL121" s="243">
        <f t="shared" si="57"/>
        <v>21.46</v>
      </c>
      <c r="AM121" s="243">
        <f t="shared" si="57"/>
        <v>22.77</v>
      </c>
      <c r="AN121" s="243">
        <f t="shared" si="57"/>
        <v>21.74</v>
      </c>
      <c r="AO121" s="243">
        <f t="shared" si="57"/>
        <v>19.05</v>
      </c>
      <c r="AP121" s="243">
        <f t="shared" si="57"/>
        <v>19.97</v>
      </c>
      <c r="AQ121" s="243">
        <f t="shared" si="57"/>
        <v>24.84</v>
      </c>
      <c r="AR121" s="243">
        <f t="shared" si="57"/>
        <v>17.079999999999998</v>
      </c>
      <c r="AS121" s="243">
        <f t="shared" si="57"/>
        <v>19.86</v>
      </c>
      <c r="AT121" s="243" t="str">
        <f t="shared" si="57"/>
        <v/>
      </c>
      <c r="AU121" s="243" t="str">
        <f t="shared" si="57"/>
        <v/>
      </c>
      <c r="AV121" s="243">
        <f t="shared" si="57"/>
        <v>22.52</v>
      </c>
      <c r="AW121" s="247">
        <f t="shared" si="57"/>
        <v>1</v>
      </c>
      <c r="AX121" s="243">
        <f t="shared" si="57"/>
        <v>21.03222222222222</v>
      </c>
      <c r="AY121" s="248">
        <f t="shared" si="57"/>
        <v>28.03222222222222</v>
      </c>
    </row>
    <row r="122" spans="2:51" ht="12" customHeight="1" x14ac:dyDescent="0.2">
      <c r="B122" s="266"/>
      <c r="C122" s="235"/>
      <c r="D122" s="235"/>
      <c r="E122" s="239"/>
      <c r="F122" s="182"/>
      <c r="G122" s="182"/>
      <c r="H122" s="182"/>
      <c r="I122" s="233"/>
      <c r="J122" s="163" t="str">
        <f>IF(Boscombe!M38="","",Boscombe!M38)</f>
        <v/>
      </c>
      <c r="K122" s="41" t="str">
        <f>IF(Boscombe!N38="","",Boscombe!N38)</f>
        <v/>
      </c>
      <c r="L122" s="41" t="str">
        <f>IF(Boscombe!O38="","",Boscombe!O38)</f>
        <v>4*1</v>
      </c>
      <c r="M122" s="41" t="str">
        <f>IF(Boscombe!P38="","",Boscombe!P38)</f>
        <v>4*0</v>
      </c>
      <c r="N122" s="41" t="str">
        <f>IF(Boscombe!Q38="","",Boscombe!Q38)</f>
        <v>4*3</v>
      </c>
      <c r="O122" s="41" t="str">
        <f>IF(Boscombe!R38="","",Boscombe!R38)</f>
        <v>4*1(1)</v>
      </c>
      <c r="P122" s="41" t="str">
        <f>IF(Boscombe!S38="","",Boscombe!S38)</f>
        <v>3*4</v>
      </c>
      <c r="Q122" s="41" t="str">
        <f>IF(Boscombe!T38="","",Boscombe!T38)</f>
        <v>4*2</v>
      </c>
      <c r="R122" s="41" t="str">
        <f>IF(Boscombe!U38="","",Boscombe!U38)</f>
        <v>4*2</v>
      </c>
      <c r="S122" s="41" t="str">
        <f>IF(Boscombe!V38="","",Boscombe!V38)</f>
        <v>3*4</v>
      </c>
      <c r="T122" s="41" t="str">
        <f>IF(Boscombe!W38="","",Boscombe!W38)</f>
        <v/>
      </c>
      <c r="U122" s="41" t="str">
        <f>IF(Boscombe!X38="","",Boscombe!X38)</f>
        <v/>
      </c>
      <c r="V122" s="41" t="str">
        <f>IF(Boscombe!Y38="","",Boscombe!Y38)</f>
        <v>4*0</v>
      </c>
      <c r="W122" s="201"/>
      <c r="X122" s="182"/>
      <c r="Y122" s="233"/>
      <c r="AA122" s="239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233"/>
    </row>
    <row r="123" spans="2:51" ht="12" customHeight="1" x14ac:dyDescent="0.2">
      <c r="B123" s="266"/>
      <c r="C123" s="263" t="str">
        <f>IF(Boscombe!E39="","",Boscombe!E39)</f>
        <v>Colin Freeman</v>
      </c>
      <c r="D123" s="259" t="str">
        <f>LEFT($B$91,3)</f>
        <v>Bos</v>
      </c>
      <c r="E123" s="251">
        <f>IF(Boscombe!G39="","",Boscombe!G39)</f>
        <v>10</v>
      </c>
      <c r="F123" s="181">
        <f>IF(Boscombe!H39=0,"",Boscombe!H39)</f>
        <v>7</v>
      </c>
      <c r="G123" s="186">
        <f>IF(Boscombe!I39=0,"",Boscombe!I39)</f>
        <v>3</v>
      </c>
      <c r="H123" s="186">
        <f>IF(Boscombe!J39=0,"",Boscombe!J39)</f>
        <v>31</v>
      </c>
      <c r="I123" s="252">
        <f>IF(Boscombe!K39=0,"",Boscombe!K39)</f>
        <v>20</v>
      </c>
      <c r="J123" s="163" t="str">
        <f>IF(Boscombe!M39="","",Boscombe!M39)</f>
        <v/>
      </c>
      <c r="K123" s="41" t="str">
        <f>IF(Boscombe!N39="","",Boscombe!N39)</f>
        <v/>
      </c>
      <c r="L123" s="41" t="str">
        <f>IF(Boscombe!O39="","",Boscombe!O39)</f>
        <v/>
      </c>
      <c r="M123" s="41">
        <f>IF(Boscombe!P39="","",Boscombe!P39)</f>
        <v>21.5</v>
      </c>
      <c r="N123" s="41">
        <f>IF(Boscombe!Q39="","",Boscombe!Q39)</f>
        <v>23.11</v>
      </c>
      <c r="O123" s="41">
        <f>IF(Boscombe!R39="","",Boscombe!R39)</f>
        <v>23.3</v>
      </c>
      <c r="P123" s="41">
        <f>IF(Boscombe!S39="","",Boscombe!S39)</f>
        <v>27.27</v>
      </c>
      <c r="Q123" s="41">
        <f>IF(Boscombe!T39="","",Boscombe!T39)</f>
        <v>22.61</v>
      </c>
      <c r="R123" s="41">
        <f>IF(Boscombe!U39="","",Boscombe!U39)</f>
        <v>22.17</v>
      </c>
      <c r="S123" s="41">
        <f>IF(Boscombe!V39="","",Boscombe!V39)</f>
        <v>26.72</v>
      </c>
      <c r="T123" s="41">
        <f>IF(Boscombe!W39="","",Boscombe!W39)</f>
        <v>26.24</v>
      </c>
      <c r="U123" s="41">
        <f>IF(Boscombe!X39="","",Boscombe!X39)</f>
        <v>22.11</v>
      </c>
      <c r="V123" s="41">
        <f>IF(Boscombe!Y39="","",Boscombe!Y39)</f>
        <v>21.55</v>
      </c>
      <c r="W123" s="249">
        <f>IF(Boscombe!AA39=0,"",Boscombe!AA39)</f>
        <v>4</v>
      </c>
      <c r="X123" s="244">
        <f>IF(Boscombe!AB39=0,"",Boscombe!AB39)</f>
        <v>23.657999999999998</v>
      </c>
      <c r="Y123" s="245">
        <f>IF(Boscombe!AC39=0,"",Boscombe!AC39)</f>
        <v>30.657999999999998</v>
      </c>
      <c r="AA123" s="246">
        <f>Y123</f>
        <v>30.657999999999998</v>
      </c>
      <c r="AB123" s="243">
        <f>X123</f>
        <v>23.657999999999998</v>
      </c>
      <c r="AC123" s="185" t="str">
        <f>C123</f>
        <v>Colin Freeman</v>
      </c>
      <c r="AD123" s="185" t="str">
        <f>LEFT($B$91,3)</f>
        <v>Bos</v>
      </c>
      <c r="AE123" s="185">
        <f t="shared" ref="AE123:AY123" si="58">E123</f>
        <v>10</v>
      </c>
      <c r="AF123" s="185">
        <f t="shared" si="58"/>
        <v>7</v>
      </c>
      <c r="AG123" s="247">
        <f t="shared" si="58"/>
        <v>3</v>
      </c>
      <c r="AH123" s="247">
        <f t="shared" si="58"/>
        <v>31</v>
      </c>
      <c r="AI123" s="247">
        <f t="shared" si="58"/>
        <v>20</v>
      </c>
      <c r="AJ123" s="243" t="str">
        <f t="shared" si="58"/>
        <v/>
      </c>
      <c r="AK123" s="243" t="str">
        <f t="shared" si="58"/>
        <v/>
      </c>
      <c r="AL123" s="243" t="str">
        <f t="shared" si="58"/>
        <v/>
      </c>
      <c r="AM123" s="243">
        <f t="shared" si="58"/>
        <v>21.5</v>
      </c>
      <c r="AN123" s="243">
        <f t="shared" si="58"/>
        <v>23.11</v>
      </c>
      <c r="AO123" s="243">
        <f t="shared" si="58"/>
        <v>23.3</v>
      </c>
      <c r="AP123" s="243">
        <f t="shared" si="58"/>
        <v>27.27</v>
      </c>
      <c r="AQ123" s="243">
        <f t="shared" si="58"/>
        <v>22.61</v>
      </c>
      <c r="AR123" s="243">
        <f t="shared" si="58"/>
        <v>22.17</v>
      </c>
      <c r="AS123" s="243">
        <f t="shared" si="58"/>
        <v>26.72</v>
      </c>
      <c r="AT123" s="243">
        <f t="shared" si="58"/>
        <v>26.24</v>
      </c>
      <c r="AU123" s="243">
        <f t="shared" si="58"/>
        <v>22.11</v>
      </c>
      <c r="AV123" s="243">
        <f t="shared" si="58"/>
        <v>21.55</v>
      </c>
      <c r="AW123" s="247">
        <f t="shared" si="58"/>
        <v>4</v>
      </c>
      <c r="AX123" s="243">
        <f t="shared" si="58"/>
        <v>23.657999999999998</v>
      </c>
      <c r="AY123" s="248">
        <f t="shared" si="58"/>
        <v>30.657999999999998</v>
      </c>
    </row>
    <row r="124" spans="2:51" ht="12" customHeight="1" x14ac:dyDescent="0.2">
      <c r="B124" s="266"/>
      <c r="C124" s="235"/>
      <c r="D124" s="235"/>
      <c r="E124" s="239"/>
      <c r="F124" s="182"/>
      <c r="G124" s="182"/>
      <c r="H124" s="182"/>
      <c r="I124" s="233"/>
      <c r="J124" s="163" t="str">
        <f>IF(Boscombe!M40="","",Boscombe!M40)</f>
        <v/>
      </c>
      <c r="K124" s="41" t="str">
        <f>IF(Boscombe!N40="","",Boscombe!N40)</f>
        <v/>
      </c>
      <c r="L124" s="41" t="str">
        <f>IF(Boscombe!O40="","",Boscombe!O40)</f>
        <v/>
      </c>
      <c r="M124" s="41" t="str">
        <f>IF(Boscombe!P40="","",Boscombe!P40)</f>
        <v>3*4</v>
      </c>
      <c r="N124" s="41" t="str">
        <f>IF(Boscombe!Q40="","",Boscombe!Q40)</f>
        <v>4*1</v>
      </c>
      <c r="O124" s="41" t="str">
        <f>IF(Boscombe!R40="","",Boscombe!R40)</f>
        <v>4*0(1)</v>
      </c>
      <c r="P124" s="41" t="str">
        <f>IF(Boscombe!S40="","",Boscombe!S40)</f>
        <v>4*2(1)</v>
      </c>
      <c r="Q124" s="41" t="str">
        <f>IF(Boscombe!T40="","",Boscombe!T40)</f>
        <v>0*4</v>
      </c>
      <c r="R124" s="41" t="str">
        <f>IF(Boscombe!U40="","",Boscombe!U40)</f>
        <v>0*4</v>
      </c>
      <c r="S124" s="41" t="str">
        <f>IF(Boscombe!V40="","",Boscombe!V40)</f>
        <v>4*0(1)</v>
      </c>
      <c r="T124" s="41" t="str">
        <f>IF(Boscombe!W40="","",Boscombe!W40)</f>
        <v>4*3</v>
      </c>
      <c r="U124" s="41" t="str">
        <f>IF(Boscombe!X40="","",Boscombe!X40)</f>
        <v>4*2(1)</v>
      </c>
      <c r="V124" s="41" t="str">
        <f>IF(Boscombe!Y40="","",Boscombe!Y40)</f>
        <v>4*0</v>
      </c>
      <c r="W124" s="201"/>
      <c r="X124" s="182"/>
      <c r="Y124" s="233"/>
      <c r="AA124" s="239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233"/>
    </row>
    <row r="125" spans="2:51" ht="12" customHeight="1" x14ac:dyDescent="0.2">
      <c r="B125" s="266"/>
      <c r="C125" s="263" t="str">
        <f>IF(Boscombe!E41="","",Boscombe!E41)</f>
        <v>Richard Clark</v>
      </c>
      <c r="D125" s="259" t="str">
        <f>LEFT($B$91,3)</f>
        <v>Bos</v>
      </c>
      <c r="E125" s="251">
        <f>IF(Boscombe!G41="","",Boscombe!G41)</f>
        <v>6</v>
      </c>
      <c r="F125" s="181">
        <f>IF(Boscombe!H41=0,"",Boscombe!H41)</f>
        <v>2</v>
      </c>
      <c r="G125" s="186">
        <f>IF(Boscombe!I41=0,"",Boscombe!I41)</f>
        <v>4</v>
      </c>
      <c r="H125" s="186">
        <f>IF(Boscombe!J41=0,"",Boscombe!J41)</f>
        <v>14</v>
      </c>
      <c r="I125" s="252">
        <f>IF(Boscombe!K41=0,"",Boscombe!K41)</f>
        <v>21</v>
      </c>
      <c r="J125" s="163" t="str">
        <f>IF(Boscombe!M41="","",Boscombe!M41)</f>
        <v/>
      </c>
      <c r="K125" s="41" t="str">
        <f>IF(Boscombe!N41="","",Boscombe!N41)</f>
        <v/>
      </c>
      <c r="L125" s="41" t="str">
        <f>IF(Boscombe!O41="","",Boscombe!O41)</f>
        <v/>
      </c>
      <c r="M125" s="41" t="str">
        <f>IF(Boscombe!P41="","",Boscombe!P41)</f>
        <v/>
      </c>
      <c r="N125" s="41">
        <f>IF(Boscombe!Q41="","",Boscombe!Q41)</f>
        <v>15.96</v>
      </c>
      <c r="O125" s="41">
        <f>IF(Boscombe!R41="","",Boscombe!R41)</f>
        <v>17.41</v>
      </c>
      <c r="P125" s="41">
        <f>IF(Boscombe!S41="","",Boscombe!S41)</f>
        <v>18.57</v>
      </c>
      <c r="Q125" s="41">
        <f>IF(Boscombe!T41="","",Boscombe!T41)</f>
        <v>18.93</v>
      </c>
      <c r="R125" s="41" t="str">
        <f>IF(Boscombe!U41="","",Boscombe!U41)</f>
        <v/>
      </c>
      <c r="S125" s="41" t="str">
        <f>IF(Boscombe!V41="","",Boscombe!V41)</f>
        <v/>
      </c>
      <c r="T125" s="41">
        <f>IF(Boscombe!W41="","",Boscombe!W41)</f>
        <v>22.92</v>
      </c>
      <c r="U125" s="41">
        <f>IF(Boscombe!X41="","",Boscombe!X41)</f>
        <v>17.11</v>
      </c>
      <c r="V125" s="41" t="str">
        <f>IF(Boscombe!Y41="","",Boscombe!Y41)</f>
        <v/>
      </c>
      <c r="W125" s="249">
        <f>IF(Boscombe!AA41=0,"",Boscombe!AA41)</f>
        <v>2</v>
      </c>
      <c r="X125" s="244">
        <f>IF(Boscombe!AB41=0,"",Boscombe!AB41)</f>
        <v>18.483333333333334</v>
      </c>
      <c r="Y125" s="245">
        <f>IF(Boscombe!AC41=0,"",Boscombe!AC41)</f>
        <v>20.483333333333334</v>
      </c>
      <c r="AA125" s="246">
        <f>Y125</f>
        <v>20.483333333333334</v>
      </c>
      <c r="AB125" s="243">
        <f>X125</f>
        <v>18.483333333333334</v>
      </c>
      <c r="AC125" s="185" t="str">
        <f>C125</f>
        <v>Richard Clark</v>
      </c>
      <c r="AD125" s="185" t="str">
        <f>LEFT($B$91,3)</f>
        <v>Bos</v>
      </c>
      <c r="AE125" s="185">
        <f t="shared" ref="AE125:AY125" si="59">E125</f>
        <v>6</v>
      </c>
      <c r="AF125" s="185">
        <f t="shared" si="59"/>
        <v>2</v>
      </c>
      <c r="AG125" s="247">
        <f t="shared" si="59"/>
        <v>4</v>
      </c>
      <c r="AH125" s="247">
        <f t="shared" si="59"/>
        <v>14</v>
      </c>
      <c r="AI125" s="247">
        <f t="shared" si="59"/>
        <v>21</v>
      </c>
      <c r="AJ125" s="243" t="str">
        <f t="shared" si="59"/>
        <v/>
      </c>
      <c r="AK125" s="243" t="str">
        <f t="shared" si="59"/>
        <v/>
      </c>
      <c r="AL125" s="243" t="str">
        <f t="shared" si="59"/>
        <v/>
      </c>
      <c r="AM125" s="243" t="str">
        <f t="shared" si="59"/>
        <v/>
      </c>
      <c r="AN125" s="243">
        <f t="shared" si="59"/>
        <v>15.96</v>
      </c>
      <c r="AO125" s="243">
        <f t="shared" si="59"/>
        <v>17.41</v>
      </c>
      <c r="AP125" s="243">
        <f t="shared" si="59"/>
        <v>18.57</v>
      </c>
      <c r="AQ125" s="243">
        <f t="shared" si="59"/>
        <v>18.93</v>
      </c>
      <c r="AR125" s="243" t="str">
        <f t="shared" si="59"/>
        <v/>
      </c>
      <c r="AS125" s="243" t="str">
        <f t="shared" si="59"/>
        <v/>
      </c>
      <c r="AT125" s="243">
        <f t="shared" si="59"/>
        <v>22.92</v>
      </c>
      <c r="AU125" s="243">
        <f t="shared" si="59"/>
        <v>17.11</v>
      </c>
      <c r="AV125" s="243" t="str">
        <f t="shared" si="59"/>
        <v/>
      </c>
      <c r="AW125" s="247">
        <f t="shared" si="59"/>
        <v>2</v>
      </c>
      <c r="AX125" s="243">
        <f t="shared" si="59"/>
        <v>18.483333333333334</v>
      </c>
      <c r="AY125" s="248">
        <f t="shared" si="59"/>
        <v>20.483333333333334</v>
      </c>
    </row>
    <row r="126" spans="2:51" ht="12" customHeight="1" x14ac:dyDescent="0.2">
      <c r="B126" s="266"/>
      <c r="C126" s="235"/>
      <c r="D126" s="235"/>
      <c r="E126" s="239"/>
      <c r="F126" s="182"/>
      <c r="G126" s="182"/>
      <c r="H126" s="182"/>
      <c r="I126" s="233"/>
      <c r="J126" s="163" t="str">
        <f>IF(Boscombe!M42="","",Boscombe!M42)</f>
        <v/>
      </c>
      <c r="K126" s="41" t="str">
        <f>IF(Boscombe!N42="","",Boscombe!N42)</f>
        <v/>
      </c>
      <c r="L126" s="41" t="str">
        <f>IF(Boscombe!O42="","",Boscombe!O42)</f>
        <v/>
      </c>
      <c r="M126" s="41" t="str">
        <f>IF(Boscombe!P42="","",Boscombe!P42)</f>
        <v/>
      </c>
      <c r="N126" s="41" t="str">
        <f>IF(Boscombe!Q42="","",Boscombe!Q42)</f>
        <v>1*4</v>
      </c>
      <c r="O126" s="41" t="str">
        <f>IF(Boscombe!R42="","",Boscombe!R42)</f>
        <v>4*2</v>
      </c>
      <c r="P126" s="41" t="str">
        <f>IF(Boscombe!S42="","",Boscombe!S42)</f>
        <v>2*4</v>
      </c>
      <c r="Q126" s="41" t="str">
        <f>IF(Boscombe!T42="","",Boscombe!T42)</f>
        <v>1*4(1)</v>
      </c>
      <c r="R126" s="41" t="str">
        <f>IF(Boscombe!U42="","",Boscombe!U42)</f>
        <v/>
      </c>
      <c r="S126" s="41" t="str">
        <f>IF(Boscombe!V42="","",Boscombe!V42)</f>
        <v/>
      </c>
      <c r="T126" s="41" t="str">
        <f>IF(Boscombe!W42="","",Boscombe!W42)</f>
        <v>2*4(1)</v>
      </c>
      <c r="U126" s="41" t="str">
        <f>IF(Boscombe!X42="","",Boscombe!X42)</f>
        <v>4*3</v>
      </c>
      <c r="V126" s="41" t="str">
        <f>IF(Boscombe!Y42="","",Boscombe!Y42)</f>
        <v/>
      </c>
      <c r="W126" s="201"/>
      <c r="X126" s="182"/>
      <c r="Y126" s="233"/>
      <c r="AA126" s="239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233"/>
    </row>
    <row r="127" spans="2:51" ht="12" customHeight="1" x14ac:dyDescent="0.2">
      <c r="B127" s="266"/>
      <c r="C127" s="263" t="str">
        <f>IF(Boscombe!E43="","",Boscombe!E43)</f>
        <v>Pip Cooke</v>
      </c>
      <c r="D127" s="259" t="str">
        <f>LEFT($B$91,3)</f>
        <v>Bos</v>
      </c>
      <c r="E127" s="251">
        <f>IF(Boscombe!G43="","",Boscombe!G43)</f>
        <v>5</v>
      </c>
      <c r="F127" s="181">
        <f>IF(Boscombe!H43=0,"",Boscombe!H43)</f>
        <v>2</v>
      </c>
      <c r="G127" s="186">
        <f>IF(Boscombe!I43=0,"",Boscombe!I43)</f>
        <v>3</v>
      </c>
      <c r="H127" s="186">
        <f>IF(Boscombe!J43=0,"",Boscombe!J43)</f>
        <v>14</v>
      </c>
      <c r="I127" s="252">
        <f>IF(Boscombe!K43=0,"",Boscombe!K43)</f>
        <v>12</v>
      </c>
      <c r="J127" s="163" t="str">
        <f>IF(Boscombe!M43="","",Boscombe!M43)</f>
        <v/>
      </c>
      <c r="K127" s="41" t="str">
        <f>IF(Boscombe!N43="","",Boscombe!N43)</f>
        <v/>
      </c>
      <c r="L127" s="41" t="str">
        <f>IF(Boscombe!O43="","",Boscombe!O43)</f>
        <v/>
      </c>
      <c r="M127" s="41" t="str">
        <f>IF(Boscombe!P43="","",Boscombe!P43)</f>
        <v/>
      </c>
      <c r="N127" s="41" t="str">
        <f>IF(Boscombe!Q43="","",Boscombe!Q43)</f>
        <v/>
      </c>
      <c r="O127" s="41" t="str">
        <f>IF(Boscombe!R43="","",Boscombe!R43)</f>
        <v/>
      </c>
      <c r="P127" s="41" t="str">
        <f>IF(Boscombe!S43="","",Boscombe!S43)</f>
        <v/>
      </c>
      <c r="Q127" s="41" t="str">
        <f>IF(Boscombe!T43="","",Boscombe!T43)</f>
        <v/>
      </c>
      <c r="R127" s="41">
        <f>IF(Boscombe!U43="","",Boscombe!U43)</f>
        <v>20.68</v>
      </c>
      <c r="S127" s="41">
        <f>IF(Boscombe!V43="","",Boscombe!V43)</f>
        <v>21.06</v>
      </c>
      <c r="T127" s="41">
        <f>IF(Boscombe!W43="","",Boscombe!W43)</f>
        <v>24.14</v>
      </c>
      <c r="U127" s="41">
        <f>IF(Boscombe!X43="","",Boscombe!X43)</f>
        <v>23.58</v>
      </c>
      <c r="V127" s="41">
        <f>IF(Boscombe!Y43="","",Boscombe!Y43)</f>
        <v>21.65</v>
      </c>
      <c r="W127" s="249">
        <f>IF(Boscombe!AA43=0,"",Boscombe!AA43)</f>
        <v>1</v>
      </c>
      <c r="X127" s="244">
        <f>IF(Boscombe!AB43=0,"",Boscombe!AB43)</f>
        <v>22.221999999999998</v>
      </c>
      <c r="Y127" s="245">
        <f>IF(Boscombe!AC43=0,"",Boscombe!AC43)</f>
        <v>24.221999999999998</v>
      </c>
      <c r="AA127" s="246">
        <f>Y127</f>
        <v>24.221999999999998</v>
      </c>
      <c r="AB127" s="243">
        <f>X127</f>
        <v>22.221999999999998</v>
      </c>
      <c r="AC127" s="185" t="str">
        <f>C127</f>
        <v>Pip Cooke</v>
      </c>
      <c r="AD127" s="185" t="str">
        <f>LEFT($B$91,3)</f>
        <v>Bos</v>
      </c>
      <c r="AE127" s="185">
        <f t="shared" ref="AE127:AY127" si="60">E127</f>
        <v>5</v>
      </c>
      <c r="AF127" s="185">
        <f t="shared" si="60"/>
        <v>2</v>
      </c>
      <c r="AG127" s="247">
        <f t="shared" si="60"/>
        <v>3</v>
      </c>
      <c r="AH127" s="247">
        <f t="shared" si="60"/>
        <v>14</v>
      </c>
      <c r="AI127" s="247">
        <f t="shared" si="60"/>
        <v>12</v>
      </c>
      <c r="AJ127" s="243" t="str">
        <f t="shared" si="60"/>
        <v/>
      </c>
      <c r="AK127" s="243" t="str">
        <f t="shared" si="60"/>
        <v/>
      </c>
      <c r="AL127" s="243" t="str">
        <f t="shared" si="60"/>
        <v/>
      </c>
      <c r="AM127" s="243" t="str">
        <f t="shared" si="60"/>
        <v/>
      </c>
      <c r="AN127" s="243" t="str">
        <f t="shared" si="60"/>
        <v/>
      </c>
      <c r="AO127" s="243" t="str">
        <f t="shared" si="60"/>
        <v/>
      </c>
      <c r="AP127" s="243" t="str">
        <f t="shared" si="60"/>
        <v/>
      </c>
      <c r="AQ127" s="243" t="str">
        <f t="shared" si="60"/>
        <v/>
      </c>
      <c r="AR127" s="243">
        <f t="shared" si="60"/>
        <v>20.68</v>
      </c>
      <c r="AS127" s="243">
        <f t="shared" si="60"/>
        <v>21.06</v>
      </c>
      <c r="AT127" s="243">
        <f t="shared" si="60"/>
        <v>24.14</v>
      </c>
      <c r="AU127" s="243">
        <f t="shared" si="60"/>
        <v>23.58</v>
      </c>
      <c r="AV127" s="243">
        <f t="shared" si="60"/>
        <v>21.65</v>
      </c>
      <c r="AW127" s="247">
        <f t="shared" si="60"/>
        <v>1</v>
      </c>
      <c r="AX127" s="243">
        <f t="shared" si="60"/>
        <v>22.221999999999998</v>
      </c>
      <c r="AY127" s="248">
        <f t="shared" si="60"/>
        <v>24.221999999999998</v>
      </c>
    </row>
    <row r="128" spans="2:51" ht="12" customHeight="1" x14ac:dyDescent="0.2">
      <c r="B128" s="266"/>
      <c r="C128" s="235"/>
      <c r="D128" s="235"/>
      <c r="E128" s="239"/>
      <c r="F128" s="182"/>
      <c r="G128" s="182"/>
      <c r="H128" s="182"/>
      <c r="I128" s="233"/>
      <c r="J128" s="163" t="str">
        <f>IF(Boscombe!M44="","",Boscombe!M44)</f>
        <v/>
      </c>
      <c r="K128" s="41" t="str">
        <f>IF(Boscombe!N44="","",Boscombe!N44)</f>
        <v/>
      </c>
      <c r="L128" s="41" t="str">
        <f>IF(Boscombe!O44="","",Boscombe!O44)</f>
        <v/>
      </c>
      <c r="M128" s="41" t="str">
        <f>IF(Boscombe!P44="","",Boscombe!P44)</f>
        <v/>
      </c>
      <c r="N128" s="41" t="str">
        <f>IF(Boscombe!Q44="","",Boscombe!Q44)</f>
        <v/>
      </c>
      <c r="O128" s="41" t="str">
        <f>IF(Boscombe!R44="","",Boscombe!R44)</f>
        <v/>
      </c>
      <c r="P128" s="41" t="str">
        <f>IF(Boscombe!S44="","",Boscombe!S44)</f>
        <v/>
      </c>
      <c r="Q128" s="41" t="str">
        <f>IF(Boscombe!T44="","",Boscombe!T44)</f>
        <v/>
      </c>
      <c r="R128" s="41" t="str">
        <f>IF(Boscombe!U44="","",Boscombe!U44)</f>
        <v>1*4</v>
      </c>
      <c r="S128" s="41" t="str">
        <f>IF(Boscombe!V44="","",Boscombe!V44)</f>
        <v>3*4</v>
      </c>
      <c r="T128" s="41" t="str">
        <f>IF(Boscombe!W44="","",Boscombe!W44)</f>
        <v>4*0</v>
      </c>
      <c r="U128" s="41" t="str">
        <f>IF(Boscombe!X44="","",Boscombe!X44)</f>
        <v>4*0(1)</v>
      </c>
      <c r="V128" s="41" t="str">
        <f>IF(Boscombe!Y44="","",Boscombe!Y44)</f>
        <v>2*4</v>
      </c>
      <c r="W128" s="201"/>
      <c r="X128" s="182"/>
      <c r="Y128" s="233"/>
      <c r="AA128" s="239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233"/>
    </row>
    <row r="129" spans="2:51" ht="12" customHeight="1" x14ac:dyDescent="0.2">
      <c r="B129" s="266"/>
      <c r="C129" s="263" t="str">
        <f>IF(Boscombe!E45="","",Boscombe!E45)</f>
        <v/>
      </c>
      <c r="D129" s="259" t="str">
        <f>LEFT($B$91,3)</f>
        <v>Bos</v>
      </c>
      <c r="E129" s="251" t="str">
        <f>IF(Boscombe!G45="","",Boscombe!G45)</f>
        <v/>
      </c>
      <c r="F129" s="181" t="str">
        <f>IF(Boscombe!H45=0,"",Boscombe!H45)</f>
        <v/>
      </c>
      <c r="G129" s="181" t="str">
        <f>IF(Boscombe!I45=0,"",Boscombe!I45)</f>
        <v/>
      </c>
      <c r="H129" s="181" t="str">
        <f>IF(Boscombe!J45=0,"",Boscombe!J45)</f>
        <v/>
      </c>
      <c r="I129" s="250" t="str">
        <f>IF(Boscombe!K45=0,"",Boscombe!K45)</f>
        <v/>
      </c>
      <c r="J129" s="163" t="str">
        <f>IF(Boscombe!M45="","",Boscombe!M45)</f>
        <v/>
      </c>
      <c r="K129" s="41" t="str">
        <f>IF(Boscombe!N45="","",Boscombe!N45)</f>
        <v/>
      </c>
      <c r="L129" s="41" t="str">
        <f>IF(Boscombe!O45="","",Boscombe!O45)</f>
        <v/>
      </c>
      <c r="M129" s="41" t="str">
        <f>IF(Boscombe!P45="","",Boscombe!P45)</f>
        <v/>
      </c>
      <c r="N129" s="41" t="str">
        <f>IF(Boscombe!Q45="","",Boscombe!Q45)</f>
        <v/>
      </c>
      <c r="O129" s="41" t="str">
        <f>IF(Boscombe!R45="","",Boscombe!R45)</f>
        <v/>
      </c>
      <c r="P129" s="41" t="str">
        <f>IF(Boscombe!S45="","",Boscombe!S45)</f>
        <v/>
      </c>
      <c r="Q129" s="41" t="str">
        <f>IF(Boscombe!T45="","",Boscombe!T45)</f>
        <v/>
      </c>
      <c r="R129" s="41" t="str">
        <f>IF(Boscombe!U45="","",Boscombe!U45)</f>
        <v/>
      </c>
      <c r="S129" s="41" t="str">
        <f>IF(Boscombe!V45="","",Boscombe!V45)</f>
        <v/>
      </c>
      <c r="T129" s="41" t="str">
        <f>IF(Boscombe!W45="","",Boscombe!W45)</f>
        <v/>
      </c>
      <c r="U129" s="41" t="str">
        <f>IF(Boscombe!X45="","",Boscombe!X45)</f>
        <v/>
      </c>
      <c r="V129" s="41" t="str">
        <f>IF(Boscombe!Y45="","",Boscombe!Y45)</f>
        <v/>
      </c>
      <c r="W129" s="249" t="str">
        <f>IF(Boscombe!AA45=0,"",Boscombe!AA45)</f>
        <v/>
      </c>
      <c r="X129" s="244" t="str">
        <f>IF(Boscombe!AB45=0,"",Boscombe!AB45)</f>
        <v/>
      </c>
      <c r="Y129" s="245" t="str">
        <f>IF(Boscombe!AC45=0,"",Boscombe!AC45)</f>
        <v/>
      </c>
      <c r="AA129" s="246" t="str">
        <f>Y129</f>
        <v/>
      </c>
      <c r="AB129" s="243" t="str">
        <f>X129</f>
        <v/>
      </c>
      <c r="AC129" s="185" t="str">
        <f>C129</f>
        <v/>
      </c>
      <c r="AD129" s="185" t="str">
        <f>LEFT($B$91,3)</f>
        <v>Bos</v>
      </c>
      <c r="AE129" s="185" t="str">
        <f t="shared" ref="AE129:AY129" si="61">E129</f>
        <v/>
      </c>
      <c r="AF129" s="185" t="str">
        <f t="shared" si="61"/>
        <v/>
      </c>
      <c r="AG129" s="185" t="str">
        <f t="shared" si="61"/>
        <v/>
      </c>
      <c r="AH129" s="185" t="str">
        <f t="shared" si="61"/>
        <v/>
      </c>
      <c r="AI129" s="185" t="str">
        <f t="shared" si="61"/>
        <v/>
      </c>
      <c r="AJ129" s="243" t="str">
        <f t="shared" si="61"/>
        <v/>
      </c>
      <c r="AK129" s="243" t="str">
        <f t="shared" si="61"/>
        <v/>
      </c>
      <c r="AL129" s="243" t="str">
        <f t="shared" si="61"/>
        <v/>
      </c>
      <c r="AM129" s="243" t="str">
        <f t="shared" si="61"/>
        <v/>
      </c>
      <c r="AN129" s="243" t="str">
        <f t="shared" si="61"/>
        <v/>
      </c>
      <c r="AO129" s="243" t="str">
        <f t="shared" si="61"/>
        <v/>
      </c>
      <c r="AP129" s="243" t="str">
        <f t="shared" si="61"/>
        <v/>
      </c>
      <c r="AQ129" s="243" t="str">
        <f t="shared" si="61"/>
        <v/>
      </c>
      <c r="AR129" s="243" t="str">
        <f t="shared" si="61"/>
        <v/>
      </c>
      <c r="AS129" s="243" t="str">
        <f t="shared" si="61"/>
        <v/>
      </c>
      <c r="AT129" s="243" t="str">
        <f t="shared" si="61"/>
        <v/>
      </c>
      <c r="AU129" s="243" t="str">
        <f t="shared" si="61"/>
        <v/>
      </c>
      <c r="AV129" s="243" t="str">
        <f t="shared" si="61"/>
        <v/>
      </c>
      <c r="AW129" s="247" t="str">
        <f t="shared" si="61"/>
        <v/>
      </c>
      <c r="AX129" s="243" t="str">
        <f t="shared" si="61"/>
        <v/>
      </c>
      <c r="AY129" s="248" t="str">
        <f t="shared" si="61"/>
        <v/>
      </c>
    </row>
    <row r="130" spans="2:51" ht="12" customHeight="1" x14ac:dyDescent="0.2">
      <c r="B130" s="266"/>
      <c r="C130" s="235"/>
      <c r="D130" s="235"/>
      <c r="E130" s="239"/>
      <c r="F130" s="182"/>
      <c r="G130" s="182"/>
      <c r="H130" s="182"/>
      <c r="I130" s="233"/>
      <c r="J130" s="163" t="str">
        <f>IF(Boscombe!M46="","",Boscombe!M46)</f>
        <v/>
      </c>
      <c r="K130" s="41" t="str">
        <f>IF(Boscombe!N46="","",Boscombe!N46)</f>
        <v/>
      </c>
      <c r="L130" s="41" t="str">
        <f>IF(Boscombe!O46="","",Boscombe!O46)</f>
        <v/>
      </c>
      <c r="M130" s="41" t="str">
        <f>IF(Boscombe!P46="","",Boscombe!P46)</f>
        <v/>
      </c>
      <c r="N130" s="41" t="str">
        <f>IF(Boscombe!Q46="","",Boscombe!Q46)</f>
        <v/>
      </c>
      <c r="O130" s="41" t="str">
        <f>IF(Boscombe!R46="","",Boscombe!R46)</f>
        <v/>
      </c>
      <c r="P130" s="41" t="str">
        <f>IF(Boscombe!S46="","",Boscombe!S46)</f>
        <v/>
      </c>
      <c r="Q130" s="41" t="str">
        <f>IF(Boscombe!T46="","",Boscombe!T46)</f>
        <v/>
      </c>
      <c r="R130" s="41" t="str">
        <f>IF(Boscombe!U46="","",Boscombe!U46)</f>
        <v/>
      </c>
      <c r="S130" s="41" t="str">
        <f>IF(Boscombe!V46="","",Boscombe!V46)</f>
        <v/>
      </c>
      <c r="T130" s="41" t="str">
        <f>IF(Boscombe!W46="","",Boscombe!W46)</f>
        <v/>
      </c>
      <c r="U130" s="41" t="str">
        <f>IF(Boscombe!X46="","",Boscombe!X46)</f>
        <v/>
      </c>
      <c r="V130" s="41" t="str">
        <f>IF(Boscombe!Y46="","",Boscombe!Y46)</f>
        <v/>
      </c>
      <c r="W130" s="201"/>
      <c r="X130" s="182"/>
      <c r="Y130" s="233"/>
      <c r="AA130" s="239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233"/>
    </row>
    <row r="131" spans="2:51" ht="12" customHeight="1" x14ac:dyDescent="0.2">
      <c r="B131" s="266"/>
      <c r="C131" s="263" t="str">
        <f>IF(Boscombe!E47="","",Boscombe!E47)</f>
        <v/>
      </c>
      <c r="D131" s="259" t="str">
        <f>LEFT($B$91,3)</f>
        <v>Bos</v>
      </c>
      <c r="E131" s="251" t="str">
        <f>IF(Boscombe!G47="","",Boscombe!G47)</f>
        <v/>
      </c>
      <c r="F131" s="181" t="str">
        <f>IF(Boscombe!H47=0,"",Boscombe!H47)</f>
        <v/>
      </c>
      <c r="G131" s="181" t="str">
        <f>IF(Boscombe!I47=0,"",Boscombe!I47)</f>
        <v/>
      </c>
      <c r="H131" s="181" t="str">
        <f>IF(Boscombe!J47=0,"",Boscombe!J47)</f>
        <v/>
      </c>
      <c r="I131" s="250" t="str">
        <f>IF(Boscombe!K47=0,"",Boscombe!K47)</f>
        <v/>
      </c>
      <c r="J131" s="163" t="str">
        <f>IF(Boscombe!M47="","",Boscombe!M47)</f>
        <v/>
      </c>
      <c r="K131" s="41" t="str">
        <f>IF(Boscombe!N47="","",Boscombe!N47)</f>
        <v/>
      </c>
      <c r="L131" s="41" t="str">
        <f>IF(Boscombe!O47="","",Boscombe!O47)</f>
        <v/>
      </c>
      <c r="M131" s="41" t="str">
        <f>IF(Boscombe!P47="","",Boscombe!P47)</f>
        <v/>
      </c>
      <c r="N131" s="41" t="str">
        <f>IF(Boscombe!Q47="","",Boscombe!Q47)</f>
        <v/>
      </c>
      <c r="O131" s="41" t="str">
        <f>IF(Boscombe!R47="","",Boscombe!R47)</f>
        <v/>
      </c>
      <c r="P131" s="41" t="str">
        <f>IF(Boscombe!S47="","",Boscombe!S47)</f>
        <v/>
      </c>
      <c r="Q131" s="41" t="str">
        <f>IF(Boscombe!T47="","",Boscombe!T47)</f>
        <v/>
      </c>
      <c r="R131" s="41" t="str">
        <f>IF(Boscombe!U47="","",Boscombe!U47)</f>
        <v/>
      </c>
      <c r="S131" s="41" t="str">
        <f>IF(Boscombe!V47="","",Boscombe!V47)</f>
        <v/>
      </c>
      <c r="T131" s="41" t="str">
        <f>IF(Boscombe!W47="","",Boscombe!W47)</f>
        <v/>
      </c>
      <c r="U131" s="41" t="str">
        <f>IF(Boscombe!X47="","",Boscombe!X47)</f>
        <v/>
      </c>
      <c r="V131" s="41" t="str">
        <f>IF(Boscombe!Y47="","",Boscombe!Y47)</f>
        <v/>
      </c>
      <c r="W131" s="249" t="str">
        <f>IF(Boscombe!AA47=0,"",Boscombe!AA47)</f>
        <v/>
      </c>
      <c r="X131" s="244" t="str">
        <f>IF(Boscombe!AB47=0,"",Boscombe!AB47)</f>
        <v/>
      </c>
      <c r="Y131" s="245" t="str">
        <f>IF(Boscombe!AC47=0,"",Boscombe!AC47)</f>
        <v/>
      </c>
      <c r="AA131" s="246" t="str">
        <f>Y131</f>
        <v/>
      </c>
      <c r="AB131" s="243" t="str">
        <f>X131</f>
        <v/>
      </c>
      <c r="AC131" s="185" t="str">
        <f>C131</f>
        <v/>
      </c>
      <c r="AD131" s="185" t="str">
        <f>LEFT($B$91,3)</f>
        <v>Bos</v>
      </c>
      <c r="AE131" s="185" t="str">
        <f t="shared" ref="AE131:AY131" si="62">E131</f>
        <v/>
      </c>
      <c r="AF131" s="185" t="str">
        <f t="shared" si="62"/>
        <v/>
      </c>
      <c r="AG131" s="185" t="str">
        <f t="shared" si="62"/>
        <v/>
      </c>
      <c r="AH131" s="185" t="str">
        <f t="shared" si="62"/>
        <v/>
      </c>
      <c r="AI131" s="185" t="str">
        <f t="shared" si="62"/>
        <v/>
      </c>
      <c r="AJ131" s="243" t="str">
        <f t="shared" si="62"/>
        <v/>
      </c>
      <c r="AK131" s="243" t="str">
        <f t="shared" si="62"/>
        <v/>
      </c>
      <c r="AL131" s="243" t="str">
        <f t="shared" si="62"/>
        <v/>
      </c>
      <c r="AM131" s="243" t="str">
        <f t="shared" si="62"/>
        <v/>
      </c>
      <c r="AN131" s="243" t="str">
        <f t="shared" si="62"/>
        <v/>
      </c>
      <c r="AO131" s="243" t="str">
        <f t="shared" si="62"/>
        <v/>
      </c>
      <c r="AP131" s="243" t="str">
        <f t="shared" si="62"/>
        <v/>
      </c>
      <c r="AQ131" s="243" t="str">
        <f t="shared" si="62"/>
        <v/>
      </c>
      <c r="AR131" s="243" t="str">
        <f t="shared" si="62"/>
        <v/>
      </c>
      <c r="AS131" s="243" t="str">
        <f t="shared" si="62"/>
        <v/>
      </c>
      <c r="AT131" s="243" t="str">
        <f t="shared" si="62"/>
        <v/>
      </c>
      <c r="AU131" s="243" t="str">
        <f t="shared" si="62"/>
        <v/>
      </c>
      <c r="AV131" s="243" t="str">
        <f t="shared" si="62"/>
        <v/>
      </c>
      <c r="AW131" s="247" t="str">
        <f t="shared" si="62"/>
        <v/>
      </c>
      <c r="AX131" s="243" t="str">
        <f t="shared" si="62"/>
        <v/>
      </c>
      <c r="AY131" s="248" t="str">
        <f t="shared" si="62"/>
        <v/>
      </c>
    </row>
    <row r="132" spans="2:51" ht="12.75" customHeight="1" x14ac:dyDescent="0.2">
      <c r="B132" s="211"/>
      <c r="C132" s="211"/>
      <c r="D132" s="211"/>
      <c r="E132" s="223"/>
      <c r="F132" s="225"/>
      <c r="G132" s="225"/>
      <c r="H132" s="225"/>
      <c r="I132" s="228"/>
      <c r="J132" s="164" t="str">
        <f>IF(Boscombe!M48="","",Boscombe!M48)</f>
        <v/>
      </c>
      <c r="K132" s="165" t="str">
        <f>IF(Boscombe!N48="","",Boscombe!N48)</f>
        <v/>
      </c>
      <c r="L132" s="165" t="str">
        <f>IF(Boscombe!O48="","",Boscombe!O48)</f>
        <v/>
      </c>
      <c r="M132" s="165" t="str">
        <f>IF(Boscombe!P48="","",Boscombe!P48)</f>
        <v/>
      </c>
      <c r="N132" s="165" t="str">
        <f>IF(Boscombe!Q48="","",Boscombe!Q48)</f>
        <v/>
      </c>
      <c r="O132" s="165" t="str">
        <f>IF(Boscombe!R48="","",Boscombe!R48)</f>
        <v/>
      </c>
      <c r="P132" s="165" t="str">
        <f>IF(Boscombe!S48="","",Boscombe!S48)</f>
        <v/>
      </c>
      <c r="Q132" s="165" t="str">
        <f>IF(Boscombe!T48="","",Boscombe!T48)</f>
        <v/>
      </c>
      <c r="R132" s="165" t="str">
        <f>IF(Boscombe!U48="","",Boscombe!U48)</f>
        <v/>
      </c>
      <c r="S132" s="165" t="str">
        <f>IF(Boscombe!V48="","",Boscombe!V48)</f>
        <v/>
      </c>
      <c r="T132" s="165" t="str">
        <f>IF(Boscombe!W48="","",Boscombe!W48)</f>
        <v/>
      </c>
      <c r="U132" s="165" t="str">
        <f>IF(Boscombe!X48="","",Boscombe!X48)</f>
        <v/>
      </c>
      <c r="V132" s="165" t="str">
        <f>IF(Boscombe!Y48="","",Boscombe!Y48)</f>
        <v/>
      </c>
      <c r="W132" s="261"/>
      <c r="X132" s="225"/>
      <c r="Y132" s="228"/>
      <c r="AA132" s="239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233"/>
    </row>
    <row r="133" spans="2:51" ht="12.75" customHeight="1" x14ac:dyDescent="0.2">
      <c r="B133" s="265" t="s">
        <v>27</v>
      </c>
      <c r="C133" s="264" t="str">
        <f>IF(Bournemouth!E7="","",Bournemouth!E7)</f>
        <v>Dean Morris</v>
      </c>
      <c r="D133" s="260" t="str">
        <f>LEFT($B$133,3)</f>
        <v>Bou</v>
      </c>
      <c r="E133" s="256">
        <f>IF(Bournemouth!G7="","",Bournemouth!G7)</f>
        <v>11</v>
      </c>
      <c r="F133" s="257">
        <f>IF(Bournemouth!H7=0,"",Bournemouth!H7)</f>
        <v>3</v>
      </c>
      <c r="G133" s="253">
        <f>IF(Bournemouth!I7=0,"",Bournemouth!I7)</f>
        <v>8</v>
      </c>
      <c r="H133" s="253">
        <f>IF(Bournemouth!J7=0,"",Bournemouth!J7)</f>
        <v>25</v>
      </c>
      <c r="I133" s="258">
        <f>IF(Bournemouth!K7=0,"",Bournemouth!K7)</f>
        <v>35</v>
      </c>
      <c r="J133" s="161">
        <f>IF(Bournemouth!M7="","",Bournemouth!M7)</f>
        <v>17.87</v>
      </c>
      <c r="K133" s="162" t="str">
        <f>IF(Bournemouth!N7="","",Bournemouth!N7)</f>
        <v/>
      </c>
      <c r="L133" s="162">
        <f>IF(Bournemouth!O7="","",Bournemouth!O7)</f>
        <v>20.3</v>
      </c>
      <c r="M133" s="162">
        <f>IF(Bournemouth!P7="","",Bournemouth!P7)</f>
        <v>17.39</v>
      </c>
      <c r="N133" s="162">
        <f>IF(Bournemouth!Q7="","",Bournemouth!Q7)</f>
        <v>21.68</v>
      </c>
      <c r="O133" s="162">
        <f>IF(Bournemouth!R7="","",Bournemouth!R7)</f>
        <v>22.18</v>
      </c>
      <c r="P133" s="162">
        <f>IF(Bournemouth!S7="","",Bournemouth!S7)</f>
        <v>19.64</v>
      </c>
      <c r="Q133" s="162">
        <f>IF(Bournemouth!T7="","",Bournemouth!T7)</f>
        <v>21.16</v>
      </c>
      <c r="R133" s="162">
        <f>IF(Bournemouth!U7="","",Bournemouth!U7)</f>
        <v>18.690000000000001</v>
      </c>
      <c r="S133" s="162">
        <f>IF(Bournemouth!V7="","",Bournemouth!V7)</f>
        <v>18.13</v>
      </c>
      <c r="T133" s="162">
        <f>IF(Bournemouth!W7="","",Bournemouth!W7)</f>
        <v>18.920000000000002</v>
      </c>
      <c r="U133" s="162">
        <f>IF(Bournemouth!X7="","",Bournemouth!X7)</f>
        <v>18.829999999999998</v>
      </c>
      <c r="V133" s="162" t="str">
        <f>IF(Bournemouth!Y7="","",Bournemouth!Y7)</f>
        <v/>
      </c>
      <c r="W133" s="262">
        <f>IF(Bournemouth!AA7=0,"",Bournemouth!AA7)</f>
        <v>3</v>
      </c>
      <c r="X133" s="254">
        <f>IF(Bournemouth!AB7=0,"",Bournemouth!AB7)</f>
        <v>19.526363636363637</v>
      </c>
      <c r="Y133" s="255">
        <f>IF(Bournemouth!AC7=0,"",Bournemouth!AC7)</f>
        <v>22.526363636363637</v>
      </c>
      <c r="AA133" s="246">
        <f>Y133</f>
        <v>22.526363636363637</v>
      </c>
      <c r="AB133" s="243">
        <f>X133</f>
        <v>19.526363636363637</v>
      </c>
      <c r="AC133" s="185" t="str">
        <f>C133</f>
        <v>Dean Morris</v>
      </c>
      <c r="AD133" s="185" t="str">
        <f>LEFT($B$133,3)</f>
        <v>Bou</v>
      </c>
      <c r="AE133" s="185">
        <f t="shared" ref="AE133:AY133" si="63">E133</f>
        <v>11</v>
      </c>
      <c r="AF133" s="185">
        <f t="shared" si="63"/>
        <v>3</v>
      </c>
      <c r="AG133" s="247">
        <f t="shared" si="63"/>
        <v>8</v>
      </c>
      <c r="AH133" s="247">
        <f t="shared" si="63"/>
        <v>25</v>
      </c>
      <c r="AI133" s="247">
        <f t="shared" si="63"/>
        <v>35</v>
      </c>
      <c r="AJ133" s="243">
        <f t="shared" si="63"/>
        <v>17.87</v>
      </c>
      <c r="AK133" s="243" t="str">
        <f t="shared" si="63"/>
        <v/>
      </c>
      <c r="AL133" s="243">
        <f t="shared" si="63"/>
        <v>20.3</v>
      </c>
      <c r="AM133" s="243">
        <f t="shared" si="63"/>
        <v>17.39</v>
      </c>
      <c r="AN133" s="243">
        <f t="shared" si="63"/>
        <v>21.68</v>
      </c>
      <c r="AO133" s="243">
        <f t="shared" si="63"/>
        <v>22.18</v>
      </c>
      <c r="AP133" s="243">
        <f t="shared" si="63"/>
        <v>19.64</v>
      </c>
      <c r="AQ133" s="243">
        <f t="shared" si="63"/>
        <v>21.16</v>
      </c>
      <c r="AR133" s="243">
        <f t="shared" si="63"/>
        <v>18.690000000000001</v>
      </c>
      <c r="AS133" s="243">
        <f t="shared" si="63"/>
        <v>18.13</v>
      </c>
      <c r="AT133" s="243">
        <f t="shared" si="63"/>
        <v>18.920000000000002</v>
      </c>
      <c r="AU133" s="243">
        <f t="shared" si="63"/>
        <v>18.829999999999998</v>
      </c>
      <c r="AV133" s="243" t="str">
        <f t="shared" si="63"/>
        <v/>
      </c>
      <c r="AW133" s="247">
        <f t="shared" si="63"/>
        <v>3</v>
      </c>
      <c r="AX133" s="243">
        <f t="shared" si="63"/>
        <v>19.526363636363637</v>
      </c>
      <c r="AY133" s="248">
        <f t="shared" si="63"/>
        <v>22.526363636363637</v>
      </c>
    </row>
    <row r="134" spans="2:51" ht="12" customHeight="1" x14ac:dyDescent="0.2">
      <c r="B134" s="266"/>
      <c r="C134" s="235"/>
      <c r="D134" s="235"/>
      <c r="E134" s="239"/>
      <c r="F134" s="182"/>
      <c r="G134" s="182"/>
      <c r="H134" s="182"/>
      <c r="I134" s="233"/>
      <c r="J134" s="163" t="str">
        <f>IF(Bournemouth!M8="","",Bournemouth!M8)</f>
        <v>0*4</v>
      </c>
      <c r="K134" s="41" t="str">
        <f>IF(Bournemouth!N8="","",Bournemouth!N8)</f>
        <v/>
      </c>
      <c r="L134" s="41" t="str">
        <f>IF(Bournemouth!O8="","",Bournemouth!O8)</f>
        <v>1*4(2)</v>
      </c>
      <c r="M134" s="41" t="str">
        <f>IF(Bournemouth!P8="","",Bournemouth!P8)</f>
        <v>4*2</v>
      </c>
      <c r="N134" s="41" t="str">
        <f>IF(Bournemouth!Q8="","",Bournemouth!Q8)</f>
        <v>3*4</v>
      </c>
      <c r="O134" s="41" t="str">
        <f>IF(Bournemouth!R8="","",Bournemouth!R8)</f>
        <v>4*1</v>
      </c>
      <c r="P134" s="41" t="str">
        <f>IF(Bournemouth!S8="","",Bournemouth!S8)</f>
        <v>4*0</v>
      </c>
      <c r="Q134" s="41" t="str">
        <f>IF(Bournemouth!T8="","",Bournemouth!T8)</f>
        <v>3*4</v>
      </c>
      <c r="R134" s="41" t="str">
        <f>IF(Bournemouth!U8="","",Bournemouth!U8)</f>
        <v>0*4</v>
      </c>
      <c r="S134" s="41" t="str">
        <f>IF(Bournemouth!V8="","",Bournemouth!V8)</f>
        <v>3*4(1)</v>
      </c>
      <c r="T134" s="41" t="str">
        <f>IF(Bournemouth!W8="","",Bournemouth!W8)</f>
        <v>0*4</v>
      </c>
      <c r="U134" s="41" t="str">
        <f>IF(Bournemouth!X8="","",Bournemouth!X8)</f>
        <v>3*4</v>
      </c>
      <c r="V134" s="41" t="str">
        <f>IF(Bournemouth!Y8="","",Bournemouth!Y8)</f>
        <v/>
      </c>
      <c r="W134" s="201"/>
      <c r="X134" s="182"/>
      <c r="Y134" s="233"/>
      <c r="AA134" s="239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233"/>
    </row>
    <row r="135" spans="2:51" ht="12" customHeight="1" x14ac:dyDescent="0.2">
      <c r="B135" s="266"/>
      <c r="C135" s="263" t="str">
        <f>IF(Bournemouth!E9="","",Bournemouth!E9)</f>
        <v>Paul Carter</v>
      </c>
      <c r="D135" s="259" t="str">
        <f>LEFT($B$133,3)</f>
        <v>Bou</v>
      </c>
      <c r="E135" s="251">
        <f>IF(Bournemouth!G9="","",Bournemouth!G9)</f>
        <v>13</v>
      </c>
      <c r="F135" s="181">
        <f>IF(Bournemouth!H9=0,"",Bournemouth!H9)</f>
        <v>11</v>
      </c>
      <c r="G135" s="186">
        <f>IF(Bournemouth!I9=0,"",Bournemouth!I9)</f>
        <v>2</v>
      </c>
      <c r="H135" s="186">
        <f>IF(Bournemouth!J9=0,"",Bournemouth!J9)</f>
        <v>47</v>
      </c>
      <c r="I135" s="252">
        <f>IF(Bournemouth!K9=0,"",Bournemouth!K9)</f>
        <v>19</v>
      </c>
      <c r="J135" s="163">
        <f>IF(Bournemouth!M9="","",Bournemouth!M9)</f>
        <v>26.72</v>
      </c>
      <c r="K135" s="41">
        <f>IF(Bournemouth!N9="","",Bournemouth!N9)</f>
        <v>23.63</v>
      </c>
      <c r="L135" s="41">
        <f>IF(Bournemouth!O9="","",Bournemouth!O9)</f>
        <v>27.13</v>
      </c>
      <c r="M135" s="41">
        <f>IF(Bournemouth!P9="","",Bournemouth!P9)</f>
        <v>23.89</v>
      </c>
      <c r="N135" s="41">
        <f>IF(Bournemouth!Q9="","",Bournemouth!Q9)</f>
        <v>25.1</v>
      </c>
      <c r="O135" s="41">
        <f>IF(Bournemouth!R9="","",Bournemouth!R9)</f>
        <v>27.08</v>
      </c>
      <c r="P135" s="41">
        <f>IF(Bournemouth!S9="","",Bournemouth!S9)</f>
        <v>28.23</v>
      </c>
      <c r="Q135" s="41">
        <f>IF(Bournemouth!T9="","",Bournemouth!T9)</f>
        <v>22.97</v>
      </c>
      <c r="R135" s="41">
        <f>IF(Bournemouth!U9="","",Bournemouth!U9)</f>
        <v>23.18</v>
      </c>
      <c r="S135" s="41">
        <f>IF(Bournemouth!V9="","",Bournemouth!V9)</f>
        <v>24.04</v>
      </c>
      <c r="T135" s="41">
        <f>IF(Bournemouth!W9="","",Bournemouth!W9)</f>
        <v>26.07</v>
      </c>
      <c r="U135" s="41">
        <f>IF(Bournemouth!X9="","",Bournemouth!X9)</f>
        <v>24.49</v>
      </c>
      <c r="V135" s="41">
        <f>IF(Bournemouth!Y9="","",Bournemouth!Y9)</f>
        <v>23.86</v>
      </c>
      <c r="W135" s="249">
        <f>IF(Bournemouth!AA9=0,"",Bournemouth!AA9)</f>
        <v>5</v>
      </c>
      <c r="X135" s="244">
        <f>IF(Bournemouth!AB9=0,"",Bournemouth!AB9)</f>
        <v>25.106923076923081</v>
      </c>
      <c r="Y135" s="245">
        <f>IF(Bournemouth!AC9=0,"",Bournemouth!AC9)</f>
        <v>36.106923076923081</v>
      </c>
      <c r="AA135" s="246">
        <f>Y135</f>
        <v>36.106923076923081</v>
      </c>
      <c r="AB135" s="243">
        <f>X135</f>
        <v>25.106923076923081</v>
      </c>
      <c r="AC135" s="185" t="str">
        <f>C135</f>
        <v>Paul Carter</v>
      </c>
      <c r="AD135" s="185" t="str">
        <f>LEFT($B$133,3)</f>
        <v>Bou</v>
      </c>
      <c r="AE135" s="185">
        <f t="shared" ref="AE135:AY135" si="64">E135</f>
        <v>13</v>
      </c>
      <c r="AF135" s="185">
        <f t="shared" si="64"/>
        <v>11</v>
      </c>
      <c r="AG135" s="247">
        <f t="shared" si="64"/>
        <v>2</v>
      </c>
      <c r="AH135" s="247">
        <f t="shared" si="64"/>
        <v>47</v>
      </c>
      <c r="AI135" s="247">
        <f t="shared" si="64"/>
        <v>19</v>
      </c>
      <c r="AJ135" s="243">
        <f t="shared" si="64"/>
        <v>26.72</v>
      </c>
      <c r="AK135" s="243">
        <f t="shared" si="64"/>
        <v>23.63</v>
      </c>
      <c r="AL135" s="243">
        <f t="shared" si="64"/>
        <v>27.13</v>
      </c>
      <c r="AM135" s="243">
        <f t="shared" si="64"/>
        <v>23.89</v>
      </c>
      <c r="AN135" s="243">
        <f t="shared" si="64"/>
        <v>25.1</v>
      </c>
      <c r="AO135" s="243">
        <f t="shared" si="64"/>
        <v>27.08</v>
      </c>
      <c r="AP135" s="243">
        <f t="shared" si="64"/>
        <v>28.23</v>
      </c>
      <c r="AQ135" s="243">
        <f t="shared" si="64"/>
        <v>22.97</v>
      </c>
      <c r="AR135" s="243">
        <f t="shared" si="64"/>
        <v>23.18</v>
      </c>
      <c r="AS135" s="243">
        <f t="shared" si="64"/>
        <v>24.04</v>
      </c>
      <c r="AT135" s="243">
        <f t="shared" si="64"/>
        <v>26.07</v>
      </c>
      <c r="AU135" s="243">
        <f t="shared" si="64"/>
        <v>24.49</v>
      </c>
      <c r="AV135" s="243">
        <f t="shared" si="64"/>
        <v>23.86</v>
      </c>
      <c r="AW135" s="247">
        <f t="shared" si="64"/>
        <v>5</v>
      </c>
      <c r="AX135" s="243">
        <f t="shared" si="64"/>
        <v>25.106923076923081</v>
      </c>
      <c r="AY135" s="248">
        <f t="shared" si="64"/>
        <v>36.106923076923081</v>
      </c>
    </row>
    <row r="136" spans="2:51" ht="12" customHeight="1" x14ac:dyDescent="0.2">
      <c r="B136" s="266"/>
      <c r="C136" s="235"/>
      <c r="D136" s="235"/>
      <c r="E136" s="239"/>
      <c r="F136" s="182"/>
      <c r="G136" s="182"/>
      <c r="H136" s="182"/>
      <c r="I136" s="233"/>
      <c r="J136" s="163" t="str">
        <f>IF(Bournemouth!M10="","",Bournemouth!M10)</f>
        <v>4*0(2)</v>
      </c>
      <c r="K136" s="41" t="str">
        <f>IF(Bournemouth!N10="","",Bournemouth!N10)</f>
        <v>4*2</v>
      </c>
      <c r="L136" s="41" t="str">
        <f>IF(Bournemouth!O10="","",Bournemouth!O10)</f>
        <v>2*4</v>
      </c>
      <c r="M136" s="41" t="str">
        <f>IF(Bournemouth!P10="","",Bournemouth!P10)</f>
        <v>4*2</v>
      </c>
      <c r="N136" s="41" t="str">
        <f>IF(Bournemouth!Q10="","",Bournemouth!Q10)</f>
        <v>4*1</v>
      </c>
      <c r="O136" s="41" t="str">
        <f>IF(Bournemouth!R10="","",Bournemouth!R10)</f>
        <v>4*0(1)</v>
      </c>
      <c r="P136" s="41" t="str">
        <f>IF(Bournemouth!S10="","",Bournemouth!S10)</f>
        <v>4*0</v>
      </c>
      <c r="Q136" s="41" t="str">
        <f>IF(Bournemouth!T10="","",Bournemouth!T10)</f>
        <v>4*1(2)</v>
      </c>
      <c r="R136" s="41" t="str">
        <f>IF(Bournemouth!U10="","",Bournemouth!U10)</f>
        <v>4*1</v>
      </c>
      <c r="S136" s="41" t="str">
        <f>IF(Bournemouth!V10="","",Bournemouth!V10)</f>
        <v>4*1</v>
      </c>
      <c r="T136" s="41" t="str">
        <f>IF(Bournemouth!W10="","",Bournemouth!W10)</f>
        <v>1*4</v>
      </c>
      <c r="U136" s="41" t="str">
        <f>IF(Bournemouth!X10="","",Bournemouth!X10)</f>
        <v>4*3</v>
      </c>
      <c r="V136" s="41" t="str">
        <f>IF(Bournemouth!Y10="","",Bournemouth!Y10)</f>
        <v>4*0</v>
      </c>
      <c r="W136" s="201"/>
      <c r="X136" s="182"/>
      <c r="Y136" s="233"/>
      <c r="AA136" s="239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233"/>
    </row>
    <row r="137" spans="2:51" ht="12" customHeight="1" x14ac:dyDescent="0.2">
      <c r="B137" s="266"/>
      <c r="C137" s="263" t="str">
        <f>IF(Bournemouth!E11="","",Bournemouth!E11)</f>
        <v>David Cronin</v>
      </c>
      <c r="D137" s="259" t="str">
        <f>LEFT($B$133,3)</f>
        <v>Bou</v>
      </c>
      <c r="E137" s="251">
        <f>IF(Bournemouth!G11="","",Bournemouth!G11)</f>
        <v>9</v>
      </c>
      <c r="F137" s="181">
        <f>IF(Bournemouth!H11=0,"",Bournemouth!H11)</f>
        <v>4</v>
      </c>
      <c r="G137" s="186">
        <f>IF(Bournemouth!I11=0,"",Bournemouth!I11)</f>
        <v>5</v>
      </c>
      <c r="H137" s="186">
        <f>IF(Bournemouth!J11=0,"",Bournemouth!J11)</f>
        <v>24</v>
      </c>
      <c r="I137" s="252">
        <f>IF(Bournemouth!K11=0,"",Bournemouth!K11)</f>
        <v>25</v>
      </c>
      <c r="J137" s="163">
        <f>IF(Bournemouth!M11="","",Bournemouth!M11)</f>
        <v>18.73</v>
      </c>
      <c r="K137" s="41">
        <f>IF(Bournemouth!N11="","",Bournemouth!N11)</f>
        <v>21.68</v>
      </c>
      <c r="L137" s="41" t="str">
        <f>IF(Bournemouth!O11="","",Bournemouth!O11)</f>
        <v/>
      </c>
      <c r="M137" s="41">
        <f>IF(Bournemouth!P11="","",Bournemouth!P11)</f>
        <v>20.03</v>
      </c>
      <c r="N137" s="41">
        <f>IF(Bournemouth!Q11="","",Bournemouth!Q11)</f>
        <v>19.149999999999999</v>
      </c>
      <c r="O137" s="41" t="str">
        <f>IF(Bournemouth!R11="","",Bournemouth!R11)</f>
        <v/>
      </c>
      <c r="P137" s="41" t="str">
        <f>IF(Bournemouth!S11="","",Bournemouth!S11)</f>
        <v/>
      </c>
      <c r="Q137" s="41">
        <f>IF(Bournemouth!T11="","",Bournemouth!T11)</f>
        <v>21.4</v>
      </c>
      <c r="R137" s="41" t="str">
        <f>IF(Bournemouth!U11="","",Bournemouth!U11)</f>
        <v/>
      </c>
      <c r="S137" s="41">
        <f>IF(Bournemouth!V11="","",Bournemouth!V11)</f>
        <v>19.28</v>
      </c>
      <c r="T137" s="41">
        <f>IF(Bournemouth!W11="","",Bournemouth!W11)</f>
        <v>21.76</v>
      </c>
      <c r="U137" s="41">
        <f>IF(Bournemouth!X11="","",Bournemouth!X11)</f>
        <v>21.54</v>
      </c>
      <c r="V137" s="41">
        <f>IF(Bournemouth!Y11="","",Bournemouth!Y11)</f>
        <v>23.37</v>
      </c>
      <c r="W137" s="249" t="str">
        <f>IF(Bournemouth!AA11=0,"",Bournemouth!AA11)</f>
        <v/>
      </c>
      <c r="X137" s="244">
        <f>IF(Bournemouth!AB11=0,"",Bournemouth!AB11)</f>
        <v>20.771111111111111</v>
      </c>
      <c r="Y137" s="245">
        <f>IF(Bournemouth!AC11=0,"",Bournemouth!AC11)</f>
        <v>24.771111111111111</v>
      </c>
      <c r="AA137" s="246">
        <f>Y137</f>
        <v>24.771111111111111</v>
      </c>
      <c r="AB137" s="243">
        <f>X137</f>
        <v>20.771111111111111</v>
      </c>
      <c r="AC137" s="185" t="str">
        <f>C137</f>
        <v>David Cronin</v>
      </c>
      <c r="AD137" s="185" t="str">
        <f>LEFT($B$133,3)</f>
        <v>Bou</v>
      </c>
      <c r="AE137" s="185">
        <f t="shared" ref="AE137:AY137" si="65">E137</f>
        <v>9</v>
      </c>
      <c r="AF137" s="185">
        <f t="shared" si="65"/>
        <v>4</v>
      </c>
      <c r="AG137" s="247">
        <f t="shared" si="65"/>
        <v>5</v>
      </c>
      <c r="AH137" s="247">
        <f t="shared" si="65"/>
        <v>24</v>
      </c>
      <c r="AI137" s="247">
        <f t="shared" si="65"/>
        <v>25</v>
      </c>
      <c r="AJ137" s="243">
        <f t="shared" si="65"/>
        <v>18.73</v>
      </c>
      <c r="AK137" s="243">
        <f t="shared" si="65"/>
        <v>21.68</v>
      </c>
      <c r="AL137" s="243" t="str">
        <f t="shared" si="65"/>
        <v/>
      </c>
      <c r="AM137" s="243">
        <f t="shared" si="65"/>
        <v>20.03</v>
      </c>
      <c r="AN137" s="243">
        <f t="shared" si="65"/>
        <v>19.149999999999999</v>
      </c>
      <c r="AO137" s="243" t="str">
        <f t="shared" si="65"/>
        <v/>
      </c>
      <c r="AP137" s="243" t="str">
        <f t="shared" si="65"/>
        <v/>
      </c>
      <c r="AQ137" s="243">
        <f t="shared" si="65"/>
        <v>21.4</v>
      </c>
      <c r="AR137" s="243" t="str">
        <f t="shared" si="65"/>
        <v/>
      </c>
      <c r="AS137" s="243">
        <f t="shared" si="65"/>
        <v>19.28</v>
      </c>
      <c r="AT137" s="243">
        <f t="shared" si="65"/>
        <v>21.76</v>
      </c>
      <c r="AU137" s="243">
        <f t="shared" si="65"/>
        <v>21.54</v>
      </c>
      <c r="AV137" s="243">
        <f t="shared" si="65"/>
        <v>23.37</v>
      </c>
      <c r="AW137" s="247" t="str">
        <f t="shared" si="65"/>
        <v/>
      </c>
      <c r="AX137" s="243">
        <f t="shared" si="65"/>
        <v>20.771111111111111</v>
      </c>
      <c r="AY137" s="248">
        <f t="shared" si="65"/>
        <v>24.771111111111111</v>
      </c>
    </row>
    <row r="138" spans="2:51" ht="12" customHeight="1" x14ac:dyDescent="0.2">
      <c r="B138" s="266"/>
      <c r="C138" s="235"/>
      <c r="D138" s="235"/>
      <c r="E138" s="239"/>
      <c r="F138" s="182"/>
      <c r="G138" s="182"/>
      <c r="H138" s="182"/>
      <c r="I138" s="233"/>
      <c r="J138" s="163" t="str">
        <f>IF(Bournemouth!M12="","",Bournemouth!M12)</f>
        <v>4*0</v>
      </c>
      <c r="K138" s="41" t="str">
        <f>IF(Bournemouth!N12="","",Bournemouth!N12)</f>
        <v>4*2</v>
      </c>
      <c r="L138" s="41" t="str">
        <f>IF(Bournemouth!O12="","",Bournemouth!O12)</f>
        <v/>
      </c>
      <c r="M138" s="41" t="str">
        <f>IF(Bournemouth!P12="","",Bournemouth!P12)</f>
        <v>2*4</v>
      </c>
      <c r="N138" s="41" t="str">
        <f>IF(Bournemouth!Q12="","",Bournemouth!Q12)</f>
        <v>2*4</v>
      </c>
      <c r="O138" s="41" t="str">
        <f>IF(Bournemouth!R12="","",Bournemouth!R12)</f>
        <v/>
      </c>
      <c r="P138" s="41" t="str">
        <f>IF(Bournemouth!S12="","",Bournemouth!S12)</f>
        <v/>
      </c>
      <c r="Q138" s="41" t="str">
        <f>IF(Bournemouth!T12="","",Bournemouth!T12)</f>
        <v>0*4</v>
      </c>
      <c r="R138" s="41" t="str">
        <f>IF(Bournemouth!U12="","",Bournemouth!U12)</f>
        <v/>
      </c>
      <c r="S138" s="41" t="str">
        <f>IF(Bournemouth!V12="","",Bournemouth!V12)</f>
        <v>3*4</v>
      </c>
      <c r="T138" s="41" t="str">
        <f>IF(Bournemouth!W12="","",Bournemouth!W12)</f>
        <v>4*2</v>
      </c>
      <c r="U138" s="41" t="str">
        <f>IF(Bournemouth!X12="","",Bournemouth!X12)</f>
        <v>1*4</v>
      </c>
      <c r="V138" s="41" t="str">
        <f>IF(Bournemouth!Y12="","",Bournemouth!Y12)</f>
        <v>4*1</v>
      </c>
      <c r="W138" s="201"/>
      <c r="X138" s="182"/>
      <c r="Y138" s="233"/>
      <c r="AA138" s="239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233"/>
    </row>
    <row r="139" spans="2:51" ht="12" customHeight="1" x14ac:dyDescent="0.2">
      <c r="B139" s="266"/>
      <c r="C139" s="263" t="str">
        <f>IF(Bournemouth!E13="","",Bournemouth!E13)</f>
        <v>Luke Dawe</v>
      </c>
      <c r="D139" s="259" t="str">
        <f>LEFT($B$133,3)</f>
        <v>Bou</v>
      </c>
      <c r="E139" s="251" t="str">
        <f>IF(Bournemouth!G13="","",Bournemouth!G13)</f>
        <v/>
      </c>
      <c r="F139" s="181" t="str">
        <f>IF(Bournemouth!H13=0,"",Bournemouth!H13)</f>
        <v/>
      </c>
      <c r="G139" s="181" t="str">
        <f>IF(Bournemouth!I13=0,"",Bournemouth!I13)</f>
        <v/>
      </c>
      <c r="H139" s="181" t="str">
        <f>IF(Bournemouth!J13=0,"",Bournemouth!J13)</f>
        <v/>
      </c>
      <c r="I139" s="250" t="str">
        <f>IF(Bournemouth!K13=0,"",Bournemouth!K13)</f>
        <v/>
      </c>
      <c r="J139" s="163" t="str">
        <f>IF(Bournemouth!M13="","",Bournemouth!M13)</f>
        <v/>
      </c>
      <c r="K139" s="41" t="str">
        <f>IF(Bournemouth!N13="","",Bournemouth!N13)</f>
        <v/>
      </c>
      <c r="L139" s="41" t="str">
        <f>IF(Bournemouth!O13="","",Bournemouth!O13)</f>
        <v/>
      </c>
      <c r="M139" s="41" t="str">
        <f>IF(Bournemouth!P13="","",Bournemouth!P13)</f>
        <v/>
      </c>
      <c r="N139" s="41" t="str">
        <f>IF(Bournemouth!Q13="","",Bournemouth!Q13)</f>
        <v/>
      </c>
      <c r="O139" s="41" t="str">
        <f>IF(Bournemouth!R13="","",Bournemouth!R13)</f>
        <v/>
      </c>
      <c r="P139" s="41" t="str">
        <f>IF(Bournemouth!S13="","",Bournemouth!S13)</f>
        <v/>
      </c>
      <c r="Q139" s="41" t="str">
        <f>IF(Bournemouth!T13="","",Bournemouth!T13)</f>
        <v/>
      </c>
      <c r="R139" s="41" t="str">
        <f>IF(Bournemouth!U13="","",Bournemouth!U13)</f>
        <v/>
      </c>
      <c r="S139" s="41" t="str">
        <f>IF(Bournemouth!V13="","",Bournemouth!V13)</f>
        <v/>
      </c>
      <c r="T139" s="41" t="str">
        <f>IF(Bournemouth!W13="","",Bournemouth!W13)</f>
        <v/>
      </c>
      <c r="U139" s="41" t="str">
        <f>IF(Bournemouth!X13="","",Bournemouth!X13)</f>
        <v/>
      </c>
      <c r="V139" s="41" t="str">
        <f>IF(Bournemouth!Y13="","",Bournemouth!Y13)</f>
        <v/>
      </c>
      <c r="W139" s="249" t="str">
        <f>IF(Bournemouth!AA13=0,"",Bournemouth!AA13)</f>
        <v/>
      </c>
      <c r="X139" s="244" t="str">
        <f>IF(Bournemouth!AB13=0,"",Bournemouth!AB13)</f>
        <v/>
      </c>
      <c r="Y139" s="245" t="str">
        <f>IF(Bournemouth!AC13=0,"",Bournemouth!AC13)</f>
        <v/>
      </c>
      <c r="AA139" s="246" t="str">
        <f>Y139</f>
        <v/>
      </c>
      <c r="AB139" s="243" t="str">
        <f>X139</f>
        <v/>
      </c>
      <c r="AC139" s="185" t="str">
        <f>C139</f>
        <v>Luke Dawe</v>
      </c>
      <c r="AD139" s="185" t="str">
        <f>LEFT($B$133,3)</f>
        <v>Bou</v>
      </c>
      <c r="AE139" s="185" t="str">
        <f t="shared" ref="AE139:AY139" si="66">E139</f>
        <v/>
      </c>
      <c r="AF139" s="185" t="str">
        <f t="shared" si="66"/>
        <v/>
      </c>
      <c r="AG139" s="185" t="str">
        <f t="shared" si="66"/>
        <v/>
      </c>
      <c r="AH139" s="185" t="str">
        <f t="shared" si="66"/>
        <v/>
      </c>
      <c r="AI139" s="185" t="str">
        <f t="shared" si="66"/>
        <v/>
      </c>
      <c r="AJ139" s="243" t="str">
        <f t="shared" si="66"/>
        <v/>
      </c>
      <c r="AK139" s="243" t="str">
        <f t="shared" si="66"/>
        <v/>
      </c>
      <c r="AL139" s="243" t="str">
        <f t="shared" si="66"/>
        <v/>
      </c>
      <c r="AM139" s="243" t="str">
        <f t="shared" si="66"/>
        <v/>
      </c>
      <c r="AN139" s="243" t="str">
        <f t="shared" si="66"/>
        <v/>
      </c>
      <c r="AO139" s="243" t="str">
        <f t="shared" si="66"/>
        <v/>
      </c>
      <c r="AP139" s="243" t="str">
        <f t="shared" si="66"/>
        <v/>
      </c>
      <c r="AQ139" s="243" t="str">
        <f t="shared" si="66"/>
        <v/>
      </c>
      <c r="AR139" s="243" t="str">
        <f t="shared" si="66"/>
        <v/>
      </c>
      <c r="AS139" s="243" t="str">
        <f t="shared" si="66"/>
        <v/>
      </c>
      <c r="AT139" s="243" t="str">
        <f t="shared" si="66"/>
        <v/>
      </c>
      <c r="AU139" s="243" t="str">
        <f t="shared" si="66"/>
        <v/>
      </c>
      <c r="AV139" s="243" t="str">
        <f t="shared" si="66"/>
        <v/>
      </c>
      <c r="AW139" s="247" t="str">
        <f t="shared" si="66"/>
        <v/>
      </c>
      <c r="AX139" s="243" t="str">
        <f t="shared" si="66"/>
        <v/>
      </c>
      <c r="AY139" s="248" t="str">
        <f t="shared" si="66"/>
        <v/>
      </c>
    </row>
    <row r="140" spans="2:51" ht="12" customHeight="1" x14ac:dyDescent="0.2">
      <c r="B140" s="266"/>
      <c r="C140" s="235"/>
      <c r="D140" s="235"/>
      <c r="E140" s="239"/>
      <c r="F140" s="182"/>
      <c r="G140" s="182"/>
      <c r="H140" s="182"/>
      <c r="I140" s="233"/>
      <c r="J140" s="163" t="str">
        <f>IF(Bournemouth!M14="","",Bournemouth!M14)</f>
        <v/>
      </c>
      <c r="K140" s="41" t="str">
        <f>IF(Bournemouth!N14="","",Bournemouth!N14)</f>
        <v/>
      </c>
      <c r="L140" s="41" t="str">
        <f>IF(Bournemouth!O14="","",Bournemouth!O14)</f>
        <v/>
      </c>
      <c r="M140" s="41" t="str">
        <f>IF(Bournemouth!P14="","",Bournemouth!P14)</f>
        <v/>
      </c>
      <c r="N140" s="41" t="str">
        <f>IF(Bournemouth!Q14="","",Bournemouth!Q14)</f>
        <v/>
      </c>
      <c r="O140" s="41" t="str">
        <f>IF(Bournemouth!R14="","",Bournemouth!R14)</f>
        <v/>
      </c>
      <c r="P140" s="41" t="str">
        <f>IF(Bournemouth!S14="","",Bournemouth!S14)</f>
        <v/>
      </c>
      <c r="Q140" s="41" t="str">
        <f>IF(Bournemouth!T14="","",Bournemouth!T14)</f>
        <v/>
      </c>
      <c r="R140" s="41" t="str">
        <f>IF(Bournemouth!U14="","",Bournemouth!U14)</f>
        <v/>
      </c>
      <c r="S140" s="41" t="str">
        <f>IF(Bournemouth!V14="","",Bournemouth!V14)</f>
        <v/>
      </c>
      <c r="T140" s="41" t="str">
        <f>IF(Bournemouth!W14="","",Bournemouth!W14)</f>
        <v/>
      </c>
      <c r="U140" s="41" t="str">
        <f>IF(Bournemouth!X14="","",Bournemouth!X14)</f>
        <v/>
      </c>
      <c r="V140" s="41" t="str">
        <f>IF(Bournemouth!Y14="","",Bournemouth!Y14)</f>
        <v/>
      </c>
      <c r="W140" s="201"/>
      <c r="X140" s="182"/>
      <c r="Y140" s="233"/>
      <c r="AA140" s="239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233"/>
    </row>
    <row r="141" spans="2:51" ht="12" customHeight="1" x14ac:dyDescent="0.2">
      <c r="B141" s="266"/>
      <c r="C141" s="263" t="str">
        <f>IF(Bournemouth!E15="","",Bournemouth!E15)</f>
        <v>Wayne Mabey</v>
      </c>
      <c r="D141" s="259" t="str">
        <f>LEFT($B$133,3)</f>
        <v>Bou</v>
      </c>
      <c r="E141" s="251">
        <f>IF(Bournemouth!G15="","",Bournemouth!G15)</f>
        <v>12</v>
      </c>
      <c r="F141" s="181">
        <f>IF(Bournemouth!H15=0,"",Bournemouth!H15)</f>
        <v>6</v>
      </c>
      <c r="G141" s="186">
        <f>IF(Bournemouth!I15=0,"",Bournemouth!I15)</f>
        <v>6</v>
      </c>
      <c r="H141" s="186">
        <f>IF(Bournemouth!J15=0,"",Bournemouth!J15)</f>
        <v>29</v>
      </c>
      <c r="I141" s="252">
        <f>IF(Bournemouth!K15=0,"",Bournemouth!K15)</f>
        <v>35</v>
      </c>
      <c r="J141" s="163">
        <f>IF(Bournemouth!M15="","",Bournemouth!M15)</f>
        <v>16.98</v>
      </c>
      <c r="K141" s="41">
        <f>IF(Bournemouth!N15="","",Bournemouth!N15)</f>
        <v>19.27</v>
      </c>
      <c r="L141" s="41">
        <f>IF(Bournemouth!O15="","",Bournemouth!O15)</f>
        <v>22.18</v>
      </c>
      <c r="M141" s="41">
        <f>IF(Bournemouth!P15="","",Bournemouth!P15)</f>
        <v>20.11</v>
      </c>
      <c r="N141" s="41">
        <f>IF(Bournemouth!Q15="","",Bournemouth!Q15)</f>
        <v>18.329999999999998</v>
      </c>
      <c r="O141" s="41">
        <f>IF(Bournemouth!R15="","",Bournemouth!R15)</f>
        <v>21.32</v>
      </c>
      <c r="P141" s="41">
        <f>IF(Bournemouth!S15="","",Bournemouth!S15)</f>
        <v>18.73</v>
      </c>
      <c r="Q141" s="41" t="str">
        <f>IF(Bournemouth!T15="","",Bournemouth!T15)</f>
        <v/>
      </c>
      <c r="R141" s="41">
        <f>IF(Bournemouth!U15="","",Bournemouth!U15)</f>
        <v>19.84</v>
      </c>
      <c r="S141" s="41">
        <f>IF(Bournemouth!V15="","",Bournemouth!V15)</f>
        <v>17.899999999999999</v>
      </c>
      <c r="T141" s="41">
        <f>IF(Bournemouth!W15="","",Bournemouth!W15)</f>
        <v>22.14</v>
      </c>
      <c r="U141" s="41">
        <f>IF(Bournemouth!X15="","",Bournemouth!X15)</f>
        <v>20.04</v>
      </c>
      <c r="V141" s="41">
        <f>IF(Bournemouth!Y15="","",Bournemouth!Y15)</f>
        <v>20.18</v>
      </c>
      <c r="W141" s="249">
        <f>IF(Bournemouth!AA15=0,"",Bournemouth!AA15)</f>
        <v>1</v>
      </c>
      <c r="X141" s="244">
        <f>IF(Bournemouth!AB15=0,"",Bournemouth!AB15)</f>
        <v>19.751666666666669</v>
      </c>
      <c r="Y141" s="245">
        <f>IF(Bournemouth!AC15=0,"",Bournemouth!AC15)</f>
        <v>25.751666666666669</v>
      </c>
      <c r="AA141" s="246">
        <f>Y141</f>
        <v>25.751666666666669</v>
      </c>
      <c r="AB141" s="243">
        <f>X141</f>
        <v>19.751666666666669</v>
      </c>
      <c r="AC141" s="185" t="str">
        <f>C141</f>
        <v>Wayne Mabey</v>
      </c>
      <c r="AD141" s="185" t="str">
        <f>LEFT($B$133,3)</f>
        <v>Bou</v>
      </c>
      <c r="AE141" s="185">
        <f t="shared" ref="AE141:AY141" si="67">E141</f>
        <v>12</v>
      </c>
      <c r="AF141" s="185">
        <f t="shared" si="67"/>
        <v>6</v>
      </c>
      <c r="AG141" s="247">
        <f t="shared" si="67"/>
        <v>6</v>
      </c>
      <c r="AH141" s="247">
        <f t="shared" si="67"/>
        <v>29</v>
      </c>
      <c r="AI141" s="247">
        <f t="shared" si="67"/>
        <v>35</v>
      </c>
      <c r="AJ141" s="243">
        <f t="shared" si="67"/>
        <v>16.98</v>
      </c>
      <c r="AK141" s="243">
        <f t="shared" si="67"/>
        <v>19.27</v>
      </c>
      <c r="AL141" s="243">
        <f t="shared" si="67"/>
        <v>22.18</v>
      </c>
      <c r="AM141" s="243">
        <f t="shared" si="67"/>
        <v>20.11</v>
      </c>
      <c r="AN141" s="243">
        <f t="shared" si="67"/>
        <v>18.329999999999998</v>
      </c>
      <c r="AO141" s="243">
        <f t="shared" si="67"/>
        <v>21.32</v>
      </c>
      <c r="AP141" s="243">
        <f t="shared" si="67"/>
        <v>18.73</v>
      </c>
      <c r="AQ141" s="243" t="str">
        <f t="shared" si="67"/>
        <v/>
      </c>
      <c r="AR141" s="243">
        <f t="shared" si="67"/>
        <v>19.84</v>
      </c>
      <c r="AS141" s="243">
        <f t="shared" si="67"/>
        <v>17.899999999999999</v>
      </c>
      <c r="AT141" s="243">
        <f t="shared" si="67"/>
        <v>22.14</v>
      </c>
      <c r="AU141" s="243">
        <f t="shared" si="67"/>
        <v>20.04</v>
      </c>
      <c r="AV141" s="243">
        <f t="shared" si="67"/>
        <v>20.18</v>
      </c>
      <c r="AW141" s="247">
        <f t="shared" si="67"/>
        <v>1</v>
      </c>
      <c r="AX141" s="243">
        <f t="shared" si="67"/>
        <v>19.751666666666669</v>
      </c>
      <c r="AY141" s="248">
        <f t="shared" si="67"/>
        <v>25.751666666666669</v>
      </c>
    </row>
    <row r="142" spans="2:51" ht="12" customHeight="1" x14ac:dyDescent="0.2">
      <c r="B142" s="266"/>
      <c r="C142" s="235"/>
      <c r="D142" s="235"/>
      <c r="E142" s="239"/>
      <c r="F142" s="182"/>
      <c r="G142" s="182"/>
      <c r="H142" s="182"/>
      <c r="I142" s="233"/>
      <c r="J142" s="163" t="str">
        <f>IF(Bournemouth!M16="","",Bournemouth!M16)</f>
        <v>4*0</v>
      </c>
      <c r="K142" s="41" t="str">
        <f>IF(Bournemouth!N16="","",Bournemouth!N16)</f>
        <v>4*3</v>
      </c>
      <c r="L142" s="41" t="str">
        <f>IF(Bournemouth!O16="","",Bournemouth!O16)</f>
        <v>0*4</v>
      </c>
      <c r="M142" s="41" t="str">
        <f>IF(Bournemouth!P16="","",Bournemouth!P16)</f>
        <v>0*4</v>
      </c>
      <c r="N142" s="41" t="str">
        <f>IF(Bournemouth!Q16="","",Bournemouth!Q16)</f>
        <v>4*3</v>
      </c>
      <c r="O142" s="41" t="str">
        <f>IF(Bournemouth!R16="","",Bournemouth!R16)</f>
        <v>4*0</v>
      </c>
      <c r="P142" s="41" t="str">
        <f>IF(Bournemouth!S16="","",Bournemouth!S16)</f>
        <v>0*4</v>
      </c>
      <c r="Q142" s="41" t="str">
        <f>IF(Bournemouth!T16="","",Bournemouth!T16)</f>
        <v/>
      </c>
      <c r="R142" s="41" t="str">
        <f>IF(Bournemouth!U16="","",Bournemouth!U16)</f>
        <v>2*4</v>
      </c>
      <c r="S142" s="41" t="str">
        <f>IF(Bournemouth!V16="","",Bournemouth!V16)</f>
        <v>3*4</v>
      </c>
      <c r="T142" s="41" t="str">
        <f>IF(Bournemouth!W16="","",Bournemouth!W16)</f>
        <v>4*3(1)</v>
      </c>
      <c r="U142" s="41" t="str">
        <f>IF(Bournemouth!X16="","",Bournemouth!X16)</f>
        <v>0*4</v>
      </c>
      <c r="V142" s="41" t="str">
        <f>IF(Bournemouth!Y16="","",Bournemouth!Y16)</f>
        <v>4*2</v>
      </c>
      <c r="W142" s="201"/>
      <c r="X142" s="182"/>
      <c r="Y142" s="233"/>
      <c r="AA142" s="239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233"/>
    </row>
    <row r="143" spans="2:51" ht="12" customHeight="1" x14ac:dyDescent="0.2">
      <c r="B143" s="266"/>
      <c r="C143" s="263" t="str">
        <f>IF(Bournemouth!E17="","",Bournemouth!E17)</f>
        <v>Paul Cooper</v>
      </c>
      <c r="D143" s="259" t="str">
        <f>LEFT($B$133,3)</f>
        <v>Bou</v>
      </c>
      <c r="E143" s="251">
        <f>IF(Bournemouth!G17="","",Bournemouth!G17)</f>
        <v>12</v>
      </c>
      <c r="F143" s="181">
        <f>IF(Bournemouth!H17=0,"",Bournemouth!H17)</f>
        <v>5</v>
      </c>
      <c r="G143" s="186">
        <f>IF(Bournemouth!I17=0,"",Bournemouth!I17)</f>
        <v>7</v>
      </c>
      <c r="H143" s="186">
        <f>IF(Bournemouth!J17=0,"",Bournemouth!J17)</f>
        <v>34</v>
      </c>
      <c r="I143" s="252">
        <f>IF(Bournemouth!K17=0,"",Bournemouth!K17)</f>
        <v>36</v>
      </c>
      <c r="J143" s="163" t="str">
        <f>IF(Bournemouth!M17="","",Bournemouth!M17)</f>
        <v/>
      </c>
      <c r="K143" s="41">
        <f>IF(Bournemouth!N17="","",Bournemouth!N17)</f>
        <v>20.96</v>
      </c>
      <c r="L143" s="41">
        <f>IF(Bournemouth!O17="","",Bournemouth!O17)</f>
        <v>20.21</v>
      </c>
      <c r="M143" s="41">
        <f>IF(Bournemouth!P17="","",Bournemouth!P17)</f>
        <v>21.9</v>
      </c>
      <c r="N143" s="41">
        <f>IF(Bournemouth!Q17="","",Bournemouth!Q17)</f>
        <v>19.98</v>
      </c>
      <c r="O143" s="41">
        <f>IF(Bournemouth!R17="","",Bournemouth!R17)</f>
        <v>22.05</v>
      </c>
      <c r="P143" s="41">
        <f>IF(Bournemouth!S17="","",Bournemouth!S17)</f>
        <v>17.68</v>
      </c>
      <c r="Q143" s="41">
        <f>IF(Bournemouth!T17="","",Bournemouth!T17)</f>
        <v>21.64</v>
      </c>
      <c r="R143" s="41">
        <f>IF(Bournemouth!U17="","",Bournemouth!U17)</f>
        <v>19.91</v>
      </c>
      <c r="S143" s="41">
        <f>IF(Bournemouth!V17="","",Bournemouth!V17)</f>
        <v>18.829999999999998</v>
      </c>
      <c r="T143" s="41">
        <f>IF(Bournemouth!W17="","",Bournemouth!W17)</f>
        <v>20.93</v>
      </c>
      <c r="U143" s="41">
        <f>IF(Bournemouth!X17="","",Bournemouth!X17)</f>
        <v>20.88</v>
      </c>
      <c r="V143" s="41">
        <f>IF(Bournemouth!Y17="","",Bournemouth!Y17)</f>
        <v>18.05</v>
      </c>
      <c r="W143" s="249">
        <f>IF(Bournemouth!AA17=0,"",Bournemouth!AA17)</f>
        <v>1</v>
      </c>
      <c r="X143" s="244">
        <f>IF(Bournemouth!AB17=0,"",Bournemouth!AB17)</f>
        <v>20.251666666666669</v>
      </c>
      <c r="Y143" s="245">
        <f>IF(Bournemouth!AC17=0,"",Bournemouth!AC17)</f>
        <v>25.251666666666669</v>
      </c>
      <c r="AA143" s="246">
        <f>Y143</f>
        <v>25.251666666666669</v>
      </c>
      <c r="AB143" s="243">
        <f>X143</f>
        <v>20.251666666666669</v>
      </c>
      <c r="AC143" s="185" t="str">
        <f>C143</f>
        <v>Paul Cooper</v>
      </c>
      <c r="AD143" s="185" t="str">
        <f>LEFT($B$133,3)</f>
        <v>Bou</v>
      </c>
      <c r="AE143" s="185">
        <f t="shared" ref="AE143:AY143" si="68">E143</f>
        <v>12</v>
      </c>
      <c r="AF143" s="185">
        <f t="shared" si="68"/>
        <v>5</v>
      </c>
      <c r="AG143" s="247">
        <f t="shared" si="68"/>
        <v>7</v>
      </c>
      <c r="AH143" s="247">
        <f t="shared" si="68"/>
        <v>34</v>
      </c>
      <c r="AI143" s="247">
        <f t="shared" si="68"/>
        <v>36</v>
      </c>
      <c r="AJ143" s="243" t="str">
        <f t="shared" si="68"/>
        <v/>
      </c>
      <c r="AK143" s="243">
        <f t="shared" si="68"/>
        <v>20.96</v>
      </c>
      <c r="AL143" s="243">
        <f t="shared" si="68"/>
        <v>20.21</v>
      </c>
      <c r="AM143" s="243">
        <f t="shared" si="68"/>
        <v>21.9</v>
      </c>
      <c r="AN143" s="243">
        <f t="shared" si="68"/>
        <v>19.98</v>
      </c>
      <c r="AO143" s="243">
        <f t="shared" si="68"/>
        <v>22.05</v>
      </c>
      <c r="AP143" s="243">
        <f t="shared" si="68"/>
        <v>17.68</v>
      </c>
      <c r="AQ143" s="243">
        <f t="shared" si="68"/>
        <v>21.64</v>
      </c>
      <c r="AR143" s="243">
        <f t="shared" si="68"/>
        <v>19.91</v>
      </c>
      <c r="AS143" s="243">
        <f t="shared" si="68"/>
        <v>18.829999999999998</v>
      </c>
      <c r="AT143" s="243">
        <f t="shared" si="68"/>
        <v>20.93</v>
      </c>
      <c r="AU143" s="243">
        <f t="shared" si="68"/>
        <v>20.88</v>
      </c>
      <c r="AV143" s="243">
        <f t="shared" si="68"/>
        <v>18.05</v>
      </c>
      <c r="AW143" s="247">
        <f t="shared" si="68"/>
        <v>1</v>
      </c>
      <c r="AX143" s="243">
        <f t="shared" si="68"/>
        <v>20.251666666666669</v>
      </c>
      <c r="AY143" s="248">
        <f t="shared" si="68"/>
        <v>25.251666666666669</v>
      </c>
    </row>
    <row r="144" spans="2:51" ht="12" customHeight="1" x14ac:dyDescent="0.2">
      <c r="B144" s="266"/>
      <c r="C144" s="235"/>
      <c r="D144" s="235"/>
      <c r="E144" s="239"/>
      <c r="F144" s="182"/>
      <c r="G144" s="182"/>
      <c r="H144" s="182"/>
      <c r="I144" s="233"/>
      <c r="J144" s="163" t="str">
        <f>IF(Bournemouth!M18="","",Bournemouth!M18)</f>
        <v/>
      </c>
      <c r="K144" s="41" t="str">
        <f>IF(Bournemouth!N18="","",Bournemouth!N18)</f>
        <v>4*2</v>
      </c>
      <c r="L144" s="41" t="str">
        <f>IF(Bournemouth!O18="","",Bournemouth!O18)</f>
        <v>3*4</v>
      </c>
      <c r="M144" s="41" t="str">
        <f>IF(Bournemouth!P18="","",Bournemouth!P18)</f>
        <v>4*3(1)</v>
      </c>
      <c r="N144" s="41" t="str">
        <f>IF(Bournemouth!Q18="","",Bournemouth!Q18)</f>
        <v>3*4</v>
      </c>
      <c r="O144" s="41" t="str">
        <f>IF(Bournemouth!R18="","",Bournemouth!R18)</f>
        <v>4*3</v>
      </c>
      <c r="P144" s="41" t="str">
        <f>IF(Bournemouth!S18="","",Bournemouth!S18)</f>
        <v>1*4</v>
      </c>
      <c r="Q144" s="41" t="str">
        <f>IF(Bournemouth!T18="","",Bournemouth!T18)</f>
        <v>3*4</v>
      </c>
      <c r="R144" s="41" t="str">
        <f>IF(Bournemouth!U18="","",Bournemouth!U18)</f>
        <v>1*4</v>
      </c>
      <c r="S144" s="41" t="str">
        <f>IF(Bournemouth!V18="","",Bournemouth!V18)</f>
        <v>0*4</v>
      </c>
      <c r="T144" s="41" t="str">
        <f>IF(Bournemouth!W18="","",Bournemouth!W18)</f>
        <v>3*4</v>
      </c>
      <c r="U144" s="41" t="str">
        <f>IF(Bournemouth!X18="","",Bournemouth!X18)</f>
        <v>4*0</v>
      </c>
      <c r="V144" s="41" t="str">
        <f>IF(Bournemouth!Y18="","",Bournemouth!Y18)</f>
        <v>4*0</v>
      </c>
      <c r="W144" s="201"/>
      <c r="X144" s="182"/>
      <c r="Y144" s="233"/>
      <c r="AA144" s="239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233"/>
    </row>
    <row r="145" spans="2:51" ht="12" customHeight="1" x14ac:dyDescent="0.2">
      <c r="B145" s="266"/>
      <c r="C145" s="263" t="str">
        <f>IF(Bournemouth!E19="","",Bournemouth!E19)</f>
        <v>Shaun Hibbert</v>
      </c>
      <c r="D145" s="259" t="str">
        <f>LEFT($B$133,3)</f>
        <v>Bou</v>
      </c>
      <c r="E145" s="251">
        <f>IF(Bournemouth!G19="","",Bournemouth!G19)</f>
        <v>10</v>
      </c>
      <c r="F145" s="181">
        <f>IF(Bournemouth!H19=0,"",Bournemouth!H19)</f>
        <v>2</v>
      </c>
      <c r="G145" s="186">
        <f>IF(Bournemouth!I19=0,"",Bournemouth!I19)</f>
        <v>8</v>
      </c>
      <c r="H145" s="186">
        <f>IF(Bournemouth!J19=0,"",Bournemouth!J19)</f>
        <v>11</v>
      </c>
      <c r="I145" s="252">
        <f>IF(Bournemouth!K19=0,"",Bournemouth!K19)</f>
        <v>34</v>
      </c>
      <c r="J145" s="163">
        <f>IF(Bournemouth!M19="","",Bournemouth!M19)</f>
        <v>18.14</v>
      </c>
      <c r="K145" s="41" t="str">
        <f>IF(Bournemouth!N19="","",Bournemouth!N19)</f>
        <v/>
      </c>
      <c r="L145" s="41">
        <f>IF(Bournemouth!O19="","",Bournemouth!O19)</f>
        <v>18.86</v>
      </c>
      <c r="M145" s="41">
        <f>IF(Bournemouth!P19="","",Bournemouth!P19)</f>
        <v>19.82</v>
      </c>
      <c r="N145" s="41">
        <f>IF(Bournemouth!Q19="","",Bournemouth!Q19)</f>
        <v>20.170000000000002</v>
      </c>
      <c r="O145" s="41">
        <f>IF(Bournemouth!R19="","",Bournemouth!R19)</f>
        <v>14.31</v>
      </c>
      <c r="P145" s="41">
        <f>IF(Bournemouth!S19="","",Bournemouth!S19)</f>
        <v>17.98</v>
      </c>
      <c r="Q145" s="41">
        <f>IF(Bournemouth!T19="","",Bournemouth!T19)</f>
        <v>18.420000000000002</v>
      </c>
      <c r="R145" s="41" t="str">
        <f>IF(Bournemouth!U19="","",Bournemouth!U19)</f>
        <v/>
      </c>
      <c r="S145" s="41">
        <f>IF(Bournemouth!V19="","",Bournemouth!V19)</f>
        <v>13.11</v>
      </c>
      <c r="T145" s="41">
        <f>IF(Bournemouth!W19="","",Bournemouth!W19)</f>
        <v>12.43</v>
      </c>
      <c r="U145" s="41">
        <f>IF(Bournemouth!X19="","",Bournemouth!X19)</f>
        <v>12.46</v>
      </c>
      <c r="V145" s="41" t="str">
        <f>IF(Bournemouth!Y19="","",Bournemouth!Y19)</f>
        <v/>
      </c>
      <c r="W145" s="249" t="str">
        <f>IF(Bournemouth!AA19=0,"",Bournemouth!AA19)</f>
        <v/>
      </c>
      <c r="X145" s="244">
        <f>IF(Bournemouth!AB19=0,"",Bournemouth!AB19)</f>
        <v>16.57</v>
      </c>
      <c r="Y145" s="245">
        <f>IF(Bournemouth!AC19=0,"",Bournemouth!AC19)</f>
        <v>18.57</v>
      </c>
      <c r="AA145" s="246">
        <f>Y145</f>
        <v>18.57</v>
      </c>
      <c r="AB145" s="243">
        <f>X145</f>
        <v>16.57</v>
      </c>
      <c r="AC145" s="185" t="str">
        <f>C145</f>
        <v>Shaun Hibbert</v>
      </c>
      <c r="AD145" s="185" t="str">
        <f>LEFT($B$133,3)</f>
        <v>Bou</v>
      </c>
      <c r="AE145" s="185">
        <f t="shared" ref="AE145:AY145" si="69">E145</f>
        <v>10</v>
      </c>
      <c r="AF145" s="185">
        <f t="shared" si="69"/>
        <v>2</v>
      </c>
      <c r="AG145" s="247">
        <f t="shared" si="69"/>
        <v>8</v>
      </c>
      <c r="AH145" s="247">
        <f t="shared" si="69"/>
        <v>11</v>
      </c>
      <c r="AI145" s="247">
        <f t="shared" si="69"/>
        <v>34</v>
      </c>
      <c r="AJ145" s="243">
        <f t="shared" si="69"/>
        <v>18.14</v>
      </c>
      <c r="AK145" s="243" t="str">
        <f t="shared" si="69"/>
        <v/>
      </c>
      <c r="AL145" s="243">
        <f t="shared" si="69"/>
        <v>18.86</v>
      </c>
      <c r="AM145" s="243">
        <f t="shared" si="69"/>
        <v>19.82</v>
      </c>
      <c r="AN145" s="243">
        <f t="shared" si="69"/>
        <v>20.170000000000002</v>
      </c>
      <c r="AO145" s="243">
        <f t="shared" si="69"/>
        <v>14.31</v>
      </c>
      <c r="AP145" s="243">
        <f t="shared" si="69"/>
        <v>17.98</v>
      </c>
      <c r="AQ145" s="243">
        <f t="shared" si="69"/>
        <v>18.420000000000002</v>
      </c>
      <c r="AR145" s="243" t="str">
        <f t="shared" si="69"/>
        <v/>
      </c>
      <c r="AS145" s="243">
        <f t="shared" si="69"/>
        <v>13.11</v>
      </c>
      <c r="AT145" s="243">
        <f t="shared" si="69"/>
        <v>12.43</v>
      </c>
      <c r="AU145" s="243">
        <f t="shared" si="69"/>
        <v>12.46</v>
      </c>
      <c r="AV145" s="243" t="str">
        <f t="shared" si="69"/>
        <v/>
      </c>
      <c r="AW145" s="247" t="str">
        <f t="shared" si="69"/>
        <v/>
      </c>
      <c r="AX145" s="243">
        <f t="shared" si="69"/>
        <v>16.57</v>
      </c>
      <c r="AY145" s="248">
        <f t="shared" si="69"/>
        <v>18.57</v>
      </c>
    </row>
    <row r="146" spans="2:51" ht="12" customHeight="1" x14ac:dyDescent="0.2">
      <c r="B146" s="266"/>
      <c r="C146" s="235"/>
      <c r="D146" s="235"/>
      <c r="E146" s="239"/>
      <c r="F146" s="182"/>
      <c r="G146" s="182"/>
      <c r="H146" s="182"/>
      <c r="I146" s="233"/>
      <c r="J146" s="163" t="str">
        <f>IF(Bournemouth!M20="","",Bournemouth!M20)</f>
        <v>4*1</v>
      </c>
      <c r="K146" s="41" t="str">
        <f>IF(Bournemouth!N20="","",Bournemouth!N20)</f>
        <v/>
      </c>
      <c r="L146" s="41" t="str">
        <f>IF(Bournemouth!O20="","",Bournemouth!O20)</f>
        <v>3*4</v>
      </c>
      <c r="M146" s="41" t="str">
        <f>IF(Bournemouth!P20="","",Bournemouth!P20)</f>
        <v>4*1</v>
      </c>
      <c r="N146" s="41" t="str">
        <f>IF(Bournemouth!Q20="","",Bournemouth!Q20)</f>
        <v>0*4</v>
      </c>
      <c r="O146" s="41" t="str">
        <f>IF(Bournemouth!R20="","",Bournemouth!R20)</f>
        <v>0*4</v>
      </c>
      <c r="P146" s="41" t="str">
        <f>IF(Bournemouth!S20="","",Bournemouth!S20)</f>
        <v>0*4</v>
      </c>
      <c r="Q146" s="41" t="str">
        <f>IF(Bournemouth!T20="","",Bournemouth!T20)</f>
        <v>0*4</v>
      </c>
      <c r="R146" s="41" t="str">
        <f>IF(Bournemouth!U20="","",Bournemouth!U20)</f>
        <v/>
      </c>
      <c r="S146" s="41" t="str">
        <f>IF(Bournemouth!V20="","",Bournemouth!V20)</f>
        <v>0*4</v>
      </c>
      <c r="T146" s="41" t="str">
        <f>IF(Bournemouth!W20="","",Bournemouth!W20)</f>
        <v>0*4</v>
      </c>
      <c r="U146" s="41" t="str">
        <f>IF(Bournemouth!X20="","",Bournemouth!X20)</f>
        <v>0*4</v>
      </c>
      <c r="V146" s="41" t="str">
        <f>IF(Bournemouth!Y20="","",Bournemouth!Y20)</f>
        <v/>
      </c>
      <c r="W146" s="201"/>
      <c r="X146" s="182"/>
      <c r="Y146" s="233"/>
      <c r="AA146" s="239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233"/>
    </row>
    <row r="147" spans="2:51" ht="12" customHeight="1" x14ac:dyDescent="0.2">
      <c r="B147" s="266"/>
      <c r="C147" s="263" t="str">
        <f>IF(Bournemouth!E21="","",Bournemouth!E21)</f>
        <v>Chris Martin</v>
      </c>
      <c r="D147" s="259" t="str">
        <f>LEFT($B$133,3)</f>
        <v>Bou</v>
      </c>
      <c r="E147" s="251">
        <f>IF(Bournemouth!G21="","",Bournemouth!G21)</f>
        <v>1</v>
      </c>
      <c r="F147" s="181" t="str">
        <f>IF(Bournemouth!H21=0,"",Bournemouth!H21)</f>
        <v/>
      </c>
      <c r="G147" s="186">
        <f>IF(Bournemouth!I21=0,"",Bournemouth!I21)</f>
        <v>1</v>
      </c>
      <c r="H147" s="186">
        <f>IF(Bournemouth!J21=0,"",Bournemouth!J21)</f>
        <v>2</v>
      </c>
      <c r="I147" s="252">
        <f>IF(Bournemouth!K21=0,"",Bournemouth!K21)</f>
        <v>4</v>
      </c>
      <c r="J147" s="163" t="str">
        <f>IF(Bournemouth!M21="","",Bournemouth!M21)</f>
        <v/>
      </c>
      <c r="K147" s="41" t="str">
        <f>IF(Bournemouth!N21="","",Bournemouth!N21)</f>
        <v/>
      </c>
      <c r="L147" s="41" t="str">
        <f>IF(Bournemouth!O21="","",Bournemouth!O21)</f>
        <v/>
      </c>
      <c r="M147" s="41" t="str">
        <f>IF(Bournemouth!P21="","",Bournemouth!P21)</f>
        <v/>
      </c>
      <c r="N147" s="41" t="str">
        <f>IF(Bournemouth!Q21="","",Bournemouth!Q21)</f>
        <v/>
      </c>
      <c r="O147" s="41" t="str">
        <f>IF(Bournemouth!R21="","",Bournemouth!R21)</f>
        <v/>
      </c>
      <c r="P147" s="41">
        <f>IF(Bournemouth!S21="","",Bournemouth!S21)</f>
        <v>18</v>
      </c>
      <c r="Q147" s="41" t="str">
        <f>IF(Bournemouth!T21="","",Bournemouth!T21)</f>
        <v/>
      </c>
      <c r="R147" s="41" t="str">
        <f>IF(Bournemouth!U21="","",Bournemouth!U21)</f>
        <v/>
      </c>
      <c r="S147" s="41" t="str">
        <f>IF(Bournemouth!V21="","",Bournemouth!V21)</f>
        <v/>
      </c>
      <c r="T147" s="41" t="str">
        <f>IF(Bournemouth!W21="","",Bournemouth!W21)</f>
        <v/>
      </c>
      <c r="U147" s="41" t="str">
        <f>IF(Bournemouth!X21="","",Bournemouth!X21)</f>
        <v/>
      </c>
      <c r="V147" s="41" t="str">
        <f>IF(Bournemouth!Y21="","",Bournemouth!Y21)</f>
        <v/>
      </c>
      <c r="W147" s="249" t="str">
        <f>IF(Bournemouth!AA21=0,"",Bournemouth!AA21)</f>
        <v/>
      </c>
      <c r="X147" s="244">
        <f>IF(Bournemouth!AB21=0,"",Bournemouth!AB21)</f>
        <v>18</v>
      </c>
      <c r="Y147" s="245">
        <f>IF(Bournemouth!AC21=0,"",Bournemouth!AC21)</f>
        <v>18</v>
      </c>
      <c r="AA147" s="246">
        <f>Y147</f>
        <v>18</v>
      </c>
      <c r="AB147" s="243">
        <f>X147</f>
        <v>18</v>
      </c>
      <c r="AC147" s="185" t="str">
        <f>C147</f>
        <v>Chris Martin</v>
      </c>
      <c r="AD147" s="185" t="str">
        <f>LEFT($B$133,3)</f>
        <v>Bou</v>
      </c>
      <c r="AE147" s="185">
        <f t="shared" ref="AE147:AY147" si="70">E147</f>
        <v>1</v>
      </c>
      <c r="AF147" s="185" t="str">
        <f t="shared" si="70"/>
        <v/>
      </c>
      <c r="AG147" s="247">
        <f t="shared" si="70"/>
        <v>1</v>
      </c>
      <c r="AH147" s="247">
        <f t="shared" si="70"/>
        <v>2</v>
      </c>
      <c r="AI147" s="247">
        <f t="shared" si="70"/>
        <v>4</v>
      </c>
      <c r="AJ147" s="243" t="str">
        <f t="shared" si="70"/>
        <v/>
      </c>
      <c r="AK147" s="243" t="str">
        <f t="shared" si="70"/>
        <v/>
      </c>
      <c r="AL147" s="243" t="str">
        <f t="shared" si="70"/>
        <v/>
      </c>
      <c r="AM147" s="243" t="str">
        <f t="shared" si="70"/>
        <v/>
      </c>
      <c r="AN147" s="243" t="str">
        <f t="shared" si="70"/>
        <v/>
      </c>
      <c r="AO147" s="243" t="str">
        <f t="shared" si="70"/>
        <v/>
      </c>
      <c r="AP147" s="243">
        <f t="shared" si="70"/>
        <v>18</v>
      </c>
      <c r="AQ147" s="243" t="str">
        <f t="shared" si="70"/>
        <v/>
      </c>
      <c r="AR147" s="243" t="str">
        <f t="shared" si="70"/>
        <v/>
      </c>
      <c r="AS147" s="243" t="str">
        <f t="shared" si="70"/>
        <v/>
      </c>
      <c r="AT147" s="243" t="str">
        <f t="shared" si="70"/>
        <v/>
      </c>
      <c r="AU147" s="243" t="str">
        <f t="shared" si="70"/>
        <v/>
      </c>
      <c r="AV147" s="243" t="str">
        <f t="shared" si="70"/>
        <v/>
      </c>
      <c r="AW147" s="247" t="str">
        <f t="shared" si="70"/>
        <v/>
      </c>
      <c r="AX147" s="243">
        <f t="shared" si="70"/>
        <v>18</v>
      </c>
      <c r="AY147" s="248">
        <f t="shared" si="70"/>
        <v>18</v>
      </c>
    </row>
    <row r="148" spans="2:51" ht="12" customHeight="1" x14ac:dyDescent="0.2">
      <c r="B148" s="266"/>
      <c r="C148" s="235"/>
      <c r="D148" s="235"/>
      <c r="E148" s="239"/>
      <c r="F148" s="182"/>
      <c r="G148" s="182"/>
      <c r="H148" s="182"/>
      <c r="I148" s="233"/>
      <c r="J148" s="163" t="str">
        <f>IF(Bournemouth!M22="","",Bournemouth!M22)</f>
        <v/>
      </c>
      <c r="K148" s="41" t="str">
        <f>IF(Bournemouth!N22="","",Bournemouth!N22)</f>
        <v/>
      </c>
      <c r="L148" s="41" t="str">
        <f>IF(Bournemouth!O22="","",Bournemouth!O22)</f>
        <v/>
      </c>
      <c r="M148" s="41" t="str">
        <f>IF(Bournemouth!P22="","",Bournemouth!P22)</f>
        <v/>
      </c>
      <c r="N148" s="41" t="str">
        <f>IF(Bournemouth!Q22="","",Bournemouth!Q22)</f>
        <v/>
      </c>
      <c r="O148" s="41" t="str">
        <f>IF(Bournemouth!R22="","",Bournemouth!R22)</f>
        <v/>
      </c>
      <c r="P148" s="41" t="str">
        <f>IF(Bournemouth!S22="","",Bournemouth!S22)</f>
        <v>2*4</v>
      </c>
      <c r="Q148" s="41" t="str">
        <f>IF(Bournemouth!T22="","",Bournemouth!T22)</f>
        <v/>
      </c>
      <c r="R148" s="41" t="str">
        <f>IF(Bournemouth!U22="","",Bournemouth!U22)</f>
        <v/>
      </c>
      <c r="S148" s="41" t="str">
        <f>IF(Bournemouth!V22="","",Bournemouth!V22)</f>
        <v/>
      </c>
      <c r="T148" s="41" t="str">
        <f>IF(Bournemouth!W22="","",Bournemouth!W22)</f>
        <v/>
      </c>
      <c r="U148" s="41" t="str">
        <f>IF(Bournemouth!X22="","",Bournemouth!X22)</f>
        <v/>
      </c>
      <c r="V148" s="41" t="str">
        <f>IF(Bournemouth!Y22="","",Bournemouth!Y22)</f>
        <v/>
      </c>
      <c r="W148" s="201"/>
      <c r="X148" s="182"/>
      <c r="Y148" s="233"/>
      <c r="AA148" s="239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233"/>
    </row>
    <row r="149" spans="2:51" ht="12" customHeight="1" x14ac:dyDescent="0.2">
      <c r="B149" s="266"/>
      <c r="C149" s="263" t="str">
        <f>IF(Bournemouth!E23="","",Bournemouth!E23)</f>
        <v>Jonathon Gillingham-Smithers</v>
      </c>
      <c r="D149" s="259" t="str">
        <f>LEFT($B$133,3)</f>
        <v>Bou</v>
      </c>
      <c r="E149" s="251">
        <f>IF(Bournemouth!G23="","",Bournemouth!G23)</f>
        <v>12</v>
      </c>
      <c r="F149" s="181">
        <f>IF(Bournemouth!H23=0,"",Bournemouth!H23)</f>
        <v>7</v>
      </c>
      <c r="G149" s="186">
        <f>IF(Bournemouth!I23=0,"",Bournemouth!I23)</f>
        <v>5</v>
      </c>
      <c r="H149" s="186">
        <f>IF(Bournemouth!J23=0,"",Bournemouth!J23)</f>
        <v>36</v>
      </c>
      <c r="I149" s="252">
        <f>IF(Bournemouth!K23=0,"",Bournemouth!K23)</f>
        <v>28</v>
      </c>
      <c r="J149" s="163">
        <f>IF(Bournemouth!M23="","",Bournemouth!M23)</f>
        <v>19.899999999999999</v>
      </c>
      <c r="K149" s="41">
        <f>IF(Bournemouth!N23="","",Bournemouth!N23)</f>
        <v>20.09</v>
      </c>
      <c r="L149" s="41">
        <f>IF(Bournemouth!O23="","",Bournemouth!O23)</f>
        <v>21.34</v>
      </c>
      <c r="M149" s="41">
        <f>IF(Bournemouth!P23="","",Bournemouth!P23)</f>
        <v>18.57</v>
      </c>
      <c r="N149" s="41">
        <f>IF(Bournemouth!Q23="","",Bournemouth!Q23)</f>
        <v>20.43</v>
      </c>
      <c r="O149" s="41">
        <f>IF(Bournemouth!R23="","",Bournemouth!R23)</f>
        <v>22.52</v>
      </c>
      <c r="P149" s="41" t="str">
        <f>IF(Bournemouth!S23="","",Bournemouth!S23)</f>
        <v/>
      </c>
      <c r="Q149" s="41">
        <f>IF(Bournemouth!T23="","",Bournemouth!T23)</f>
        <v>22.44</v>
      </c>
      <c r="R149" s="41">
        <f>IF(Bournemouth!U23="","",Bournemouth!U23)</f>
        <v>24.23</v>
      </c>
      <c r="S149" s="41">
        <f>IF(Bournemouth!V23="","",Bournemouth!V23)</f>
        <v>21.39</v>
      </c>
      <c r="T149" s="41">
        <f>IF(Bournemouth!W23="","",Bournemouth!W23)</f>
        <v>21.24</v>
      </c>
      <c r="U149" s="41">
        <f>IF(Bournemouth!X23="","",Bournemouth!X23)</f>
        <v>25.24</v>
      </c>
      <c r="V149" s="41">
        <f>IF(Bournemouth!Y23="","",Bournemouth!Y23)</f>
        <v>19.84</v>
      </c>
      <c r="W149" s="249">
        <f>IF(Bournemouth!AA23=0,"",Bournemouth!AA23)</f>
        <v>7</v>
      </c>
      <c r="X149" s="244">
        <f>IF(Bournemouth!AB23=0,"",Bournemouth!AB23)</f>
        <v>21.435833333333335</v>
      </c>
      <c r="Y149" s="245">
        <f>IF(Bournemouth!AC23=0,"",Bournemouth!AC23)</f>
        <v>28.435833333333335</v>
      </c>
      <c r="AA149" s="246">
        <f>Y149</f>
        <v>28.435833333333335</v>
      </c>
      <c r="AB149" s="243">
        <f>X149</f>
        <v>21.435833333333335</v>
      </c>
      <c r="AC149" s="185" t="str">
        <f>C149</f>
        <v>Jonathon Gillingham-Smithers</v>
      </c>
      <c r="AD149" s="185" t="str">
        <f>LEFT($B$133,3)</f>
        <v>Bou</v>
      </c>
      <c r="AE149" s="185">
        <f t="shared" ref="AE149:AY149" si="71">E149</f>
        <v>12</v>
      </c>
      <c r="AF149" s="185">
        <f t="shared" si="71"/>
        <v>7</v>
      </c>
      <c r="AG149" s="247">
        <f t="shared" si="71"/>
        <v>5</v>
      </c>
      <c r="AH149" s="247">
        <f t="shared" si="71"/>
        <v>36</v>
      </c>
      <c r="AI149" s="247">
        <f t="shared" si="71"/>
        <v>28</v>
      </c>
      <c r="AJ149" s="243">
        <f t="shared" si="71"/>
        <v>19.899999999999999</v>
      </c>
      <c r="AK149" s="243">
        <f t="shared" si="71"/>
        <v>20.09</v>
      </c>
      <c r="AL149" s="243">
        <f t="shared" si="71"/>
        <v>21.34</v>
      </c>
      <c r="AM149" s="243">
        <f t="shared" si="71"/>
        <v>18.57</v>
      </c>
      <c r="AN149" s="243">
        <f t="shared" si="71"/>
        <v>20.43</v>
      </c>
      <c r="AO149" s="243">
        <f t="shared" si="71"/>
        <v>22.52</v>
      </c>
      <c r="AP149" s="243" t="str">
        <f t="shared" si="71"/>
        <v/>
      </c>
      <c r="AQ149" s="243">
        <f t="shared" si="71"/>
        <v>22.44</v>
      </c>
      <c r="AR149" s="243">
        <f t="shared" si="71"/>
        <v>24.23</v>
      </c>
      <c r="AS149" s="243">
        <f t="shared" si="71"/>
        <v>21.39</v>
      </c>
      <c r="AT149" s="243">
        <f t="shared" si="71"/>
        <v>21.24</v>
      </c>
      <c r="AU149" s="243">
        <f t="shared" si="71"/>
        <v>25.24</v>
      </c>
      <c r="AV149" s="243">
        <f t="shared" si="71"/>
        <v>19.84</v>
      </c>
      <c r="AW149" s="247">
        <f t="shared" si="71"/>
        <v>7</v>
      </c>
      <c r="AX149" s="243">
        <f t="shared" si="71"/>
        <v>21.435833333333335</v>
      </c>
      <c r="AY149" s="248">
        <f t="shared" si="71"/>
        <v>28.435833333333335</v>
      </c>
    </row>
    <row r="150" spans="2:51" ht="12" customHeight="1" x14ac:dyDescent="0.2">
      <c r="B150" s="266"/>
      <c r="C150" s="235"/>
      <c r="D150" s="235"/>
      <c r="E150" s="239"/>
      <c r="F150" s="182"/>
      <c r="G150" s="182"/>
      <c r="H150" s="182"/>
      <c r="I150" s="233"/>
      <c r="J150" s="163" t="str">
        <f>IF(Bournemouth!M24="","",Bournemouth!M24)</f>
        <v>4*2(1)</v>
      </c>
      <c r="K150" s="41" t="str">
        <f>IF(Bournemouth!N24="","",Bournemouth!N24)</f>
        <v>4*1</v>
      </c>
      <c r="L150" s="41" t="str">
        <f>IF(Bournemouth!O24="","",Bournemouth!O24)</f>
        <v>1*4</v>
      </c>
      <c r="M150" s="41" t="str">
        <f>IF(Bournemouth!P24="","",Bournemouth!P24)</f>
        <v>4*1(1)</v>
      </c>
      <c r="N150" s="41" t="str">
        <f>IF(Bournemouth!Q24="","",Bournemouth!Q24)</f>
        <v>2*4</v>
      </c>
      <c r="O150" s="41" t="str">
        <f>IF(Bournemouth!R24="","",Bournemouth!R24)</f>
        <v>4*0(1)</v>
      </c>
      <c r="P150" s="41" t="str">
        <f>IF(Bournemouth!S24="","",Bournemouth!S24)</f>
        <v/>
      </c>
      <c r="Q150" s="41" t="str">
        <f>IF(Bournemouth!T24="","",Bournemouth!T24)</f>
        <v>4*3(1)</v>
      </c>
      <c r="R150" s="41" t="str">
        <f>IF(Bournemouth!U24="","",Bournemouth!U24)</f>
        <v>1*4</v>
      </c>
      <c r="S150" s="41" t="str">
        <f>IF(Bournemouth!V24="","",Bournemouth!V24)</f>
        <v>3*4(2)</v>
      </c>
      <c r="T150" s="41" t="str">
        <f>IF(Bournemouth!W24="","",Bournemouth!W24)</f>
        <v>4*1(1)</v>
      </c>
      <c r="U150" s="41" t="str">
        <f>IF(Bournemouth!X24="","",Bournemouth!X24)</f>
        <v>1*4</v>
      </c>
      <c r="V150" s="41" t="str">
        <f>IF(Bournemouth!Y24="","",Bournemouth!Y24)</f>
        <v>4*0</v>
      </c>
      <c r="W150" s="201"/>
      <c r="X150" s="182"/>
      <c r="Y150" s="233"/>
      <c r="AA150" s="239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233"/>
    </row>
    <row r="151" spans="2:51" ht="12" customHeight="1" x14ac:dyDescent="0.2">
      <c r="B151" s="266"/>
      <c r="C151" s="263" t="str">
        <f>IF(Bournemouth!E25="","",Bournemouth!E25)</f>
        <v>Charlie Falder</v>
      </c>
      <c r="D151" s="259" t="str">
        <f>LEFT($B$133,3)</f>
        <v>Bou</v>
      </c>
      <c r="E151" s="251">
        <f>IF(Bournemouth!G25="","",Bournemouth!G25)</f>
        <v>2</v>
      </c>
      <c r="F151" s="181" t="str">
        <f>IF(Bournemouth!H25=0,"",Bournemouth!H25)</f>
        <v/>
      </c>
      <c r="G151" s="181">
        <f>IF(Bournemouth!I25=0,"",Bournemouth!I25)</f>
        <v>2</v>
      </c>
      <c r="H151" s="181">
        <f>IF(Bournemouth!J25=0,"",Bournemouth!J25)</f>
        <v>2</v>
      </c>
      <c r="I151" s="250">
        <f>IF(Bournemouth!K25=0,"",Bournemouth!K25)</f>
        <v>8</v>
      </c>
      <c r="J151" s="163" t="str">
        <f>IF(Bournemouth!M25="","",Bournemouth!M25)</f>
        <v/>
      </c>
      <c r="K151" s="41">
        <f>IF(Bournemouth!N25="","",Bournemouth!N25)</f>
        <v>17.46</v>
      </c>
      <c r="L151" s="41" t="str">
        <f>IF(Bournemouth!O25="","",Bournemouth!O25)</f>
        <v/>
      </c>
      <c r="M151" s="41" t="str">
        <f>IF(Bournemouth!P25="","",Bournemouth!P25)</f>
        <v/>
      </c>
      <c r="N151" s="41" t="str">
        <f>IF(Bournemouth!Q25="","",Bournemouth!Q25)</f>
        <v/>
      </c>
      <c r="O151" s="41" t="str">
        <f>IF(Bournemouth!R25="","",Bournemouth!R25)</f>
        <v/>
      </c>
      <c r="P151" s="41" t="str">
        <f>IF(Bournemouth!S25="","",Bournemouth!S25)</f>
        <v/>
      </c>
      <c r="Q151" s="41" t="str">
        <f>IF(Bournemouth!T25="","",Bournemouth!T25)</f>
        <v/>
      </c>
      <c r="R151" s="41" t="str">
        <f>IF(Bournemouth!U25="","",Bournemouth!U25)</f>
        <v/>
      </c>
      <c r="S151" s="41" t="str">
        <f>IF(Bournemouth!V25="","",Bournemouth!V25)</f>
        <v/>
      </c>
      <c r="T151" s="41" t="str">
        <f>IF(Bournemouth!W25="","",Bournemouth!W25)</f>
        <v/>
      </c>
      <c r="U151" s="41" t="str">
        <f>IF(Bournemouth!X25="","",Bournemouth!X25)</f>
        <v/>
      </c>
      <c r="V151" s="41">
        <f>IF(Bournemouth!Y25="","",Bournemouth!Y25)</f>
        <v>18.309999999999999</v>
      </c>
      <c r="W151" s="249" t="str">
        <f>IF(Bournemouth!AA25=0,"",Bournemouth!AA25)</f>
        <v/>
      </c>
      <c r="X151" s="244">
        <f>IF(Bournemouth!AB25=0,"",Bournemouth!AB25)</f>
        <v>17.884999999999998</v>
      </c>
      <c r="Y151" s="245">
        <f>IF(Bournemouth!AC25=0,"",Bournemouth!AC25)</f>
        <v>17.884999999999998</v>
      </c>
      <c r="AA151" s="246">
        <f>Y151</f>
        <v>17.884999999999998</v>
      </c>
      <c r="AB151" s="243">
        <f>X151</f>
        <v>17.884999999999998</v>
      </c>
      <c r="AC151" s="185" t="str">
        <f>C151</f>
        <v>Charlie Falder</v>
      </c>
      <c r="AD151" s="185" t="str">
        <f>LEFT($B$133,3)</f>
        <v>Bou</v>
      </c>
      <c r="AE151" s="185">
        <f t="shared" ref="AE151:AY151" si="72">E151</f>
        <v>2</v>
      </c>
      <c r="AF151" s="185" t="str">
        <f t="shared" si="72"/>
        <v/>
      </c>
      <c r="AG151" s="185">
        <f t="shared" si="72"/>
        <v>2</v>
      </c>
      <c r="AH151" s="185">
        <f t="shared" si="72"/>
        <v>2</v>
      </c>
      <c r="AI151" s="185">
        <f t="shared" si="72"/>
        <v>8</v>
      </c>
      <c r="AJ151" s="243" t="str">
        <f t="shared" si="72"/>
        <v/>
      </c>
      <c r="AK151" s="243">
        <f t="shared" si="72"/>
        <v>17.46</v>
      </c>
      <c r="AL151" s="243" t="str">
        <f t="shared" si="72"/>
        <v/>
      </c>
      <c r="AM151" s="243" t="str">
        <f t="shared" si="72"/>
        <v/>
      </c>
      <c r="AN151" s="243" t="str">
        <f t="shared" si="72"/>
        <v/>
      </c>
      <c r="AO151" s="243" t="str">
        <f t="shared" si="72"/>
        <v/>
      </c>
      <c r="AP151" s="243" t="str">
        <f t="shared" si="72"/>
        <v/>
      </c>
      <c r="AQ151" s="243" t="str">
        <f t="shared" si="72"/>
        <v/>
      </c>
      <c r="AR151" s="243" t="str">
        <f t="shared" si="72"/>
        <v/>
      </c>
      <c r="AS151" s="243" t="str">
        <f t="shared" si="72"/>
        <v/>
      </c>
      <c r="AT151" s="243" t="str">
        <f t="shared" si="72"/>
        <v/>
      </c>
      <c r="AU151" s="243" t="str">
        <f t="shared" si="72"/>
        <v/>
      </c>
      <c r="AV151" s="243">
        <f t="shared" si="72"/>
        <v>18.309999999999999</v>
      </c>
      <c r="AW151" s="247" t="str">
        <f t="shared" si="72"/>
        <v/>
      </c>
      <c r="AX151" s="243">
        <f t="shared" si="72"/>
        <v>17.884999999999998</v>
      </c>
      <c r="AY151" s="248">
        <f t="shared" si="72"/>
        <v>17.884999999999998</v>
      </c>
    </row>
    <row r="152" spans="2:51" ht="12" customHeight="1" x14ac:dyDescent="0.2">
      <c r="B152" s="266"/>
      <c r="C152" s="235"/>
      <c r="D152" s="235"/>
      <c r="E152" s="239"/>
      <c r="F152" s="182"/>
      <c r="G152" s="182"/>
      <c r="H152" s="182"/>
      <c r="I152" s="233"/>
      <c r="J152" s="163" t="str">
        <f>IF(Bournemouth!M26="","",Bournemouth!M26)</f>
        <v/>
      </c>
      <c r="K152" s="41" t="str">
        <f>IF(Bournemouth!N26="","",Bournemouth!N26)</f>
        <v>1*4</v>
      </c>
      <c r="L152" s="41" t="str">
        <f>IF(Bournemouth!O26="","",Bournemouth!O26)</f>
        <v/>
      </c>
      <c r="M152" s="41" t="str">
        <f>IF(Bournemouth!P26="","",Bournemouth!P26)</f>
        <v/>
      </c>
      <c r="N152" s="41" t="str">
        <f>IF(Bournemouth!Q26="","",Bournemouth!Q26)</f>
        <v/>
      </c>
      <c r="O152" s="41" t="str">
        <f>IF(Bournemouth!R26="","",Bournemouth!R26)</f>
        <v/>
      </c>
      <c r="P152" s="41" t="str">
        <f>IF(Bournemouth!S26="","",Bournemouth!S26)</f>
        <v/>
      </c>
      <c r="Q152" s="41" t="str">
        <f>IF(Bournemouth!T26="","",Bournemouth!T26)</f>
        <v/>
      </c>
      <c r="R152" s="41" t="str">
        <f>IF(Bournemouth!U26="","",Bournemouth!U26)</f>
        <v/>
      </c>
      <c r="S152" s="41" t="str">
        <f>IF(Bournemouth!V26="","",Bournemouth!V26)</f>
        <v/>
      </c>
      <c r="T152" s="41" t="str">
        <f>IF(Bournemouth!W26="","",Bournemouth!W26)</f>
        <v/>
      </c>
      <c r="U152" s="41" t="str">
        <f>IF(Bournemouth!X26="","",Bournemouth!X26)</f>
        <v/>
      </c>
      <c r="V152" s="41" t="str">
        <f>IF(Bournemouth!Y26="","",Bournemouth!Y26)</f>
        <v>1*4</v>
      </c>
      <c r="W152" s="201"/>
      <c r="X152" s="182"/>
      <c r="Y152" s="233"/>
      <c r="AA152" s="239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233"/>
    </row>
    <row r="153" spans="2:51" ht="12" customHeight="1" x14ac:dyDescent="0.2">
      <c r="B153" s="266"/>
      <c r="C153" s="263" t="str">
        <f>IF(Bournemouth!E27="","",Bournemouth!E27)</f>
        <v>David Taylor</v>
      </c>
      <c r="D153" s="259" t="str">
        <f>LEFT($B$133,3)</f>
        <v>Bou</v>
      </c>
      <c r="E153" s="251" t="str">
        <f>IF(Bournemouth!G27="","",Bournemouth!G27)</f>
        <v/>
      </c>
      <c r="F153" s="181" t="str">
        <f>IF(Bournemouth!H27=0,"",Bournemouth!H27)</f>
        <v/>
      </c>
      <c r="G153" s="181" t="str">
        <f>IF(Bournemouth!I27=0,"",Bournemouth!I27)</f>
        <v/>
      </c>
      <c r="H153" s="181" t="str">
        <f>IF(Bournemouth!J27=0,"",Bournemouth!J27)</f>
        <v/>
      </c>
      <c r="I153" s="250" t="str">
        <f>IF(Bournemouth!K27=0,"",Bournemouth!K27)</f>
        <v/>
      </c>
      <c r="J153" s="163" t="str">
        <f>IF(Bournemouth!M27="","",Bournemouth!M27)</f>
        <v/>
      </c>
      <c r="K153" s="41" t="str">
        <f>IF(Bournemouth!N27="","",Bournemouth!N27)</f>
        <v/>
      </c>
      <c r="L153" s="41" t="str">
        <f>IF(Bournemouth!O27="","",Bournemouth!O27)</f>
        <v/>
      </c>
      <c r="M153" s="41" t="str">
        <f>IF(Bournemouth!P27="","",Bournemouth!P27)</f>
        <v/>
      </c>
      <c r="N153" s="41" t="str">
        <f>IF(Bournemouth!Q27="","",Bournemouth!Q27)</f>
        <v/>
      </c>
      <c r="O153" s="41" t="str">
        <f>IF(Bournemouth!R27="","",Bournemouth!R27)</f>
        <v/>
      </c>
      <c r="P153" s="41" t="str">
        <f>IF(Bournemouth!S27="","",Bournemouth!S27)</f>
        <v/>
      </c>
      <c r="Q153" s="41" t="str">
        <f>IF(Bournemouth!T27="","",Bournemouth!T27)</f>
        <v/>
      </c>
      <c r="R153" s="41" t="str">
        <f>IF(Bournemouth!U27="","",Bournemouth!U27)</f>
        <v/>
      </c>
      <c r="S153" s="41" t="str">
        <f>IF(Bournemouth!V27="","",Bournemouth!V27)</f>
        <v/>
      </c>
      <c r="T153" s="41" t="str">
        <f>IF(Bournemouth!W27="","",Bournemouth!W27)</f>
        <v/>
      </c>
      <c r="U153" s="41" t="str">
        <f>IF(Bournemouth!X27="","",Bournemouth!X27)</f>
        <v/>
      </c>
      <c r="V153" s="41" t="str">
        <f>IF(Bournemouth!Y27="","",Bournemouth!Y27)</f>
        <v/>
      </c>
      <c r="W153" s="249" t="str">
        <f>IF(Bournemouth!AA27=0,"",Bournemouth!AA27)</f>
        <v/>
      </c>
      <c r="X153" s="244" t="str">
        <f>IF(Bournemouth!AB27=0,"",Bournemouth!AB27)</f>
        <v/>
      </c>
      <c r="Y153" s="245" t="str">
        <f>IF(Bournemouth!AC27=0,"",Bournemouth!AC27)</f>
        <v/>
      </c>
      <c r="AA153" s="246" t="str">
        <f>Y153</f>
        <v/>
      </c>
      <c r="AB153" s="243" t="str">
        <f>X153</f>
        <v/>
      </c>
      <c r="AC153" s="185" t="str">
        <f>C153</f>
        <v>David Taylor</v>
      </c>
      <c r="AD153" s="185" t="str">
        <f>LEFT($B$133,3)</f>
        <v>Bou</v>
      </c>
      <c r="AE153" s="185" t="str">
        <f t="shared" ref="AE153:AY153" si="73">E153</f>
        <v/>
      </c>
      <c r="AF153" s="185" t="str">
        <f t="shared" si="73"/>
        <v/>
      </c>
      <c r="AG153" s="185" t="str">
        <f t="shared" si="73"/>
        <v/>
      </c>
      <c r="AH153" s="185" t="str">
        <f t="shared" si="73"/>
        <v/>
      </c>
      <c r="AI153" s="185" t="str">
        <f t="shared" si="73"/>
        <v/>
      </c>
      <c r="AJ153" s="243" t="str">
        <f t="shared" si="73"/>
        <v/>
      </c>
      <c r="AK153" s="243" t="str">
        <f t="shared" si="73"/>
        <v/>
      </c>
      <c r="AL153" s="243" t="str">
        <f t="shared" si="73"/>
        <v/>
      </c>
      <c r="AM153" s="243" t="str">
        <f t="shared" si="73"/>
        <v/>
      </c>
      <c r="AN153" s="243" t="str">
        <f t="shared" si="73"/>
        <v/>
      </c>
      <c r="AO153" s="243" t="str">
        <f t="shared" si="73"/>
        <v/>
      </c>
      <c r="AP153" s="243" t="str">
        <f t="shared" si="73"/>
        <v/>
      </c>
      <c r="AQ153" s="243" t="str">
        <f t="shared" si="73"/>
        <v/>
      </c>
      <c r="AR153" s="243" t="str">
        <f t="shared" si="73"/>
        <v/>
      </c>
      <c r="AS153" s="243" t="str">
        <f t="shared" si="73"/>
        <v/>
      </c>
      <c r="AT153" s="243" t="str">
        <f t="shared" si="73"/>
        <v/>
      </c>
      <c r="AU153" s="243" t="str">
        <f t="shared" si="73"/>
        <v/>
      </c>
      <c r="AV153" s="243" t="str">
        <f t="shared" si="73"/>
        <v/>
      </c>
      <c r="AW153" s="247" t="str">
        <f t="shared" si="73"/>
        <v/>
      </c>
      <c r="AX153" s="243" t="str">
        <f t="shared" si="73"/>
        <v/>
      </c>
      <c r="AY153" s="248" t="str">
        <f t="shared" si="73"/>
        <v/>
      </c>
    </row>
    <row r="154" spans="2:51" ht="12" customHeight="1" x14ac:dyDescent="0.2">
      <c r="B154" s="266"/>
      <c r="C154" s="235"/>
      <c r="D154" s="235"/>
      <c r="E154" s="239"/>
      <c r="F154" s="182"/>
      <c r="G154" s="182"/>
      <c r="H154" s="182"/>
      <c r="I154" s="233"/>
      <c r="J154" s="163" t="str">
        <f>IF(Bournemouth!M28="","",Bournemouth!M28)</f>
        <v/>
      </c>
      <c r="K154" s="41" t="str">
        <f>IF(Bournemouth!N28="","",Bournemouth!N28)</f>
        <v/>
      </c>
      <c r="L154" s="41" t="str">
        <f>IF(Bournemouth!O28="","",Bournemouth!O28)</f>
        <v/>
      </c>
      <c r="M154" s="41" t="str">
        <f>IF(Bournemouth!P28="","",Bournemouth!P28)</f>
        <v/>
      </c>
      <c r="N154" s="41" t="str">
        <f>IF(Bournemouth!Q28="","",Bournemouth!Q28)</f>
        <v/>
      </c>
      <c r="O154" s="41" t="str">
        <f>IF(Bournemouth!R28="","",Bournemouth!R28)</f>
        <v/>
      </c>
      <c r="P154" s="41" t="str">
        <f>IF(Bournemouth!S28="","",Bournemouth!S28)</f>
        <v/>
      </c>
      <c r="Q154" s="41" t="str">
        <f>IF(Bournemouth!T28="","",Bournemouth!T28)</f>
        <v/>
      </c>
      <c r="R154" s="41" t="str">
        <f>IF(Bournemouth!U28="","",Bournemouth!U28)</f>
        <v/>
      </c>
      <c r="S154" s="41" t="str">
        <f>IF(Bournemouth!V28="","",Bournemouth!V28)</f>
        <v/>
      </c>
      <c r="T154" s="41" t="str">
        <f>IF(Bournemouth!W28="","",Bournemouth!W28)</f>
        <v/>
      </c>
      <c r="U154" s="41" t="str">
        <f>IF(Bournemouth!X28="","",Bournemouth!X28)</f>
        <v/>
      </c>
      <c r="V154" s="41" t="str">
        <f>IF(Bournemouth!Y28="","",Bournemouth!Y28)</f>
        <v/>
      </c>
      <c r="W154" s="201"/>
      <c r="X154" s="182"/>
      <c r="Y154" s="233"/>
      <c r="AA154" s="239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233"/>
    </row>
    <row r="155" spans="2:51" ht="12" customHeight="1" x14ac:dyDescent="0.2">
      <c r="B155" s="266"/>
      <c r="C155" s="263" t="str">
        <f>IF(Bournemouth!E29="","",Bournemouth!E29)</f>
        <v>Martin Snelling</v>
      </c>
      <c r="D155" s="259" t="str">
        <f>LEFT($B$133,3)</f>
        <v>Bou</v>
      </c>
      <c r="E155" s="251">
        <f>IF(Bournemouth!G29="","",Bournemouth!G29)</f>
        <v>13</v>
      </c>
      <c r="F155" s="181">
        <f>IF(Bournemouth!H29=0,"",Bournemouth!H29)</f>
        <v>4</v>
      </c>
      <c r="G155" s="186">
        <f>IF(Bournemouth!I29=0,"",Bournemouth!I29)</f>
        <v>9</v>
      </c>
      <c r="H155" s="186">
        <f>IF(Bournemouth!J29=0,"",Bournemouth!J29)</f>
        <v>27</v>
      </c>
      <c r="I155" s="252">
        <f>IF(Bournemouth!K29=0,"",Bournemouth!K29)</f>
        <v>43</v>
      </c>
      <c r="J155" s="163">
        <f>IF(Bournemouth!M29="","",Bournemouth!M29)</f>
        <v>18.34</v>
      </c>
      <c r="K155" s="41">
        <f>IF(Bournemouth!N29="","",Bournemouth!N29)</f>
        <v>18.73</v>
      </c>
      <c r="L155" s="41">
        <f>IF(Bournemouth!O29="","",Bournemouth!O29)</f>
        <v>17.72</v>
      </c>
      <c r="M155" s="41">
        <f>IF(Bournemouth!P29="","",Bournemouth!P29)</f>
        <v>20.25</v>
      </c>
      <c r="N155" s="41">
        <f>IF(Bournemouth!Q29="","",Bournemouth!Q29)</f>
        <v>20.420000000000002</v>
      </c>
      <c r="O155" s="41">
        <f>IF(Bournemouth!R29="","",Bournemouth!R29)</f>
        <v>20.83</v>
      </c>
      <c r="P155" s="41">
        <f>IF(Bournemouth!S29="","",Bournemouth!S29)</f>
        <v>23.25</v>
      </c>
      <c r="Q155" s="41">
        <f>IF(Bournemouth!T29="","",Bournemouth!T29)</f>
        <v>19.350000000000001</v>
      </c>
      <c r="R155" s="41">
        <f>IF(Bournemouth!U29="","",Bournemouth!U29)</f>
        <v>19.41</v>
      </c>
      <c r="S155" s="41">
        <f>IF(Bournemouth!V29="","",Bournemouth!V29)</f>
        <v>19.940000000000001</v>
      </c>
      <c r="T155" s="41">
        <f>IF(Bournemouth!W29="","",Bournemouth!W29)</f>
        <v>20.13</v>
      </c>
      <c r="U155" s="41">
        <f>IF(Bournemouth!X29="","",Bournemouth!X29)</f>
        <v>22.88</v>
      </c>
      <c r="V155" s="41">
        <f>IF(Bournemouth!Y29="","",Bournemouth!Y29)</f>
        <v>19.559999999999999</v>
      </c>
      <c r="W155" s="249">
        <f>IF(Bournemouth!AA29=0,"",Bournemouth!AA29)</f>
        <v>1</v>
      </c>
      <c r="X155" s="244">
        <f>IF(Bournemouth!AB29=0,"",Bournemouth!AB29)</f>
        <v>20.062307692307687</v>
      </c>
      <c r="Y155" s="245">
        <f>IF(Bournemouth!AC29=0,"",Bournemouth!AC29)</f>
        <v>24.062307692307687</v>
      </c>
      <c r="AA155" s="246">
        <f>Y155</f>
        <v>24.062307692307687</v>
      </c>
      <c r="AB155" s="243">
        <f>X155</f>
        <v>20.062307692307687</v>
      </c>
      <c r="AC155" s="185" t="str">
        <f>C155</f>
        <v>Martin Snelling</v>
      </c>
      <c r="AD155" s="185" t="str">
        <f>LEFT($B$133,3)</f>
        <v>Bou</v>
      </c>
      <c r="AE155" s="185">
        <f t="shared" ref="AE155:AY155" si="74">E155</f>
        <v>13</v>
      </c>
      <c r="AF155" s="185">
        <f t="shared" si="74"/>
        <v>4</v>
      </c>
      <c r="AG155" s="247">
        <f t="shared" si="74"/>
        <v>9</v>
      </c>
      <c r="AH155" s="247">
        <f t="shared" si="74"/>
        <v>27</v>
      </c>
      <c r="AI155" s="247">
        <f t="shared" si="74"/>
        <v>43</v>
      </c>
      <c r="AJ155" s="243">
        <f t="shared" si="74"/>
        <v>18.34</v>
      </c>
      <c r="AK155" s="243">
        <f t="shared" si="74"/>
        <v>18.73</v>
      </c>
      <c r="AL155" s="243">
        <f t="shared" si="74"/>
        <v>17.72</v>
      </c>
      <c r="AM155" s="243">
        <f t="shared" si="74"/>
        <v>20.25</v>
      </c>
      <c r="AN155" s="243">
        <f t="shared" si="74"/>
        <v>20.420000000000002</v>
      </c>
      <c r="AO155" s="243">
        <f t="shared" si="74"/>
        <v>20.83</v>
      </c>
      <c r="AP155" s="243">
        <f t="shared" si="74"/>
        <v>23.25</v>
      </c>
      <c r="AQ155" s="243">
        <f t="shared" si="74"/>
        <v>19.350000000000001</v>
      </c>
      <c r="AR155" s="243">
        <f t="shared" si="74"/>
        <v>19.41</v>
      </c>
      <c r="AS155" s="243">
        <f t="shared" si="74"/>
        <v>19.940000000000001</v>
      </c>
      <c r="AT155" s="243">
        <f t="shared" si="74"/>
        <v>20.13</v>
      </c>
      <c r="AU155" s="243">
        <f t="shared" si="74"/>
        <v>22.88</v>
      </c>
      <c r="AV155" s="243">
        <f t="shared" si="74"/>
        <v>19.559999999999999</v>
      </c>
      <c r="AW155" s="247">
        <f t="shared" si="74"/>
        <v>1</v>
      </c>
      <c r="AX155" s="243">
        <f t="shared" si="74"/>
        <v>20.062307692307687</v>
      </c>
      <c r="AY155" s="248">
        <f t="shared" si="74"/>
        <v>24.062307692307687</v>
      </c>
    </row>
    <row r="156" spans="2:51" ht="12" customHeight="1" x14ac:dyDescent="0.2">
      <c r="B156" s="266"/>
      <c r="C156" s="235"/>
      <c r="D156" s="235"/>
      <c r="E156" s="239"/>
      <c r="F156" s="182"/>
      <c r="G156" s="182"/>
      <c r="H156" s="182"/>
      <c r="I156" s="233"/>
      <c r="J156" s="163" t="str">
        <f>IF(Bournemouth!M30="","",Bournemouth!M30)</f>
        <v>0*4</v>
      </c>
      <c r="K156" s="41" t="str">
        <f>IF(Bournemouth!N30="","",Bournemouth!N30)</f>
        <v>4*2</v>
      </c>
      <c r="L156" s="41" t="str">
        <f>IF(Bournemouth!O30="","",Bournemouth!O30)</f>
        <v>0*4</v>
      </c>
      <c r="M156" s="41" t="str">
        <f>IF(Bournemouth!P30="","",Bournemouth!P30)</f>
        <v>4*1</v>
      </c>
      <c r="N156" s="41" t="str">
        <f>IF(Bournemouth!Q30="","",Bournemouth!Q30)</f>
        <v>2*4</v>
      </c>
      <c r="O156" s="41" t="str">
        <f>IF(Bournemouth!R30="","",Bournemouth!R30)</f>
        <v>2*4</v>
      </c>
      <c r="P156" s="41" t="str">
        <f>IF(Bournemouth!S30="","",Bournemouth!S30)</f>
        <v>4*1(1)</v>
      </c>
      <c r="Q156" s="41" t="str">
        <f>IF(Bournemouth!T30="","",Bournemouth!T30)</f>
        <v>4*3</v>
      </c>
      <c r="R156" s="41" t="str">
        <f>IF(Bournemouth!U30="","",Bournemouth!U30)</f>
        <v>0*4</v>
      </c>
      <c r="S156" s="41" t="str">
        <f>IF(Bournemouth!V30="","",Bournemouth!V30)</f>
        <v>1*4</v>
      </c>
      <c r="T156" s="41" t="str">
        <f>IF(Bournemouth!W30="","",Bournemouth!W30)</f>
        <v>3*4</v>
      </c>
      <c r="U156" s="41" t="str">
        <f>IF(Bournemouth!X30="","",Bournemouth!X30)</f>
        <v>1*4</v>
      </c>
      <c r="V156" s="41" t="str">
        <f>IF(Bournemouth!Y30="","",Bournemouth!Y30)</f>
        <v>2*4</v>
      </c>
      <c r="W156" s="201"/>
      <c r="X156" s="182"/>
      <c r="Y156" s="233"/>
      <c r="AA156" s="239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233"/>
    </row>
    <row r="157" spans="2:51" ht="12" customHeight="1" x14ac:dyDescent="0.2">
      <c r="B157" s="266"/>
      <c r="C157" s="263" t="str">
        <f>IF(Bournemouth!E31="","",Bournemouth!E31)</f>
        <v>Andy Miller</v>
      </c>
      <c r="D157" s="259" t="str">
        <f>LEFT($B$133,3)</f>
        <v>Bou</v>
      </c>
      <c r="E157" s="251">
        <f>IF(Bournemouth!G31="","",Bournemouth!G31)</f>
        <v>5</v>
      </c>
      <c r="F157" s="181" t="str">
        <f>IF(Bournemouth!H31=0,"",Bournemouth!H31)</f>
        <v/>
      </c>
      <c r="G157" s="186">
        <f>IF(Bournemouth!I31=0,"",Bournemouth!I31)</f>
        <v>5</v>
      </c>
      <c r="H157" s="181" t="str">
        <f>IF(Bournemouth!J31=0,"",Bournemouth!J31)</f>
        <v/>
      </c>
      <c r="I157" s="252">
        <f>IF(Bournemouth!K31=0,"",Bournemouth!K31)</f>
        <v>20</v>
      </c>
      <c r="J157" s="163">
        <f>IF(Bournemouth!M31="","",Bournemouth!M31)</f>
        <v>13.9</v>
      </c>
      <c r="K157" s="41" t="str">
        <f>IF(Bournemouth!N31="","",Bournemouth!N31)</f>
        <v/>
      </c>
      <c r="L157" s="41">
        <f>IF(Bournemouth!O31="","",Bournemouth!O31)</f>
        <v>15.11</v>
      </c>
      <c r="M157" s="41" t="str">
        <f>IF(Bournemouth!P31="","",Bournemouth!P31)</f>
        <v/>
      </c>
      <c r="N157" s="41" t="str">
        <f>IF(Bournemouth!Q31="","",Bournemouth!Q31)</f>
        <v/>
      </c>
      <c r="O157" s="41" t="str">
        <f>IF(Bournemouth!R31="","",Bournemouth!R31)</f>
        <v/>
      </c>
      <c r="P157" s="41">
        <f>IF(Bournemouth!S31="","",Bournemouth!S31)</f>
        <v>15.55</v>
      </c>
      <c r="Q157" s="41">
        <f>IF(Bournemouth!T31="","",Bournemouth!T31)</f>
        <v>11.82</v>
      </c>
      <c r="R157" s="41">
        <f>IF(Bournemouth!U31="","",Bournemouth!U31)</f>
        <v>13.11</v>
      </c>
      <c r="S157" s="41" t="str">
        <f>IF(Bournemouth!V31="","",Bournemouth!V31)</f>
        <v/>
      </c>
      <c r="T157" s="41" t="str">
        <f>IF(Bournemouth!W31="","",Bournemouth!W31)</f>
        <v/>
      </c>
      <c r="U157" s="41" t="str">
        <f>IF(Bournemouth!X31="","",Bournemouth!X31)</f>
        <v/>
      </c>
      <c r="V157" s="41" t="str">
        <f>IF(Bournemouth!Y31="","",Bournemouth!Y31)</f>
        <v/>
      </c>
      <c r="W157" s="249" t="str">
        <f>IF(Bournemouth!AA31=0,"",Bournemouth!AA31)</f>
        <v/>
      </c>
      <c r="X157" s="244">
        <f>IF(Bournemouth!AB31=0,"",Bournemouth!AB31)</f>
        <v>13.898000000000001</v>
      </c>
      <c r="Y157" s="245">
        <f>IF(Bournemouth!AC31=0,"",Bournemouth!AC31)</f>
        <v>13.898000000000001</v>
      </c>
      <c r="AA157" s="246">
        <f>Y157</f>
        <v>13.898000000000001</v>
      </c>
      <c r="AB157" s="243">
        <f>X157</f>
        <v>13.898000000000001</v>
      </c>
      <c r="AC157" s="185" t="str">
        <f>C157</f>
        <v>Andy Miller</v>
      </c>
      <c r="AD157" s="185" t="str">
        <f>LEFT($B$133,3)</f>
        <v>Bou</v>
      </c>
      <c r="AE157" s="185">
        <f t="shared" ref="AE157:AY157" si="75">E157</f>
        <v>5</v>
      </c>
      <c r="AF157" s="185" t="str">
        <f t="shared" si="75"/>
        <v/>
      </c>
      <c r="AG157" s="247">
        <f t="shared" si="75"/>
        <v>5</v>
      </c>
      <c r="AH157" s="185" t="str">
        <f t="shared" si="75"/>
        <v/>
      </c>
      <c r="AI157" s="247">
        <f t="shared" si="75"/>
        <v>20</v>
      </c>
      <c r="AJ157" s="243">
        <f t="shared" si="75"/>
        <v>13.9</v>
      </c>
      <c r="AK157" s="243" t="str">
        <f t="shared" si="75"/>
        <v/>
      </c>
      <c r="AL157" s="243">
        <f t="shared" si="75"/>
        <v>15.11</v>
      </c>
      <c r="AM157" s="243" t="str">
        <f t="shared" si="75"/>
        <v/>
      </c>
      <c r="AN157" s="243" t="str">
        <f t="shared" si="75"/>
        <v/>
      </c>
      <c r="AO157" s="243" t="str">
        <f t="shared" si="75"/>
        <v/>
      </c>
      <c r="AP157" s="243">
        <f t="shared" si="75"/>
        <v>15.55</v>
      </c>
      <c r="AQ157" s="243">
        <f t="shared" si="75"/>
        <v>11.82</v>
      </c>
      <c r="AR157" s="243">
        <f t="shared" si="75"/>
        <v>13.11</v>
      </c>
      <c r="AS157" s="243" t="str">
        <f t="shared" si="75"/>
        <v/>
      </c>
      <c r="AT157" s="243" t="str">
        <f t="shared" si="75"/>
        <v/>
      </c>
      <c r="AU157" s="243" t="str">
        <f t="shared" si="75"/>
        <v/>
      </c>
      <c r="AV157" s="243" t="str">
        <f t="shared" si="75"/>
        <v/>
      </c>
      <c r="AW157" s="247" t="str">
        <f t="shared" si="75"/>
        <v/>
      </c>
      <c r="AX157" s="243">
        <f t="shared" si="75"/>
        <v>13.898000000000001</v>
      </c>
      <c r="AY157" s="248">
        <f t="shared" si="75"/>
        <v>13.898000000000001</v>
      </c>
    </row>
    <row r="158" spans="2:51" ht="12" customHeight="1" x14ac:dyDescent="0.2">
      <c r="B158" s="266"/>
      <c r="C158" s="235"/>
      <c r="D158" s="235"/>
      <c r="E158" s="239"/>
      <c r="F158" s="182"/>
      <c r="G158" s="182"/>
      <c r="H158" s="182"/>
      <c r="I158" s="233"/>
      <c r="J158" s="163" t="str">
        <f>IF(Bournemouth!M32="","",Bournemouth!M32)</f>
        <v>0*4</v>
      </c>
      <c r="K158" s="41" t="str">
        <f>IF(Bournemouth!N32="","",Bournemouth!N32)</f>
        <v/>
      </c>
      <c r="L158" s="41" t="str">
        <f>IF(Bournemouth!O32="","",Bournemouth!O32)</f>
        <v>0*4</v>
      </c>
      <c r="M158" s="41" t="str">
        <f>IF(Bournemouth!P32="","",Bournemouth!P32)</f>
        <v/>
      </c>
      <c r="N158" s="41" t="str">
        <f>IF(Bournemouth!Q32="","",Bournemouth!Q32)</f>
        <v/>
      </c>
      <c r="O158" s="41" t="str">
        <f>IF(Bournemouth!R32="","",Bournemouth!R32)</f>
        <v/>
      </c>
      <c r="P158" s="41" t="str">
        <f>IF(Bournemouth!S32="","",Bournemouth!S32)</f>
        <v>0*4</v>
      </c>
      <c r="Q158" s="41" t="str">
        <f>IF(Bournemouth!T32="","",Bournemouth!T32)</f>
        <v>0*4</v>
      </c>
      <c r="R158" s="41" t="str">
        <f>IF(Bournemouth!U32="","",Bournemouth!U32)</f>
        <v>0*4</v>
      </c>
      <c r="S158" s="41" t="str">
        <f>IF(Bournemouth!V32="","",Bournemouth!V32)</f>
        <v/>
      </c>
      <c r="T158" s="41" t="str">
        <f>IF(Bournemouth!W32="","",Bournemouth!W32)</f>
        <v/>
      </c>
      <c r="U158" s="41" t="str">
        <f>IF(Bournemouth!X32="","",Bournemouth!X32)</f>
        <v/>
      </c>
      <c r="V158" s="41" t="str">
        <f>IF(Bournemouth!Y32="","",Bournemouth!Y32)</f>
        <v/>
      </c>
      <c r="W158" s="201"/>
      <c r="X158" s="182"/>
      <c r="Y158" s="233"/>
      <c r="AA158" s="239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233"/>
    </row>
    <row r="159" spans="2:51" ht="12" customHeight="1" x14ac:dyDescent="0.2">
      <c r="B159" s="266"/>
      <c r="C159" s="263" t="str">
        <f>IF(Bournemouth!E33="","",Bournemouth!E33)</f>
        <v>Sam Hardy</v>
      </c>
      <c r="D159" s="259" t="str">
        <f>LEFT($B$133,3)</f>
        <v>Bou</v>
      </c>
      <c r="E159" s="251">
        <f>IF(Bournemouth!G33="","",Bournemouth!G33)</f>
        <v>3</v>
      </c>
      <c r="F159" s="181">
        <f>IF(Bournemouth!H33=0,"",Bournemouth!H33)</f>
        <v>1</v>
      </c>
      <c r="G159" s="186">
        <f>IF(Bournemouth!I33=0,"",Bournemouth!I33)</f>
        <v>2</v>
      </c>
      <c r="H159" s="181">
        <f>IF(Bournemouth!J33=0,"",Bournemouth!J33)</f>
        <v>6</v>
      </c>
      <c r="I159" s="252">
        <f>IF(Bournemouth!K33=0,"",Bournemouth!K33)</f>
        <v>11</v>
      </c>
      <c r="J159" s="163" t="str">
        <f>IF(Bournemouth!M33="","",Bournemouth!M33)</f>
        <v/>
      </c>
      <c r="K159" s="41">
        <f>IF(Bournemouth!N33="","",Bournemouth!N33)</f>
        <v>18.55</v>
      </c>
      <c r="L159" s="41" t="str">
        <f>IF(Bournemouth!O33="","",Bournemouth!O33)</f>
        <v/>
      </c>
      <c r="M159" s="41" t="str">
        <f>IF(Bournemouth!P33="","",Bournemouth!P33)</f>
        <v/>
      </c>
      <c r="N159" s="41" t="str">
        <f>IF(Bournemouth!Q33="","",Bournemouth!Q33)</f>
        <v/>
      </c>
      <c r="O159" s="41" t="str">
        <f>IF(Bournemouth!R33="","",Bournemouth!R33)</f>
        <v/>
      </c>
      <c r="P159" s="41" t="str">
        <f>IF(Bournemouth!S33="","",Bournemouth!S33)</f>
        <v/>
      </c>
      <c r="Q159" s="41" t="str">
        <f>IF(Bournemouth!T33="","",Bournemouth!T33)</f>
        <v/>
      </c>
      <c r="R159" s="41">
        <f>IF(Bournemouth!U33="","",Bournemouth!U33)</f>
        <v>16.09</v>
      </c>
      <c r="S159" s="41" t="str">
        <f>IF(Bournemouth!V33="","",Bournemouth!V33)</f>
        <v/>
      </c>
      <c r="T159" s="41" t="str">
        <f>IF(Bournemouth!W33="","",Bournemouth!W33)</f>
        <v/>
      </c>
      <c r="U159" s="41" t="str">
        <f>IF(Bournemouth!X33="","",Bournemouth!X33)</f>
        <v/>
      </c>
      <c r="V159" s="41">
        <f>IF(Bournemouth!Y33="","",Bournemouth!Y33)</f>
        <v>17.8</v>
      </c>
      <c r="W159" s="249" t="str">
        <f>IF(Bournemouth!AA33=0,"",Bournemouth!AA33)</f>
        <v/>
      </c>
      <c r="X159" s="244">
        <f>IF(Bournemouth!AB33=0,"",Bournemouth!AB33)</f>
        <v>17.48</v>
      </c>
      <c r="Y159" s="245">
        <f>IF(Bournemouth!AC33=0,"",Bournemouth!AC33)</f>
        <v>18.48</v>
      </c>
      <c r="AA159" s="246">
        <f>Y159</f>
        <v>18.48</v>
      </c>
      <c r="AB159" s="243">
        <f>X159</f>
        <v>17.48</v>
      </c>
      <c r="AC159" s="185" t="str">
        <f>C159</f>
        <v>Sam Hardy</v>
      </c>
      <c r="AD159" s="185" t="str">
        <f>LEFT($B$133,3)</f>
        <v>Bou</v>
      </c>
      <c r="AE159" s="185">
        <f t="shared" ref="AE159:AY159" si="76">E159</f>
        <v>3</v>
      </c>
      <c r="AF159" s="185">
        <f t="shared" si="76"/>
        <v>1</v>
      </c>
      <c r="AG159" s="247">
        <f t="shared" si="76"/>
        <v>2</v>
      </c>
      <c r="AH159" s="185">
        <f t="shared" si="76"/>
        <v>6</v>
      </c>
      <c r="AI159" s="247">
        <f t="shared" si="76"/>
        <v>11</v>
      </c>
      <c r="AJ159" s="243" t="str">
        <f t="shared" si="76"/>
        <v/>
      </c>
      <c r="AK159" s="243">
        <f t="shared" si="76"/>
        <v>18.55</v>
      </c>
      <c r="AL159" s="243" t="str">
        <f t="shared" si="76"/>
        <v/>
      </c>
      <c r="AM159" s="243" t="str">
        <f t="shared" si="76"/>
        <v/>
      </c>
      <c r="AN159" s="243" t="str">
        <f t="shared" si="76"/>
        <v/>
      </c>
      <c r="AO159" s="243" t="str">
        <f t="shared" si="76"/>
        <v/>
      </c>
      <c r="AP159" s="243" t="str">
        <f t="shared" si="76"/>
        <v/>
      </c>
      <c r="AQ159" s="243" t="str">
        <f t="shared" si="76"/>
        <v/>
      </c>
      <c r="AR159" s="243">
        <f t="shared" si="76"/>
        <v>16.09</v>
      </c>
      <c r="AS159" s="243" t="str">
        <f t="shared" si="76"/>
        <v/>
      </c>
      <c r="AT159" s="243" t="str">
        <f t="shared" si="76"/>
        <v/>
      </c>
      <c r="AU159" s="243" t="str">
        <f t="shared" si="76"/>
        <v/>
      </c>
      <c r="AV159" s="243">
        <f t="shared" si="76"/>
        <v>17.8</v>
      </c>
      <c r="AW159" s="247" t="str">
        <f t="shared" si="76"/>
        <v/>
      </c>
      <c r="AX159" s="243">
        <f t="shared" si="76"/>
        <v>17.48</v>
      </c>
      <c r="AY159" s="248">
        <f t="shared" si="76"/>
        <v>18.48</v>
      </c>
    </row>
    <row r="160" spans="2:51" ht="12" customHeight="1" x14ac:dyDescent="0.2">
      <c r="B160" s="266"/>
      <c r="C160" s="235"/>
      <c r="D160" s="235"/>
      <c r="E160" s="239"/>
      <c r="F160" s="182"/>
      <c r="G160" s="182"/>
      <c r="H160" s="182"/>
      <c r="I160" s="233"/>
      <c r="J160" s="163" t="str">
        <f>IF(Bournemouth!M34="","",Bournemouth!M34)</f>
        <v/>
      </c>
      <c r="K160" s="41" t="str">
        <f>IF(Bournemouth!N34="","",Bournemouth!N34)</f>
        <v>2*4</v>
      </c>
      <c r="L160" s="41" t="str">
        <f>IF(Bournemouth!O34="","",Bournemouth!O34)</f>
        <v/>
      </c>
      <c r="M160" s="41" t="str">
        <f>IF(Bournemouth!P34="","",Bournemouth!P34)</f>
        <v/>
      </c>
      <c r="N160" s="41" t="str">
        <f>IF(Bournemouth!Q34="","",Bournemouth!Q34)</f>
        <v/>
      </c>
      <c r="O160" s="41" t="str">
        <f>IF(Bournemouth!R34="","",Bournemouth!R34)</f>
        <v/>
      </c>
      <c r="P160" s="41" t="str">
        <f>IF(Bournemouth!S34="","",Bournemouth!S34)</f>
        <v/>
      </c>
      <c r="Q160" s="41" t="str">
        <f>IF(Bournemouth!T34="","",Bournemouth!T34)</f>
        <v/>
      </c>
      <c r="R160" s="41" t="str">
        <f>IF(Bournemouth!U34="","",Bournemouth!U34)</f>
        <v>0*4</v>
      </c>
      <c r="S160" s="41" t="str">
        <f>IF(Bournemouth!V34="","",Bournemouth!V34)</f>
        <v/>
      </c>
      <c r="T160" s="41" t="str">
        <f>IF(Bournemouth!W34="","",Bournemouth!W34)</f>
        <v/>
      </c>
      <c r="U160" s="41" t="str">
        <f>IF(Bournemouth!X34="","",Bournemouth!X34)</f>
        <v/>
      </c>
      <c r="V160" s="41" t="str">
        <f>IF(Bournemouth!Y34="","",Bournemouth!Y34)</f>
        <v>4*3</v>
      </c>
      <c r="W160" s="201"/>
      <c r="X160" s="182"/>
      <c r="Y160" s="233"/>
      <c r="AA160" s="239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233"/>
    </row>
    <row r="161" spans="2:51" ht="12" customHeight="1" x14ac:dyDescent="0.2">
      <c r="B161" s="266"/>
      <c r="C161" s="263" t="str">
        <f>IF(Bournemouth!E35="","",Bournemouth!E35)</f>
        <v>Jay Hibbert</v>
      </c>
      <c r="D161" s="259" t="str">
        <f>LEFT($B$133,3)</f>
        <v>Bou</v>
      </c>
      <c r="E161" s="251">
        <f>IF(Bournemouth!G35="","",Bournemouth!G35)</f>
        <v>1</v>
      </c>
      <c r="F161" s="181" t="str">
        <f>IF(Bournemouth!H35=0,"",Bournemouth!H35)</f>
        <v/>
      </c>
      <c r="G161" s="181">
        <f>IF(Bournemouth!I35=0,"",Bournemouth!I35)</f>
        <v>1</v>
      </c>
      <c r="H161" s="181" t="str">
        <f>IF(Bournemouth!J35=0,"",Bournemouth!J35)</f>
        <v/>
      </c>
      <c r="I161" s="250">
        <f>IF(Bournemouth!K35=0,"",Bournemouth!K35)</f>
        <v>4</v>
      </c>
      <c r="J161" s="163" t="str">
        <f>IF(Bournemouth!M35="","",Bournemouth!M35)</f>
        <v/>
      </c>
      <c r="K161" s="41" t="str">
        <f>IF(Bournemouth!N35="","",Bournemouth!N35)</f>
        <v/>
      </c>
      <c r="L161" s="41" t="str">
        <f>IF(Bournemouth!O35="","",Bournemouth!O35)</f>
        <v/>
      </c>
      <c r="M161" s="41" t="str">
        <f>IF(Bournemouth!P35="","",Bournemouth!P35)</f>
        <v/>
      </c>
      <c r="N161" s="41" t="str">
        <f>IF(Bournemouth!Q35="","",Bournemouth!Q35)</f>
        <v/>
      </c>
      <c r="O161" s="41">
        <f>IF(Bournemouth!R35="","",Bournemouth!R35)</f>
        <v>14.65</v>
      </c>
      <c r="P161" s="41" t="str">
        <f>IF(Bournemouth!S35="","",Bournemouth!S35)</f>
        <v/>
      </c>
      <c r="Q161" s="41" t="str">
        <f>IF(Bournemouth!T35="","",Bournemouth!T35)</f>
        <v/>
      </c>
      <c r="R161" s="41" t="str">
        <f>IF(Bournemouth!U35="","",Bournemouth!U35)</f>
        <v/>
      </c>
      <c r="S161" s="41" t="str">
        <f>IF(Bournemouth!V35="","",Bournemouth!V35)</f>
        <v/>
      </c>
      <c r="T161" s="41" t="str">
        <f>IF(Bournemouth!W35="","",Bournemouth!W35)</f>
        <v/>
      </c>
      <c r="U161" s="41" t="str">
        <f>IF(Bournemouth!X35="","",Bournemouth!X35)</f>
        <v/>
      </c>
      <c r="V161" s="41" t="str">
        <f>IF(Bournemouth!Y35="","",Bournemouth!Y35)</f>
        <v/>
      </c>
      <c r="W161" s="249" t="str">
        <f>IF(Bournemouth!AA35=0,"",Bournemouth!AA35)</f>
        <v/>
      </c>
      <c r="X161" s="244">
        <f>IF(Bournemouth!AB35=0,"",Bournemouth!AB35)</f>
        <v>14.65</v>
      </c>
      <c r="Y161" s="245">
        <f>IF(Bournemouth!AC35=0,"",Bournemouth!AC35)</f>
        <v>14.65</v>
      </c>
      <c r="AA161" s="246">
        <f>Y161</f>
        <v>14.65</v>
      </c>
      <c r="AB161" s="243">
        <f>X161</f>
        <v>14.65</v>
      </c>
      <c r="AC161" s="185" t="str">
        <f>C161</f>
        <v>Jay Hibbert</v>
      </c>
      <c r="AD161" s="185" t="str">
        <f>LEFT($B$133,3)</f>
        <v>Bou</v>
      </c>
      <c r="AE161" s="185">
        <f t="shared" ref="AE161:AY161" si="77">E161</f>
        <v>1</v>
      </c>
      <c r="AF161" s="185" t="str">
        <f t="shared" si="77"/>
        <v/>
      </c>
      <c r="AG161" s="185">
        <f t="shared" si="77"/>
        <v>1</v>
      </c>
      <c r="AH161" s="185" t="str">
        <f t="shared" si="77"/>
        <v/>
      </c>
      <c r="AI161" s="185">
        <f t="shared" si="77"/>
        <v>4</v>
      </c>
      <c r="AJ161" s="243" t="str">
        <f t="shared" si="77"/>
        <v/>
      </c>
      <c r="AK161" s="243" t="str">
        <f t="shared" si="77"/>
        <v/>
      </c>
      <c r="AL161" s="243" t="str">
        <f t="shared" si="77"/>
        <v/>
      </c>
      <c r="AM161" s="243" t="str">
        <f t="shared" si="77"/>
        <v/>
      </c>
      <c r="AN161" s="243" t="str">
        <f t="shared" si="77"/>
        <v/>
      </c>
      <c r="AO161" s="243">
        <f t="shared" si="77"/>
        <v>14.65</v>
      </c>
      <c r="AP161" s="243" t="str">
        <f t="shared" si="77"/>
        <v/>
      </c>
      <c r="AQ161" s="243" t="str">
        <f t="shared" si="77"/>
        <v/>
      </c>
      <c r="AR161" s="243" t="str">
        <f t="shared" si="77"/>
        <v/>
      </c>
      <c r="AS161" s="243" t="str">
        <f t="shared" si="77"/>
        <v/>
      </c>
      <c r="AT161" s="243" t="str">
        <f t="shared" si="77"/>
        <v/>
      </c>
      <c r="AU161" s="243" t="str">
        <f t="shared" si="77"/>
        <v/>
      </c>
      <c r="AV161" s="243" t="str">
        <f t="shared" si="77"/>
        <v/>
      </c>
      <c r="AW161" s="247" t="str">
        <f t="shared" si="77"/>
        <v/>
      </c>
      <c r="AX161" s="243">
        <f t="shared" si="77"/>
        <v>14.65</v>
      </c>
      <c r="AY161" s="248">
        <f t="shared" si="77"/>
        <v>14.65</v>
      </c>
    </row>
    <row r="162" spans="2:51" ht="12" customHeight="1" x14ac:dyDescent="0.2">
      <c r="B162" s="266"/>
      <c r="C162" s="235"/>
      <c r="D162" s="235"/>
      <c r="E162" s="239"/>
      <c r="F162" s="182"/>
      <c r="G162" s="182"/>
      <c r="H162" s="182"/>
      <c r="I162" s="233"/>
      <c r="J162" s="163" t="str">
        <f>IF(Bournemouth!M36="","",Bournemouth!M36)</f>
        <v/>
      </c>
      <c r="K162" s="41" t="str">
        <f>IF(Bournemouth!N36="","",Bournemouth!N36)</f>
        <v/>
      </c>
      <c r="L162" s="41" t="str">
        <f>IF(Bournemouth!O36="","",Bournemouth!O36)</f>
        <v/>
      </c>
      <c r="M162" s="41" t="str">
        <f>IF(Bournemouth!P36="","",Bournemouth!P36)</f>
        <v/>
      </c>
      <c r="N162" s="41" t="str">
        <f>IF(Bournemouth!Q36="","",Bournemouth!Q36)</f>
        <v/>
      </c>
      <c r="O162" s="41" t="str">
        <f>IF(Bournemouth!R36="","",Bournemouth!R36)</f>
        <v>0*4</v>
      </c>
      <c r="P162" s="41" t="str">
        <f>IF(Bournemouth!S36="","",Bournemouth!S36)</f>
        <v/>
      </c>
      <c r="Q162" s="41" t="str">
        <f>IF(Bournemouth!T36="","",Bournemouth!T36)</f>
        <v/>
      </c>
      <c r="R162" s="41" t="str">
        <f>IF(Bournemouth!U36="","",Bournemouth!U36)</f>
        <v/>
      </c>
      <c r="S162" s="41" t="str">
        <f>IF(Bournemouth!V36="","",Bournemouth!V36)</f>
        <v/>
      </c>
      <c r="T162" s="41" t="str">
        <f>IF(Bournemouth!W36="","",Bournemouth!W36)</f>
        <v/>
      </c>
      <c r="U162" s="41" t="str">
        <f>IF(Bournemouth!X36="","",Bournemouth!X36)</f>
        <v/>
      </c>
      <c r="V162" s="41" t="str">
        <f>IF(Bournemouth!Y36="","",Bournemouth!Y36)</f>
        <v/>
      </c>
      <c r="W162" s="201"/>
      <c r="X162" s="182"/>
      <c r="Y162" s="233"/>
      <c r="AA162" s="239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233"/>
    </row>
    <row r="163" spans="2:51" ht="12" customHeight="1" x14ac:dyDescent="0.2">
      <c r="B163" s="266"/>
      <c r="C163" s="263" t="str">
        <f>IF(Bournemouth!E37="","",Bournemouth!E37)</f>
        <v/>
      </c>
      <c r="D163" s="259" t="str">
        <f>LEFT($B$133,3)</f>
        <v>Bou</v>
      </c>
      <c r="E163" s="251" t="str">
        <f>IF(Bournemouth!G37="","",Bournemouth!G37)</f>
        <v/>
      </c>
      <c r="F163" s="181" t="str">
        <f>IF(Bournemouth!H37=0,"",Bournemouth!H37)</f>
        <v/>
      </c>
      <c r="G163" s="181" t="str">
        <f>IF(Bournemouth!I37=0,"",Bournemouth!I37)</f>
        <v/>
      </c>
      <c r="H163" s="181" t="str">
        <f>IF(Bournemouth!J37=0,"",Bournemouth!J37)</f>
        <v/>
      </c>
      <c r="I163" s="250" t="str">
        <f>IF(Bournemouth!K37=0,"",Bournemouth!K37)</f>
        <v/>
      </c>
      <c r="J163" s="163" t="str">
        <f>IF(Bournemouth!M37="","",Bournemouth!M37)</f>
        <v/>
      </c>
      <c r="K163" s="41" t="str">
        <f>IF(Bournemouth!N37="","",Bournemouth!N37)</f>
        <v/>
      </c>
      <c r="L163" s="41" t="str">
        <f>IF(Bournemouth!O37="","",Bournemouth!O37)</f>
        <v/>
      </c>
      <c r="M163" s="41" t="str">
        <f>IF(Bournemouth!P37="","",Bournemouth!P37)</f>
        <v/>
      </c>
      <c r="N163" s="41" t="str">
        <f>IF(Bournemouth!Q37="","",Bournemouth!Q37)</f>
        <v/>
      </c>
      <c r="O163" s="41" t="str">
        <f>IF(Bournemouth!R37="","",Bournemouth!R37)</f>
        <v/>
      </c>
      <c r="P163" s="41" t="str">
        <f>IF(Bournemouth!S37="","",Bournemouth!S37)</f>
        <v/>
      </c>
      <c r="Q163" s="41" t="str">
        <f>IF(Bournemouth!T37="","",Bournemouth!T37)</f>
        <v/>
      </c>
      <c r="R163" s="41" t="str">
        <f>IF(Bournemouth!U37="","",Bournemouth!U37)</f>
        <v/>
      </c>
      <c r="S163" s="41" t="str">
        <f>IF(Bournemouth!V37="","",Bournemouth!V37)</f>
        <v/>
      </c>
      <c r="T163" s="41" t="str">
        <f>IF(Bournemouth!W37="","",Bournemouth!W37)</f>
        <v/>
      </c>
      <c r="U163" s="41" t="str">
        <f>IF(Bournemouth!X37="","",Bournemouth!X37)</f>
        <v/>
      </c>
      <c r="V163" s="41" t="str">
        <f>IF(Bournemouth!Y37="","",Bournemouth!Y37)</f>
        <v/>
      </c>
      <c r="W163" s="249" t="str">
        <f>IF(Bournemouth!AA37=0,"",Bournemouth!AA37)</f>
        <v/>
      </c>
      <c r="X163" s="244" t="str">
        <f>IF(Bournemouth!AB37=0,"",Bournemouth!AB37)</f>
        <v/>
      </c>
      <c r="Y163" s="245" t="str">
        <f>IF(Bournemouth!AC37=0,"",Bournemouth!AC37)</f>
        <v/>
      </c>
      <c r="AA163" s="246" t="str">
        <f>Y163</f>
        <v/>
      </c>
      <c r="AB163" s="243" t="str">
        <f>X163</f>
        <v/>
      </c>
      <c r="AC163" s="185" t="str">
        <f>C163</f>
        <v/>
      </c>
      <c r="AD163" s="185" t="str">
        <f>LEFT($B$133,3)</f>
        <v>Bou</v>
      </c>
      <c r="AE163" s="185" t="str">
        <f t="shared" ref="AE163:AY163" si="78">E163</f>
        <v/>
      </c>
      <c r="AF163" s="185" t="str">
        <f t="shared" si="78"/>
        <v/>
      </c>
      <c r="AG163" s="185" t="str">
        <f t="shared" si="78"/>
        <v/>
      </c>
      <c r="AH163" s="185" t="str">
        <f t="shared" si="78"/>
        <v/>
      </c>
      <c r="AI163" s="185" t="str">
        <f t="shared" si="78"/>
        <v/>
      </c>
      <c r="AJ163" s="243" t="str">
        <f t="shared" si="78"/>
        <v/>
      </c>
      <c r="AK163" s="243" t="str">
        <f t="shared" si="78"/>
        <v/>
      </c>
      <c r="AL163" s="243" t="str">
        <f t="shared" si="78"/>
        <v/>
      </c>
      <c r="AM163" s="243" t="str">
        <f t="shared" si="78"/>
        <v/>
      </c>
      <c r="AN163" s="243" t="str">
        <f t="shared" si="78"/>
        <v/>
      </c>
      <c r="AO163" s="243" t="str">
        <f t="shared" si="78"/>
        <v/>
      </c>
      <c r="AP163" s="243" t="str">
        <f t="shared" si="78"/>
        <v/>
      </c>
      <c r="AQ163" s="243" t="str">
        <f t="shared" si="78"/>
        <v/>
      </c>
      <c r="AR163" s="243" t="str">
        <f t="shared" si="78"/>
        <v/>
      </c>
      <c r="AS163" s="243" t="str">
        <f t="shared" si="78"/>
        <v/>
      </c>
      <c r="AT163" s="243" t="str">
        <f t="shared" si="78"/>
        <v/>
      </c>
      <c r="AU163" s="243" t="str">
        <f t="shared" si="78"/>
        <v/>
      </c>
      <c r="AV163" s="243" t="str">
        <f t="shared" si="78"/>
        <v/>
      </c>
      <c r="AW163" s="247" t="str">
        <f t="shared" si="78"/>
        <v/>
      </c>
      <c r="AX163" s="243" t="str">
        <f t="shared" si="78"/>
        <v/>
      </c>
      <c r="AY163" s="248" t="str">
        <f t="shared" si="78"/>
        <v/>
      </c>
    </row>
    <row r="164" spans="2:51" ht="12" customHeight="1" x14ac:dyDescent="0.2">
      <c r="B164" s="266"/>
      <c r="C164" s="235"/>
      <c r="D164" s="235"/>
      <c r="E164" s="239"/>
      <c r="F164" s="182"/>
      <c r="G164" s="182"/>
      <c r="H164" s="182"/>
      <c r="I164" s="233"/>
      <c r="J164" s="163" t="str">
        <f>IF(Bournemouth!M38="","",Bournemouth!M38)</f>
        <v/>
      </c>
      <c r="K164" s="41" t="str">
        <f>IF(Bournemouth!N38="","",Bournemouth!N38)</f>
        <v/>
      </c>
      <c r="L164" s="41" t="str">
        <f>IF(Bournemouth!O38="","",Bournemouth!O38)</f>
        <v/>
      </c>
      <c r="M164" s="41" t="str">
        <f>IF(Bournemouth!P38="","",Bournemouth!P38)</f>
        <v/>
      </c>
      <c r="N164" s="41" t="str">
        <f>IF(Bournemouth!Q38="","",Bournemouth!Q38)</f>
        <v/>
      </c>
      <c r="O164" s="41" t="str">
        <f>IF(Bournemouth!R38="","",Bournemouth!R38)</f>
        <v/>
      </c>
      <c r="P164" s="41" t="str">
        <f>IF(Bournemouth!S38="","",Bournemouth!S38)</f>
        <v/>
      </c>
      <c r="Q164" s="41" t="str">
        <f>IF(Bournemouth!T38="","",Bournemouth!T38)</f>
        <v/>
      </c>
      <c r="R164" s="41" t="str">
        <f>IF(Bournemouth!U38="","",Bournemouth!U38)</f>
        <v/>
      </c>
      <c r="S164" s="41" t="str">
        <f>IF(Bournemouth!V38="","",Bournemouth!V38)</f>
        <v/>
      </c>
      <c r="T164" s="41" t="str">
        <f>IF(Bournemouth!W38="","",Bournemouth!W38)</f>
        <v/>
      </c>
      <c r="U164" s="41" t="str">
        <f>IF(Bournemouth!X38="","",Bournemouth!X38)</f>
        <v/>
      </c>
      <c r="V164" s="41" t="str">
        <f>IF(Bournemouth!Y38="","",Bournemouth!Y38)</f>
        <v/>
      </c>
      <c r="W164" s="201"/>
      <c r="X164" s="182"/>
      <c r="Y164" s="233"/>
      <c r="AA164" s="239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233"/>
    </row>
    <row r="165" spans="2:51" ht="12" customHeight="1" x14ac:dyDescent="0.2">
      <c r="B165" s="266"/>
      <c r="C165" s="263" t="str">
        <f>IF(Bournemouth!E39="","",Bournemouth!E39)</f>
        <v/>
      </c>
      <c r="D165" s="259" t="str">
        <f>LEFT($B$133,3)</f>
        <v>Bou</v>
      </c>
      <c r="E165" s="251" t="str">
        <f>IF(Bournemouth!G39="","",Bournemouth!G39)</f>
        <v/>
      </c>
      <c r="F165" s="181" t="str">
        <f>IF(Bournemouth!H39=0,"",Bournemouth!H39)</f>
        <v/>
      </c>
      <c r="G165" s="181" t="str">
        <f>IF(Bournemouth!I39=0,"",Bournemouth!I39)</f>
        <v/>
      </c>
      <c r="H165" s="181" t="str">
        <f>IF(Bournemouth!J39=0,"",Bournemouth!J39)</f>
        <v/>
      </c>
      <c r="I165" s="250" t="str">
        <f>IF(Bournemouth!K39=0,"",Bournemouth!K39)</f>
        <v/>
      </c>
      <c r="J165" s="163" t="str">
        <f>IF(Bournemouth!M39="","",Bournemouth!M39)</f>
        <v/>
      </c>
      <c r="K165" s="41" t="str">
        <f>IF(Bournemouth!N39="","",Bournemouth!N39)</f>
        <v/>
      </c>
      <c r="L165" s="41" t="str">
        <f>IF(Bournemouth!O39="","",Bournemouth!O39)</f>
        <v/>
      </c>
      <c r="M165" s="41" t="str">
        <f>IF(Bournemouth!P39="","",Bournemouth!P39)</f>
        <v/>
      </c>
      <c r="N165" s="41" t="str">
        <f>IF(Bournemouth!Q39="","",Bournemouth!Q39)</f>
        <v/>
      </c>
      <c r="O165" s="41" t="str">
        <f>IF(Bournemouth!R39="","",Bournemouth!R39)</f>
        <v/>
      </c>
      <c r="P165" s="41" t="str">
        <f>IF(Bournemouth!S39="","",Bournemouth!S39)</f>
        <v/>
      </c>
      <c r="Q165" s="41" t="str">
        <f>IF(Bournemouth!T39="","",Bournemouth!T39)</f>
        <v/>
      </c>
      <c r="R165" s="41" t="str">
        <f>IF(Bournemouth!U39="","",Bournemouth!U39)</f>
        <v/>
      </c>
      <c r="S165" s="41" t="str">
        <f>IF(Bournemouth!V39="","",Bournemouth!V39)</f>
        <v/>
      </c>
      <c r="T165" s="41" t="str">
        <f>IF(Bournemouth!W39="","",Bournemouth!W39)</f>
        <v/>
      </c>
      <c r="U165" s="41" t="str">
        <f>IF(Bournemouth!X39="","",Bournemouth!X39)</f>
        <v/>
      </c>
      <c r="V165" s="41" t="str">
        <f>IF(Bournemouth!Y39="","",Bournemouth!Y39)</f>
        <v/>
      </c>
      <c r="W165" s="249" t="str">
        <f>IF(Bournemouth!AA39=0,"",Bournemouth!AA39)</f>
        <v/>
      </c>
      <c r="X165" s="244" t="str">
        <f>IF(Bournemouth!AB39=0,"",Bournemouth!AB39)</f>
        <v/>
      </c>
      <c r="Y165" s="245" t="str">
        <f>IF(Bournemouth!AC39=0,"",Bournemouth!AC39)</f>
        <v/>
      </c>
      <c r="AA165" s="246" t="str">
        <f>Y165</f>
        <v/>
      </c>
      <c r="AB165" s="243" t="str">
        <f>X165</f>
        <v/>
      </c>
      <c r="AC165" s="185" t="str">
        <f>C165</f>
        <v/>
      </c>
      <c r="AD165" s="185" t="str">
        <f>LEFT($B$133,3)</f>
        <v>Bou</v>
      </c>
      <c r="AE165" s="185" t="str">
        <f t="shared" ref="AE165:AY165" si="79">E165</f>
        <v/>
      </c>
      <c r="AF165" s="185" t="str">
        <f t="shared" si="79"/>
        <v/>
      </c>
      <c r="AG165" s="185" t="str">
        <f t="shared" si="79"/>
        <v/>
      </c>
      <c r="AH165" s="185" t="str">
        <f t="shared" si="79"/>
        <v/>
      </c>
      <c r="AI165" s="185" t="str">
        <f t="shared" si="79"/>
        <v/>
      </c>
      <c r="AJ165" s="243" t="str">
        <f t="shared" si="79"/>
        <v/>
      </c>
      <c r="AK165" s="243" t="str">
        <f t="shared" si="79"/>
        <v/>
      </c>
      <c r="AL165" s="243" t="str">
        <f t="shared" si="79"/>
        <v/>
      </c>
      <c r="AM165" s="243" t="str">
        <f t="shared" si="79"/>
        <v/>
      </c>
      <c r="AN165" s="243" t="str">
        <f t="shared" si="79"/>
        <v/>
      </c>
      <c r="AO165" s="243" t="str">
        <f t="shared" si="79"/>
        <v/>
      </c>
      <c r="AP165" s="243" t="str">
        <f t="shared" si="79"/>
        <v/>
      </c>
      <c r="AQ165" s="243" t="str">
        <f t="shared" si="79"/>
        <v/>
      </c>
      <c r="AR165" s="243" t="str">
        <f t="shared" si="79"/>
        <v/>
      </c>
      <c r="AS165" s="243" t="str">
        <f t="shared" si="79"/>
        <v/>
      </c>
      <c r="AT165" s="243" t="str">
        <f t="shared" si="79"/>
        <v/>
      </c>
      <c r="AU165" s="243" t="str">
        <f t="shared" si="79"/>
        <v/>
      </c>
      <c r="AV165" s="243" t="str">
        <f t="shared" si="79"/>
        <v/>
      </c>
      <c r="AW165" s="247" t="str">
        <f t="shared" si="79"/>
        <v/>
      </c>
      <c r="AX165" s="243" t="str">
        <f t="shared" si="79"/>
        <v/>
      </c>
      <c r="AY165" s="248" t="str">
        <f t="shared" si="79"/>
        <v/>
      </c>
    </row>
    <row r="166" spans="2:51" ht="12" customHeight="1" x14ac:dyDescent="0.2">
      <c r="B166" s="266"/>
      <c r="C166" s="235"/>
      <c r="D166" s="235"/>
      <c r="E166" s="239"/>
      <c r="F166" s="182"/>
      <c r="G166" s="182"/>
      <c r="H166" s="182"/>
      <c r="I166" s="233"/>
      <c r="J166" s="163" t="str">
        <f>IF(Bournemouth!M40="","",Bournemouth!M40)</f>
        <v/>
      </c>
      <c r="K166" s="41" t="str">
        <f>IF(Bournemouth!N40="","",Bournemouth!N40)</f>
        <v/>
      </c>
      <c r="L166" s="41" t="str">
        <f>IF(Bournemouth!O40="","",Bournemouth!O40)</f>
        <v/>
      </c>
      <c r="M166" s="41" t="str">
        <f>IF(Bournemouth!P40="","",Bournemouth!P40)</f>
        <v/>
      </c>
      <c r="N166" s="41" t="str">
        <f>IF(Bournemouth!Q40="","",Bournemouth!Q40)</f>
        <v/>
      </c>
      <c r="O166" s="41" t="str">
        <f>IF(Bournemouth!R40="","",Bournemouth!R40)</f>
        <v/>
      </c>
      <c r="P166" s="41" t="str">
        <f>IF(Bournemouth!S40="","",Bournemouth!S40)</f>
        <v/>
      </c>
      <c r="Q166" s="41" t="str">
        <f>IF(Bournemouth!T40="","",Bournemouth!T40)</f>
        <v/>
      </c>
      <c r="R166" s="41" t="str">
        <f>IF(Bournemouth!U40="","",Bournemouth!U40)</f>
        <v/>
      </c>
      <c r="S166" s="41" t="str">
        <f>IF(Bournemouth!V40="","",Bournemouth!V40)</f>
        <v/>
      </c>
      <c r="T166" s="41" t="str">
        <f>IF(Bournemouth!W40="","",Bournemouth!W40)</f>
        <v/>
      </c>
      <c r="U166" s="41" t="str">
        <f>IF(Bournemouth!X40="","",Bournemouth!X40)</f>
        <v/>
      </c>
      <c r="V166" s="41" t="str">
        <f>IF(Bournemouth!Y40="","",Bournemouth!Y40)</f>
        <v/>
      </c>
      <c r="W166" s="201"/>
      <c r="X166" s="182"/>
      <c r="Y166" s="233"/>
      <c r="AA166" s="239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233"/>
    </row>
    <row r="167" spans="2:51" ht="12" customHeight="1" x14ac:dyDescent="0.2">
      <c r="B167" s="266"/>
      <c r="C167" s="263" t="str">
        <f>IF(Bournemouth!E41="","",Bournemouth!E41)</f>
        <v/>
      </c>
      <c r="D167" s="259" t="str">
        <f>LEFT($B$133,3)</f>
        <v>Bou</v>
      </c>
      <c r="E167" s="251" t="str">
        <f>IF(Bournemouth!G41="","",Bournemouth!G41)</f>
        <v/>
      </c>
      <c r="F167" s="181" t="str">
        <f>IF(Bournemouth!H41=0,"",Bournemouth!H41)</f>
        <v/>
      </c>
      <c r="G167" s="181" t="str">
        <f>IF(Bournemouth!I41=0,"",Bournemouth!I41)</f>
        <v/>
      </c>
      <c r="H167" s="181" t="str">
        <f>IF(Bournemouth!J41=0,"",Bournemouth!J41)</f>
        <v/>
      </c>
      <c r="I167" s="250" t="str">
        <f>IF(Bournemouth!K41=0,"",Bournemouth!K41)</f>
        <v/>
      </c>
      <c r="J167" s="163" t="str">
        <f>IF(Bournemouth!M41="","",Bournemouth!M41)</f>
        <v/>
      </c>
      <c r="K167" s="41" t="str">
        <f>IF(Bournemouth!N41="","",Bournemouth!N41)</f>
        <v/>
      </c>
      <c r="L167" s="41" t="str">
        <f>IF(Bournemouth!O41="","",Bournemouth!O41)</f>
        <v/>
      </c>
      <c r="M167" s="41" t="str">
        <f>IF(Bournemouth!P41="","",Bournemouth!P41)</f>
        <v/>
      </c>
      <c r="N167" s="41" t="str">
        <f>IF(Bournemouth!Q41="","",Bournemouth!Q41)</f>
        <v/>
      </c>
      <c r="O167" s="41" t="str">
        <f>IF(Bournemouth!R41="","",Bournemouth!R41)</f>
        <v/>
      </c>
      <c r="P167" s="41" t="str">
        <f>IF(Bournemouth!S41="","",Bournemouth!S41)</f>
        <v/>
      </c>
      <c r="Q167" s="41" t="str">
        <f>IF(Bournemouth!T41="","",Bournemouth!T41)</f>
        <v/>
      </c>
      <c r="R167" s="41" t="str">
        <f>IF(Bournemouth!U41="","",Bournemouth!U41)</f>
        <v/>
      </c>
      <c r="S167" s="41" t="str">
        <f>IF(Bournemouth!V41="","",Bournemouth!V41)</f>
        <v/>
      </c>
      <c r="T167" s="41" t="str">
        <f>IF(Bournemouth!W41="","",Bournemouth!W41)</f>
        <v/>
      </c>
      <c r="U167" s="41" t="str">
        <f>IF(Bournemouth!X41="","",Bournemouth!X41)</f>
        <v/>
      </c>
      <c r="V167" s="41" t="str">
        <f>IF(Bournemouth!Y41="","",Bournemouth!Y41)</f>
        <v/>
      </c>
      <c r="W167" s="249" t="str">
        <f>IF(Bournemouth!AA41=0,"",Bournemouth!AA41)</f>
        <v/>
      </c>
      <c r="X167" s="244" t="str">
        <f>IF(Bournemouth!AB41=0,"",Bournemouth!AB41)</f>
        <v/>
      </c>
      <c r="Y167" s="245" t="str">
        <f>IF(Bournemouth!AC41=0,"",Bournemouth!AC41)</f>
        <v/>
      </c>
      <c r="AA167" s="246" t="str">
        <f>Y167</f>
        <v/>
      </c>
      <c r="AB167" s="243" t="str">
        <f>X167</f>
        <v/>
      </c>
      <c r="AC167" s="185" t="str">
        <f>C167</f>
        <v/>
      </c>
      <c r="AD167" s="185" t="str">
        <f>LEFT($B$133,3)</f>
        <v>Bou</v>
      </c>
      <c r="AE167" s="185" t="str">
        <f t="shared" ref="AE167:AY167" si="80">E167</f>
        <v/>
      </c>
      <c r="AF167" s="185" t="str">
        <f t="shared" si="80"/>
        <v/>
      </c>
      <c r="AG167" s="185" t="str">
        <f t="shared" si="80"/>
        <v/>
      </c>
      <c r="AH167" s="185" t="str">
        <f t="shared" si="80"/>
        <v/>
      </c>
      <c r="AI167" s="185" t="str">
        <f t="shared" si="80"/>
        <v/>
      </c>
      <c r="AJ167" s="243" t="str">
        <f t="shared" si="80"/>
        <v/>
      </c>
      <c r="AK167" s="243" t="str">
        <f t="shared" si="80"/>
        <v/>
      </c>
      <c r="AL167" s="243" t="str">
        <f t="shared" si="80"/>
        <v/>
      </c>
      <c r="AM167" s="243" t="str">
        <f t="shared" si="80"/>
        <v/>
      </c>
      <c r="AN167" s="243" t="str">
        <f t="shared" si="80"/>
        <v/>
      </c>
      <c r="AO167" s="243" t="str">
        <f t="shared" si="80"/>
        <v/>
      </c>
      <c r="AP167" s="243" t="str">
        <f t="shared" si="80"/>
        <v/>
      </c>
      <c r="AQ167" s="243" t="str">
        <f t="shared" si="80"/>
        <v/>
      </c>
      <c r="AR167" s="243" t="str">
        <f t="shared" si="80"/>
        <v/>
      </c>
      <c r="AS167" s="243" t="str">
        <f t="shared" si="80"/>
        <v/>
      </c>
      <c r="AT167" s="243" t="str">
        <f t="shared" si="80"/>
        <v/>
      </c>
      <c r="AU167" s="243" t="str">
        <f t="shared" si="80"/>
        <v/>
      </c>
      <c r="AV167" s="243" t="str">
        <f t="shared" si="80"/>
        <v/>
      </c>
      <c r="AW167" s="247" t="str">
        <f t="shared" si="80"/>
        <v/>
      </c>
      <c r="AX167" s="243" t="str">
        <f t="shared" si="80"/>
        <v/>
      </c>
      <c r="AY167" s="248" t="str">
        <f t="shared" si="80"/>
        <v/>
      </c>
    </row>
    <row r="168" spans="2:51" ht="12" customHeight="1" x14ac:dyDescent="0.2">
      <c r="B168" s="266"/>
      <c r="C168" s="235"/>
      <c r="D168" s="235"/>
      <c r="E168" s="239"/>
      <c r="F168" s="182"/>
      <c r="G168" s="182"/>
      <c r="H168" s="182"/>
      <c r="I168" s="233"/>
      <c r="J168" s="163" t="str">
        <f>IF(Bournemouth!M42="","",Bournemouth!M42)</f>
        <v/>
      </c>
      <c r="K168" s="41" t="str">
        <f>IF(Bournemouth!N42="","",Bournemouth!N42)</f>
        <v/>
      </c>
      <c r="L168" s="41" t="str">
        <f>IF(Bournemouth!O42="","",Bournemouth!O42)</f>
        <v/>
      </c>
      <c r="M168" s="41" t="str">
        <f>IF(Bournemouth!P42="","",Bournemouth!P42)</f>
        <v/>
      </c>
      <c r="N168" s="41" t="str">
        <f>IF(Bournemouth!Q42="","",Bournemouth!Q42)</f>
        <v/>
      </c>
      <c r="O168" s="41" t="str">
        <f>IF(Bournemouth!R42="","",Bournemouth!R42)</f>
        <v/>
      </c>
      <c r="P168" s="41" t="str">
        <f>IF(Bournemouth!S42="","",Bournemouth!S42)</f>
        <v/>
      </c>
      <c r="Q168" s="41" t="str">
        <f>IF(Bournemouth!T42="","",Bournemouth!T42)</f>
        <v/>
      </c>
      <c r="R168" s="41" t="str">
        <f>IF(Bournemouth!U42="","",Bournemouth!U42)</f>
        <v/>
      </c>
      <c r="S168" s="41" t="str">
        <f>IF(Bournemouth!V42="","",Bournemouth!V42)</f>
        <v/>
      </c>
      <c r="T168" s="41" t="str">
        <f>IF(Bournemouth!W42="","",Bournemouth!W42)</f>
        <v/>
      </c>
      <c r="U168" s="41" t="str">
        <f>IF(Bournemouth!X42="","",Bournemouth!X42)</f>
        <v/>
      </c>
      <c r="V168" s="41" t="str">
        <f>IF(Bournemouth!Y42="","",Bournemouth!Y42)</f>
        <v/>
      </c>
      <c r="W168" s="201"/>
      <c r="X168" s="182"/>
      <c r="Y168" s="233"/>
      <c r="AA168" s="239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233"/>
    </row>
    <row r="169" spans="2:51" ht="12" customHeight="1" x14ac:dyDescent="0.2">
      <c r="B169" s="266"/>
      <c r="C169" s="263" t="str">
        <f>IF(Bournemouth!E43="","",Bournemouth!E43)</f>
        <v/>
      </c>
      <c r="D169" s="259" t="str">
        <f>LEFT($B$133,3)</f>
        <v>Bou</v>
      </c>
      <c r="E169" s="251" t="str">
        <f>IF(Bournemouth!G43="","",Bournemouth!G43)</f>
        <v/>
      </c>
      <c r="F169" s="181" t="str">
        <f>IF(Bournemouth!H43=0,"",Bournemouth!H43)</f>
        <v/>
      </c>
      <c r="G169" s="181" t="str">
        <f>IF(Bournemouth!I43=0,"",Bournemouth!I43)</f>
        <v/>
      </c>
      <c r="H169" s="181" t="str">
        <f>IF(Bournemouth!J43=0,"",Bournemouth!J43)</f>
        <v/>
      </c>
      <c r="I169" s="250" t="str">
        <f>IF(Bournemouth!K43=0,"",Bournemouth!K43)</f>
        <v/>
      </c>
      <c r="J169" s="163" t="str">
        <f>IF(Bournemouth!M43="","",Bournemouth!M43)</f>
        <v/>
      </c>
      <c r="K169" s="41" t="str">
        <f>IF(Bournemouth!N43="","",Bournemouth!N43)</f>
        <v/>
      </c>
      <c r="L169" s="41" t="str">
        <f>IF(Bournemouth!O43="","",Bournemouth!O43)</f>
        <v/>
      </c>
      <c r="M169" s="41" t="str">
        <f>IF(Bournemouth!P43="","",Bournemouth!P43)</f>
        <v/>
      </c>
      <c r="N169" s="41" t="str">
        <f>IF(Bournemouth!Q43="","",Bournemouth!Q43)</f>
        <v/>
      </c>
      <c r="O169" s="41" t="str">
        <f>IF(Bournemouth!R43="","",Bournemouth!R43)</f>
        <v/>
      </c>
      <c r="P169" s="41" t="str">
        <f>IF(Bournemouth!S43="","",Bournemouth!S43)</f>
        <v/>
      </c>
      <c r="Q169" s="41" t="str">
        <f>IF(Bournemouth!T43="","",Bournemouth!T43)</f>
        <v/>
      </c>
      <c r="R169" s="41" t="str">
        <f>IF(Bournemouth!U43="","",Bournemouth!U43)</f>
        <v/>
      </c>
      <c r="S169" s="41" t="str">
        <f>IF(Bournemouth!V43="","",Bournemouth!V43)</f>
        <v/>
      </c>
      <c r="T169" s="41" t="str">
        <f>IF(Bournemouth!W43="","",Bournemouth!W43)</f>
        <v/>
      </c>
      <c r="U169" s="41" t="str">
        <f>IF(Bournemouth!X43="","",Bournemouth!X43)</f>
        <v/>
      </c>
      <c r="V169" s="41" t="str">
        <f>IF(Bournemouth!Y43="","",Bournemouth!Y43)</f>
        <v/>
      </c>
      <c r="W169" s="249" t="str">
        <f>IF(Bournemouth!AA43=0,"",Bournemouth!AA43)</f>
        <v/>
      </c>
      <c r="X169" s="244" t="str">
        <f>IF(Bournemouth!AB43=0,"",Bournemouth!AB43)</f>
        <v/>
      </c>
      <c r="Y169" s="245" t="str">
        <f>IF(Bournemouth!AC43=0,"",Bournemouth!AC43)</f>
        <v/>
      </c>
      <c r="AA169" s="246" t="str">
        <f>Y169</f>
        <v/>
      </c>
      <c r="AB169" s="243" t="str">
        <f>X169</f>
        <v/>
      </c>
      <c r="AC169" s="185" t="str">
        <f>C169</f>
        <v/>
      </c>
      <c r="AD169" s="185" t="str">
        <f>LEFT($B$133,3)</f>
        <v>Bou</v>
      </c>
      <c r="AE169" s="185" t="str">
        <f t="shared" ref="AE169:AY169" si="81">E169</f>
        <v/>
      </c>
      <c r="AF169" s="185" t="str">
        <f t="shared" si="81"/>
        <v/>
      </c>
      <c r="AG169" s="185" t="str">
        <f t="shared" si="81"/>
        <v/>
      </c>
      <c r="AH169" s="185" t="str">
        <f t="shared" si="81"/>
        <v/>
      </c>
      <c r="AI169" s="185" t="str">
        <f t="shared" si="81"/>
        <v/>
      </c>
      <c r="AJ169" s="243" t="str">
        <f t="shared" si="81"/>
        <v/>
      </c>
      <c r="AK169" s="243" t="str">
        <f t="shared" si="81"/>
        <v/>
      </c>
      <c r="AL169" s="243" t="str">
        <f t="shared" si="81"/>
        <v/>
      </c>
      <c r="AM169" s="243" t="str">
        <f t="shared" si="81"/>
        <v/>
      </c>
      <c r="AN169" s="243" t="str">
        <f t="shared" si="81"/>
        <v/>
      </c>
      <c r="AO169" s="243" t="str">
        <f t="shared" si="81"/>
        <v/>
      </c>
      <c r="AP169" s="243" t="str">
        <f t="shared" si="81"/>
        <v/>
      </c>
      <c r="AQ169" s="243" t="str">
        <f t="shared" si="81"/>
        <v/>
      </c>
      <c r="AR169" s="243" t="str">
        <f t="shared" si="81"/>
        <v/>
      </c>
      <c r="AS169" s="243" t="str">
        <f t="shared" si="81"/>
        <v/>
      </c>
      <c r="AT169" s="243" t="str">
        <f t="shared" si="81"/>
        <v/>
      </c>
      <c r="AU169" s="243" t="str">
        <f t="shared" si="81"/>
        <v/>
      </c>
      <c r="AV169" s="243" t="str">
        <f t="shared" si="81"/>
        <v/>
      </c>
      <c r="AW169" s="247" t="str">
        <f t="shared" si="81"/>
        <v/>
      </c>
      <c r="AX169" s="243" t="str">
        <f t="shared" si="81"/>
        <v/>
      </c>
      <c r="AY169" s="248" t="str">
        <f t="shared" si="81"/>
        <v/>
      </c>
    </row>
    <row r="170" spans="2:51" ht="12" customHeight="1" x14ac:dyDescent="0.2">
      <c r="B170" s="266"/>
      <c r="C170" s="235"/>
      <c r="D170" s="235"/>
      <c r="E170" s="239"/>
      <c r="F170" s="182"/>
      <c r="G170" s="182"/>
      <c r="H170" s="182"/>
      <c r="I170" s="233"/>
      <c r="J170" s="163" t="str">
        <f>IF(Bournemouth!M44="","",Bournemouth!M44)</f>
        <v/>
      </c>
      <c r="K170" s="41" t="str">
        <f>IF(Bournemouth!N44="","",Bournemouth!N44)</f>
        <v/>
      </c>
      <c r="L170" s="41" t="str">
        <f>IF(Bournemouth!O44="","",Bournemouth!O44)</f>
        <v/>
      </c>
      <c r="M170" s="41" t="str">
        <f>IF(Bournemouth!P44="","",Bournemouth!P44)</f>
        <v/>
      </c>
      <c r="N170" s="41" t="str">
        <f>IF(Bournemouth!Q44="","",Bournemouth!Q44)</f>
        <v/>
      </c>
      <c r="O170" s="41" t="str">
        <f>IF(Bournemouth!R44="","",Bournemouth!R44)</f>
        <v/>
      </c>
      <c r="P170" s="41" t="str">
        <f>IF(Bournemouth!S44="","",Bournemouth!S44)</f>
        <v/>
      </c>
      <c r="Q170" s="41" t="str">
        <f>IF(Bournemouth!T44="","",Bournemouth!T44)</f>
        <v/>
      </c>
      <c r="R170" s="41" t="str">
        <f>IF(Bournemouth!U44="","",Bournemouth!U44)</f>
        <v/>
      </c>
      <c r="S170" s="41" t="str">
        <f>IF(Bournemouth!V44="","",Bournemouth!V44)</f>
        <v/>
      </c>
      <c r="T170" s="41" t="str">
        <f>IF(Bournemouth!W44="","",Bournemouth!W44)</f>
        <v/>
      </c>
      <c r="U170" s="41" t="str">
        <f>IF(Bournemouth!X44="","",Bournemouth!X44)</f>
        <v/>
      </c>
      <c r="V170" s="41" t="str">
        <f>IF(Bournemouth!Y44="","",Bournemouth!Y44)</f>
        <v/>
      </c>
      <c r="W170" s="201"/>
      <c r="X170" s="182"/>
      <c r="Y170" s="233"/>
      <c r="AA170" s="239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233"/>
    </row>
    <row r="171" spans="2:51" ht="12" customHeight="1" x14ac:dyDescent="0.2">
      <c r="B171" s="266"/>
      <c r="C171" s="263" t="str">
        <f>IF(Bournemouth!E45="","",Bournemouth!E45)</f>
        <v/>
      </c>
      <c r="D171" s="259" t="str">
        <f>LEFT($B$133,3)</f>
        <v>Bou</v>
      </c>
      <c r="E171" s="251" t="str">
        <f>IF(Bournemouth!G45="","",Bournemouth!G45)</f>
        <v/>
      </c>
      <c r="F171" s="181" t="str">
        <f>IF(Bournemouth!H45=0,"",Bournemouth!H45)</f>
        <v/>
      </c>
      <c r="G171" s="181" t="str">
        <f>IF(Bournemouth!I45=0,"",Bournemouth!I45)</f>
        <v/>
      </c>
      <c r="H171" s="181" t="str">
        <f>IF(Bournemouth!J45=0,"",Bournemouth!J45)</f>
        <v/>
      </c>
      <c r="I171" s="250" t="str">
        <f>IF(Bournemouth!K45=0,"",Bournemouth!K45)</f>
        <v/>
      </c>
      <c r="J171" s="163" t="str">
        <f>IF(Bournemouth!M45="","",Bournemouth!M45)</f>
        <v/>
      </c>
      <c r="K171" s="41" t="str">
        <f>IF(Bournemouth!N45="","",Bournemouth!N45)</f>
        <v/>
      </c>
      <c r="L171" s="41" t="str">
        <f>IF(Bournemouth!O45="","",Bournemouth!O45)</f>
        <v/>
      </c>
      <c r="M171" s="41" t="str">
        <f>IF(Bournemouth!P45="","",Bournemouth!P45)</f>
        <v/>
      </c>
      <c r="N171" s="41" t="str">
        <f>IF(Bournemouth!Q45="","",Bournemouth!Q45)</f>
        <v/>
      </c>
      <c r="O171" s="41" t="str">
        <f>IF(Bournemouth!R45="","",Bournemouth!R45)</f>
        <v/>
      </c>
      <c r="P171" s="41" t="str">
        <f>IF(Bournemouth!S45="","",Bournemouth!S45)</f>
        <v/>
      </c>
      <c r="Q171" s="41" t="str">
        <f>IF(Bournemouth!T45="","",Bournemouth!T45)</f>
        <v/>
      </c>
      <c r="R171" s="41" t="str">
        <f>IF(Bournemouth!U45="","",Bournemouth!U45)</f>
        <v/>
      </c>
      <c r="S171" s="41" t="str">
        <f>IF(Bournemouth!V45="","",Bournemouth!V45)</f>
        <v/>
      </c>
      <c r="T171" s="41" t="str">
        <f>IF(Bournemouth!W45="","",Bournemouth!W45)</f>
        <v/>
      </c>
      <c r="U171" s="41" t="str">
        <f>IF(Bournemouth!X45="","",Bournemouth!X45)</f>
        <v/>
      </c>
      <c r="V171" s="41" t="str">
        <f>IF(Bournemouth!Y45="","",Bournemouth!Y45)</f>
        <v/>
      </c>
      <c r="W171" s="249" t="str">
        <f>IF(Bournemouth!AA45=0,"",Bournemouth!AA45)</f>
        <v/>
      </c>
      <c r="X171" s="244" t="str">
        <f>IF(Bournemouth!AB45=0,"",Bournemouth!AB45)</f>
        <v/>
      </c>
      <c r="Y171" s="245" t="str">
        <f>IF(Bournemouth!AC45=0,"",Bournemouth!AC45)</f>
        <v/>
      </c>
      <c r="AA171" s="246" t="str">
        <f>Y171</f>
        <v/>
      </c>
      <c r="AB171" s="243" t="str">
        <f>X171</f>
        <v/>
      </c>
      <c r="AC171" s="185" t="str">
        <f>C171</f>
        <v/>
      </c>
      <c r="AD171" s="185" t="str">
        <f>LEFT($B$133,3)</f>
        <v>Bou</v>
      </c>
      <c r="AE171" s="185" t="str">
        <f t="shared" ref="AE171:AY171" si="82">E171</f>
        <v/>
      </c>
      <c r="AF171" s="185" t="str">
        <f t="shared" si="82"/>
        <v/>
      </c>
      <c r="AG171" s="185" t="str">
        <f t="shared" si="82"/>
        <v/>
      </c>
      <c r="AH171" s="185" t="str">
        <f t="shared" si="82"/>
        <v/>
      </c>
      <c r="AI171" s="185" t="str">
        <f t="shared" si="82"/>
        <v/>
      </c>
      <c r="AJ171" s="243" t="str">
        <f t="shared" si="82"/>
        <v/>
      </c>
      <c r="AK171" s="243" t="str">
        <f t="shared" si="82"/>
        <v/>
      </c>
      <c r="AL171" s="243" t="str">
        <f t="shared" si="82"/>
        <v/>
      </c>
      <c r="AM171" s="243" t="str">
        <f t="shared" si="82"/>
        <v/>
      </c>
      <c r="AN171" s="243" t="str">
        <f t="shared" si="82"/>
        <v/>
      </c>
      <c r="AO171" s="243" t="str">
        <f t="shared" si="82"/>
        <v/>
      </c>
      <c r="AP171" s="243" t="str">
        <f t="shared" si="82"/>
        <v/>
      </c>
      <c r="AQ171" s="243" t="str">
        <f t="shared" si="82"/>
        <v/>
      </c>
      <c r="AR171" s="243" t="str">
        <f t="shared" si="82"/>
        <v/>
      </c>
      <c r="AS171" s="243" t="str">
        <f t="shared" si="82"/>
        <v/>
      </c>
      <c r="AT171" s="243" t="str">
        <f t="shared" si="82"/>
        <v/>
      </c>
      <c r="AU171" s="243" t="str">
        <f t="shared" si="82"/>
        <v/>
      </c>
      <c r="AV171" s="243" t="str">
        <f t="shared" si="82"/>
        <v/>
      </c>
      <c r="AW171" s="247" t="str">
        <f t="shared" si="82"/>
        <v/>
      </c>
      <c r="AX171" s="243" t="str">
        <f t="shared" si="82"/>
        <v/>
      </c>
      <c r="AY171" s="248" t="str">
        <f t="shared" si="82"/>
        <v/>
      </c>
    </row>
    <row r="172" spans="2:51" ht="12" customHeight="1" x14ac:dyDescent="0.2">
      <c r="B172" s="266"/>
      <c r="C172" s="235"/>
      <c r="D172" s="235"/>
      <c r="E172" s="239"/>
      <c r="F172" s="182"/>
      <c r="G172" s="182"/>
      <c r="H172" s="182"/>
      <c r="I172" s="233"/>
      <c r="J172" s="163" t="str">
        <f>IF(Bournemouth!M46="","",Bournemouth!M46)</f>
        <v/>
      </c>
      <c r="K172" s="41" t="str">
        <f>IF(Bournemouth!N46="","",Bournemouth!N46)</f>
        <v/>
      </c>
      <c r="L172" s="41" t="str">
        <f>IF(Bournemouth!O46="","",Bournemouth!O46)</f>
        <v/>
      </c>
      <c r="M172" s="41" t="str">
        <f>IF(Bournemouth!P46="","",Bournemouth!P46)</f>
        <v/>
      </c>
      <c r="N172" s="41" t="str">
        <f>IF(Bournemouth!Q46="","",Bournemouth!Q46)</f>
        <v/>
      </c>
      <c r="O172" s="41" t="str">
        <f>IF(Bournemouth!R46="","",Bournemouth!R46)</f>
        <v/>
      </c>
      <c r="P172" s="41" t="str">
        <f>IF(Bournemouth!S46="","",Bournemouth!S46)</f>
        <v/>
      </c>
      <c r="Q172" s="41" t="str">
        <f>IF(Bournemouth!T46="","",Bournemouth!T46)</f>
        <v/>
      </c>
      <c r="R172" s="41" t="str">
        <f>IF(Bournemouth!U46="","",Bournemouth!U46)</f>
        <v/>
      </c>
      <c r="S172" s="41" t="str">
        <f>IF(Bournemouth!V46="","",Bournemouth!V46)</f>
        <v/>
      </c>
      <c r="T172" s="41" t="str">
        <f>IF(Bournemouth!W46="","",Bournemouth!W46)</f>
        <v/>
      </c>
      <c r="U172" s="41" t="str">
        <f>IF(Bournemouth!X46="","",Bournemouth!X46)</f>
        <v/>
      </c>
      <c r="V172" s="41" t="str">
        <f>IF(Bournemouth!Y46="","",Bournemouth!Y46)</f>
        <v/>
      </c>
      <c r="W172" s="201"/>
      <c r="X172" s="182"/>
      <c r="Y172" s="233"/>
      <c r="AA172" s="239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233"/>
    </row>
    <row r="173" spans="2:51" ht="12" customHeight="1" x14ac:dyDescent="0.2">
      <c r="B173" s="266"/>
      <c r="C173" s="263" t="str">
        <f>IF(Bournemouth!E47="","",Bournemouth!E47)</f>
        <v/>
      </c>
      <c r="D173" s="259" t="str">
        <f>LEFT($B$133,3)</f>
        <v>Bou</v>
      </c>
      <c r="E173" s="251" t="str">
        <f>IF(Bournemouth!G47="","",Bournemouth!G47)</f>
        <v/>
      </c>
      <c r="F173" s="181" t="str">
        <f>IF(Bournemouth!H47=0,"",Bournemouth!H47)</f>
        <v/>
      </c>
      <c r="G173" s="181" t="str">
        <f>IF(Bournemouth!I47=0,"",Bournemouth!I47)</f>
        <v/>
      </c>
      <c r="H173" s="181" t="str">
        <f>IF(Bournemouth!J47=0,"",Bournemouth!J47)</f>
        <v/>
      </c>
      <c r="I173" s="250" t="str">
        <f>IF(Bournemouth!K47=0,"",Bournemouth!K47)</f>
        <v/>
      </c>
      <c r="J173" s="163" t="str">
        <f>IF(Bournemouth!M47="","",Bournemouth!M47)</f>
        <v/>
      </c>
      <c r="K173" s="41" t="str">
        <f>IF(Bournemouth!N47="","",Bournemouth!N47)</f>
        <v/>
      </c>
      <c r="L173" s="41" t="str">
        <f>IF(Bournemouth!O47="","",Bournemouth!O47)</f>
        <v/>
      </c>
      <c r="M173" s="41" t="str">
        <f>IF(Bournemouth!P47="","",Bournemouth!P47)</f>
        <v/>
      </c>
      <c r="N173" s="41" t="str">
        <f>IF(Bournemouth!Q47="","",Bournemouth!Q47)</f>
        <v/>
      </c>
      <c r="O173" s="41" t="str">
        <f>IF(Bournemouth!R47="","",Bournemouth!R47)</f>
        <v/>
      </c>
      <c r="P173" s="41" t="str">
        <f>IF(Bournemouth!S47="","",Bournemouth!S47)</f>
        <v/>
      </c>
      <c r="Q173" s="41" t="str">
        <f>IF(Bournemouth!T47="","",Bournemouth!T47)</f>
        <v/>
      </c>
      <c r="R173" s="41" t="str">
        <f>IF(Bournemouth!U47="","",Bournemouth!U47)</f>
        <v/>
      </c>
      <c r="S173" s="41" t="str">
        <f>IF(Bournemouth!V47="","",Bournemouth!V47)</f>
        <v/>
      </c>
      <c r="T173" s="41" t="str">
        <f>IF(Bournemouth!W47="","",Bournemouth!W47)</f>
        <v/>
      </c>
      <c r="U173" s="41" t="str">
        <f>IF(Bournemouth!X47="","",Bournemouth!X47)</f>
        <v/>
      </c>
      <c r="V173" s="41" t="str">
        <f>IF(Bournemouth!Y47="","",Bournemouth!Y47)</f>
        <v/>
      </c>
      <c r="W173" s="249" t="str">
        <f>IF(Bournemouth!AA47=0,"",Bournemouth!AA47)</f>
        <v/>
      </c>
      <c r="X173" s="244" t="str">
        <f>IF(Bournemouth!AB47=0,"",Bournemouth!AB47)</f>
        <v/>
      </c>
      <c r="Y173" s="245" t="str">
        <f>IF(Bournemouth!AC47=0,"",Bournemouth!AC47)</f>
        <v/>
      </c>
      <c r="AA173" s="246" t="str">
        <f>Y173</f>
        <v/>
      </c>
      <c r="AB173" s="243" t="str">
        <f>X173</f>
        <v/>
      </c>
      <c r="AC173" s="185" t="str">
        <f>C173</f>
        <v/>
      </c>
      <c r="AD173" s="185" t="str">
        <f>LEFT($B$133,3)</f>
        <v>Bou</v>
      </c>
      <c r="AE173" s="185" t="str">
        <f t="shared" ref="AE173:AY173" si="83">E173</f>
        <v/>
      </c>
      <c r="AF173" s="185" t="str">
        <f t="shared" si="83"/>
        <v/>
      </c>
      <c r="AG173" s="185" t="str">
        <f t="shared" si="83"/>
        <v/>
      </c>
      <c r="AH173" s="185" t="str">
        <f t="shared" si="83"/>
        <v/>
      </c>
      <c r="AI173" s="185" t="str">
        <f t="shared" si="83"/>
        <v/>
      </c>
      <c r="AJ173" s="243" t="str">
        <f t="shared" si="83"/>
        <v/>
      </c>
      <c r="AK173" s="243" t="str">
        <f t="shared" si="83"/>
        <v/>
      </c>
      <c r="AL173" s="243" t="str">
        <f t="shared" si="83"/>
        <v/>
      </c>
      <c r="AM173" s="243" t="str">
        <f t="shared" si="83"/>
        <v/>
      </c>
      <c r="AN173" s="243" t="str">
        <f t="shared" si="83"/>
        <v/>
      </c>
      <c r="AO173" s="243" t="str">
        <f t="shared" si="83"/>
        <v/>
      </c>
      <c r="AP173" s="243" t="str">
        <f t="shared" si="83"/>
        <v/>
      </c>
      <c r="AQ173" s="243" t="str">
        <f t="shared" si="83"/>
        <v/>
      </c>
      <c r="AR173" s="243" t="str">
        <f t="shared" si="83"/>
        <v/>
      </c>
      <c r="AS173" s="243" t="str">
        <f t="shared" si="83"/>
        <v/>
      </c>
      <c r="AT173" s="243" t="str">
        <f t="shared" si="83"/>
        <v/>
      </c>
      <c r="AU173" s="243" t="str">
        <f t="shared" si="83"/>
        <v/>
      </c>
      <c r="AV173" s="243" t="str">
        <f t="shared" si="83"/>
        <v/>
      </c>
      <c r="AW173" s="247" t="str">
        <f t="shared" si="83"/>
        <v/>
      </c>
      <c r="AX173" s="243" t="str">
        <f t="shared" si="83"/>
        <v/>
      </c>
      <c r="AY173" s="248" t="str">
        <f t="shared" si="83"/>
        <v/>
      </c>
    </row>
    <row r="174" spans="2:51" ht="12.75" customHeight="1" x14ac:dyDescent="0.2">
      <c r="B174" s="211"/>
      <c r="C174" s="211"/>
      <c r="D174" s="211"/>
      <c r="E174" s="223"/>
      <c r="F174" s="225"/>
      <c r="G174" s="225"/>
      <c r="H174" s="225"/>
      <c r="I174" s="228"/>
      <c r="J174" s="164" t="str">
        <f>IF(Bournemouth!M48="","",Bournemouth!M48)</f>
        <v/>
      </c>
      <c r="K174" s="165" t="str">
        <f>IF(Bournemouth!N48="","",Bournemouth!N48)</f>
        <v/>
      </c>
      <c r="L174" s="165" t="str">
        <f>IF(Bournemouth!O48="","",Bournemouth!O48)</f>
        <v/>
      </c>
      <c r="M174" s="165" t="str">
        <f>IF(Bournemouth!P48="","",Bournemouth!P48)</f>
        <v/>
      </c>
      <c r="N174" s="165" t="str">
        <f>IF(Bournemouth!Q48="","",Bournemouth!Q48)</f>
        <v/>
      </c>
      <c r="O174" s="165" t="str">
        <f>IF(Bournemouth!R48="","",Bournemouth!R48)</f>
        <v/>
      </c>
      <c r="P174" s="165" t="str">
        <f>IF(Bournemouth!S48="","",Bournemouth!S48)</f>
        <v/>
      </c>
      <c r="Q174" s="165" t="str">
        <f>IF(Bournemouth!T48="","",Bournemouth!T48)</f>
        <v/>
      </c>
      <c r="R174" s="165" t="str">
        <f>IF(Bournemouth!U48="","",Bournemouth!U48)</f>
        <v/>
      </c>
      <c r="S174" s="165" t="str">
        <f>IF(Bournemouth!V48="","",Bournemouth!V48)</f>
        <v/>
      </c>
      <c r="T174" s="165" t="str">
        <f>IF(Bournemouth!W48="","",Bournemouth!W48)</f>
        <v/>
      </c>
      <c r="U174" s="165" t="str">
        <f>IF(Bournemouth!X48="","",Bournemouth!X48)</f>
        <v/>
      </c>
      <c r="V174" s="165" t="str">
        <f>IF(Bournemouth!Y48="","",Bournemouth!Y48)</f>
        <v/>
      </c>
      <c r="W174" s="261"/>
      <c r="X174" s="225"/>
      <c r="Y174" s="228"/>
      <c r="AA174" s="239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233"/>
    </row>
    <row r="175" spans="2:51" ht="12.75" customHeight="1" x14ac:dyDescent="0.2">
      <c r="B175" s="267" t="s">
        <v>20</v>
      </c>
      <c r="C175" s="264" t="str">
        <f>IF(Bridport!E7="","",Bridport!E7)</f>
        <v>Ryan Cross</v>
      </c>
      <c r="D175" s="260" t="str">
        <f>LEFT($B$175,3)</f>
        <v>Bri</v>
      </c>
      <c r="E175" s="256">
        <f>IF(Bridport!G7="","",Bridport!G7)</f>
        <v>12</v>
      </c>
      <c r="F175" s="257">
        <f>IF(Bridport!H7=0,"",Bridport!H7)</f>
        <v>8</v>
      </c>
      <c r="G175" s="253">
        <f>IF(Bridport!I7=0,"",Bridport!I7)</f>
        <v>4</v>
      </c>
      <c r="H175" s="253">
        <f>IF(Bridport!J7=0,"",Bridport!J7)</f>
        <v>38</v>
      </c>
      <c r="I175" s="258">
        <f>IF(Bridport!K7=0,"",Bridport!K7)</f>
        <v>33</v>
      </c>
      <c r="J175" s="161">
        <f>IF(Bridport!M7="","",Bridport!M7)</f>
        <v>21.35</v>
      </c>
      <c r="K175" s="162">
        <f>IF(Bridport!N7="","",Bridport!N7)</f>
        <v>23.12</v>
      </c>
      <c r="L175" s="162">
        <f>IF(Bridport!O7="","",Bridport!O7)</f>
        <v>19.47</v>
      </c>
      <c r="M175" s="162">
        <f>IF(Bridport!P7="","",Bridport!P7)</f>
        <v>21.29</v>
      </c>
      <c r="N175" s="162">
        <f>IF(Bridport!Q7="","",Bridport!Q7)</f>
        <v>19.510000000000002</v>
      </c>
      <c r="O175" s="162">
        <f>IF(Bridport!R7="","",Bridport!R7)</f>
        <v>19.36</v>
      </c>
      <c r="P175" s="162">
        <f>IF(Bridport!S7="","",Bridport!S7)</f>
        <v>18.09</v>
      </c>
      <c r="Q175" s="162" t="str">
        <f>IF(Bridport!T7="","",Bridport!T7)</f>
        <v/>
      </c>
      <c r="R175" s="162">
        <f>IF(Bridport!U7="","",Bridport!U7)</f>
        <v>27.24</v>
      </c>
      <c r="S175" s="162">
        <f>IF(Bridport!V7="","",Bridport!V7)</f>
        <v>20.079999999999998</v>
      </c>
      <c r="T175" s="162">
        <f>IF(Bridport!W7="","",Bridport!W7)</f>
        <v>21.96</v>
      </c>
      <c r="U175" s="162">
        <f>IF(Bridport!X7="","",Bridport!X7)</f>
        <v>23.41</v>
      </c>
      <c r="V175" s="162">
        <f>IF(Bridport!Y7="","",Bridport!Y7)</f>
        <v>22.44</v>
      </c>
      <c r="W175" s="262">
        <f>IF(Bridport!AA7=0,"",Bridport!AA7)</f>
        <v>6</v>
      </c>
      <c r="X175" s="254">
        <f>IF(Bridport!AB7=0,"",Bridport!AB7)</f>
        <v>21.443333333333332</v>
      </c>
      <c r="Y175" s="255">
        <f>IF(Bridport!AC7=0,"",Bridport!AC7)</f>
        <v>29.443333333333332</v>
      </c>
      <c r="AA175" s="246">
        <f>Y175</f>
        <v>29.443333333333332</v>
      </c>
      <c r="AB175" s="243">
        <f>X175</f>
        <v>21.443333333333332</v>
      </c>
      <c r="AC175" s="185" t="str">
        <f>C175</f>
        <v>Ryan Cross</v>
      </c>
      <c r="AD175" s="185" t="str">
        <f>LEFT($B$175,3)</f>
        <v>Bri</v>
      </c>
      <c r="AE175" s="185">
        <f t="shared" ref="AE175:AY175" si="84">E175</f>
        <v>12</v>
      </c>
      <c r="AF175" s="185">
        <f t="shared" si="84"/>
        <v>8</v>
      </c>
      <c r="AG175" s="247">
        <f t="shared" si="84"/>
        <v>4</v>
      </c>
      <c r="AH175" s="247">
        <f t="shared" si="84"/>
        <v>38</v>
      </c>
      <c r="AI175" s="247">
        <f t="shared" si="84"/>
        <v>33</v>
      </c>
      <c r="AJ175" s="243">
        <f t="shared" si="84"/>
        <v>21.35</v>
      </c>
      <c r="AK175" s="243">
        <f t="shared" si="84"/>
        <v>23.12</v>
      </c>
      <c r="AL175" s="243">
        <f t="shared" si="84"/>
        <v>19.47</v>
      </c>
      <c r="AM175" s="243">
        <f t="shared" si="84"/>
        <v>21.29</v>
      </c>
      <c r="AN175" s="243">
        <f t="shared" si="84"/>
        <v>19.510000000000002</v>
      </c>
      <c r="AO175" s="243">
        <f t="shared" si="84"/>
        <v>19.36</v>
      </c>
      <c r="AP175" s="243">
        <f t="shared" si="84"/>
        <v>18.09</v>
      </c>
      <c r="AQ175" s="243" t="str">
        <f t="shared" si="84"/>
        <v/>
      </c>
      <c r="AR175" s="243">
        <f t="shared" si="84"/>
        <v>27.24</v>
      </c>
      <c r="AS175" s="243">
        <f t="shared" si="84"/>
        <v>20.079999999999998</v>
      </c>
      <c r="AT175" s="243">
        <f t="shared" si="84"/>
        <v>21.96</v>
      </c>
      <c r="AU175" s="243">
        <f t="shared" si="84"/>
        <v>23.41</v>
      </c>
      <c r="AV175" s="243">
        <f t="shared" si="84"/>
        <v>22.44</v>
      </c>
      <c r="AW175" s="247">
        <f t="shared" si="84"/>
        <v>6</v>
      </c>
      <c r="AX175" s="243">
        <f t="shared" si="84"/>
        <v>21.443333333333332</v>
      </c>
      <c r="AY175" s="248">
        <f t="shared" si="84"/>
        <v>29.443333333333332</v>
      </c>
    </row>
    <row r="176" spans="2:51" ht="12" customHeight="1" x14ac:dyDescent="0.2">
      <c r="B176" s="268"/>
      <c r="C176" s="235"/>
      <c r="D176" s="235"/>
      <c r="E176" s="239"/>
      <c r="F176" s="182"/>
      <c r="G176" s="182"/>
      <c r="H176" s="182"/>
      <c r="I176" s="233"/>
      <c r="J176" s="163" t="str">
        <f>IF(Bridport!M8="","",Bridport!M8)</f>
        <v>4*3</v>
      </c>
      <c r="K176" s="41" t="str">
        <f>IF(Bridport!N8="","",Bridport!N8)</f>
        <v>1*4(1)</v>
      </c>
      <c r="L176" s="41" t="str">
        <f>IF(Bridport!O8="","",Bridport!O8)</f>
        <v>4*2</v>
      </c>
      <c r="M176" s="41" t="str">
        <f>IF(Bridport!P8="","",Bridport!P8)</f>
        <v>4*3(1)</v>
      </c>
      <c r="N176" s="41" t="str">
        <f>IF(Bridport!Q8="","",Bridport!Q8)</f>
        <v>4*2</v>
      </c>
      <c r="O176" s="41" t="str">
        <f>IF(Bridport!R8="","",Bridport!R8)</f>
        <v>4*2(1)</v>
      </c>
      <c r="P176" s="41" t="str">
        <f>IF(Bridport!S8="","",Bridport!S8)</f>
        <v>3*4</v>
      </c>
      <c r="Q176" s="41" t="str">
        <f>IF(Bridport!T8="","",Bridport!T8)</f>
        <v/>
      </c>
      <c r="R176" s="41" t="str">
        <f>IF(Bridport!U8="","",Bridport!U8)</f>
        <v>4*1</v>
      </c>
      <c r="S176" s="41" t="str">
        <f>IF(Bridport!V8="","",Bridport!V8)</f>
        <v>4*2(1)</v>
      </c>
      <c r="T176" s="41" t="str">
        <f>IF(Bridport!W8="","",Bridport!W8)</f>
        <v>4*2(2)</v>
      </c>
      <c r="U176" s="41" t="str">
        <f>IF(Bridport!X8="","",Bridport!X8)</f>
        <v>1*4</v>
      </c>
      <c r="V176" s="41" t="str">
        <f>IF(Bridport!Y8="","",Bridport!Y8)</f>
        <v>1*4</v>
      </c>
      <c r="W176" s="201"/>
      <c r="X176" s="182"/>
      <c r="Y176" s="233"/>
      <c r="AA176" s="239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233"/>
    </row>
    <row r="177" spans="2:51" ht="12" customHeight="1" x14ac:dyDescent="0.2">
      <c r="B177" s="268"/>
      <c r="C177" s="263" t="str">
        <f>IF(Bridport!E9="","",Bridport!E9)</f>
        <v>Sam Legg</v>
      </c>
      <c r="D177" s="259" t="str">
        <f>LEFT($B$175,3)</f>
        <v>Bri</v>
      </c>
      <c r="E177" s="251">
        <f>IF(Bridport!G9="","",Bridport!G9)</f>
        <v>9</v>
      </c>
      <c r="F177" s="181">
        <f>IF(Bridport!H9=0,"",Bridport!H9)</f>
        <v>2</v>
      </c>
      <c r="G177" s="186">
        <f>IF(Bridport!I9=0,"",Bridport!I9)</f>
        <v>7</v>
      </c>
      <c r="H177" s="186">
        <f>IF(Bridport!J9=0,"",Bridport!J9)</f>
        <v>25</v>
      </c>
      <c r="I177" s="252">
        <f>IF(Bridport!K9=0,"",Bridport!K9)</f>
        <v>34</v>
      </c>
      <c r="J177" s="163">
        <f>IF(Bridport!M9="","",Bridport!M9)</f>
        <v>16.64</v>
      </c>
      <c r="K177" s="41" t="str">
        <f>IF(Bridport!N9="","",Bridport!N9)</f>
        <v/>
      </c>
      <c r="L177" s="41">
        <f>IF(Bridport!O9="","",Bridport!O9)</f>
        <v>19.55</v>
      </c>
      <c r="M177" s="41" t="str">
        <f>IF(Bridport!P9="","",Bridport!P9)</f>
        <v/>
      </c>
      <c r="N177" s="41">
        <f>IF(Bridport!Q9="","",Bridport!Q9)</f>
        <v>17.41</v>
      </c>
      <c r="O177" s="41">
        <f>IF(Bridport!R9="","",Bridport!R9)</f>
        <v>15.39</v>
      </c>
      <c r="P177" s="41">
        <f>IF(Bridport!S9="","",Bridport!S9)</f>
        <v>19.239999999999998</v>
      </c>
      <c r="Q177" s="41">
        <f>IF(Bridport!T9="","",Bridport!T9)</f>
        <v>18.440000000000001</v>
      </c>
      <c r="R177" s="41">
        <f>IF(Bridport!U9="","",Bridport!U9)</f>
        <v>16.72</v>
      </c>
      <c r="S177" s="41">
        <f>IF(Bridport!V9="","",Bridport!V9)</f>
        <v>14.13</v>
      </c>
      <c r="T177" s="41">
        <f>IF(Bridport!W9="","",Bridport!W9)</f>
        <v>20.7</v>
      </c>
      <c r="U177" s="41" t="str">
        <f>IF(Bridport!X9="","",Bridport!X9)</f>
        <v/>
      </c>
      <c r="V177" s="41" t="str">
        <f>IF(Bridport!Y9="","",Bridport!Y9)</f>
        <v/>
      </c>
      <c r="W177" s="249">
        <f>IF(Bridport!AA9=0,"",Bridport!AA9)</f>
        <v>1</v>
      </c>
      <c r="X177" s="244">
        <f>IF(Bridport!AB9=0,"",Bridport!AB9)</f>
        <v>17.579999999999998</v>
      </c>
      <c r="Y177" s="245">
        <f>IF(Bridport!AC9=0,"",Bridport!AC9)</f>
        <v>19.579999999999998</v>
      </c>
      <c r="AA177" s="246">
        <f>Y177</f>
        <v>19.579999999999998</v>
      </c>
      <c r="AB177" s="243">
        <f>X177</f>
        <v>17.579999999999998</v>
      </c>
      <c r="AC177" s="185" t="str">
        <f>C177</f>
        <v>Sam Legg</v>
      </c>
      <c r="AD177" s="185" t="str">
        <f>LEFT($B$175,3)</f>
        <v>Bri</v>
      </c>
      <c r="AE177" s="185">
        <f t="shared" ref="AE177:AY177" si="85">E177</f>
        <v>9</v>
      </c>
      <c r="AF177" s="185">
        <f t="shared" si="85"/>
        <v>2</v>
      </c>
      <c r="AG177" s="247">
        <f t="shared" si="85"/>
        <v>7</v>
      </c>
      <c r="AH177" s="247">
        <f t="shared" si="85"/>
        <v>25</v>
      </c>
      <c r="AI177" s="247">
        <f t="shared" si="85"/>
        <v>34</v>
      </c>
      <c r="AJ177" s="243">
        <f t="shared" si="85"/>
        <v>16.64</v>
      </c>
      <c r="AK177" s="243" t="str">
        <f t="shared" si="85"/>
        <v/>
      </c>
      <c r="AL177" s="243">
        <f t="shared" si="85"/>
        <v>19.55</v>
      </c>
      <c r="AM177" s="243" t="str">
        <f t="shared" si="85"/>
        <v/>
      </c>
      <c r="AN177" s="243">
        <f t="shared" si="85"/>
        <v>17.41</v>
      </c>
      <c r="AO177" s="243">
        <f t="shared" si="85"/>
        <v>15.39</v>
      </c>
      <c r="AP177" s="243">
        <f t="shared" si="85"/>
        <v>19.239999999999998</v>
      </c>
      <c r="AQ177" s="243">
        <f t="shared" si="85"/>
        <v>18.440000000000001</v>
      </c>
      <c r="AR177" s="243">
        <f t="shared" si="85"/>
        <v>16.72</v>
      </c>
      <c r="AS177" s="243">
        <f t="shared" si="85"/>
        <v>14.13</v>
      </c>
      <c r="AT177" s="243">
        <f t="shared" si="85"/>
        <v>20.7</v>
      </c>
      <c r="AU177" s="243" t="str">
        <f t="shared" si="85"/>
        <v/>
      </c>
      <c r="AV177" s="243" t="str">
        <f t="shared" si="85"/>
        <v/>
      </c>
      <c r="AW177" s="247">
        <f t="shared" si="85"/>
        <v>1</v>
      </c>
      <c r="AX177" s="243">
        <f t="shared" si="85"/>
        <v>17.579999999999998</v>
      </c>
      <c r="AY177" s="248">
        <f t="shared" si="85"/>
        <v>19.579999999999998</v>
      </c>
    </row>
    <row r="178" spans="2:51" ht="12" customHeight="1" x14ac:dyDescent="0.2">
      <c r="B178" s="268"/>
      <c r="C178" s="235"/>
      <c r="D178" s="235"/>
      <c r="E178" s="239"/>
      <c r="F178" s="182"/>
      <c r="G178" s="182"/>
      <c r="H178" s="182"/>
      <c r="I178" s="233"/>
      <c r="J178" s="163" t="str">
        <f>IF(Bridport!M10="","",Bridport!M10)</f>
        <v>1*4</v>
      </c>
      <c r="K178" s="41" t="str">
        <f>IF(Bridport!N10="","",Bridport!N10)</f>
        <v/>
      </c>
      <c r="L178" s="41" t="str">
        <f>IF(Bridport!O10="","",Bridport!O10)</f>
        <v>1*4</v>
      </c>
      <c r="M178" s="41" t="str">
        <f>IF(Bridport!P10="","",Bridport!P10)</f>
        <v/>
      </c>
      <c r="N178" s="41" t="str">
        <f>IF(Bridport!Q10="","",Bridport!Q10)</f>
        <v>3*4</v>
      </c>
      <c r="O178" s="41" t="str">
        <f>IF(Bridport!R10="","",Bridport!R10)</f>
        <v>3*4</v>
      </c>
      <c r="P178" s="41" t="str">
        <f>IF(Bridport!S10="","",Bridport!S10)</f>
        <v>4*3</v>
      </c>
      <c r="Q178" s="41" t="str">
        <f>IF(Bridport!T10="","",Bridport!T10)</f>
        <v>3*4(1)</v>
      </c>
      <c r="R178" s="41" t="str">
        <f>IF(Bridport!U10="","",Bridport!U10)</f>
        <v>3*4</v>
      </c>
      <c r="S178" s="41" t="str">
        <f>IF(Bridport!V10="","",Bridport!V10)</f>
        <v>3*4</v>
      </c>
      <c r="T178" s="41" t="str">
        <f>IF(Bridport!W10="","",Bridport!W10)</f>
        <v>4*3</v>
      </c>
      <c r="U178" s="41" t="str">
        <f>IF(Bridport!X10="","",Bridport!X10)</f>
        <v/>
      </c>
      <c r="V178" s="41" t="str">
        <f>IF(Bridport!Y10="","",Bridport!Y10)</f>
        <v/>
      </c>
      <c r="W178" s="201"/>
      <c r="X178" s="182"/>
      <c r="Y178" s="233"/>
      <c r="AA178" s="239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233"/>
    </row>
    <row r="179" spans="2:51" ht="12" customHeight="1" x14ac:dyDescent="0.2">
      <c r="B179" s="268"/>
      <c r="C179" s="263" t="str">
        <f>IF(Bridport!E11="","",Bridport!E11)</f>
        <v>Mickey Gilmore</v>
      </c>
      <c r="D179" s="259" t="str">
        <f>LEFT($B$175,3)</f>
        <v>Bri</v>
      </c>
      <c r="E179" s="251">
        <f>IF(Bridport!G11="","",Bridport!G11)</f>
        <v>8</v>
      </c>
      <c r="F179" s="181">
        <f>IF(Bridport!H11=0,"",Bridport!H11)</f>
        <v>4</v>
      </c>
      <c r="G179" s="186">
        <f>IF(Bridport!I11=0,"",Bridport!I11)</f>
        <v>4</v>
      </c>
      <c r="H179" s="186">
        <f>IF(Bridport!J11=0,"",Bridport!J11)</f>
        <v>25</v>
      </c>
      <c r="I179" s="252">
        <f>IF(Bridport!K11=0,"",Bridport!K11)</f>
        <v>22</v>
      </c>
      <c r="J179" s="163" t="str">
        <f>IF(Bridport!M11="","",Bridport!M11)</f>
        <v/>
      </c>
      <c r="K179" s="41">
        <f>IF(Bridport!N11="","",Bridport!N11)</f>
        <v>21.75</v>
      </c>
      <c r="L179" s="41">
        <f>IF(Bridport!O11="","",Bridport!O11)</f>
        <v>16.7</v>
      </c>
      <c r="M179" s="41">
        <f>IF(Bridport!P11="","",Bridport!P11)</f>
        <v>20.73</v>
      </c>
      <c r="N179" s="41">
        <f>IF(Bridport!Q11="","",Bridport!Q11)</f>
        <v>23.89</v>
      </c>
      <c r="O179" s="41">
        <f>IF(Bridport!R11="","",Bridport!R11)</f>
        <v>20.55</v>
      </c>
      <c r="P179" s="41">
        <f>IF(Bridport!S11="","",Bridport!S11)</f>
        <v>18.13</v>
      </c>
      <c r="Q179" s="41">
        <f>IF(Bridport!T11="","",Bridport!T11)</f>
        <v>20.66</v>
      </c>
      <c r="R179" s="41">
        <f>IF(Bridport!U11="","",Bridport!U11)</f>
        <v>18.3</v>
      </c>
      <c r="S179" s="41" t="str">
        <f>IF(Bridport!V11="","",Bridport!V11)</f>
        <v/>
      </c>
      <c r="T179" s="41" t="str">
        <f>IF(Bridport!W11="","",Bridport!W11)</f>
        <v/>
      </c>
      <c r="U179" s="41" t="str">
        <f>IF(Bridport!X11="","",Bridport!X11)</f>
        <v/>
      </c>
      <c r="V179" s="41" t="str">
        <f>IF(Bridport!Y11="","",Bridport!Y11)</f>
        <v/>
      </c>
      <c r="W179" s="249">
        <f>IF(Bridport!AA11=0,"",Bridport!AA11)</f>
        <v>1</v>
      </c>
      <c r="X179" s="244">
        <f>IF(Bridport!AB11=0,"",Bridport!AB11)</f>
        <v>20.088750000000001</v>
      </c>
      <c r="Y179" s="245">
        <f>IF(Bridport!AC11=0,"",Bridport!AC11)</f>
        <v>24.088750000000001</v>
      </c>
      <c r="AA179" s="246">
        <f>Y179</f>
        <v>24.088750000000001</v>
      </c>
      <c r="AB179" s="243">
        <f>X179</f>
        <v>20.088750000000001</v>
      </c>
      <c r="AC179" s="185" t="str">
        <f>C179</f>
        <v>Mickey Gilmore</v>
      </c>
      <c r="AD179" s="185" t="str">
        <f>LEFT($B$175,3)</f>
        <v>Bri</v>
      </c>
      <c r="AE179" s="185">
        <f t="shared" ref="AE179:AY179" si="86">E179</f>
        <v>8</v>
      </c>
      <c r="AF179" s="185">
        <f t="shared" si="86"/>
        <v>4</v>
      </c>
      <c r="AG179" s="247">
        <f t="shared" si="86"/>
        <v>4</v>
      </c>
      <c r="AH179" s="247">
        <f t="shared" si="86"/>
        <v>25</v>
      </c>
      <c r="AI179" s="247">
        <f t="shared" si="86"/>
        <v>22</v>
      </c>
      <c r="AJ179" s="243" t="str">
        <f t="shared" si="86"/>
        <v/>
      </c>
      <c r="AK179" s="243">
        <f t="shared" si="86"/>
        <v>21.75</v>
      </c>
      <c r="AL179" s="243">
        <f t="shared" si="86"/>
        <v>16.7</v>
      </c>
      <c r="AM179" s="243">
        <f t="shared" si="86"/>
        <v>20.73</v>
      </c>
      <c r="AN179" s="243">
        <f t="shared" si="86"/>
        <v>23.89</v>
      </c>
      <c r="AO179" s="243">
        <f t="shared" si="86"/>
        <v>20.55</v>
      </c>
      <c r="AP179" s="243">
        <f t="shared" si="86"/>
        <v>18.13</v>
      </c>
      <c r="AQ179" s="243">
        <f t="shared" si="86"/>
        <v>20.66</v>
      </c>
      <c r="AR179" s="243">
        <f t="shared" si="86"/>
        <v>18.3</v>
      </c>
      <c r="AS179" s="243" t="str">
        <f t="shared" si="86"/>
        <v/>
      </c>
      <c r="AT179" s="243" t="str">
        <f t="shared" si="86"/>
        <v/>
      </c>
      <c r="AU179" s="243" t="str">
        <f t="shared" si="86"/>
        <v/>
      </c>
      <c r="AV179" s="243" t="str">
        <f t="shared" si="86"/>
        <v/>
      </c>
      <c r="AW179" s="247">
        <f t="shared" si="86"/>
        <v>1</v>
      </c>
      <c r="AX179" s="243">
        <f t="shared" si="86"/>
        <v>20.088750000000001</v>
      </c>
      <c r="AY179" s="248">
        <f t="shared" si="86"/>
        <v>24.088750000000001</v>
      </c>
    </row>
    <row r="180" spans="2:51" ht="12" customHeight="1" x14ac:dyDescent="0.2">
      <c r="B180" s="268"/>
      <c r="C180" s="235"/>
      <c r="D180" s="235"/>
      <c r="E180" s="239"/>
      <c r="F180" s="182"/>
      <c r="G180" s="182"/>
      <c r="H180" s="182"/>
      <c r="I180" s="233"/>
      <c r="J180" s="163" t="str">
        <f>IF(Bridport!M12="","",Bridport!M12)</f>
        <v/>
      </c>
      <c r="K180" s="41" t="str">
        <f>IF(Bridport!N12="","",Bridport!N12)</f>
        <v>3*4</v>
      </c>
      <c r="L180" s="41" t="str">
        <f>IF(Bridport!O12="","",Bridport!O12)</f>
        <v>4*0</v>
      </c>
      <c r="M180" s="41" t="str">
        <f>IF(Bridport!P12="","",Bridport!P12)</f>
        <v>4*1</v>
      </c>
      <c r="N180" s="41" t="str">
        <f>IF(Bridport!Q12="","",Bridport!Q12)</f>
        <v>4*2</v>
      </c>
      <c r="O180" s="41" t="str">
        <f>IF(Bridport!R12="","",Bridport!R12)</f>
        <v>3*4</v>
      </c>
      <c r="P180" s="41" t="str">
        <f>IF(Bridport!S12="","",Bridport!S12)</f>
        <v>3*4(1)</v>
      </c>
      <c r="Q180" s="41" t="str">
        <f>IF(Bridport!T12="","",Bridport!T12)</f>
        <v>4*3</v>
      </c>
      <c r="R180" s="41" t="str">
        <f>IF(Bridport!U12="","",Bridport!U12)</f>
        <v>0*4</v>
      </c>
      <c r="S180" s="41" t="str">
        <f>IF(Bridport!V12="","",Bridport!V12)</f>
        <v/>
      </c>
      <c r="T180" s="41" t="str">
        <f>IF(Bridport!W12="","",Bridport!W12)</f>
        <v/>
      </c>
      <c r="U180" s="41" t="str">
        <f>IF(Bridport!X12="","",Bridport!X12)</f>
        <v/>
      </c>
      <c r="V180" s="41" t="str">
        <f>IF(Bridport!Y12="","",Bridport!Y12)</f>
        <v/>
      </c>
      <c r="W180" s="201"/>
      <c r="X180" s="182"/>
      <c r="Y180" s="233"/>
      <c r="AA180" s="239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233"/>
    </row>
    <row r="181" spans="2:51" ht="12" customHeight="1" x14ac:dyDescent="0.2">
      <c r="B181" s="268"/>
      <c r="C181" s="263" t="str">
        <f>IF(Bridport!E13="","",Bridport!E13)</f>
        <v>Wayne Singleton</v>
      </c>
      <c r="D181" s="259" t="str">
        <f>LEFT($B$175,3)</f>
        <v>Bri</v>
      </c>
      <c r="E181" s="251">
        <f>IF(Bridport!G13="","",Bridport!G13)</f>
        <v>7</v>
      </c>
      <c r="F181" s="181">
        <f>IF(Bridport!H13=0,"",Bridport!H13)</f>
        <v>3</v>
      </c>
      <c r="G181" s="186">
        <f>IF(Bridport!I13=0,"",Bridport!I13)</f>
        <v>4</v>
      </c>
      <c r="H181" s="186">
        <f>IF(Bridport!J13=0,"",Bridport!J13)</f>
        <v>20</v>
      </c>
      <c r="I181" s="252">
        <f>IF(Bridport!K13=0,"",Bridport!K13)</f>
        <v>21</v>
      </c>
      <c r="J181" s="163">
        <f>IF(Bridport!M13="","",Bridport!M13)</f>
        <v>22.38</v>
      </c>
      <c r="K181" s="41" t="str">
        <f>IF(Bridport!N13="","",Bridport!N13)</f>
        <v/>
      </c>
      <c r="L181" s="41" t="str">
        <f>IF(Bridport!O13="","",Bridport!O13)</f>
        <v/>
      </c>
      <c r="M181" s="41" t="str">
        <f>IF(Bridport!P13="","",Bridport!P13)</f>
        <v/>
      </c>
      <c r="N181" s="41" t="str">
        <f>IF(Bridport!Q13="","",Bridport!Q13)</f>
        <v/>
      </c>
      <c r="O181" s="41">
        <f>IF(Bridport!R13="","",Bridport!R13)</f>
        <v>22.27</v>
      </c>
      <c r="P181" s="41">
        <f>IF(Bridport!S13="","",Bridport!S13)</f>
        <v>18.54</v>
      </c>
      <c r="Q181" s="41" t="str">
        <f>IF(Bridport!T13="","",Bridport!T13)</f>
        <v/>
      </c>
      <c r="R181" s="41">
        <f>IF(Bridport!U13="","",Bridport!U13)</f>
        <v>21.02</v>
      </c>
      <c r="S181" s="41">
        <f>IF(Bridport!V13="","",Bridport!V13)</f>
        <v>20.239999999999998</v>
      </c>
      <c r="T181" s="41">
        <f>IF(Bridport!W13="","",Bridport!W13)</f>
        <v>26.24</v>
      </c>
      <c r="U181" s="41" t="str">
        <f>IF(Bridport!X13="","",Bridport!X13)</f>
        <v/>
      </c>
      <c r="V181" s="41">
        <f>IF(Bridport!Y13="","",Bridport!Y13)</f>
        <v>25.17</v>
      </c>
      <c r="W181" s="249" t="str">
        <f>IF(Bridport!AA13=0,"",Bridport!AA13)</f>
        <v/>
      </c>
      <c r="X181" s="244">
        <f>IF(Bridport!AB13=0,"",Bridport!AB13)</f>
        <v>22.265714285714289</v>
      </c>
      <c r="Y181" s="245">
        <f>IF(Bridport!AC13=0,"",Bridport!AC13)</f>
        <v>25.265714285714289</v>
      </c>
      <c r="AA181" s="246">
        <f>Y181</f>
        <v>25.265714285714289</v>
      </c>
      <c r="AB181" s="243">
        <f>X181</f>
        <v>22.265714285714289</v>
      </c>
      <c r="AC181" s="185" t="str">
        <f>C181</f>
        <v>Wayne Singleton</v>
      </c>
      <c r="AD181" s="185" t="str">
        <f>LEFT($B$175,3)</f>
        <v>Bri</v>
      </c>
      <c r="AE181" s="185">
        <f t="shared" ref="AE181:AY181" si="87">E181</f>
        <v>7</v>
      </c>
      <c r="AF181" s="185">
        <f t="shared" si="87"/>
        <v>3</v>
      </c>
      <c r="AG181" s="247">
        <f t="shared" si="87"/>
        <v>4</v>
      </c>
      <c r="AH181" s="247">
        <f t="shared" si="87"/>
        <v>20</v>
      </c>
      <c r="AI181" s="247">
        <f t="shared" si="87"/>
        <v>21</v>
      </c>
      <c r="AJ181" s="243">
        <f t="shared" si="87"/>
        <v>22.38</v>
      </c>
      <c r="AK181" s="243" t="str">
        <f t="shared" si="87"/>
        <v/>
      </c>
      <c r="AL181" s="243" t="str">
        <f t="shared" si="87"/>
        <v/>
      </c>
      <c r="AM181" s="243" t="str">
        <f t="shared" si="87"/>
        <v/>
      </c>
      <c r="AN181" s="243" t="str">
        <f t="shared" si="87"/>
        <v/>
      </c>
      <c r="AO181" s="243">
        <f t="shared" si="87"/>
        <v>22.27</v>
      </c>
      <c r="AP181" s="243">
        <f t="shared" si="87"/>
        <v>18.54</v>
      </c>
      <c r="AQ181" s="243" t="str">
        <f t="shared" si="87"/>
        <v/>
      </c>
      <c r="AR181" s="243">
        <f t="shared" si="87"/>
        <v>21.02</v>
      </c>
      <c r="AS181" s="243">
        <f t="shared" si="87"/>
        <v>20.239999999999998</v>
      </c>
      <c r="AT181" s="243">
        <f t="shared" si="87"/>
        <v>26.24</v>
      </c>
      <c r="AU181" s="243" t="str">
        <f t="shared" si="87"/>
        <v/>
      </c>
      <c r="AV181" s="243">
        <f t="shared" si="87"/>
        <v>25.17</v>
      </c>
      <c r="AW181" s="247" t="str">
        <f t="shared" si="87"/>
        <v/>
      </c>
      <c r="AX181" s="243">
        <f t="shared" si="87"/>
        <v>22.265714285714289</v>
      </c>
      <c r="AY181" s="248">
        <f t="shared" si="87"/>
        <v>25.265714285714289</v>
      </c>
    </row>
    <row r="182" spans="2:51" ht="12" customHeight="1" x14ac:dyDescent="0.2">
      <c r="B182" s="268"/>
      <c r="C182" s="235"/>
      <c r="D182" s="235"/>
      <c r="E182" s="239"/>
      <c r="F182" s="182"/>
      <c r="G182" s="182"/>
      <c r="H182" s="182"/>
      <c r="I182" s="233"/>
      <c r="J182" s="163" t="str">
        <f>IF(Bridport!M14="","",Bridport!M14)</f>
        <v>1*4</v>
      </c>
      <c r="K182" s="41" t="str">
        <f>IF(Bridport!N14="","",Bridport!N14)</f>
        <v/>
      </c>
      <c r="L182" s="41" t="str">
        <f>IF(Bridport!O14="","",Bridport!O14)</f>
        <v/>
      </c>
      <c r="M182" s="41" t="str">
        <f>IF(Bridport!P14="","",Bridport!P14)</f>
        <v/>
      </c>
      <c r="N182" s="41" t="str">
        <f>IF(Bridport!Q14="","",Bridport!Q14)</f>
        <v/>
      </c>
      <c r="O182" s="41" t="str">
        <f>IF(Bridport!R14="","",Bridport!R14)</f>
        <v>2*4</v>
      </c>
      <c r="P182" s="41" t="str">
        <f>IF(Bridport!S14="","",Bridport!S14)</f>
        <v>4*1</v>
      </c>
      <c r="Q182" s="41" t="str">
        <f>IF(Bridport!T14="","",Bridport!T14)</f>
        <v/>
      </c>
      <c r="R182" s="41" t="str">
        <f>IF(Bridport!U14="","",Bridport!U14)</f>
        <v>2*4</v>
      </c>
      <c r="S182" s="41" t="str">
        <f>IF(Bridport!V14="","",Bridport!V14)</f>
        <v>4*3</v>
      </c>
      <c r="T182" s="41" t="str">
        <f>IF(Bridport!W14="","",Bridport!W14)</f>
        <v>4*1</v>
      </c>
      <c r="U182" s="41" t="str">
        <f>IF(Bridport!X14="","",Bridport!X14)</f>
        <v/>
      </c>
      <c r="V182" s="41" t="str">
        <f>IF(Bridport!Y14="","",Bridport!Y14)</f>
        <v>3*4</v>
      </c>
      <c r="W182" s="201"/>
      <c r="X182" s="182"/>
      <c r="Y182" s="233"/>
      <c r="AA182" s="239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233"/>
    </row>
    <row r="183" spans="2:51" ht="12" customHeight="1" x14ac:dyDescent="0.2">
      <c r="B183" s="268"/>
      <c r="C183" s="263" t="str">
        <f>IF(Bridport!E15="","",Bridport!E15)</f>
        <v>Sam Kapur</v>
      </c>
      <c r="D183" s="259" t="str">
        <f>LEFT($B$175,3)</f>
        <v>Bri</v>
      </c>
      <c r="E183" s="251">
        <f>IF(Bridport!G15="","",Bridport!G15)</f>
        <v>6</v>
      </c>
      <c r="F183" s="181">
        <f>IF(Bridport!H15=0,"",Bridport!H15)</f>
        <v>1</v>
      </c>
      <c r="G183" s="186">
        <f>IF(Bridport!I15=0,"",Bridport!I15)</f>
        <v>5</v>
      </c>
      <c r="H183" s="186">
        <f>IF(Bridport!J15=0,"",Bridport!J15)</f>
        <v>12</v>
      </c>
      <c r="I183" s="252">
        <f>IF(Bridport!K15=0,"",Bridport!K15)</f>
        <v>22</v>
      </c>
      <c r="J183" s="163" t="str">
        <f>IF(Bridport!M15="","",Bridport!M15)</f>
        <v/>
      </c>
      <c r="K183" s="41">
        <f>IF(Bridport!N15="","",Bridport!N15)</f>
        <v>20.21</v>
      </c>
      <c r="L183" s="41" t="str">
        <f>IF(Bridport!O15="","",Bridport!O15)</f>
        <v/>
      </c>
      <c r="M183" s="41">
        <f>IF(Bridport!P15="","",Bridport!P15)</f>
        <v>20.59</v>
      </c>
      <c r="N183" s="41" t="str">
        <f>IF(Bridport!Q15="","",Bridport!Q15)</f>
        <v/>
      </c>
      <c r="O183" s="41" t="str">
        <f>IF(Bridport!R15="","",Bridport!R15)</f>
        <v/>
      </c>
      <c r="P183" s="41">
        <f>IF(Bridport!S15="","",Bridport!S15)</f>
        <v>18.63</v>
      </c>
      <c r="Q183" s="41">
        <f>IF(Bridport!T15="","",Bridport!T15)</f>
        <v>16.190000000000001</v>
      </c>
      <c r="R183" s="41" t="str">
        <f>IF(Bridport!U15="","",Bridport!U15)</f>
        <v/>
      </c>
      <c r="S183" s="41" t="str">
        <f>IF(Bridport!V15="","",Bridport!V15)</f>
        <v/>
      </c>
      <c r="T183" s="41" t="str">
        <f>IF(Bridport!W15="","",Bridport!W15)</f>
        <v/>
      </c>
      <c r="U183" s="41">
        <f>IF(Bridport!X15="","",Bridport!X15)</f>
        <v>20.91</v>
      </c>
      <c r="V183" s="41">
        <f>IF(Bridport!Y15="","",Bridport!Y15)</f>
        <v>17.72</v>
      </c>
      <c r="W183" s="249">
        <f>IF(Bridport!AA15=0,"",Bridport!AA15)</f>
        <v>1</v>
      </c>
      <c r="X183" s="244">
        <f>IF(Bridport!AB15=0,"",Bridport!AB15)</f>
        <v>19.041666666666664</v>
      </c>
      <c r="Y183" s="245">
        <f>IF(Bridport!AC15=0,"",Bridport!AC15)</f>
        <v>20.041666666666664</v>
      </c>
      <c r="AA183" s="246">
        <f>Y183</f>
        <v>20.041666666666664</v>
      </c>
      <c r="AB183" s="243">
        <f>X183</f>
        <v>19.041666666666664</v>
      </c>
      <c r="AC183" s="185" t="str">
        <f>C183</f>
        <v>Sam Kapur</v>
      </c>
      <c r="AD183" s="185" t="str">
        <f>LEFT($B$175,3)</f>
        <v>Bri</v>
      </c>
      <c r="AE183" s="185">
        <f t="shared" ref="AE183:AY183" si="88">E183</f>
        <v>6</v>
      </c>
      <c r="AF183" s="185">
        <f t="shared" si="88"/>
        <v>1</v>
      </c>
      <c r="AG183" s="247">
        <f t="shared" si="88"/>
        <v>5</v>
      </c>
      <c r="AH183" s="247">
        <f t="shared" si="88"/>
        <v>12</v>
      </c>
      <c r="AI183" s="247">
        <f t="shared" si="88"/>
        <v>22</v>
      </c>
      <c r="AJ183" s="243" t="str">
        <f t="shared" si="88"/>
        <v/>
      </c>
      <c r="AK183" s="243">
        <f t="shared" si="88"/>
        <v>20.21</v>
      </c>
      <c r="AL183" s="243" t="str">
        <f t="shared" si="88"/>
        <v/>
      </c>
      <c r="AM183" s="243">
        <f t="shared" si="88"/>
        <v>20.59</v>
      </c>
      <c r="AN183" s="243" t="str">
        <f t="shared" si="88"/>
        <v/>
      </c>
      <c r="AO183" s="243" t="str">
        <f t="shared" si="88"/>
        <v/>
      </c>
      <c r="AP183" s="243">
        <f t="shared" si="88"/>
        <v>18.63</v>
      </c>
      <c r="AQ183" s="243">
        <f t="shared" si="88"/>
        <v>16.190000000000001</v>
      </c>
      <c r="AR183" s="243" t="str">
        <f t="shared" si="88"/>
        <v/>
      </c>
      <c r="AS183" s="243" t="str">
        <f t="shared" si="88"/>
        <v/>
      </c>
      <c r="AT183" s="243" t="str">
        <f t="shared" si="88"/>
        <v/>
      </c>
      <c r="AU183" s="243">
        <f t="shared" si="88"/>
        <v>20.91</v>
      </c>
      <c r="AV183" s="243">
        <f t="shared" si="88"/>
        <v>17.72</v>
      </c>
      <c r="AW183" s="247">
        <f t="shared" si="88"/>
        <v>1</v>
      </c>
      <c r="AX183" s="243">
        <f t="shared" si="88"/>
        <v>19.041666666666664</v>
      </c>
      <c r="AY183" s="248">
        <f t="shared" si="88"/>
        <v>20.041666666666664</v>
      </c>
    </row>
    <row r="184" spans="2:51" ht="12" customHeight="1" x14ac:dyDescent="0.2">
      <c r="B184" s="268"/>
      <c r="C184" s="235"/>
      <c r="D184" s="235"/>
      <c r="E184" s="239"/>
      <c r="F184" s="182"/>
      <c r="G184" s="182"/>
      <c r="H184" s="182"/>
      <c r="I184" s="233"/>
      <c r="J184" s="163" t="str">
        <f>IF(Bridport!M16="","",Bridport!M16)</f>
        <v/>
      </c>
      <c r="K184" s="41" t="str">
        <f>IF(Bridport!N16="","",Bridport!N16)</f>
        <v>0*4</v>
      </c>
      <c r="L184" s="41" t="str">
        <f>IF(Bridport!O16="","",Bridport!O16)</f>
        <v/>
      </c>
      <c r="M184" s="41" t="str">
        <f>IF(Bridport!P16="","",Bridport!P16)</f>
        <v>3*4</v>
      </c>
      <c r="N184" s="41" t="str">
        <f>IF(Bridport!Q16="","",Bridport!Q16)</f>
        <v/>
      </c>
      <c r="O184" s="41" t="str">
        <f>IF(Bridport!R16="","",Bridport!R16)</f>
        <v/>
      </c>
      <c r="P184" s="41" t="str">
        <f>IF(Bridport!S16="","",Bridport!S16)</f>
        <v>3*4</v>
      </c>
      <c r="Q184" s="41" t="str">
        <f>IF(Bridport!T16="","",Bridport!T16)</f>
        <v>0*4</v>
      </c>
      <c r="R184" s="41" t="str">
        <f>IF(Bridport!U16="","",Bridport!U16)</f>
        <v/>
      </c>
      <c r="S184" s="41" t="str">
        <f>IF(Bridport!V16="","",Bridport!V16)</f>
        <v/>
      </c>
      <c r="T184" s="41" t="str">
        <f>IF(Bridport!W16="","",Bridport!W16)</f>
        <v/>
      </c>
      <c r="U184" s="41" t="str">
        <f>IF(Bridport!X16="","",Bridport!X16)</f>
        <v>2*4(1)</v>
      </c>
      <c r="V184" s="41" t="str">
        <f>IF(Bridport!Y16="","",Bridport!Y16)</f>
        <v>4*2</v>
      </c>
      <c r="W184" s="201"/>
      <c r="X184" s="182"/>
      <c r="Y184" s="233"/>
      <c r="AA184" s="239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233"/>
    </row>
    <row r="185" spans="2:51" ht="12" customHeight="1" x14ac:dyDescent="0.2">
      <c r="B185" s="268"/>
      <c r="C185" s="263" t="str">
        <f>IF(Bridport!E17="","",Bridport!E17)</f>
        <v>Joe Carter</v>
      </c>
      <c r="D185" s="259" t="str">
        <f>LEFT($B$175,3)</f>
        <v>Bri</v>
      </c>
      <c r="E185" s="251" t="str">
        <f>IF(Bridport!G17="","",Bridport!G17)</f>
        <v/>
      </c>
      <c r="F185" s="181" t="str">
        <f>IF(Bridport!H17=0,"",Bridport!H17)</f>
        <v/>
      </c>
      <c r="G185" s="181" t="str">
        <f>IF(Bridport!I17=0,"",Bridport!I17)</f>
        <v/>
      </c>
      <c r="H185" s="181" t="str">
        <f>IF(Bridport!J17=0,"",Bridport!J17)</f>
        <v/>
      </c>
      <c r="I185" s="250" t="str">
        <f>IF(Bridport!K17=0,"",Bridport!K17)</f>
        <v/>
      </c>
      <c r="J185" s="163" t="str">
        <f>IF(Bridport!M17="","",Bridport!M17)</f>
        <v/>
      </c>
      <c r="K185" s="41" t="str">
        <f>IF(Bridport!N17="","",Bridport!N17)</f>
        <v/>
      </c>
      <c r="L185" s="41" t="str">
        <f>IF(Bridport!O17="","",Bridport!O17)</f>
        <v/>
      </c>
      <c r="M185" s="41" t="str">
        <f>IF(Bridport!P17="","",Bridport!P17)</f>
        <v/>
      </c>
      <c r="N185" s="41" t="str">
        <f>IF(Bridport!Q17="","",Bridport!Q17)</f>
        <v/>
      </c>
      <c r="O185" s="41" t="str">
        <f>IF(Bridport!R17="","",Bridport!R17)</f>
        <v/>
      </c>
      <c r="P185" s="41" t="str">
        <f>IF(Bridport!S17="","",Bridport!S17)</f>
        <v/>
      </c>
      <c r="Q185" s="41" t="str">
        <f>IF(Bridport!T17="","",Bridport!T17)</f>
        <v/>
      </c>
      <c r="R185" s="41" t="str">
        <f>IF(Bridport!U17="","",Bridport!U17)</f>
        <v/>
      </c>
      <c r="S185" s="41" t="str">
        <f>IF(Bridport!V17="","",Bridport!V17)</f>
        <v/>
      </c>
      <c r="T185" s="41" t="str">
        <f>IF(Bridport!W17="","",Bridport!W17)</f>
        <v/>
      </c>
      <c r="U185" s="41" t="str">
        <f>IF(Bridport!X17="","",Bridport!X17)</f>
        <v/>
      </c>
      <c r="V185" s="41" t="str">
        <f>IF(Bridport!Y17="","",Bridport!Y17)</f>
        <v/>
      </c>
      <c r="W185" s="249" t="str">
        <f>IF(Bridport!AA17=0,"",Bridport!AA17)</f>
        <v/>
      </c>
      <c r="X185" s="244" t="str">
        <f>IF(Bridport!AB17=0,"",Bridport!AB17)</f>
        <v/>
      </c>
      <c r="Y185" s="245" t="str">
        <f>IF(Bridport!AC17=0,"",Bridport!AC17)</f>
        <v/>
      </c>
      <c r="AA185" s="246" t="str">
        <f>Y185</f>
        <v/>
      </c>
      <c r="AB185" s="243" t="str">
        <f>X185</f>
        <v/>
      </c>
      <c r="AC185" s="185" t="str">
        <f>C185</f>
        <v>Joe Carter</v>
      </c>
      <c r="AD185" s="185" t="str">
        <f>LEFT($B$175,3)</f>
        <v>Bri</v>
      </c>
      <c r="AE185" s="185" t="str">
        <f t="shared" ref="AE185:AY185" si="89">E185</f>
        <v/>
      </c>
      <c r="AF185" s="185" t="str">
        <f t="shared" si="89"/>
        <v/>
      </c>
      <c r="AG185" s="185" t="str">
        <f t="shared" si="89"/>
        <v/>
      </c>
      <c r="AH185" s="185" t="str">
        <f t="shared" si="89"/>
        <v/>
      </c>
      <c r="AI185" s="185" t="str">
        <f t="shared" si="89"/>
        <v/>
      </c>
      <c r="AJ185" s="243" t="str">
        <f t="shared" si="89"/>
        <v/>
      </c>
      <c r="AK185" s="243" t="str">
        <f t="shared" si="89"/>
        <v/>
      </c>
      <c r="AL185" s="243" t="str">
        <f t="shared" si="89"/>
        <v/>
      </c>
      <c r="AM185" s="243" t="str">
        <f t="shared" si="89"/>
        <v/>
      </c>
      <c r="AN185" s="243" t="str">
        <f t="shared" si="89"/>
        <v/>
      </c>
      <c r="AO185" s="243" t="str">
        <f t="shared" si="89"/>
        <v/>
      </c>
      <c r="AP185" s="243" t="str">
        <f t="shared" si="89"/>
        <v/>
      </c>
      <c r="AQ185" s="243" t="str">
        <f t="shared" si="89"/>
        <v/>
      </c>
      <c r="AR185" s="243" t="str">
        <f t="shared" si="89"/>
        <v/>
      </c>
      <c r="AS185" s="243" t="str">
        <f t="shared" si="89"/>
        <v/>
      </c>
      <c r="AT185" s="243" t="str">
        <f t="shared" si="89"/>
        <v/>
      </c>
      <c r="AU185" s="243" t="str">
        <f t="shared" si="89"/>
        <v/>
      </c>
      <c r="AV185" s="243" t="str">
        <f t="shared" si="89"/>
        <v/>
      </c>
      <c r="AW185" s="247" t="str">
        <f t="shared" si="89"/>
        <v/>
      </c>
      <c r="AX185" s="243" t="str">
        <f t="shared" si="89"/>
        <v/>
      </c>
      <c r="AY185" s="248" t="str">
        <f t="shared" si="89"/>
        <v/>
      </c>
    </row>
    <row r="186" spans="2:51" ht="12" customHeight="1" x14ac:dyDescent="0.2">
      <c r="B186" s="268"/>
      <c r="C186" s="235"/>
      <c r="D186" s="235"/>
      <c r="E186" s="239"/>
      <c r="F186" s="182"/>
      <c r="G186" s="182"/>
      <c r="H186" s="182"/>
      <c r="I186" s="233"/>
      <c r="J186" s="163" t="str">
        <f>IF(Bridport!M18="","",Bridport!M18)</f>
        <v/>
      </c>
      <c r="K186" s="41" t="str">
        <f>IF(Bridport!N18="","",Bridport!N18)</f>
        <v/>
      </c>
      <c r="L186" s="41" t="str">
        <f>IF(Bridport!O18="","",Bridport!O18)</f>
        <v/>
      </c>
      <c r="M186" s="41" t="str">
        <f>IF(Bridport!P18="","",Bridport!P18)</f>
        <v/>
      </c>
      <c r="N186" s="41" t="str">
        <f>IF(Bridport!Q18="","",Bridport!Q18)</f>
        <v/>
      </c>
      <c r="O186" s="41" t="str">
        <f>IF(Bridport!R18="","",Bridport!R18)</f>
        <v/>
      </c>
      <c r="P186" s="41" t="str">
        <f>IF(Bridport!S18="","",Bridport!S18)</f>
        <v/>
      </c>
      <c r="Q186" s="41" t="str">
        <f>IF(Bridport!T18="","",Bridport!T18)</f>
        <v/>
      </c>
      <c r="R186" s="41" t="str">
        <f>IF(Bridport!U18="","",Bridport!U18)</f>
        <v/>
      </c>
      <c r="S186" s="41" t="str">
        <f>IF(Bridport!V18="","",Bridport!V18)</f>
        <v/>
      </c>
      <c r="T186" s="41" t="str">
        <f>IF(Bridport!W18="","",Bridport!W18)</f>
        <v/>
      </c>
      <c r="U186" s="41" t="str">
        <f>IF(Bridport!X18="","",Bridport!X18)</f>
        <v/>
      </c>
      <c r="V186" s="41" t="str">
        <f>IF(Bridport!Y18="","",Bridport!Y18)</f>
        <v/>
      </c>
      <c r="W186" s="201"/>
      <c r="X186" s="182"/>
      <c r="Y186" s="233"/>
      <c r="AA186" s="239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233"/>
    </row>
    <row r="187" spans="2:51" ht="12" customHeight="1" x14ac:dyDescent="0.2">
      <c r="B187" s="268"/>
      <c r="C187" s="263" t="str">
        <f>IF(Bridport!E19="","",Bridport!E19)</f>
        <v>Daniel Rawlings</v>
      </c>
      <c r="D187" s="259" t="str">
        <f>LEFT($B$175,3)</f>
        <v>Bri</v>
      </c>
      <c r="E187" s="251">
        <f>IF(Bridport!G19="","",Bridport!G19)</f>
        <v>11</v>
      </c>
      <c r="F187" s="181">
        <f>IF(Bridport!H19=0,"",Bridport!H19)</f>
        <v>10</v>
      </c>
      <c r="G187" s="186">
        <f>IF(Bridport!I19=0,"",Bridport!I19)</f>
        <v>1</v>
      </c>
      <c r="H187" s="186">
        <f>IF(Bridport!J19=0,"",Bridport!J19)</f>
        <v>42</v>
      </c>
      <c r="I187" s="252">
        <f>IF(Bridport!K19=0,"",Bridport!K19)</f>
        <v>16</v>
      </c>
      <c r="J187" s="163" t="str">
        <f>IF(Bridport!M19="","",Bridport!M19)</f>
        <v/>
      </c>
      <c r="K187" s="41">
        <f>IF(Bridport!N19="","",Bridport!N19)</f>
        <v>26.85</v>
      </c>
      <c r="L187" s="41">
        <f>IF(Bridport!O19="","",Bridport!O19)</f>
        <v>24.95</v>
      </c>
      <c r="M187" s="41">
        <f>IF(Bridport!P19="","",Bridport!P19)</f>
        <v>25.05</v>
      </c>
      <c r="N187" s="41">
        <f>IF(Bridport!Q19="","",Bridport!Q19)</f>
        <v>21.84</v>
      </c>
      <c r="O187" s="41">
        <f>IF(Bridport!R19="","",Bridport!R19)</f>
        <v>27.47</v>
      </c>
      <c r="P187" s="41">
        <f>IF(Bridport!S19="","",Bridport!S19)</f>
        <v>22.01</v>
      </c>
      <c r="Q187" s="41">
        <f>IF(Bridport!T19="","",Bridport!T19)</f>
        <v>26.39</v>
      </c>
      <c r="R187" s="41">
        <f>IF(Bridport!U19="","",Bridport!U19)</f>
        <v>23.16</v>
      </c>
      <c r="S187" s="41">
        <f>IF(Bridport!V19="","",Bridport!V19)</f>
        <v>25.37</v>
      </c>
      <c r="T187" s="41" t="str">
        <f>IF(Bridport!W19="","",Bridport!W19)</f>
        <v/>
      </c>
      <c r="U187" s="41">
        <f>IF(Bridport!X19="","",Bridport!X19)</f>
        <v>27.91</v>
      </c>
      <c r="V187" s="41">
        <f>IF(Bridport!Y19="","",Bridport!Y19)</f>
        <v>28.77</v>
      </c>
      <c r="W187" s="249">
        <f>IF(Bridport!AA19=0,"",Bridport!AA19)</f>
        <v>4</v>
      </c>
      <c r="X187" s="244">
        <f>IF(Bridport!AB19=0,"",Bridport!AB19)</f>
        <v>25.433636363636364</v>
      </c>
      <c r="Y187" s="245">
        <f>IF(Bridport!AC19=0,"",Bridport!AC19)</f>
        <v>35.433636363636367</v>
      </c>
      <c r="AA187" s="246">
        <f>Y187</f>
        <v>35.433636363636367</v>
      </c>
      <c r="AB187" s="243">
        <f>X187</f>
        <v>25.433636363636364</v>
      </c>
      <c r="AC187" s="185" t="str">
        <f>C187</f>
        <v>Daniel Rawlings</v>
      </c>
      <c r="AD187" s="185" t="str">
        <f>LEFT($B$175,3)</f>
        <v>Bri</v>
      </c>
      <c r="AE187" s="185">
        <f t="shared" ref="AE187:AY187" si="90">E187</f>
        <v>11</v>
      </c>
      <c r="AF187" s="185">
        <f t="shared" si="90"/>
        <v>10</v>
      </c>
      <c r="AG187" s="247">
        <f t="shared" si="90"/>
        <v>1</v>
      </c>
      <c r="AH187" s="247">
        <f t="shared" si="90"/>
        <v>42</v>
      </c>
      <c r="AI187" s="247">
        <f t="shared" si="90"/>
        <v>16</v>
      </c>
      <c r="AJ187" s="243" t="str">
        <f t="shared" si="90"/>
        <v/>
      </c>
      <c r="AK187" s="243">
        <f t="shared" si="90"/>
        <v>26.85</v>
      </c>
      <c r="AL187" s="243">
        <f t="shared" si="90"/>
        <v>24.95</v>
      </c>
      <c r="AM187" s="243">
        <f t="shared" si="90"/>
        <v>25.05</v>
      </c>
      <c r="AN187" s="243">
        <f t="shared" si="90"/>
        <v>21.84</v>
      </c>
      <c r="AO187" s="243">
        <f t="shared" si="90"/>
        <v>27.47</v>
      </c>
      <c r="AP187" s="243">
        <f t="shared" si="90"/>
        <v>22.01</v>
      </c>
      <c r="AQ187" s="243">
        <f t="shared" si="90"/>
        <v>26.39</v>
      </c>
      <c r="AR187" s="243">
        <f t="shared" si="90"/>
        <v>23.16</v>
      </c>
      <c r="AS187" s="243">
        <f t="shared" si="90"/>
        <v>25.37</v>
      </c>
      <c r="AT187" s="243" t="str">
        <f t="shared" si="90"/>
        <v/>
      </c>
      <c r="AU187" s="243">
        <f t="shared" si="90"/>
        <v>27.91</v>
      </c>
      <c r="AV187" s="243">
        <f t="shared" si="90"/>
        <v>28.77</v>
      </c>
      <c r="AW187" s="247">
        <f t="shared" si="90"/>
        <v>4</v>
      </c>
      <c r="AX187" s="243">
        <f t="shared" si="90"/>
        <v>25.433636363636364</v>
      </c>
      <c r="AY187" s="248">
        <f t="shared" si="90"/>
        <v>35.433636363636367</v>
      </c>
    </row>
    <row r="188" spans="2:51" ht="12" customHeight="1" x14ac:dyDescent="0.2">
      <c r="B188" s="268"/>
      <c r="C188" s="235"/>
      <c r="D188" s="235"/>
      <c r="E188" s="239"/>
      <c r="F188" s="182"/>
      <c r="G188" s="182"/>
      <c r="H188" s="182"/>
      <c r="I188" s="233"/>
      <c r="J188" s="163" t="str">
        <f>IF(Bridport!M20="","",Bridport!M20)</f>
        <v/>
      </c>
      <c r="K188" s="41" t="str">
        <f>IF(Bridport!N20="","",Bridport!N20)</f>
        <v>2*4</v>
      </c>
      <c r="L188" s="41" t="str">
        <f>IF(Bridport!O20="","",Bridport!O20)</f>
        <v>4*2</v>
      </c>
      <c r="M188" s="41" t="str">
        <f>IF(Bridport!P20="","",Bridport!P20)</f>
        <v>4*0</v>
      </c>
      <c r="N188" s="41" t="str">
        <f>IF(Bridport!Q20="","",Bridport!Q20)</f>
        <v>4*2</v>
      </c>
      <c r="O188" s="41" t="str">
        <f>IF(Bridport!R20="","",Bridport!R20)</f>
        <v>4*1</v>
      </c>
      <c r="P188" s="41" t="str">
        <f>IF(Bridport!S20="","",Bridport!S20)</f>
        <v>4*1</v>
      </c>
      <c r="Q188" s="41" t="str">
        <f>IF(Bridport!T20="","",Bridport!T20)</f>
        <v>4*2</v>
      </c>
      <c r="R188" s="41" t="str">
        <f>IF(Bridport!U20="","",Bridport!U20)</f>
        <v>4*1</v>
      </c>
      <c r="S188" s="41" t="str">
        <f>IF(Bridport!V20="","",Bridport!V20)</f>
        <v>4*0(1)</v>
      </c>
      <c r="T188" s="41" t="str">
        <f>IF(Bridport!W20="","",Bridport!W20)</f>
        <v/>
      </c>
      <c r="U188" s="41" t="str">
        <f>IF(Bridport!X20="","",Bridport!X20)</f>
        <v>4*1(1)</v>
      </c>
      <c r="V188" s="41" t="str">
        <f>IF(Bridport!Y20="","",Bridport!Y20)</f>
        <v>4*2(2)</v>
      </c>
      <c r="W188" s="201"/>
      <c r="X188" s="182"/>
      <c r="Y188" s="233"/>
      <c r="AA188" s="239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233"/>
    </row>
    <row r="189" spans="2:51" ht="12" customHeight="1" x14ac:dyDescent="0.2">
      <c r="B189" s="268"/>
      <c r="C189" s="263" t="str">
        <f>IF(Bridport!E21="","",Bridport!E21)</f>
        <v>Steve Smith</v>
      </c>
      <c r="D189" s="259" t="str">
        <f>LEFT($B$175,3)</f>
        <v>Bri</v>
      </c>
      <c r="E189" s="251">
        <f>IF(Bridport!G21="","",Bridport!G21)</f>
        <v>10</v>
      </c>
      <c r="F189" s="181">
        <f>IF(Bridport!H21=0,"",Bridport!H21)</f>
        <v>6</v>
      </c>
      <c r="G189" s="186">
        <f>IF(Bridport!I21=0,"",Bridport!I21)</f>
        <v>4</v>
      </c>
      <c r="H189" s="186">
        <f>IF(Bridport!J21=0,"",Bridport!J21)</f>
        <v>29</v>
      </c>
      <c r="I189" s="252">
        <f>IF(Bridport!K21=0,"",Bridport!K21)</f>
        <v>26</v>
      </c>
      <c r="J189" s="163">
        <f>IF(Bridport!M21="","",Bridport!M21)</f>
        <v>20.28</v>
      </c>
      <c r="K189" s="41">
        <f>IF(Bridport!N21="","",Bridport!N21)</f>
        <v>20.49</v>
      </c>
      <c r="L189" s="41">
        <f>IF(Bridport!O21="","",Bridport!O21)</f>
        <v>20.84</v>
      </c>
      <c r="M189" s="41">
        <f>IF(Bridport!P21="","",Bridport!P21)</f>
        <v>21.5</v>
      </c>
      <c r="N189" s="41">
        <f>IF(Bridport!Q21="","",Bridport!Q21)</f>
        <v>23.28</v>
      </c>
      <c r="O189" s="41">
        <f>IF(Bridport!R21="","",Bridport!R21)</f>
        <v>19.68</v>
      </c>
      <c r="P189" s="41" t="str">
        <f>IF(Bridport!S21="","",Bridport!S21)</f>
        <v/>
      </c>
      <c r="Q189" s="41">
        <f>IF(Bridport!T21="","",Bridport!T21)</f>
        <v>19.14</v>
      </c>
      <c r="R189" s="41" t="str">
        <f>IF(Bridport!U21="","",Bridport!U21)</f>
        <v/>
      </c>
      <c r="S189" s="41" t="str">
        <f>IF(Bridport!V21="","",Bridport!V21)</f>
        <v/>
      </c>
      <c r="T189" s="41">
        <f>IF(Bridport!W21="","",Bridport!W21)</f>
        <v>22.02</v>
      </c>
      <c r="U189" s="41">
        <f>IF(Bridport!X21="","",Bridport!X21)</f>
        <v>13.82</v>
      </c>
      <c r="V189" s="41">
        <f>IF(Bridport!Y21="","",Bridport!Y21)</f>
        <v>21.19</v>
      </c>
      <c r="W189" s="249">
        <f>IF(Bridport!AA21=0,"",Bridport!AA21)</f>
        <v>1</v>
      </c>
      <c r="X189" s="244">
        <f>IF(Bridport!AB21=0,"",Bridport!AB21)</f>
        <v>20.223999999999997</v>
      </c>
      <c r="Y189" s="245">
        <f>IF(Bridport!AC21=0,"",Bridport!AC21)</f>
        <v>26.223999999999997</v>
      </c>
      <c r="AA189" s="246">
        <f>Y189</f>
        <v>26.223999999999997</v>
      </c>
      <c r="AB189" s="243">
        <f>X189</f>
        <v>20.223999999999997</v>
      </c>
      <c r="AC189" s="185" t="str">
        <f>C189</f>
        <v>Steve Smith</v>
      </c>
      <c r="AD189" s="185" t="str">
        <f>LEFT($B$175,3)</f>
        <v>Bri</v>
      </c>
      <c r="AE189" s="185">
        <f t="shared" ref="AE189:AY189" si="91">E189</f>
        <v>10</v>
      </c>
      <c r="AF189" s="185">
        <f t="shared" si="91"/>
        <v>6</v>
      </c>
      <c r="AG189" s="247">
        <f t="shared" si="91"/>
        <v>4</v>
      </c>
      <c r="AH189" s="247">
        <f t="shared" si="91"/>
        <v>29</v>
      </c>
      <c r="AI189" s="247">
        <f t="shared" si="91"/>
        <v>26</v>
      </c>
      <c r="AJ189" s="243">
        <f t="shared" si="91"/>
        <v>20.28</v>
      </c>
      <c r="AK189" s="243">
        <f t="shared" si="91"/>
        <v>20.49</v>
      </c>
      <c r="AL189" s="243">
        <f t="shared" si="91"/>
        <v>20.84</v>
      </c>
      <c r="AM189" s="243">
        <f t="shared" si="91"/>
        <v>21.5</v>
      </c>
      <c r="AN189" s="243">
        <f t="shared" si="91"/>
        <v>23.28</v>
      </c>
      <c r="AO189" s="243">
        <f t="shared" si="91"/>
        <v>19.68</v>
      </c>
      <c r="AP189" s="243" t="str">
        <f t="shared" si="91"/>
        <v/>
      </c>
      <c r="AQ189" s="243">
        <f t="shared" si="91"/>
        <v>19.14</v>
      </c>
      <c r="AR189" s="243" t="str">
        <f t="shared" si="91"/>
        <v/>
      </c>
      <c r="AS189" s="243" t="str">
        <f t="shared" si="91"/>
        <v/>
      </c>
      <c r="AT189" s="243">
        <f t="shared" si="91"/>
        <v>22.02</v>
      </c>
      <c r="AU189" s="243">
        <f t="shared" si="91"/>
        <v>13.82</v>
      </c>
      <c r="AV189" s="243">
        <f t="shared" si="91"/>
        <v>21.19</v>
      </c>
      <c r="AW189" s="247">
        <f t="shared" si="91"/>
        <v>1</v>
      </c>
      <c r="AX189" s="243">
        <f t="shared" si="91"/>
        <v>20.223999999999997</v>
      </c>
      <c r="AY189" s="248">
        <f t="shared" si="91"/>
        <v>26.223999999999997</v>
      </c>
    </row>
    <row r="190" spans="2:51" ht="12" customHeight="1" x14ac:dyDescent="0.2">
      <c r="B190" s="268"/>
      <c r="C190" s="235"/>
      <c r="D190" s="235"/>
      <c r="E190" s="239"/>
      <c r="F190" s="182"/>
      <c r="G190" s="182"/>
      <c r="H190" s="182"/>
      <c r="I190" s="233"/>
      <c r="J190" s="163" t="str">
        <f>IF(Bridport!M22="","",Bridport!M22)</f>
        <v>3*4</v>
      </c>
      <c r="K190" s="41" t="str">
        <f>IF(Bridport!N22="","",Bridport!N22)</f>
        <v>1*4</v>
      </c>
      <c r="L190" s="41" t="str">
        <f>IF(Bridport!O22="","",Bridport!O22)</f>
        <v>4*2</v>
      </c>
      <c r="M190" s="41" t="str">
        <f>IF(Bridport!P22="","",Bridport!P22)</f>
        <v>1*4</v>
      </c>
      <c r="N190" s="41" t="str">
        <f>IF(Bridport!Q22="","",Bridport!Q22)</f>
        <v>4*3</v>
      </c>
      <c r="O190" s="41" t="str">
        <f>IF(Bridport!R22="","",Bridport!R22)</f>
        <v>0*4</v>
      </c>
      <c r="P190" s="41" t="str">
        <f>IF(Bridport!S22="","",Bridport!S22)</f>
        <v/>
      </c>
      <c r="Q190" s="41" t="str">
        <f>IF(Bridport!T22="","",Bridport!T22)</f>
        <v>4*3</v>
      </c>
      <c r="R190" s="41" t="str">
        <f>IF(Bridport!U22="","",Bridport!U22)</f>
        <v/>
      </c>
      <c r="S190" s="41" t="str">
        <f>IF(Bridport!V22="","",Bridport!V22)</f>
        <v/>
      </c>
      <c r="T190" s="41" t="str">
        <f>IF(Bridport!W22="","",Bridport!W22)</f>
        <v>4*0</v>
      </c>
      <c r="U190" s="41" t="str">
        <f>IF(Bridport!X22="","",Bridport!X22)</f>
        <v>4*1</v>
      </c>
      <c r="V190" s="41" t="str">
        <f>IF(Bridport!Y22="","",Bridport!Y22)</f>
        <v>4*1(1)</v>
      </c>
      <c r="W190" s="201"/>
      <c r="X190" s="182"/>
      <c r="Y190" s="233"/>
      <c r="AA190" s="239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233"/>
    </row>
    <row r="191" spans="2:51" ht="12" customHeight="1" x14ac:dyDescent="0.2">
      <c r="B191" s="268"/>
      <c r="C191" s="263" t="str">
        <f>IF(Bridport!E23="","",Bridport!E23)</f>
        <v xml:space="preserve">Chris Topp </v>
      </c>
      <c r="D191" s="259" t="str">
        <f>LEFT($B$175,3)</f>
        <v>Bri</v>
      </c>
      <c r="E191" s="251">
        <f>IF(Bridport!G23="","",Bridport!G23)</f>
        <v>7</v>
      </c>
      <c r="F191" s="181">
        <f>IF(Bridport!H23=0,"",Bridport!H23)</f>
        <v>6</v>
      </c>
      <c r="G191" s="181">
        <f>IF(Bridport!I23=0,"",Bridport!I23)</f>
        <v>1</v>
      </c>
      <c r="H191" s="186">
        <f>IF(Bridport!J23=0,"",Bridport!J23)</f>
        <v>25</v>
      </c>
      <c r="I191" s="252">
        <f>IF(Bridport!K23=0,"",Bridport!K23)</f>
        <v>10</v>
      </c>
      <c r="J191" s="163">
        <f>IF(Bridport!M23="","",Bridport!M23)</f>
        <v>20.02</v>
      </c>
      <c r="K191" s="41">
        <f>IF(Bridport!N23="","",Bridport!N23)</f>
        <v>21.02</v>
      </c>
      <c r="L191" s="41">
        <f>IF(Bridport!O23="","",Bridport!O23)</f>
        <v>20.9</v>
      </c>
      <c r="M191" s="41" t="str">
        <f>IF(Bridport!P23="","",Bridport!P23)</f>
        <v/>
      </c>
      <c r="N191" s="41">
        <f>IF(Bridport!Q23="","",Bridport!Q23)</f>
        <v>21.36</v>
      </c>
      <c r="O191" s="41">
        <f>IF(Bridport!R23="","",Bridport!R23)</f>
        <v>22.9</v>
      </c>
      <c r="P191" s="41" t="str">
        <f>IF(Bridport!S23="","",Bridport!S23)</f>
        <v/>
      </c>
      <c r="Q191" s="41" t="str">
        <f>IF(Bridport!T23="","",Bridport!T23)</f>
        <v/>
      </c>
      <c r="R191" s="41" t="str">
        <f>IF(Bridport!U23="","",Bridport!U23)</f>
        <v/>
      </c>
      <c r="S191" s="41" t="str">
        <f>IF(Bridport!V23="","",Bridport!V23)</f>
        <v/>
      </c>
      <c r="T191" s="41">
        <f>IF(Bridport!W23="","",Bridport!W23)</f>
        <v>23.58</v>
      </c>
      <c r="U191" s="41" t="str">
        <f>IF(Bridport!X23="","",Bridport!X23)</f>
        <v/>
      </c>
      <c r="V191" s="41">
        <f>IF(Bridport!Y23="","",Bridport!Y23)</f>
        <v>18.75</v>
      </c>
      <c r="W191" s="249">
        <f>IF(Bridport!AA23=0,"",Bridport!AA23)</f>
        <v>1</v>
      </c>
      <c r="X191" s="244">
        <f>IF(Bridport!AB23=0,"",Bridport!AB23)</f>
        <v>21.218571428571426</v>
      </c>
      <c r="Y191" s="245">
        <f>IF(Bridport!AC23=0,"",Bridport!AC23)</f>
        <v>27.218571428571426</v>
      </c>
      <c r="AA191" s="246">
        <f>Y191</f>
        <v>27.218571428571426</v>
      </c>
      <c r="AB191" s="243">
        <f>X191</f>
        <v>21.218571428571426</v>
      </c>
      <c r="AC191" s="185" t="str">
        <f>C191</f>
        <v xml:space="preserve">Chris Topp </v>
      </c>
      <c r="AD191" s="185" t="str">
        <f>LEFT($B$175,3)</f>
        <v>Bri</v>
      </c>
      <c r="AE191" s="185">
        <f t="shared" ref="AE191:AY191" si="92">E191</f>
        <v>7</v>
      </c>
      <c r="AF191" s="185">
        <f t="shared" si="92"/>
        <v>6</v>
      </c>
      <c r="AG191" s="185">
        <f t="shared" si="92"/>
        <v>1</v>
      </c>
      <c r="AH191" s="247">
        <f t="shared" si="92"/>
        <v>25</v>
      </c>
      <c r="AI191" s="247">
        <f t="shared" si="92"/>
        <v>10</v>
      </c>
      <c r="AJ191" s="243">
        <f t="shared" si="92"/>
        <v>20.02</v>
      </c>
      <c r="AK191" s="243">
        <f t="shared" si="92"/>
        <v>21.02</v>
      </c>
      <c r="AL191" s="243">
        <f t="shared" si="92"/>
        <v>20.9</v>
      </c>
      <c r="AM191" s="243" t="str">
        <f t="shared" si="92"/>
        <v/>
      </c>
      <c r="AN191" s="243">
        <f t="shared" si="92"/>
        <v>21.36</v>
      </c>
      <c r="AO191" s="243">
        <f t="shared" si="92"/>
        <v>22.9</v>
      </c>
      <c r="AP191" s="243" t="str">
        <f t="shared" si="92"/>
        <v/>
      </c>
      <c r="AQ191" s="243" t="str">
        <f t="shared" si="92"/>
        <v/>
      </c>
      <c r="AR191" s="243" t="str">
        <f t="shared" si="92"/>
        <v/>
      </c>
      <c r="AS191" s="243" t="str">
        <f t="shared" si="92"/>
        <v/>
      </c>
      <c r="AT191" s="243">
        <f t="shared" si="92"/>
        <v>23.58</v>
      </c>
      <c r="AU191" s="243" t="str">
        <f t="shared" si="92"/>
        <v/>
      </c>
      <c r="AV191" s="243">
        <f t="shared" si="92"/>
        <v>18.75</v>
      </c>
      <c r="AW191" s="247">
        <f t="shared" si="92"/>
        <v>1</v>
      </c>
      <c r="AX191" s="243">
        <f t="shared" si="92"/>
        <v>21.218571428571426</v>
      </c>
      <c r="AY191" s="248">
        <f t="shared" si="92"/>
        <v>27.218571428571426</v>
      </c>
    </row>
    <row r="192" spans="2:51" ht="12" customHeight="1" x14ac:dyDescent="0.2">
      <c r="B192" s="268"/>
      <c r="C192" s="235"/>
      <c r="D192" s="235"/>
      <c r="E192" s="239"/>
      <c r="F192" s="182"/>
      <c r="G192" s="182"/>
      <c r="H192" s="182"/>
      <c r="I192" s="233"/>
      <c r="J192" s="163" t="str">
        <f>IF(Bridport!M24="","",Bridport!M24)</f>
        <v>1*4</v>
      </c>
      <c r="K192" s="41" t="str">
        <f>IF(Bridport!N24="","",Bridport!N24)</f>
        <v>4*1</v>
      </c>
      <c r="L192" s="41" t="str">
        <f>IF(Bridport!O24="","",Bridport!O24)</f>
        <v>4*0</v>
      </c>
      <c r="M192" s="41" t="str">
        <f>IF(Bridport!P24="","",Bridport!P24)</f>
        <v/>
      </c>
      <c r="N192" s="41" t="str">
        <f>IF(Bridport!Q24="","",Bridport!Q24)</f>
        <v>4*3</v>
      </c>
      <c r="O192" s="41" t="str">
        <f>IF(Bridport!R24="","",Bridport!R24)</f>
        <v>4*1</v>
      </c>
      <c r="P192" s="41" t="str">
        <f>IF(Bridport!S24="","",Bridport!S24)</f>
        <v/>
      </c>
      <c r="Q192" s="41" t="str">
        <f>IF(Bridport!T24="","",Bridport!T24)</f>
        <v/>
      </c>
      <c r="R192" s="41" t="str">
        <f>IF(Bridport!U24="","",Bridport!U24)</f>
        <v/>
      </c>
      <c r="S192" s="41" t="str">
        <f>IF(Bridport!V24="","",Bridport!V24)</f>
        <v/>
      </c>
      <c r="T192" s="41" t="str">
        <f>IF(Bridport!W24="","",Bridport!W24)</f>
        <v>4*0</v>
      </c>
      <c r="U192" s="41" t="str">
        <f>IF(Bridport!X24="","",Bridport!X24)</f>
        <v/>
      </c>
      <c r="V192" s="41" t="str">
        <f>IF(Bridport!Y24="","",Bridport!Y24)</f>
        <v>4*1(1)</v>
      </c>
      <c r="W192" s="201"/>
      <c r="X192" s="182"/>
      <c r="Y192" s="233"/>
      <c r="AA192" s="239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233"/>
    </row>
    <row r="193" spans="2:51" ht="12" customHeight="1" x14ac:dyDescent="0.2">
      <c r="B193" s="268"/>
      <c r="C193" s="263" t="str">
        <f>IF(Bridport!E25="","",Bridport!E25)</f>
        <v xml:space="preserve">Rob Millward </v>
      </c>
      <c r="D193" s="259" t="str">
        <f>LEFT($B$175,3)</f>
        <v>Bri</v>
      </c>
      <c r="E193" s="251">
        <f>IF(Bridport!G25="","",Bridport!G25)</f>
        <v>9</v>
      </c>
      <c r="F193" s="181">
        <f>IF(Bridport!H25=0,"",Bridport!H25)</f>
        <v>2</v>
      </c>
      <c r="G193" s="186">
        <f>IF(Bridport!I25=0,"",Bridport!I25)</f>
        <v>7</v>
      </c>
      <c r="H193" s="186">
        <f>IF(Bridport!J25=0,"",Bridport!J25)</f>
        <v>17</v>
      </c>
      <c r="I193" s="252">
        <f>IF(Bridport!K25=0,"",Bridport!K25)</f>
        <v>31</v>
      </c>
      <c r="J193" s="163">
        <f>IF(Bridport!M25="","",Bridport!M25)</f>
        <v>22.44</v>
      </c>
      <c r="K193" s="41">
        <f>IF(Bridport!N25="","",Bridport!N25)</f>
        <v>18.440000000000001</v>
      </c>
      <c r="L193" s="41">
        <f>IF(Bridport!O25="","",Bridport!O25)</f>
        <v>18.32</v>
      </c>
      <c r="M193" s="41">
        <f>IF(Bridport!P25="","",Bridport!P25)</f>
        <v>20.81</v>
      </c>
      <c r="N193" s="41">
        <f>IF(Bridport!Q25="","",Bridport!Q25)</f>
        <v>19.95</v>
      </c>
      <c r="O193" s="41">
        <f>IF(Bridport!R25="","",Bridport!R25)</f>
        <v>19.89</v>
      </c>
      <c r="P193" s="41" t="str">
        <f>IF(Bridport!S25="","",Bridport!S25)</f>
        <v/>
      </c>
      <c r="Q193" s="41" t="str">
        <f>IF(Bridport!T25="","",Bridport!T25)</f>
        <v/>
      </c>
      <c r="R193" s="41" t="str">
        <f>IF(Bridport!U25="","",Bridport!U25)</f>
        <v/>
      </c>
      <c r="S193" s="41">
        <f>IF(Bridport!V25="","",Bridport!V25)</f>
        <v>20.43</v>
      </c>
      <c r="T193" s="41">
        <f>IF(Bridport!W25="","",Bridport!W25)</f>
        <v>21.35</v>
      </c>
      <c r="U193" s="41">
        <f>IF(Bridport!X25="","",Bridport!X25)</f>
        <v>20.45</v>
      </c>
      <c r="V193" s="41" t="str">
        <f>IF(Bridport!Y25="","",Bridport!Y25)</f>
        <v/>
      </c>
      <c r="W193" s="249" t="str">
        <f>IF(Bridport!AA25=0,"",Bridport!AA25)</f>
        <v/>
      </c>
      <c r="X193" s="244">
        <f>IF(Bridport!AB25=0,"",Bridport!AB25)</f>
        <v>20.231111111111108</v>
      </c>
      <c r="Y193" s="245">
        <f>IF(Bridport!AC25=0,"",Bridport!AC25)</f>
        <v>22.231111111111108</v>
      </c>
      <c r="AA193" s="246">
        <f>Y193</f>
        <v>22.231111111111108</v>
      </c>
      <c r="AB193" s="243">
        <f>X193</f>
        <v>20.231111111111108</v>
      </c>
      <c r="AC193" s="185" t="str">
        <f>C193</f>
        <v xml:space="preserve">Rob Millward </v>
      </c>
      <c r="AD193" s="185" t="str">
        <f>LEFT($B$175,3)</f>
        <v>Bri</v>
      </c>
      <c r="AE193" s="185">
        <f t="shared" ref="AE193:AY193" si="93">E193</f>
        <v>9</v>
      </c>
      <c r="AF193" s="185">
        <f t="shared" si="93"/>
        <v>2</v>
      </c>
      <c r="AG193" s="247">
        <f t="shared" si="93"/>
        <v>7</v>
      </c>
      <c r="AH193" s="247">
        <f t="shared" si="93"/>
        <v>17</v>
      </c>
      <c r="AI193" s="247">
        <f t="shared" si="93"/>
        <v>31</v>
      </c>
      <c r="AJ193" s="243">
        <f t="shared" si="93"/>
        <v>22.44</v>
      </c>
      <c r="AK193" s="243">
        <f t="shared" si="93"/>
        <v>18.440000000000001</v>
      </c>
      <c r="AL193" s="243">
        <f t="shared" si="93"/>
        <v>18.32</v>
      </c>
      <c r="AM193" s="243">
        <f t="shared" si="93"/>
        <v>20.81</v>
      </c>
      <c r="AN193" s="243">
        <f t="shared" si="93"/>
        <v>19.95</v>
      </c>
      <c r="AO193" s="243">
        <f t="shared" si="93"/>
        <v>19.89</v>
      </c>
      <c r="AP193" s="243" t="str">
        <f t="shared" si="93"/>
        <v/>
      </c>
      <c r="AQ193" s="243" t="str">
        <f t="shared" si="93"/>
        <v/>
      </c>
      <c r="AR193" s="243" t="str">
        <f t="shared" si="93"/>
        <v/>
      </c>
      <c r="AS193" s="243">
        <f t="shared" si="93"/>
        <v>20.43</v>
      </c>
      <c r="AT193" s="243">
        <f t="shared" si="93"/>
        <v>21.35</v>
      </c>
      <c r="AU193" s="243">
        <f t="shared" si="93"/>
        <v>20.45</v>
      </c>
      <c r="AV193" s="243" t="str">
        <f t="shared" si="93"/>
        <v/>
      </c>
      <c r="AW193" s="247" t="str">
        <f t="shared" si="93"/>
        <v/>
      </c>
      <c r="AX193" s="243">
        <f t="shared" si="93"/>
        <v>20.231111111111108</v>
      </c>
      <c r="AY193" s="248">
        <f t="shared" si="93"/>
        <v>22.231111111111108</v>
      </c>
    </row>
    <row r="194" spans="2:51" ht="12" customHeight="1" x14ac:dyDescent="0.2">
      <c r="B194" s="268"/>
      <c r="C194" s="235"/>
      <c r="D194" s="235"/>
      <c r="E194" s="239"/>
      <c r="F194" s="182"/>
      <c r="G194" s="182"/>
      <c r="H194" s="182"/>
      <c r="I194" s="233"/>
      <c r="J194" s="163" t="str">
        <f>IF(Bridport!M26="","",Bridport!M26)</f>
        <v>1*4</v>
      </c>
      <c r="K194" s="41" t="str">
        <f>IF(Bridport!N26="","",Bridport!N26)</f>
        <v>0*4</v>
      </c>
      <c r="L194" s="41" t="str">
        <f>IF(Bridport!O26="","",Bridport!O26)</f>
        <v>4*1</v>
      </c>
      <c r="M194" s="41" t="str">
        <f>IF(Bridport!P26="","",Bridport!P26)</f>
        <v>4*2</v>
      </c>
      <c r="N194" s="41" t="str">
        <f>IF(Bridport!Q26="","",Bridport!Q26)</f>
        <v>1*4</v>
      </c>
      <c r="O194" s="41" t="str">
        <f>IF(Bridport!R26="","",Bridport!R26)</f>
        <v>2*4</v>
      </c>
      <c r="P194" s="41" t="str">
        <f>IF(Bridport!S26="","",Bridport!S26)</f>
        <v/>
      </c>
      <c r="Q194" s="41" t="str">
        <f>IF(Bridport!T26="","",Bridport!T26)</f>
        <v/>
      </c>
      <c r="R194" s="41" t="str">
        <f>IF(Bridport!U26="","",Bridport!U26)</f>
        <v/>
      </c>
      <c r="S194" s="41" t="str">
        <f>IF(Bridport!V26="","",Bridport!V26)</f>
        <v>2*4</v>
      </c>
      <c r="T194" s="41" t="str">
        <f>IF(Bridport!W26="","",Bridport!W26)</f>
        <v>0*4</v>
      </c>
      <c r="U194" s="41" t="str">
        <f>IF(Bridport!X26="","",Bridport!X26)</f>
        <v>3*4</v>
      </c>
      <c r="V194" s="41" t="str">
        <f>IF(Bridport!Y26="","",Bridport!Y26)</f>
        <v/>
      </c>
      <c r="W194" s="201"/>
      <c r="X194" s="182"/>
      <c r="Y194" s="233"/>
      <c r="AA194" s="239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233"/>
    </row>
    <row r="195" spans="2:51" ht="12" customHeight="1" x14ac:dyDescent="0.2">
      <c r="B195" s="268"/>
      <c r="C195" s="263" t="str">
        <f>IF(Bridport!E27="","",Bridport!E27)</f>
        <v xml:space="preserve">Nigel Davey </v>
      </c>
      <c r="D195" s="259" t="str">
        <f>LEFT($B$175,3)</f>
        <v>Bri</v>
      </c>
      <c r="E195" s="251">
        <f>IF(Bridport!G27="","",Bridport!G27)</f>
        <v>3</v>
      </c>
      <c r="F195" s="181" t="str">
        <f>IF(Bridport!H27=0,"",Bridport!H27)</f>
        <v/>
      </c>
      <c r="G195" s="186">
        <f>IF(Bridport!I27=0,"",Bridport!I27)</f>
        <v>3</v>
      </c>
      <c r="H195" s="186">
        <f>IF(Bridport!J27=0,"",Bridport!J27)</f>
        <v>5</v>
      </c>
      <c r="I195" s="252">
        <f>IF(Bridport!K27=0,"",Bridport!K27)</f>
        <v>12</v>
      </c>
      <c r="J195" s="163" t="str">
        <f>IF(Bridport!M27="","",Bridport!M27)</f>
        <v/>
      </c>
      <c r="K195" s="41">
        <f>IF(Bridport!N27="","",Bridport!N27)</f>
        <v>19.829999999999998</v>
      </c>
      <c r="L195" s="41" t="str">
        <f>IF(Bridport!O27="","",Bridport!O27)</f>
        <v/>
      </c>
      <c r="M195" s="41">
        <f>IF(Bridport!P27="","",Bridport!P27)</f>
        <v>18.09</v>
      </c>
      <c r="N195" s="41" t="str">
        <f>IF(Bridport!Q27="","",Bridport!Q27)</f>
        <v/>
      </c>
      <c r="O195" s="41" t="str">
        <f>IF(Bridport!R27="","",Bridport!R27)</f>
        <v/>
      </c>
      <c r="P195" s="41" t="str">
        <f>IF(Bridport!S27="","",Bridport!S27)</f>
        <v/>
      </c>
      <c r="Q195" s="41" t="str">
        <f>IF(Bridport!T27="","",Bridport!T27)</f>
        <v/>
      </c>
      <c r="R195" s="41" t="str">
        <f>IF(Bridport!U27="","",Bridport!U27)</f>
        <v/>
      </c>
      <c r="S195" s="41">
        <f>IF(Bridport!V27="","",Bridport!V27)</f>
        <v>20.09</v>
      </c>
      <c r="T195" s="41" t="str">
        <f>IF(Bridport!W27="","",Bridport!W27)</f>
        <v/>
      </c>
      <c r="U195" s="41" t="str">
        <f>IF(Bridport!X27="","",Bridport!X27)</f>
        <v/>
      </c>
      <c r="V195" s="41" t="str">
        <f>IF(Bridport!Y27="","",Bridport!Y27)</f>
        <v/>
      </c>
      <c r="W195" s="249" t="str">
        <f>IF(Bridport!AA27=0,"",Bridport!AA27)</f>
        <v/>
      </c>
      <c r="X195" s="244">
        <f>IF(Bridport!AB27=0,"",Bridport!AB27)</f>
        <v>19.33666666666667</v>
      </c>
      <c r="Y195" s="245">
        <f>IF(Bridport!AC27=0,"",Bridport!AC27)</f>
        <v>19.33666666666667</v>
      </c>
      <c r="AA195" s="246">
        <f>Y195</f>
        <v>19.33666666666667</v>
      </c>
      <c r="AB195" s="243">
        <f>X195</f>
        <v>19.33666666666667</v>
      </c>
      <c r="AC195" s="185" t="str">
        <f>C195</f>
        <v xml:space="preserve">Nigel Davey </v>
      </c>
      <c r="AD195" s="185" t="str">
        <f>LEFT($B$175,3)</f>
        <v>Bri</v>
      </c>
      <c r="AE195" s="185">
        <f t="shared" ref="AE195:AY195" si="94">E195</f>
        <v>3</v>
      </c>
      <c r="AF195" s="185" t="str">
        <f t="shared" si="94"/>
        <v/>
      </c>
      <c r="AG195" s="247">
        <f t="shared" si="94"/>
        <v>3</v>
      </c>
      <c r="AH195" s="247">
        <f t="shared" si="94"/>
        <v>5</v>
      </c>
      <c r="AI195" s="247">
        <f t="shared" si="94"/>
        <v>12</v>
      </c>
      <c r="AJ195" s="243" t="str">
        <f t="shared" si="94"/>
        <v/>
      </c>
      <c r="AK195" s="243">
        <f t="shared" si="94"/>
        <v>19.829999999999998</v>
      </c>
      <c r="AL195" s="243" t="str">
        <f t="shared" si="94"/>
        <v/>
      </c>
      <c r="AM195" s="243">
        <f t="shared" si="94"/>
        <v>18.09</v>
      </c>
      <c r="AN195" s="243" t="str">
        <f t="shared" si="94"/>
        <v/>
      </c>
      <c r="AO195" s="243" t="str">
        <f t="shared" si="94"/>
        <v/>
      </c>
      <c r="AP195" s="243" t="str">
        <f t="shared" si="94"/>
        <v/>
      </c>
      <c r="AQ195" s="243" t="str">
        <f t="shared" si="94"/>
        <v/>
      </c>
      <c r="AR195" s="243" t="str">
        <f t="shared" si="94"/>
        <v/>
      </c>
      <c r="AS195" s="243">
        <f t="shared" si="94"/>
        <v>20.09</v>
      </c>
      <c r="AT195" s="243" t="str">
        <f t="shared" si="94"/>
        <v/>
      </c>
      <c r="AU195" s="243" t="str">
        <f t="shared" si="94"/>
        <v/>
      </c>
      <c r="AV195" s="243" t="str">
        <f t="shared" si="94"/>
        <v/>
      </c>
      <c r="AW195" s="247" t="str">
        <f t="shared" si="94"/>
        <v/>
      </c>
      <c r="AX195" s="243">
        <f t="shared" si="94"/>
        <v>19.33666666666667</v>
      </c>
      <c r="AY195" s="248">
        <f t="shared" si="94"/>
        <v>19.33666666666667</v>
      </c>
    </row>
    <row r="196" spans="2:51" ht="12" customHeight="1" x14ac:dyDescent="0.2">
      <c r="B196" s="268"/>
      <c r="C196" s="235"/>
      <c r="D196" s="235"/>
      <c r="E196" s="239"/>
      <c r="F196" s="182"/>
      <c r="G196" s="182"/>
      <c r="H196" s="182"/>
      <c r="I196" s="233"/>
      <c r="J196" s="163" t="str">
        <f>IF(Bridport!M28="","",Bridport!M28)</f>
        <v/>
      </c>
      <c r="K196" s="41" t="str">
        <f>IF(Bridport!N28="","",Bridport!N28)</f>
        <v>2*4</v>
      </c>
      <c r="L196" s="41" t="str">
        <f>IF(Bridport!O28="","",Bridport!O28)</f>
        <v/>
      </c>
      <c r="M196" s="41" t="str">
        <f>IF(Bridport!P28="","",Bridport!P28)</f>
        <v>1*4</v>
      </c>
      <c r="N196" s="41" t="str">
        <f>IF(Bridport!Q28="","",Bridport!Q28)</f>
        <v/>
      </c>
      <c r="O196" s="41" t="str">
        <f>IF(Bridport!R28="","",Bridport!R28)</f>
        <v/>
      </c>
      <c r="P196" s="41" t="str">
        <f>IF(Bridport!S28="","",Bridport!S28)</f>
        <v/>
      </c>
      <c r="Q196" s="41" t="str">
        <f>IF(Bridport!T28="","",Bridport!T28)</f>
        <v/>
      </c>
      <c r="R196" s="41" t="str">
        <f>IF(Bridport!U28="","",Bridport!U28)</f>
        <v/>
      </c>
      <c r="S196" s="41" t="str">
        <f>IF(Bridport!V28="","",Bridport!V28)</f>
        <v>2*4</v>
      </c>
      <c r="T196" s="41" t="str">
        <f>IF(Bridport!W28="","",Bridport!W28)</f>
        <v/>
      </c>
      <c r="U196" s="41" t="str">
        <f>IF(Bridport!X28="","",Bridport!X28)</f>
        <v/>
      </c>
      <c r="V196" s="41" t="str">
        <f>IF(Bridport!Y28="","",Bridport!Y28)</f>
        <v/>
      </c>
      <c r="W196" s="201"/>
      <c r="X196" s="182"/>
      <c r="Y196" s="233"/>
      <c r="AA196" s="239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233"/>
    </row>
    <row r="197" spans="2:51" ht="12" customHeight="1" x14ac:dyDescent="0.2">
      <c r="B197" s="268"/>
      <c r="C197" s="263" t="str">
        <f>IF(Bridport!E29="","",Bridport!E29)</f>
        <v xml:space="preserve">Matt Goodier </v>
      </c>
      <c r="D197" s="259" t="str">
        <f>LEFT($B$175,3)</f>
        <v>Bri</v>
      </c>
      <c r="E197" s="251">
        <f>IF(Bridport!G29="","",Bridport!G29)</f>
        <v>11</v>
      </c>
      <c r="F197" s="181">
        <f>IF(Bridport!H29=0,"",Bridport!H29)</f>
        <v>6</v>
      </c>
      <c r="G197" s="186">
        <f>IF(Bridport!I29=0,"",Bridport!I29)</f>
        <v>5</v>
      </c>
      <c r="H197" s="186">
        <f>IF(Bridport!J29=0,"",Bridport!J29)</f>
        <v>30</v>
      </c>
      <c r="I197" s="252">
        <f>IF(Bridport!K29=0,"",Bridport!K29)</f>
        <v>32</v>
      </c>
      <c r="J197" s="163">
        <f>IF(Bridport!M29="","",Bridport!M29)</f>
        <v>21.09</v>
      </c>
      <c r="K197" s="41" t="str">
        <f>IF(Bridport!N29="","",Bridport!N29)</f>
        <v/>
      </c>
      <c r="L197" s="41">
        <f>IF(Bridport!O29="","",Bridport!O29)</f>
        <v>21.77</v>
      </c>
      <c r="M197" s="41">
        <f>IF(Bridport!P29="","",Bridport!P29)</f>
        <v>21.98</v>
      </c>
      <c r="N197" s="41">
        <f>IF(Bridport!Q29="","",Bridport!Q29)</f>
        <v>23.3</v>
      </c>
      <c r="O197" s="41" t="str">
        <f>IF(Bridport!R29="","",Bridport!R29)</f>
        <v/>
      </c>
      <c r="P197" s="41">
        <f>IF(Bridport!S29="","",Bridport!S29)</f>
        <v>19.87</v>
      </c>
      <c r="Q197" s="41">
        <f>IF(Bridport!T29="","",Bridport!T29)</f>
        <v>21.34</v>
      </c>
      <c r="R197" s="41">
        <f>IF(Bridport!U29="","",Bridport!U29)</f>
        <v>21.93</v>
      </c>
      <c r="S197" s="41">
        <f>IF(Bridport!V29="","",Bridport!V29)</f>
        <v>21.98</v>
      </c>
      <c r="T197" s="41">
        <f>IF(Bridport!W29="","",Bridport!W29)</f>
        <v>21.73</v>
      </c>
      <c r="U197" s="41">
        <f>IF(Bridport!X29="","",Bridport!X29)</f>
        <v>22.16</v>
      </c>
      <c r="V197" s="41">
        <f>IF(Bridport!Y29="","",Bridport!Y29)</f>
        <v>20.9</v>
      </c>
      <c r="W197" s="249">
        <f>IF(Bridport!AA29=0,"",Bridport!AA29)</f>
        <v>3</v>
      </c>
      <c r="X197" s="244">
        <f>IF(Bridport!AB29=0,"",Bridport!AB29)</f>
        <v>21.640909090909091</v>
      </c>
      <c r="Y197" s="245">
        <f>IF(Bridport!AC29=0,"",Bridport!AC29)</f>
        <v>27.640909090909091</v>
      </c>
      <c r="AA197" s="246">
        <f>Y197</f>
        <v>27.640909090909091</v>
      </c>
      <c r="AB197" s="243">
        <f>X197</f>
        <v>21.640909090909091</v>
      </c>
      <c r="AC197" s="185" t="str">
        <f>C197</f>
        <v xml:space="preserve">Matt Goodier </v>
      </c>
      <c r="AD197" s="185" t="str">
        <f>LEFT($B$175,3)</f>
        <v>Bri</v>
      </c>
      <c r="AE197" s="185">
        <f t="shared" ref="AE197:AY197" si="95">E197</f>
        <v>11</v>
      </c>
      <c r="AF197" s="185">
        <f t="shared" si="95"/>
        <v>6</v>
      </c>
      <c r="AG197" s="247">
        <f t="shared" si="95"/>
        <v>5</v>
      </c>
      <c r="AH197" s="247">
        <f t="shared" si="95"/>
        <v>30</v>
      </c>
      <c r="AI197" s="247">
        <f t="shared" si="95"/>
        <v>32</v>
      </c>
      <c r="AJ197" s="243">
        <f t="shared" si="95"/>
        <v>21.09</v>
      </c>
      <c r="AK197" s="243" t="str">
        <f t="shared" si="95"/>
        <v/>
      </c>
      <c r="AL197" s="243">
        <f t="shared" si="95"/>
        <v>21.77</v>
      </c>
      <c r="AM197" s="243">
        <f t="shared" si="95"/>
        <v>21.98</v>
      </c>
      <c r="AN197" s="243">
        <f t="shared" si="95"/>
        <v>23.3</v>
      </c>
      <c r="AO197" s="243" t="str">
        <f t="shared" si="95"/>
        <v/>
      </c>
      <c r="AP197" s="243">
        <f t="shared" si="95"/>
        <v>19.87</v>
      </c>
      <c r="AQ197" s="243">
        <f t="shared" si="95"/>
        <v>21.34</v>
      </c>
      <c r="AR197" s="243">
        <f t="shared" si="95"/>
        <v>21.93</v>
      </c>
      <c r="AS197" s="243">
        <f t="shared" si="95"/>
        <v>21.98</v>
      </c>
      <c r="AT197" s="243">
        <f t="shared" si="95"/>
        <v>21.73</v>
      </c>
      <c r="AU197" s="243">
        <f t="shared" si="95"/>
        <v>22.16</v>
      </c>
      <c r="AV197" s="243">
        <f t="shared" si="95"/>
        <v>20.9</v>
      </c>
      <c r="AW197" s="247">
        <f t="shared" si="95"/>
        <v>3</v>
      </c>
      <c r="AX197" s="243">
        <f t="shared" si="95"/>
        <v>21.640909090909091</v>
      </c>
      <c r="AY197" s="248">
        <f t="shared" si="95"/>
        <v>27.640909090909091</v>
      </c>
    </row>
    <row r="198" spans="2:51" ht="12" customHeight="1" x14ac:dyDescent="0.2">
      <c r="B198" s="268"/>
      <c r="C198" s="235"/>
      <c r="D198" s="235"/>
      <c r="E198" s="239"/>
      <c r="F198" s="182"/>
      <c r="G198" s="182"/>
      <c r="H198" s="182"/>
      <c r="I198" s="233"/>
      <c r="J198" s="163" t="str">
        <f>IF(Bridport!M30="","",Bridport!M30)</f>
        <v>4*3</v>
      </c>
      <c r="K198" s="41" t="str">
        <f>IF(Bridport!N30="","",Bridport!N30)</f>
        <v/>
      </c>
      <c r="L198" s="41" t="str">
        <f>IF(Bridport!O30="","",Bridport!O30)</f>
        <v>4*2</v>
      </c>
      <c r="M198" s="41" t="str">
        <f>IF(Bridport!P30="","",Bridport!P30)</f>
        <v>2*4</v>
      </c>
      <c r="N198" s="41" t="str">
        <f>IF(Bridport!Q30="","",Bridport!Q30)</f>
        <v>4*0(1)</v>
      </c>
      <c r="O198" s="41" t="str">
        <f>IF(Bridport!R30="","",Bridport!R30)</f>
        <v/>
      </c>
      <c r="P198" s="41" t="str">
        <f>IF(Bridport!S30="","",Bridport!S30)</f>
        <v>2*4(1)</v>
      </c>
      <c r="Q198" s="41" t="str">
        <f>IF(Bridport!T30="","",Bridport!T30)</f>
        <v>4*2</v>
      </c>
      <c r="R198" s="41" t="str">
        <f>IF(Bridport!U30="","",Bridport!U30)</f>
        <v>0*4(1)</v>
      </c>
      <c r="S198" s="41" t="str">
        <f>IF(Bridport!V30="","",Bridport!V30)</f>
        <v>4*3</v>
      </c>
      <c r="T198" s="41" t="str">
        <f>IF(Bridport!W30="","",Bridport!W30)</f>
        <v>0*4</v>
      </c>
      <c r="U198" s="41" t="str">
        <f>IF(Bridport!X30="","",Bridport!X30)</f>
        <v>4*2</v>
      </c>
      <c r="V198" s="41" t="str">
        <f>IF(Bridport!Y30="","",Bridport!Y30)</f>
        <v>2*4</v>
      </c>
      <c r="W198" s="201"/>
      <c r="X198" s="182"/>
      <c r="Y198" s="233"/>
      <c r="AA198" s="239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233"/>
    </row>
    <row r="199" spans="2:51" ht="12" customHeight="1" x14ac:dyDescent="0.2">
      <c r="B199" s="268"/>
      <c r="C199" s="263" t="str">
        <f>IF(Bridport!E31="","",Bridport!E31)</f>
        <v>Dan Baggs</v>
      </c>
      <c r="D199" s="259" t="str">
        <f>LEFT($B$175,3)</f>
        <v>Bri</v>
      </c>
      <c r="E199" s="251">
        <f>IF(Bridport!G31="","",Bridport!G31)</f>
        <v>5</v>
      </c>
      <c r="F199" s="181">
        <f>IF(Bridport!H31=0,"",Bridport!H31)</f>
        <v>1</v>
      </c>
      <c r="G199" s="186">
        <f>IF(Bridport!I31=0,"",Bridport!I31)</f>
        <v>4</v>
      </c>
      <c r="H199" s="186">
        <f>IF(Bridport!J31=0,"",Bridport!J31)</f>
        <v>10</v>
      </c>
      <c r="I199" s="252">
        <f>IF(Bridport!K31=0,"",Bridport!K31)</f>
        <v>16</v>
      </c>
      <c r="J199" s="163" t="str">
        <f>IF(Bridport!M31="","",Bridport!M31)</f>
        <v/>
      </c>
      <c r="K199" s="41" t="str">
        <f>IF(Bridport!N31="","",Bridport!N31)</f>
        <v/>
      </c>
      <c r="L199" s="41" t="str">
        <f>IF(Bridport!O31="","",Bridport!O31)</f>
        <v/>
      </c>
      <c r="M199" s="41" t="str">
        <f>IF(Bridport!P31="","",Bridport!P31)</f>
        <v/>
      </c>
      <c r="N199" s="41" t="str">
        <f>IF(Bridport!Q31="","",Bridport!Q31)</f>
        <v/>
      </c>
      <c r="O199" s="41" t="str">
        <f>IF(Bridport!R31="","",Bridport!R31)</f>
        <v/>
      </c>
      <c r="P199" s="41">
        <f>IF(Bridport!S31="","",Bridport!S31)</f>
        <v>17.89</v>
      </c>
      <c r="Q199" s="41">
        <f>IF(Bridport!T31="","",Bridport!T31)</f>
        <v>18.09</v>
      </c>
      <c r="R199" s="41">
        <f>IF(Bridport!U31="","",Bridport!U31)</f>
        <v>19.850000000000001</v>
      </c>
      <c r="S199" s="41">
        <f>IF(Bridport!V31="","",Bridport!V31)</f>
        <v>16.57</v>
      </c>
      <c r="T199" s="41" t="str">
        <f>IF(Bridport!W31="","",Bridport!W31)</f>
        <v/>
      </c>
      <c r="U199" s="41">
        <f>IF(Bridport!X31="","",Bridport!X31)</f>
        <v>17.010000000000002</v>
      </c>
      <c r="V199" s="41" t="str">
        <f>IF(Bridport!Y31="","",Bridport!Y31)</f>
        <v/>
      </c>
      <c r="W199" s="249" t="str">
        <f>IF(Bridport!AA31=0,"",Bridport!AA31)</f>
        <v/>
      </c>
      <c r="X199" s="244">
        <f>IF(Bridport!AB31=0,"",Bridport!AB31)</f>
        <v>17.882000000000001</v>
      </c>
      <c r="Y199" s="245">
        <f>IF(Bridport!AC31=0,"",Bridport!AC31)</f>
        <v>18.882000000000001</v>
      </c>
      <c r="AA199" s="246">
        <f>Y199</f>
        <v>18.882000000000001</v>
      </c>
      <c r="AB199" s="243">
        <f>X199</f>
        <v>17.882000000000001</v>
      </c>
      <c r="AC199" s="185" t="str">
        <f>C199</f>
        <v>Dan Baggs</v>
      </c>
      <c r="AD199" s="185" t="str">
        <f>LEFT($B$175,3)</f>
        <v>Bri</v>
      </c>
      <c r="AE199" s="185">
        <f t="shared" ref="AE199:AY199" si="96">E199</f>
        <v>5</v>
      </c>
      <c r="AF199" s="185">
        <f t="shared" si="96"/>
        <v>1</v>
      </c>
      <c r="AG199" s="247">
        <f t="shared" si="96"/>
        <v>4</v>
      </c>
      <c r="AH199" s="247">
        <f t="shared" si="96"/>
        <v>10</v>
      </c>
      <c r="AI199" s="247">
        <f t="shared" si="96"/>
        <v>16</v>
      </c>
      <c r="AJ199" s="243" t="str">
        <f t="shared" si="96"/>
        <v/>
      </c>
      <c r="AK199" s="243" t="str">
        <f t="shared" si="96"/>
        <v/>
      </c>
      <c r="AL199" s="243" t="str">
        <f t="shared" si="96"/>
        <v/>
      </c>
      <c r="AM199" s="243" t="str">
        <f t="shared" si="96"/>
        <v/>
      </c>
      <c r="AN199" s="243" t="str">
        <f t="shared" si="96"/>
        <v/>
      </c>
      <c r="AO199" s="243" t="str">
        <f t="shared" si="96"/>
        <v/>
      </c>
      <c r="AP199" s="243">
        <f t="shared" si="96"/>
        <v>17.89</v>
      </c>
      <c r="AQ199" s="243">
        <f t="shared" si="96"/>
        <v>18.09</v>
      </c>
      <c r="AR199" s="243">
        <f t="shared" si="96"/>
        <v>19.850000000000001</v>
      </c>
      <c r="AS199" s="243">
        <f t="shared" si="96"/>
        <v>16.57</v>
      </c>
      <c r="AT199" s="243" t="str">
        <f t="shared" si="96"/>
        <v/>
      </c>
      <c r="AU199" s="243">
        <f t="shared" si="96"/>
        <v>17.010000000000002</v>
      </c>
      <c r="AV199" s="243" t="str">
        <f t="shared" si="96"/>
        <v/>
      </c>
      <c r="AW199" s="247" t="str">
        <f t="shared" si="96"/>
        <v/>
      </c>
      <c r="AX199" s="243">
        <f t="shared" si="96"/>
        <v>17.882000000000001</v>
      </c>
      <c r="AY199" s="248">
        <f t="shared" si="96"/>
        <v>18.882000000000001</v>
      </c>
    </row>
    <row r="200" spans="2:51" ht="12" customHeight="1" x14ac:dyDescent="0.2">
      <c r="B200" s="268"/>
      <c r="C200" s="235"/>
      <c r="D200" s="235"/>
      <c r="E200" s="239"/>
      <c r="F200" s="182"/>
      <c r="G200" s="182"/>
      <c r="H200" s="182"/>
      <c r="I200" s="233"/>
      <c r="J200" s="163" t="str">
        <f>IF(Bridport!M32="","",Bridport!M32)</f>
        <v/>
      </c>
      <c r="K200" s="41" t="str">
        <f>IF(Bridport!N32="","",Bridport!N32)</f>
        <v/>
      </c>
      <c r="L200" s="41" t="str">
        <f>IF(Bridport!O32="","",Bridport!O32)</f>
        <v/>
      </c>
      <c r="M200" s="41" t="str">
        <f>IF(Bridport!P32="","",Bridport!P32)</f>
        <v/>
      </c>
      <c r="N200" s="41" t="str">
        <f>IF(Bridport!Q32="","",Bridport!Q32)</f>
        <v/>
      </c>
      <c r="O200" s="41" t="str">
        <f>IF(Bridport!R32="","",Bridport!R32)</f>
        <v/>
      </c>
      <c r="P200" s="41" t="str">
        <f>IF(Bridport!S32="","",Bridport!S32)</f>
        <v>4*0</v>
      </c>
      <c r="Q200" s="41" t="str">
        <f>IF(Bridport!T32="","",Bridport!T32)</f>
        <v>1*4</v>
      </c>
      <c r="R200" s="41" t="str">
        <f>IF(Bridport!U32="","",Bridport!U32)</f>
        <v>2*4</v>
      </c>
      <c r="S200" s="41" t="str">
        <f>IF(Bridport!V32="","",Bridport!V32)</f>
        <v>0*4</v>
      </c>
      <c r="T200" s="41" t="str">
        <f>IF(Bridport!W32="","",Bridport!W32)</f>
        <v/>
      </c>
      <c r="U200" s="41" t="str">
        <f>IF(Bridport!X32="","",Bridport!X32)</f>
        <v>3*4</v>
      </c>
      <c r="V200" s="41" t="str">
        <f>IF(Bridport!Y32="","",Bridport!Y32)</f>
        <v/>
      </c>
      <c r="W200" s="201"/>
      <c r="X200" s="182"/>
      <c r="Y200" s="233"/>
      <c r="AA200" s="239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233"/>
    </row>
    <row r="201" spans="2:51" ht="12" customHeight="1" x14ac:dyDescent="0.2">
      <c r="B201" s="268"/>
      <c r="C201" s="263" t="str">
        <f>IF(Bridport!E33="","",Bridport!E33)</f>
        <v>Ollie Mears</v>
      </c>
      <c r="D201" s="259" t="str">
        <f>LEFT($B$175,3)</f>
        <v>Bri</v>
      </c>
      <c r="E201" s="251">
        <f>IF(Bridport!G33="","",Bridport!G33)</f>
        <v>6</v>
      </c>
      <c r="F201" s="181">
        <f>IF(Bridport!H33=0,"",Bridport!H33)</f>
        <v>2</v>
      </c>
      <c r="G201" s="186">
        <f>IF(Bridport!I33=0,"",Bridport!I33)</f>
        <v>4</v>
      </c>
      <c r="H201" s="186">
        <f>IF(Bridport!J33=0,"",Bridport!J33)</f>
        <v>14</v>
      </c>
      <c r="I201" s="252">
        <f>IF(Bridport!K33=0,"",Bridport!K33)</f>
        <v>21</v>
      </c>
      <c r="J201" s="163">
        <f>IF(Bridport!M33="","",Bridport!M33)</f>
        <v>17.27</v>
      </c>
      <c r="K201" s="41" t="str">
        <f>IF(Bridport!N33="","",Bridport!N33)</f>
        <v/>
      </c>
      <c r="L201" s="41" t="str">
        <f>IF(Bridport!O33="","",Bridport!O33)</f>
        <v/>
      </c>
      <c r="M201" s="41" t="str">
        <f>IF(Bridport!P33="","",Bridport!P33)</f>
        <v/>
      </c>
      <c r="N201" s="41" t="str">
        <f>IF(Bridport!Q33="","",Bridport!Q33)</f>
        <v/>
      </c>
      <c r="O201" s="41" t="str">
        <f>IF(Bridport!R33="","",Bridport!R33)</f>
        <v/>
      </c>
      <c r="P201" s="41" t="str">
        <f>IF(Bridport!S33="","",Bridport!S33)</f>
        <v/>
      </c>
      <c r="Q201" s="41">
        <f>IF(Bridport!T33="","",Bridport!T33)</f>
        <v>18.52</v>
      </c>
      <c r="R201" s="41">
        <f>IF(Bridport!U33="","",Bridport!U33)</f>
        <v>19.11</v>
      </c>
      <c r="S201" s="41" t="str">
        <f>IF(Bridport!V33="","",Bridport!V33)</f>
        <v/>
      </c>
      <c r="T201" s="41">
        <f>IF(Bridport!W33="","",Bridport!W33)</f>
        <v>18.53</v>
      </c>
      <c r="U201" s="41">
        <f>IF(Bridport!X33="","",Bridport!X33)</f>
        <v>16.600000000000001</v>
      </c>
      <c r="V201" s="41">
        <f>IF(Bridport!Y33="","",Bridport!Y33)</f>
        <v>19.55</v>
      </c>
      <c r="W201" s="249">
        <f>IF(Bridport!AA33=0,"",Bridport!AA33)</f>
        <v>1</v>
      </c>
      <c r="X201" s="244">
        <f>IF(Bridport!AB33=0,"",Bridport!AB33)</f>
        <v>18.263333333333332</v>
      </c>
      <c r="Y201" s="245">
        <f>IF(Bridport!AC33=0,"",Bridport!AC33)</f>
        <v>20.263333333333332</v>
      </c>
      <c r="AA201" s="246">
        <f>Y201</f>
        <v>20.263333333333332</v>
      </c>
      <c r="AB201" s="243">
        <f>X201</f>
        <v>18.263333333333332</v>
      </c>
      <c r="AC201" s="185" t="str">
        <f>C201</f>
        <v>Ollie Mears</v>
      </c>
      <c r="AD201" s="185" t="str">
        <f>LEFT($B$175,3)</f>
        <v>Bri</v>
      </c>
      <c r="AE201" s="185">
        <f t="shared" ref="AE201:AY201" si="97">E201</f>
        <v>6</v>
      </c>
      <c r="AF201" s="185">
        <f t="shared" si="97"/>
        <v>2</v>
      </c>
      <c r="AG201" s="247">
        <f t="shared" si="97"/>
        <v>4</v>
      </c>
      <c r="AH201" s="247">
        <f t="shared" si="97"/>
        <v>14</v>
      </c>
      <c r="AI201" s="247">
        <f t="shared" si="97"/>
        <v>21</v>
      </c>
      <c r="AJ201" s="243">
        <f t="shared" si="97"/>
        <v>17.27</v>
      </c>
      <c r="AK201" s="243" t="str">
        <f t="shared" si="97"/>
        <v/>
      </c>
      <c r="AL201" s="243" t="str">
        <f t="shared" si="97"/>
        <v/>
      </c>
      <c r="AM201" s="243" t="str">
        <f t="shared" si="97"/>
        <v/>
      </c>
      <c r="AN201" s="243" t="str">
        <f t="shared" si="97"/>
        <v/>
      </c>
      <c r="AO201" s="243" t="str">
        <f t="shared" si="97"/>
        <v/>
      </c>
      <c r="AP201" s="243" t="str">
        <f t="shared" si="97"/>
        <v/>
      </c>
      <c r="AQ201" s="243">
        <f t="shared" si="97"/>
        <v>18.52</v>
      </c>
      <c r="AR201" s="243">
        <f t="shared" si="97"/>
        <v>19.11</v>
      </c>
      <c r="AS201" s="243" t="str">
        <f t="shared" si="97"/>
        <v/>
      </c>
      <c r="AT201" s="243">
        <f t="shared" si="97"/>
        <v>18.53</v>
      </c>
      <c r="AU201" s="243">
        <f t="shared" si="97"/>
        <v>16.600000000000001</v>
      </c>
      <c r="AV201" s="243">
        <f t="shared" si="97"/>
        <v>19.55</v>
      </c>
      <c r="AW201" s="247">
        <f t="shared" si="97"/>
        <v>1</v>
      </c>
      <c r="AX201" s="243">
        <f t="shared" si="97"/>
        <v>18.263333333333332</v>
      </c>
      <c r="AY201" s="248">
        <f t="shared" si="97"/>
        <v>20.263333333333332</v>
      </c>
    </row>
    <row r="202" spans="2:51" ht="12" customHeight="1" x14ac:dyDescent="0.2">
      <c r="B202" s="268"/>
      <c r="C202" s="235"/>
      <c r="D202" s="235"/>
      <c r="E202" s="239"/>
      <c r="F202" s="182"/>
      <c r="G202" s="182"/>
      <c r="H202" s="182"/>
      <c r="I202" s="233"/>
      <c r="J202" s="163" t="str">
        <f>IF(Bridport!M34="","",Bridport!M34)</f>
        <v>1*4</v>
      </c>
      <c r="K202" s="41" t="str">
        <f>IF(Bridport!N34="","",Bridport!N34)</f>
        <v/>
      </c>
      <c r="L202" s="41" t="str">
        <f>IF(Bridport!O34="","",Bridport!O34)</f>
        <v/>
      </c>
      <c r="M202" s="41" t="str">
        <f>IF(Bridport!P34="","",Bridport!P34)</f>
        <v/>
      </c>
      <c r="N202" s="41" t="str">
        <f>IF(Bridport!Q34="","",Bridport!Q34)</f>
        <v/>
      </c>
      <c r="O202" s="41" t="str">
        <f>IF(Bridport!R34="","",Bridport!R34)</f>
        <v/>
      </c>
      <c r="P202" s="41" t="str">
        <f>IF(Bridport!S34="","",Bridport!S34)</f>
        <v/>
      </c>
      <c r="Q202" s="41" t="str">
        <f>IF(Bridport!T34="","",Bridport!T34)</f>
        <v>3*4</v>
      </c>
      <c r="R202" s="41" t="str">
        <f>IF(Bridport!U34="","",Bridport!U34)</f>
        <v>2*4</v>
      </c>
      <c r="S202" s="41" t="str">
        <f>IF(Bridport!V34="","",Bridport!V34)</f>
        <v/>
      </c>
      <c r="T202" s="41" t="str">
        <f>IF(Bridport!W34="","",Bridport!W34)</f>
        <v>4*3</v>
      </c>
      <c r="U202" s="41" t="str">
        <f>IF(Bridport!X34="","",Bridport!X34)</f>
        <v>4*2</v>
      </c>
      <c r="V202" s="41" t="str">
        <f>IF(Bridport!Y34="","",Bridport!Y34)</f>
        <v>0*4(1)</v>
      </c>
      <c r="W202" s="201"/>
      <c r="X202" s="182"/>
      <c r="Y202" s="233"/>
      <c r="AA202" s="239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233"/>
    </row>
    <row r="203" spans="2:51" ht="12" customHeight="1" x14ac:dyDescent="0.2">
      <c r="B203" s="268"/>
      <c r="C203" s="263" t="str">
        <f>IF(Bridport!E35="","",Bridport!E35)</f>
        <v/>
      </c>
      <c r="D203" s="259" t="str">
        <f>LEFT($B$175,3)</f>
        <v>Bri</v>
      </c>
      <c r="E203" s="251" t="str">
        <f>IF(Bridport!G35="","",Bridport!G35)</f>
        <v/>
      </c>
      <c r="F203" s="181" t="str">
        <f>IF(Bridport!H35=0,"",Bridport!H35)</f>
        <v/>
      </c>
      <c r="G203" s="181" t="str">
        <f>IF(Bridport!I35=0,"",Bridport!I35)</f>
        <v/>
      </c>
      <c r="H203" s="181" t="str">
        <f>IF(Bridport!J35=0,"",Bridport!J35)</f>
        <v/>
      </c>
      <c r="I203" s="250" t="str">
        <f>IF(Bridport!K35=0,"",Bridport!K35)</f>
        <v/>
      </c>
      <c r="J203" s="163" t="str">
        <f>IF(Bridport!M35="","",Bridport!M35)</f>
        <v/>
      </c>
      <c r="K203" s="41" t="str">
        <f>IF(Bridport!N35="","",Bridport!N35)</f>
        <v/>
      </c>
      <c r="L203" s="41" t="str">
        <f>IF(Bridport!O35="","",Bridport!O35)</f>
        <v/>
      </c>
      <c r="M203" s="41" t="str">
        <f>IF(Bridport!P35="","",Bridport!P35)</f>
        <v/>
      </c>
      <c r="N203" s="41" t="str">
        <f>IF(Bridport!Q35="","",Bridport!Q35)</f>
        <v/>
      </c>
      <c r="O203" s="41" t="str">
        <f>IF(Bridport!R35="","",Bridport!R35)</f>
        <v/>
      </c>
      <c r="P203" s="41" t="str">
        <f>IF(Bridport!S35="","",Bridport!S35)</f>
        <v/>
      </c>
      <c r="Q203" s="41" t="str">
        <f>IF(Bridport!T35="","",Bridport!T35)</f>
        <v/>
      </c>
      <c r="R203" s="41" t="str">
        <f>IF(Bridport!U35="","",Bridport!U35)</f>
        <v/>
      </c>
      <c r="S203" s="41" t="str">
        <f>IF(Bridport!V35="","",Bridport!V35)</f>
        <v/>
      </c>
      <c r="T203" s="41" t="str">
        <f>IF(Bridport!W35="","",Bridport!W35)</f>
        <v/>
      </c>
      <c r="U203" s="41" t="str">
        <f>IF(Bridport!X35="","",Bridport!X35)</f>
        <v/>
      </c>
      <c r="V203" s="41" t="str">
        <f>IF(Bridport!Y35="","",Bridport!Y35)</f>
        <v/>
      </c>
      <c r="W203" s="249" t="str">
        <f>IF(Bridport!AA35=0,"",Bridport!AA35)</f>
        <v/>
      </c>
      <c r="X203" s="244" t="str">
        <f>IF(Bridport!AB35=0,"",Bridport!AB35)</f>
        <v/>
      </c>
      <c r="Y203" s="245" t="str">
        <f>IF(Bridport!AC35=0,"",Bridport!AC35)</f>
        <v/>
      </c>
      <c r="AA203" s="246" t="str">
        <f>Y203</f>
        <v/>
      </c>
      <c r="AB203" s="243" t="str">
        <f>X203</f>
        <v/>
      </c>
      <c r="AC203" s="185" t="str">
        <f>C203</f>
        <v/>
      </c>
      <c r="AD203" s="185" t="str">
        <f>LEFT($B$175,3)</f>
        <v>Bri</v>
      </c>
      <c r="AE203" s="185" t="str">
        <f t="shared" ref="AE203:AY203" si="98">E203</f>
        <v/>
      </c>
      <c r="AF203" s="185" t="str">
        <f t="shared" si="98"/>
        <v/>
      </c>
      <c r="AG203" s="185" t="str">
        <f t="shared" si="98"/>
        <v/>
      </c>
      <c r="AH203" s="185" t="str">
        <f t="shared" si="98"/>
        <v/>
      </c>
      <c r="AI203" s="185" t="str">
        <f t="shared" si="98"/>
        <v/>
      </c>
      <c r="AJ203" s="243" t="str">
        <f t="shared" si="98"/>
        <v/>
      </c>
      <c r="AK203" s="243" t="str">
        <f t="shared" si="98"/>
        <v/>
      </c>
      <c r="AL203" s="243" t="str">
        <f t="shared" si="98"/>
        <v/>
      </c>
      <c r="AM203" s="243" t="str">
        <f t="shared" si="98"/>
        <v/>
      </c>
      <c r="AN203" s="243" t="str">
        <f t="shared" si="98"/>
        <v/>
      </c>
      <c r="AO203" s="243" t="str">
        <f t="shared" si="98"/>
        <v/>
      </c>
      <c r="AP203" s="243" t="str">
        <f t="shared" si="98"/>
        <v/>
      </c>
      <c r="AQ203" s="243" t="str">
        <f t="shared" si="98"/>
        <v/>
      </c>
      <c r="AR203" s="243" t="str">
        <f t="shared" si="98"/>
        <v/>
      </c>
      <c r="AS203" s="243" t="str">
        <f t="shared" si="98"/>
        <v/>
      </c>
      <c r="AT203" s="243" t="str">
        <f t="shared" si="98"/>
        <v/>
      </c>
      <c r="AU203" s="243" t="str">
        <f t="shared" si="98"/>
        <v/>
      </c>
      <c r="AV203" s="243" t="str">
        <f t="shared" si="98"/>
        <v/>
      </c>
      <c r="AW203" s="247" t="str">
        <f t="shared" si="98"/>
        <v/>
      </c>
      <c r="AX203" s="243" t="str">
        <f t="shared" si="98"/>
        <v/>
      </c>
      <c r="AY203" s="248" t="str">
        <f t="shared" si="98"/>
        <v/>
      </c>
    </row>
    <row r="204" spans="2:51" ht="12" customHeight="1" x14ac:dyDescent="0.2">
      <c r="B204" s="268"/>
      <c r="C204" s="235"/>
      <c r="D204" s="235"/>
      <c r="E204" s="239"/>
      <c r="F204" s="182"/>
      <c r="G204" s="182"/>
      <c r="H204" s="182"/>
      <c r="I204" s="233"/>
      <c r="J204" s="163" t="str">
        <f>IF(Bridport!M36="","",Bridport!M36)</f>
        <v/>
      </c>
      <c r="K204" s="41" t="str">
        <f>IF(Bridport!N36="","",Bridport!N36)</f>
        <v/>
      </c>
      <c r="L204" s="41" t="str">
        <f>IF(Bridport!O36="","",Bridport!O36)</f>
        <v/>
      </c>
      <c r="M204" s="41" t="str">
        <f>IF(Bridport!P36="","",Bridport!P36)</f>
        <v/>
      </c>
      <c r="N204" s="41" t="str">
        <f>IF(Bridport!Q36="","",Bridport!Q36)</f>
        <v/>
      </c>
      <c r="O204" s="41" t="str">
        <f>IF(Bridport!R36="","",Bridport!R36)</f>
        <v/>
      </c>
      <c r="P204" s="41" t="str">
        <f>IF(Bridport!S36="","",Bridport!S36)</f>
        <v/>
      </c>
      <c r="Q204" s="41" t="str">
        <f>IF(Bridport!T36="","",Bridport!T36)</f>
        <v/>
      </c>
      <c r="R204" s="41" t="str">
        <f>IF(Bridport!U36="","",Bridport!U36)</f>
        <v/>
      </c>
      <c r="S204" s="41" t="str">
        <f>IF(Bridport!V36="","",Bridport!V36)</f>
        <v/>
      </c>
      <c r="T204" s="41" t="str">
        <f>IF(Bridport!W36="","",Bridport!W36)</f>
        <v/>
      </c>
      <c r="U204" s="41" t="str">
        <f>IF(Bridport!X36="","",Bridport!X36)</f>
        <v/>
      </c>
      <c r="V204" s="41" t="str">
        <f>IF(Bridport!Y36="","",Bridport!Y36)</f>
        <v/>
      </c>
      <c r="W204" s="201"/>
      <c r="X204" s="182"/>
      <c r="Y204" s="233"/>
      <c r="AA204" s="239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233"/>
    </row>
    <row r="205" spans="2:51" ht="12" customHeight="1" x14ac:dyDescent="0.2">
      <c r="B205" s="268"/>
      <c r="C205" s="263" t="str">
        <f>IF(Bridport!E37="","",Bridport!E37)</f>
        <v/>
      </c>
      <c r="D205" s="259" t="str">
        <f>LEFT($B$175,3)</f>
        <v>Bri</v>
      </c>
      <c r="E205" s="251" t="str">
        <f>IF(Bridport!G37="","",Bridport!G37)</f>
        <v/>
      </c>
      <c r="F205" s="181" t="str">
        <f>IF(Bridport!H37=0,"",Bridport!H37)</f>
        <v/>
      </c>
      <c r="G205" s="181" t="str">
        <f>IF(Bridport!I37=0,"",Bridport!I37)</f>
        <v/>
      </c>
      <c r="H205" s="181" t="str">
        <f>IF(Bridport!J37=0,"",Bridport!J37)</f>
        <v/>
      </c>
      <c r="I205" s="250" t="str">
        <f>IF(Bridport!K37=0,"",Bridport!K37)</f>
        <v/>
      </c>
      <c r="J205" s="163" t="str">
        <f>IF(Bridport!M37="","",Bridport!M37)</f>
        <v/>
      </c>
      <c r="K205" s="41" t="str">
        <f>IF(Bridport!N37="","",Bridport!N37)</f>
        <v/>
      </c>
      <c r="L205" s="41" t="str">
        <f>IF(Bridport!O37="","",Bridport!O37)</f>
        <v/>
      </c>
      <c r="M205" s="41" t="str">
        <f>IF(Bridport!P37="","",Bridport!P37)</f>
        <v/>
      </c>
      <c r="N205" s="41" t="str">
        <f>IF(Bridport!Q37="","",Bridport!Q37)</f>
        <v/>
      </c>
      <c r="O205" s="41" t="str">
        <f>IF(Bridport!R37="","",Bridport!R37)</f>
        <v/>
      </c>
      <c r="P205" s="41" t="str">
        <f>IF(Bridport!S37="","",Bridport!S37)</f>
        <v/>
      </c>
      <c r="Q205" s="41" t="str">
        <f>IF(Bridport!T37="","",Bridport!T37)</f>
        <v/>
      </c>
      <c r="R205" s="41" t="str">
        <f>IF(Bridport!U37="","",Bridport!U37)</f>
        <v/>
      </c>
      <c r="S205" s="41" t="str">
        <f>IF(Bridport!V37="","",Bridport!V37)</f>
        <v/>
      </c>
      <c r="T205" s="41" t="str">
        <f>IF(Bridport!W37="","",Bridport!W37)</f>
        <v/>
      </c>
      <c r="U205" s="41" t="str">
        <f>IF(Bridport!X37="","",Bridport!X37)</f>
        <v/>
      </c>
      <c r="V205" s="41" t="str">
        <f>IF(Bridport!Y37="","",Bridport!Y37)</f>
        <v/>
      </c>
      <c r="W205" s="249" t="str">
        <f>IF(Bridport!AA37=0,"",Bridport!AA37)</f>
        <v/>
      </c>
      <c r="X205" s="244" t="str">
        <f>IF(Bridport!AB37=0,"",Bridport!AB37)</f>
        <v/>
      </c>
      <c r="Y205" s="245" t="str">
        <f>IF(Bridport!AC37=0,"",Bridport!AC37)</f>
        <v/>
      </c>
      <c r="AA205" s="246" t="str">
        <f>Y205</f>
        <v/>
      </c>
      <c r="AB205" s="243" t="str">
        <f>X205</f>
        <v/>
      </c>
      <c r="AC205" s="185" t="str">
        <f>C205</f>
        <v/>
      </c>
      <c r="AD205" s="185" t="str">
        <f>LEFT($B$175,3)</f>
        <v>Bri</v>
      </c>
      <c r="AE205" s="185" t="str">
        <f t="shared" ref="AE205:AY205" si="99">E205</f>
        <v/>
      </c>
      <c r="AF205" s="185" t="str">
        <f t="shared" si="99"/>
        <v/>
      </c>
      <c r="AG205" s="185" t="str">
        <f t="shared" si="99"/>
        <v/>
      </c>
      <c r="AH205" s="185" t="str">
        <f t="shared" si="99"/>
        <v/>
      </c>
      <c r="AI205" s="185" t="str">
        <f t="shared" si="99"/>
        <v/>
      </c>
      <c r="AJ205" s="243" t="str">
        <f t="shared" si="99"/>
        <v/>
      </c>
      <c r="AK205" s="243" t="str">
        <f t="shared" si="99"/>
        <v/>
      </c>
      <c r="AL205" s="243" t="str">
        <f t="shared" si="99"/>
        <v/>
      </c>
      <c r="AM205" s="243" t="str">
        <f t="shared" si="99"/>
        <v/>
      </c>
      <c r="AN205" s="243" t="str">
        <f t="shared" si="99"/>
        <v/>
      </c>
      <c r="AO205" s="243" t="str">
        <f t="shared" si="99"/>
        <v/>
      </c>
      <c r="AP205" s="243" t="str">
        <f t="shared" si="99"/>
        <v/>
      </c>
      <c r="AQ205" s="243" t="str">
        <f t="shared" si="99"/>
        <v/>
      </c>
      <c r="AR205" s="243" t="str">
        <f t="shared" si="99"/>
        <v/>
      </c>
      <c r="AS205" s="243" t="str">
        <f t="shared" si="99"/>
        <v/>
      </c>
      <c r="AT205" s="243" t="str">
        <f t="shared" si="99"/>
        <v/>
      </c>
      <c r="AU205" s="243" t="str">
        <f t="shared" si="99"/>
        <v/>
      </c>
      <c r="AV205" s="243" t="str">
        <f t="shared" si="99"/>
        <v/>
      </c>
      <c r="AW205" s="247" t="str">
        <f t="shared" si="99"/>
        <v/>
      </c>
      <c r="AX205" s="243" t="str">
        <f t="shared" si="99"/>
        <v/>
      </c>
      <c r="AY205" s="248" t="str">
        <f t="shared" si="99"/>
        <v/>
      </c>
    </row>
    <row r="206" spans="2:51" ht="12" customHeight="1" x14ac:dyDescent="0.2">
      <c r="B206" s="268"/>
      <c r="C206" s="235"/>
      <c r="D206" s="235"/>
      <c r="E206" s="239"/>
      <c r="F206" s="182"/>
      <c r="G206" s="182"/>
      <c r="H206" s="182"/>
      <c r="I206" s="233"/>
      <c r="J206" s="163" t="str">
        <f>IF(Bridport!M38="","",Bridport!M38)</f>
        <v/>
      </c>
      <c r="K206" s="41" t="str">
        <f>IF(Bridport!N38="","",Bridport!N38)</f>
        <v/>
      </c>
      <c r="L206" s="41" t="str">
        <f>IF(Bridport!O38="","",Bridport!O38)</f>
        <v/>
      </c>
      <c r="M206" s="41" t="str">
        <f>IF(Bridport!P38="","",Bridport!P38)</f>
        <v/>
      </c>
      <c r="N206" s="41" t="str">
        <f>IF(Bridport!Q38="","",Bridport!Q38)</f>
        <v/>
      </c>
      <c r="O206" s="41" t="str">
        <f>IF(Bridport!R38="","",Bridport!R38)</f>
        <v/>
      </c>
      <c r="P206" s="41" t="str">
        <f>IF(Bridport!S38="","",Bridport!S38)</f>
        <v/>
      </c>
      <c r="Q206" s="41" t="str">
        <f>IF(Bridport!T38="","",Bridport!T38)</f>
        <v/>
      </c>
      <c r="R206" s="41" t="str">
        <f>IF(Bridport!U38="","",Bridport!U38)</f>
        <v/>
      </c>
      <c r="S206" s="41" t="str">
        <f>IF(Bridport!V38="","",Bridport!V38)</f>
        <v/>
      </c>
      <c r="T206" s="41" t="str">
        <f>IF(Bridport!W38="","",Bridport!W38)</f>
        <v/>
      </c>
      <c r="U206" s="41" t="str">
        <f>IF(Bridport!X38="","",Bridport!X38)</f>
        <v/>
      </c>
      <c r="V206" s="41" t="str">
        <f>IF(Bridport!Y38="","",Bridport!Y38)</f>
        <v/>
      </c>
      <c r="W206" s="201"/>
      <c r="X206" s="182"/>
      <c r="Y206" s="233"/>
      <c r="AA206" s="239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233"/>
    </row>
    <row r="207" spans="2:51" ht="12" customHeight="1" x14ac:dyDescent="0.2">
      <c r="B207" s="268"/>
      <c r="C207" s="263" t="str">
        <f>IF(Bridport!E39="","",Bridport!E39)</f>
        <v/>
      </c>
      <c r="D207" s="259" t="str">
        <f>LEFT($B$175,3)</f>
        <v>Bri</v>
      </c>
      <c r="E207" s="251" t="str">
        <f>IF(Bridport!G39="","",Bridport!G39)</f>
        <v/>
      </c>
      <c r="F207" s="181" t="str">
        <f>IF(Bridport!H39=0,"",Bridport!H39)</f>
        <v/>
      </c>
      <c r="G207" s="181" t="str">
        <f>IF(Bridport!I39=0,"",Bridport!I39)</f>
        <v/>
      </c>
      <c r="H207" s="181" t="str">
        <f>IF(Bridport!J39=0,"",Bridport!J39)</f>
        <v/>
      </c>
      <c r="I207" s="250" t="str">
        <f>IF(Bridport!K39=0,"",Bridport!K39)</f>
        <v/>
      </c>
      <c r="J207" s="163" t="str">
        <f>IF(Bridport!M39="","",Bridport!M39)</f>
        <v/>
      </c>
      <c r="K207" s="41" t="str">
        <f>IF(Bridport!N39="","",Bridport!N39)</f>
        <v/>
      </c>
      <c r="L207" s="41" t="str">
        <f>IF(Bridport!O39="","",Bridport!O39)</f>
        <v/>
      </c>
      <c r="M207" s="41" t="str">
        <f>IF(Bridport!P39="","",Bridport!P39)</f>
        <v/>
      </c>
      <c r="N207" s="41" t="str">
        <f>IF(Bridport!Q39="","",Bridport!Q39)</f>
        <v/>
      </c>
      <c r="O207" s="41" t="str">
        <f>IF(Bridport!R39="","",Bridport!R39)</f>
        <v/>
      </c>
      <c r="P207" s="41" t="str">
        <f>IF(Bridport!S39="","",Bridport!S39)</f>
        <v/>
      </c>
      <c r="Q207" s="41" t="str">
        <f>IF(Bridport!T39="","",Bridport!T39)</f>
        <v/>
      </c>
      <c r="R207" s="41" t="str">
        <f>IF(Bridport!U39="","",Bridport!U39)</f>
        <v/>
      </c>
      <c r="S207" s="41" t="str">
        <f>IF(Bridport!V39="","",Bridport!V39)</f>
        <v/>
      </c>
      <c r="T207" s="41" t="str">
        <f>IF(Bridport!W39="","",Bridport!W39)</f>
        <v/>
      </c>
      <c r="U207" s="41" t="str">
        <f>IF(Bridport!X39="","",Bridport!X39)</f>
        <v/>
      </c>
      <c r="V207" s="41" t="str">
        <f>IF(Bridport!Y39="","",Bridport!Y39)</f>
        <v/>
      </c>
      <c r="W207" s="249" t="str">
        <f>IF(Bridport!AA39=0,"",Bridport!AA39)</f>
        <v/>
      </c>
      <c r="X207" s="244" t="str">
        <f>IF(Bridport!AB39=0,"",Bridport!AB39)</f>
        <v/>
      </c>
      <c r="Y207" s="245" t="str">
        <f>IF(Bridport!AC39=0,"",Bridport!AC39)</f>
        <v/>
      </c>
      <c r="AA207" s="246" t="str">
        <f>Y207</f>
        <v/>
      </c>
      <c r="AB207" s="243" t="str">
        <f>X207</f>
        <v/>
      </c>
      <c r="AC207" s="185" t="str">
        <f>C207</f>
        <v/>
      </c>
      <c r="AD207" s="185" t="str">
        <f>LEFT($B$175,3)</f>
        <v>Bri</v>
      </c>
      <c r="AE207" s="185" t="str">
        <f t="shared" ref="AE207:AY207" si="100">E207</f>
        <v/>
      </c>
      <c r="AF207" s="185" t="str">
        <f t="shared" si="100"/>
        <v/>
      </c>
      <c r="AG207" s="185" t="str">
        <f t="shared" si="100"/>
        <v/>
      </c>
      <c r="AH207" s="185" t="str">
        <f t="shared" si="100"/>
        <v/>
      </c>
      <c r="AI207" s="185" t="str">
        <f t="shared" si="100"/>
        <v/>
      </c>
      <c r="AJ207" s="243" t="str">
        <f t="shared" si="100"/>
        <v/>
      </c>
      <c r="AK207" s="243" t="str">
        <f t="shared" si="100"/>
        <v/>
      </c>
      <c r="AL207" s="243" t="str">
        <f t="shared" si="100"/>
        <v/>
      </c>
      <c r="AM207" s="243" t="str">
        <f t="shared" si="100"/>
        <v/>
      </c>
      <c r="AN207" s="243" t="str">
        <f t="shared" si="100"/>
        <v/>
      </c>
      <c r="AO207" s="243" t="str">
        <f t="shared" si="100"/>
        <v/>
      </c>
      <c r="AP207" s="243" t="str">
        <f t="shared" si="100"/>
        <v/>
      </c>
      <c r="AQ207" s="243" t="str">
        <f t="shared" si="100"/>
        <v/>
      </c>
      <c r="AR207" s="243" t="str">
        <f t="shared" si="100"/>
        <v/>
      </c>
      <c r="AS207" s="243" t="str">
        <f t="shared" si="100"/>
        <v/>
      </c>
      <c r="AT207" s="243" t="str">
        <f t="shared" si="100"/>
        <v/>
      </c>
      <c r="AU207" s="243" t="str">
        <f t="shared" si="100"/>
        <v/>
      </c>
      <c r="AV207" s="243" t="str">
        <f t="shared" si="100"/>
        <v/>
      </c>
      <c r="AW207" s="247" t="str">
        <f t="shared" si="100"/>
        <v/>
      </c>
      <c r="AX207" s="243" t="str">
        <f t="shared" si="100"/>
        <v/>
      </c>
      <c r="AY207" s="248" t="str">
        <f t="shared" si="100"/>
        <v/>
      </c>
    </row>
    <row r="208" spans="2:51" ht="12" customHeight="1" x14ac:dyDescent="0.2">
      <c r="B208" s="268"/>
      <c r="C208" s="235"/>
      <c r="D208" s="235"/>
      <c r="E208" s="239"/>
      <c r="F208" s="182"/>
      <c r="G208" s="182"/>
      <c r="H208" s="182"/>
      <c r="I208" s="233"/>
      <c r="J208" s="163" t="str">
        <f>IF(Bridport!M40="","",Bridport!M40)</f>
        <v/>
      </c>
      <c r="K208" s="41" t="str">
        <f>IF(Bridport!N40="","",Bridport!N40)</f>
        <v/>
      </c>
      <c r="L208" s="41" t="str">
        <f>IF(Bridport!O40="","",Bridport!O40)</f>
        <v/>
      </c>
      <c r="M208" s="41" t="str">
        <f>IF(Bridport!P40="","",Bridport!P40)</f>
        <v/>
      </c>
      <c r="N208" s="41" t="str">
        <f>IF(Bridport!Q40="","",Bridport!Q40)</f>
        <v/>
      </c>
      <c r="O208" s="41" t="str">
        <f>IF(Bridport!R40="","",Bridport!R40)</f>
        <v/>
      </c>
      <c r="P208" s="41" t="str">
        <f>IF(Bridport!S40="","",Bridport!S40)</f>
        <v/>
      </c>
      <c r="Q208" s="41" t="str">
        <f>IF(Bridport!T40="","",Bridport!T40)</f>
        <v/>
      </c>
      <c r="R208" s="41" t="str">
        <f>IF(Bridport!U40="","",Bridport!U40)</f>
        <v/>
      </c>
      <c r="S208" s="41" t="str">
        <f>IF(Bridport!V40="","",Bridport!V40)</f>
        <v/>
      </c>
      <c r="T208" s="41" t="str">
        <f>IF(Bridport!W40="","",Bridport!W40)</f>
        <v/>
      </c>
      <c r="U208" s="41" t="str">
        <f>IF(Bridport!X40="","",Bridport!X40)</f>
        <v/>
      </c>
      <c r="V208" s="41" t="str">
        <f>IF(Bridport!Y40="","",Bridport!Y40)</f>
        <v/>
      </c>
      <c r="W208" s="201"/>
      <c r="X208" s="182"/>
      <c r="Y208" s="233"/>
      <c r="AA208" s="239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233"/>
    </row>
    <row r="209" spans="2:51" ht="12" customHeight="1" x14ac:dyDescent="0.2">
      <c r="B209" s="268"/>
      <c r="C209" s="263" t="str">
        <f>IF(Bridport!E41="","",Bridport!E41)</f>
        <v/>
      </c>
      <c r="D209" s="259" t="str">
        <f>LEFT($B$175,3)</f>
        <v>Bri</v>
      </c>
      <c r="E209" s="251" t="str">
        <f>IF(Bridport!G41="","",Bridport!G41)</f>
        <v/>
      </c>
      <c r="F209" s="181" t="str">
        <f>IF(Bridport!H41=0,"",Bridport!H41)</f>
        <v/>
      </c>
      <c r="G209" s="181" t="str">
        <f>IF(Bridport!I41=0,"",Bridport!I41)</f>
        <v/>
      </c>
      <c r="H209" s="181" t="str">
        <f>IF(Bridport!J41=0,"",Bridport!J41)</f>
        <v/>
      </c>
      <c r="I209" s="250" t="str">
        <f>IF(Bridport!K41=0,"",Bridport!K41)</f>
        <v/>
      </c>
      <c r="J209" s="163" t="str">
        <f>IF(Bridport!M41="","",Bridport!M41)</f>
        <v/>
      </c>
      <c r="K209" s="41" t="str">
        <f>IF(Bridport!N41="","",Bridport!N41)</f>
        <v/>
      </c>
      <c r="L209" s="41" t="str">
        <f>IF(Bridport!O41="","",Bridport!O41)</f>
        <v/>
      </c>
      <c r="M209" s="41" t="str">
        <f>IF(Bridport!P41="","",Bridport!P41)</f>
        <v/>
      </c>
      <c r="N209" s="41" t="str">
        <f>IF(Bridport!Q41="","",Bridport!Q41)</f>
        <v/>
      </c>
      <c r="O209" s="41" t="str">
        <f>IF(Bridport!R41="","",Bridport!R41)</f>
        <v/>
      </c>
      <c r="P209" s="41" t="str">
        <f>IF(Bridport!S41="","",Bridport!S41)</f>
        <v/>
      </c>
      <c r="Q209" s="41" t="str">
        <f>IF(Bridport!T41="","",Bridport!T41)</f>
        <v/>
      </c>
      <c r="R209" s="41" t="str">
        <f>IF(Bridport!U41="","",Bridport!U41)</f>
        <v/>
      </c>
      <c r="S209" s="41" t="str">
        <f>IF(Bridport!V41="","",Bridport!V41)</f>
        <v/>
      </c>
      <c r="T209" s="41" t="str">
        <f>IF(Bridport!W41="","",Bridport!W41)</f>
        <v/>
      </c>
      <c r="U209" s="41" t="str">
        <f>IF(Bridport!X41="","",Bridport!X41)</f>
        <v/>
      </c>
      <c r="V209" s="41" t="str">
        <f>IF(Bridport!Y41="","",Bridport!Y41)</f>
        <v/>
      </c>
      <c r="W209" s="249" t="str">
        <f>IF(Bridport!AA41=0,"",Bridport!AA41)</f>
        <v/>
      </c>
      <c r="X209" s="244" t="str">
        <f>IF(Bridport!AB41=0,"",Bridport!AB41)</f>
        <v/>
      </c>
      <c r="Y209" s="245" t="str">
        <f>IF(Bridport!AC41=0,"",Bridport!AC41)</f>
        <v/>
      </c>
      <c r="AA209" s="246" t="str">
        <f>Y209</f>
        <v/>
      </c>
      <c r="AB209" s="243" t="str">
        <f>X209</f>
        <v/>
      </c>
      <c r="AC209" s="185" t="str">
        <f>C209</f>
        <v/>
      </c>
      <c r="AD209" s="185" t="str">
        <f>LEFT($B$175,3)</f>
        <v>Bri</v>
      </c>
      <c r="AE209" s="185" t="str">
        <f t="shared" ref="AE209:AY209" si="101">E209</f>
        <v/>
      </c>
      <c r="AF209" s="185" t="str">
        <f t="shared" si="101"/>
        <v/>
      </c>
      <c r="AG209" s="185" t="str">
        <f t="shared" si="101"/>
        <v/>
      </c>
      <c r="AH209" s="185" t="str">
        <f t="shared" si="101"/>
        <v/>
      </c>
      <c r="AI209" s="185" t="str">
        <f t="shared" si="101"/>
        <v/>
      </c>
      <c r="AJ209" s="243" t="str">
        <f t="shared" si="101"/>
        <v/>
      </c>
      <c r="AK209" s="243" t="str">
        <f t="shared" si="101"/>
        <v/>
      </c>
      <c r="AL209" s="243" t="str">
        <f t="shared" si="101"/>
        <v/>
      </c>
      <c r="AM209" s="243" t="str">
        <f t="shared" si="101"/>
        <v/>
      </c>
      <c r="AN209" s="243" t="str">
        <f t="shared" si="101"/>
        <v/>
      </c>
      <c r="AO209" s="243" t="str">
        <f t="shared" si="101"/>
        <v/>
      </c>
      <c r="AP209" s="243" t="str">
        <f t="shared" si="101"/>
        <v/>
      </c>
      <c r="AQ209" s="243" t="str">
        <f t="shared" si="101"/>
        <v/>
      </c>
      <c r="AR209" s="243" t="str">
        <f t="shared" si="101"/>
        <v/>
      </c>
      <c r="AS209" s="243" t="str">
        <f t="shared" si="101"/>
        <v/>
      </c>
      <c r="AT209" s="243" t="str">
        <f t="shared" si="101"/>
        <v/>
      </c>
      <c r="AU209" s="243" t="str">
        <f t="shared" si="101"/>
        <v/>
      </c>
      <c r="AV209" s="243" t="str">
        <f t="shared" si="101"/>
        <v/>
      </c>
      <c r="AW209" s="247" t="str">
        <f t="shared" si="101"/>
        <v/>
      </c>
      <c r="AX209" s="243" t="str">
        <f t="shared" si="101"/>
        <v/>
      </c>
      <c r="AY209" s="248" t="str">
        <f t="shared" si="101"/>
        <v/>
      </c>
    </row>
    <row r="210" spans="2:51" ht="12" customHeight="1" x14ac:dyDescent="0.2">
      <c r="B210" s="268"/>
      <c r="C210" s="235"/>
      <c r="D210" s="235"/>
      <c r="E210" s="239"/>
      <c r="F210" s="182"/>
      <c r="G210" s="182"/>
      <c r="H210" s="182"/>
      <c r="I210" s="233"/>
      <c r="J210" s="163" t="str">
        <f>IF(Bridport!M42="","",Bridport!M42)</f>
        <v/>
      </c>
      <c r="K210" s="41" t="str">
        <f>IF(Bridport!N42="","",Bridport!N42)</f>
        <v/>
      </c>
      <c r="L210" s="41" t="str">
        <f>IF(Bridport!O42="","",Bridport!O42)</f>
        <v/>
      </c>
      <c r="M210" s="41" t="str">
        <f>IF(Bridport!P42="","",Bridport!P42)</f>
        <v/>
      </c>
      <c r="N210" s="41" t="str">
        <f>IF(Bridport!Q42="","",Bridport!Q42)</f>
        <v/>
      </c>
      <c r="O210" s="41" t="str">
        <f>IF(Bridport!R42="","",Bridport!R42)</f>
        <v/>
      </c>
      <c r="P210" s="41" t="str">
        <f>IF(Bridport!S42="","",Bridport!S42)</f>
        <v/>
      </c>
      <c r="Q210" s="41" t="str">
        <f>IF(Bridport!T42="","",Bridport!T42)</f>
        <v/>
      </c>
      <c r="R210" s="41" t="str">
        <f>IF(Bridport!U42="","",Bridport!U42)</f>
        <v/>
      </c>
      <c r="S210" s="41" t="str">
        <f>IF(Bridport!V42="","",Bridport!V42)</f>
        <v/>
      </c>
      <c r="T210" s="41" t="str">
        <f>IF(Bridport!W42="","",Bridport!W42)</f>
        <v/>
      </c>
      <c r="U210" s="41" t="str">
        <f>IF(Bridport!X42="","",Bridport!X42)</f>
        <v/>
      </c>
      <c r="V210" s="41" t="str">
        <f>IF(Bridport!Y42="","",Bridport!Y42)</f>
        <v/>
      </c>
      <c r="W210" s="201"/>
      <c r="X210" s="182"/>
      <c r="Y210" s="233"/>
      <c r="AA210" s="239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233"/>
    </row>
    <row r="211" spans="2:51" ht="12" customHeight="1" x14ac:dyDescent="0.2">
      <c r="B211" s="268"/>
      <c r="C211" s="263" t="str">
        <f>IF(Bridport!E43="","",Bridport!E43)</f>
        <v/>
      </c>
      <c r="D211" s="259" t="str">
        <f>LEFT($B$175,3)</f>
        <v>Bri</v>
      </c>
      <c r="E211" s="251" t="str">
        <f>IF(Bridport!G43="","",Bridport!G43)</f>
        <v/>
      </c>
      <c r="F211" s="181" t="str">
        <f>IF(Bridport!H43=0,"",Bridport!H43)</f>
        <v/>
      </c>
      <c r="G211" s="181" t="str">
        <f>IF(Bridport!I43=0,"",Bridport!I43)</f>
        <v/>
      </c>
      <c r="H211" s="181" t="str">
        <f>IF(Bridport!J43=0,"",Bridport!J43)</f>
        <v/>
      </c>
      <c r="I211" s="250" t="str">
        <f>IF(Bridport!K43=0,"",Bridport!K43)</f>
        <v/>
      </c>
      <c r="J211" s="163" t="str">
        <f>IF(Bridport!M43="","",Bridport!M43)</f>
        <v/>
      </c>
      <c r="K211" s="41" t="str">
        <f>IF(Bridport!N43="","",Bridport!N43)</f>
        <v/>
      </c>
      <c r="L211" s="41" t="str">
        <f>IF(Bridport!O43="","",Bridport!O43)</f>
        <v/>
      </c>
      <c r="M211" s="41" t="str">
        <f>IF(Bridport!P43="","",Bridport!P43)</f>
        <v/>
      </c>
      <c r="N211" s="41" t="str">
        <f>IF(Bridport!Q43="","",Bridport!Q43)</f>
        <v/>
      </c>
      <c r="O211" s="41" t="str">
        <f>IF(Bridport!R43="","",Bridport!R43)</f>
        <v/>
      </c>
      <c r="P211" s="41" t="str">
        <f>IF(Bridport!S43="","",Bridport!S43)</f>
        <v/>
      </c>
      <c r="Q211" s="41" t="str">
        <f>IF(Bridport!T43="","",Bridport!T43)</f>
        <v/>
      </c>
      <c r="R211" s="41" t="str">
        <f>IF(Bridport!U43="","",Bridport!U43)</f>
        <v/>
      </c>
      <c r="S211" s="41" t="str">
        <f>IF(Bridport!V43="","",Bridport!V43)</f>
        <v/>
      </c>
      <c r="T211" s="41" t="str">
        <f>IF(Bridport!W43="","",Bridport!W43)</f>
        <v/>
      </c>
      <c r="U211" s="41" t="str">
        <f>IF(Bridport!X43="","",Bridport!X43)</f>
        <v/>
      </c>
      <c r="V211" s="41" t="str">
        <f>IF(Bridport!Y43="","",Bridport!Y43)</f>
        <v/>
      </c>
      <c r="W211" s="249" t="str">
        <f>IF(Bridport!AA43=0,"",Bridport!AA43)</f>
        <v/>
      </c>
      <c r="X211" s="244" t="str">
        <f>IF(Bridport!AB43=0,"",Bridport!AB43)</f>
        <v/>
      </c>
      <c r="Y211" s="245" t="str">
        <f>IF(Bridport!AC43=0,"",Bridport!AC43)</f>
        <v/>
      </c>
      <c r="AA211" s="246" t="str">
        <f>Y211</f>
        <v/>
      </c>
      <c r="AB211" s="243" t="str">
        <f>X211</f>
        <v/>
      </c>
      <c r="AC211" s="185" t="str">
        <f>C211</f>
        <v/>
      </c>
      <c r="AD211" s="185" t="str">
        <f>LEFT($B$175,3)</f>
        <v>Bri</v>
      </c>
      <c r="AE211" s="185" t="str">
        <f t="shared" ref="AE211:AY211" si="102">E211</f>
        <v/>
      </c>
      <c r="AF211" s="185" t="str">
        <f t="shared" si="102"/>
        <v/>
      </c>
      <c r="AG211" s="185" t="str">
        <f t="shared" si="102"/>
        <v/>
      </c>
      <c r="AH211" s="185" t="str">
        <f t="shared" si="102"/>
        <v/>
      </c>
      <c r="AI211" s="185" t="str">
        <f t="shared" si="102"/>
        <v/>
      </c>
      <c r="AJ211" s="243" t="str">
        <f t="shared" si="102"/>
        <v/>
      </c>
      <c r="AK211" s="243" t="str">
        <f t="shared" si="102"/>
        <v/>
      </c>
      <c r="AL211" s="243" t="str">
        <f t="shared" si="102"/>
        <v/>
      </c>
      <c r="AM211" s="243" t="str">
        <f t="shared" si="102"/>
        <v/>
      </c>
      <c r="AN211" s="243" t="str">
        <f t="shared" si="102"/>
        <v/>
      </c>
      <c r="AO211" s="243" t="str">
        <f t="shared" si="102"/>
        <v/>
      </c>
      <c r="AP211" s="243" t="str">
        <f t="shared" si="102"/>
        <v/>
      </c>
      <c r="AQ211" s="243" t="str">
        <f t="shared" si="102"/>
        <v/>
      </c>
      <c r="AR211" s="243" t="str">
        <f t="shared" si="102"/>
        <v/>
      </c>
      <c r="AS211" s="243" t="str">
        <f t="shared" si="102"/>
        <v/>
      </c>
      <c r="AT211" s="243" t="str">
        <f t="shared" si="102"/>
        <v/>
      </c>
      <c r="AU211" s="243" t="str">
        <f t="shared" si="102"/>
        <v/>
      </c>
      <c r="AV211" s="243" t="str">
        <f t="shared" si="102"/>
        <v/>
      </c>
      <c r="AW211" s="247" t="str">
        <f t="shared" si="102"/>
        <v/>
      </c>
      <c r="AX211" s="243" t="str">
        <f t="shared" si="102"/>
        <v/>
      </c>
      <c r="AY211" s="248" t="str">
        <f t="shared" si="102"/>
        <v/>
      </c>
    </row>
    <row r="212" spans="2:51" ht="12" customHeight="1" x14ac:dyDescent="0.2">
      <c r="B212" s="268"/>
      <c r="C212" s="235"/>
      <c r="D212" s="235"/>
      <c r="E212" s="239"/>
      <c r="F212" s="182"/>
      <c r="G212" s="182"/>
      <c r="H212" s="182"/>
      <c r="I212" s="233"/>
      <c r="J212" s="163" t="str">
        <f>IF(Bridport!M44="","",Bridport!M44)</f>
        <v/>
      </c>
      <c r="K212" s="41" t="str">
        <f>IF(Bridport!N44="","",Bridport!N44)</f>
        <v/>
      </c>
      <c r="L212" s="41" t="str">
        <f>IF(Bridport!O44="","",Bridport!O44)</f>
        <v/>
      </c>
      <c r="M212" s="41" t="str">
        <f>IF(Bridport!P44="","",Bridport!P44)</f>
        <v/>
      </c>
      <c r="N212" s="41" t="str">
        <f>IF(Bridport!Q44="","",Bridport!Q44)</f>
        <v/>
      </c>
      <c r="O212" s="41" t="str">
        <f>IF(Bridport!R44="","",Bridport!R44)</f>
        <v/>
      </c>
      <c r="P212" s="41" t="str">
        <f>IF(Bridport!S44="","",Bridport!S44)</f>
        <v/>
      </c>
      <c r="Q212" s="41" t="str">
        <f>IF(Bridport!T44="","",Bridport!T44)</f>
        <v/>
      </c>
      <c r="R212" s="41" t="str">
        <f>IF(Bridport!U44="","",Bridport!U44)</f>
        <v/>
      </c>
      <c r="S212" s="41" t="str">
        <f>IF(Bridport!V44="","",Bridport!V44)</f>
        <v/>
      </c>
      <c r="T212" s="41" t="str">
        <f>IF(Bridport!W44="","",Bridport!W44)</f>
        <v/>
      </c>
      <c r="U212" s="41" t="str">
        <f>IF(Bridport!X44="","",Bridport!X44)</f>
        <v/>
      </c>
      <c r="V212" s="41" t="str">
        <f>IF(Bridport!Y44="","",Bridport!Y44)</f>
        <v/>
      </c>
      <c r="W212" s="201"/>
      <c r="X212" s="182"/>
      <c r="Y212" s="233"/>
      <c r="AA212" s="239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233"/>
    </row>
    <row r="213" spans="2:51" ht="12" customHeight="1" x14ac:dyDescent="0.2">
      <c r="B213" s="268"/>
      <c r="C213" s="263" t="str">
        <f>IF(Bridport!E45="","",Bridport!E45)</f>
        <v/>
      </c>
      <c r="D213" s="259" t="str">
        <f>LEFT($B$175,3)</f>
        <v>Bri</v>
      </c>
      <c r="E213" s="251" t="str">
        <f>IF(Bridport!G45="","",Bridport!G45)</f>
        <v/>
      </c>
      <c r="F213" s="181" t="str">
        <f>IF(Bridport!H45=0,"",Bridport!H45)</f>
        <v/>
      </c>
      <c r="G213" s="181" t="str">
        <f>IF(Bridport!I45=0,"",Bridport!I45)</f>
        <v/>
      </c>
      <c r="H213" s="181" t="str">
        <f>IF(Bridport!J45=0,"",Bridport!J45)</f>
        <v/>
      </c>
      <c r="I213" s="250" t="str">
        <f>IF(Bridport!K45=0,"",Bridport!K45)</f>
        <v/>
      </c>
      <c r="J213" s="163" t="str">
        <f>IF(Bridport!M45="","",Bridport!M45)</f>
        <v/>
      </c>
      <c r="K213" s="41" t="str">
        <f>IF(Bridport!N45="","",Bridport!N45)</f>
        <v/>
      </c>
      <c r="L213" s="41" t="str">
        <f>IF(Bridport!O45="","",Bridport!O45)</f>
        <v/>
      </c>
      <c r="M213" s="41" t="str">
        <f>IF(Bridport!P45="","",Bridport!P45)</f>
        <v/>
      </c>
      <c r="N213" s="41" t="str">
        <f>IF(Bridport!Q45="","",Bridport!Q45)</f>
        <v/>
      </c>
      <c r="O213" s="41" t="str">
        <f>IF(Bridport!R45="","",Bridport!R45)</f>
        <v/>
      </c>
      <c r="P213" s="41" t="str">
        <f>IF(Bridport!S45="","",Bridport!S45)</f>
        <v/>
      </c>
      <c r="Q213" s="41" t="str">
        <f>IF(Bridport!T45="","",Bridport!T45)</f>
        <v/>
      </c>
      <c r="R213" s="41" t="str">
        <f>IF(Bridport!U45="","",Bridport!U45)</f>
        <v/>
      </c>
      <c r="S213" s="41" t="str">
        <f>IF(Bridport!V45="","",Bridport!V45)</f>
        <v/>
      </c>
      <c r="T213" s="41" t="str">
        <f>IF(Bridport!W45="","",Bridport!W45)</f>
        <v/>
      </c>
      <c r="U213" s="41" t="str">
        <f>IF(Bridport!X45="","",Bridport!X45)</f>
        <v/>
      </c>
      <c r="V213" s="41" t="str">
        <f>IF(Bridport!Y45="","",Bridport!Y45)</f>
        <v/>
      </c>
      <c r="W213" s="249" t="str">
        <f>IF(Bridport!AA45=0,"",Bridport!AA45)</f>
        <v/>
      </c>
      <c r="X213" s="244" t="str">
        <f>IF(Bridport!AB45=0,"",Bridport!AB45)</f>
        <v/>
      </c>
      <c r="Y213" s="245" t="str">
        <f>IF(Bridport!AC45=0,"",Bridport!AC45)</f>
        <v/>
      </c>
      <c r="AA213" s="246" t="str">
        <f>Y213</f>
        <v/>
      </c>
      <c r="AB213" s="243" t="str">
        <f>X213</f>
        <v/>
      </c>
      <c r="AC213" s="185" t="str">
        <f>C213</f>
        <v/>
      </c>
      <c r="AD213" s="185" t="str">
        <f>LEFT($B$175,3)</f>
        <v>Bri</v>
      </c>
      <c r="AE213" s="185" t="str">
        <f t="shared" ref="AE213:AY213" si="103">E213</f>
        <v/>
      </c>
      <c r="AF213" s="185" t="str">
        <f t="shared" si="103"/>
        <v/>
      </c>
      <c r="AG213" s="185" t="str">
        <f t="shared" si="103"/>
        <v/>
      </c>
      <c r="AH213" s="185" t="str">
        <f t="shared" si="103"/>
        <v/>
      </c>
      <c r="AI213" s="185" t="str">
        <f t="shared" si="103"/>
        <v/>
      </c>
      <c r="AJ213" s="243" t="str">
        <f t="shared" si="103"/>
        <v/>
      </c>
      <c r="AK213" s="243" t="str">
        <f t="shared" si="103"/>
        <v/>
      </c>
      <c r="AL213" s="243" t="str">
        <f t="shared" si="103"/>
        <v/>
      </c>
      <c r="AM213" s="243" t="str">
        <f t="shared" si="103"/>
        <v/>
      </c>
      <c r="AN213" s="243" t="str">
        <f t="shared" si="103"/>
        <v/>
      </c>
      <c r="AO213" s="243" t="str">
        <f t="shared" si="103"/>
        <v/>
      </c>
      <c r="AP213" s="243" t="str">
        <f t="shared" si="103"/>
        <v/>
      </c>
      <c r="AQ213" s="243" t="str">
        <f t="shared" si="103"/>
        <v/>
      </c>
      <c r="AR213" s="243" t="str">
        <f t="shared" si="103"/>
        <v/>
      </c>
      <c r="AS213" s="243" t="str">
        <f t="shared" si="103"/>
        <v/>
      </c>
      <c r="AT213" s="243" t="str">
        <f t="shared" si="103"/>
        <v/>
      </c>
      <c r="AU213" s="243" t="str">
        <f t="shared" si="103"/>
        <v/>
      </c>
      <c r="AV213" s="243" t="str">
        <f t="shared" si="103"/>
        <v/>
      </c>
      <c r="AW213" s="247" t="str">
        <f t="shared" si="103"/>
        <v/>
      </c>
      <c r="AX213" s="243" t="str">
        <f t="shared" si="103"/>
        <v/>
      </c>
      <c r="AY213" s="248" t="str">
        <f t="shared" si="103"/>
        <v/>
      </c>
    </row>
    <row r="214" spans="2:51" ht="12" customHeight="1" x14ac:dyDescent="0.2">
      <c r="B214" s="268"/>
      <c r="C214" s="235"/>
      <c r="D214" s="235"/>
      <c r="E214" s="239"/>
      <c r="F214" s="182"/>
      <c r="G214" s="182"/>
      <c r="H214" s="182"/>
      <c r="I214" s="233"/>
      <c r="J214" s="163" t="str">
        <f>IF(Bridport!M46="","",Bridport!M46)</f>
        <v/>
      </c>
      <c r="K214" s="41" t="str">
        <f>IF(Bridport!N46="","",Bridport!N46)</f>
        <v/>
      </c>
      <c r="L214" s="41" t="str">
        <f>IF(Bridport!O46="","",Bridport!O46)</f>
        <v/>
      </c>
      <c r="M214" s="41" t="str">
        <f>IF(Bridport!P46="","",Bridport!P46)</f>
        <v/>
      </c>
      <c r="N214" s="41" t="str">
        <f>IF(Bridport!Q46="","",Bridport!Q46)</f>
        <v/>
      </c>
      <c r="O214" s="41" t="str">
        <f>IF(Bridport!R46="","",Bridport!R46)</f>
        <v/>
      </c>
      <c r="P214" s="41" t="str">
        <f>IF(Bridport!S46="","",Bridport!S46)</f>
        <v/>
      </c>
      <c r="Q214" s="41" t="str">
        <f>IF(Bridport!T46="","",Bridport!T46)</f>
        <v/>
      </c>
      <c r="R214" s="41" t="str">
        <f>IF(Bridport!U46="","",Bridport!U46)</f>
        <v/>
      </c>
      <c r="S214" s="41" t="str">
        <f>IF(Bridport!V46="","",Bridport!V46)</f>
        <v/>
      </c>
      <c r="T214" s="41" t="str">
        <f>IF(Bridport!W46="","",Bridport!W46)</f>
        <v/>
      </c>
      <c r="U214" s="41" t="str">
        <f>IF(Bridport!X46="","",Bridport!X46)</f>
        <v/>
      </c>
      <c r="V214" s="41" t="str">
        <f>IF(Bridport!Y46="","",Bridport!Y46)</f>
        <v/>
      </c>
      <c r="W214" s="201"/>
      <c r="X214" s="182"/>
      <c r="Y214" s="233"/>
      <c r="AA214" s="239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233"/>
    </row>
    <row r="215" spans="2:51" ht="12" customHeight="1" x14ac:dyDescent="0.2">
      <c r="B215" s="268"/>
      <c r="C215" s="263" t="str">
        <f>IF(Bridport!E47="","",Bridport!E47)</f>
        <v/>
      </c>
      <c r="D215" s="259" t="str">
        <f>LEFT($B$175,3)</f>
        <v>Bri</v>
      </c>
      <c r="E215" s="251" t="str">
        <f>IF(Bridport!G47="","",Bridport!G47)</f>
        <v/>
      </c>
      <c r="F215" s="181" t="str">
        <f>IF(Bridport!H47=0,"",Bridport!H47)</f>
        <v/>
      </c>
      <c r="G215" s="181" t="str">
        <f>IF(Bridport!I47=0,"",Bridport!I47)</f>
        <v/>
      </c>
      <c r="H215" s="181" t="str">
        <f>IF(Bridport!J47=0,"",Bridport!J47)</f>
        <v/>
      </c>
      <c r="I215" s="250" t="str">
        <f>IF(Bridport!K47=0,"",Bridport!K47)</f>
        <v/>
      </c>
      <c r="J215" s="163" t="str">
        <f>IF(Bridport!M47="","",Bridport!M47)</f>
        <v/>
      </c>
      <c r="K215" s="41" t="str">
        <f>IF(Bridport!N47="","",Bridport!N47)</f>
        <v/>
      </c>
      <c r="L215" s="41" t="str">
        <f>IF(Bridport!O47="","",Bridport!O47)</f>
        <v/>
      </c>
      <c r="M215" s="41" t="str">
        <f>IF(Bridport!P47="","",Bridport!P47)</f>
        <v/>
      </c>
      <c r="N215" s="41" t="str">
        <f>IF(Bridport!Q47="","",Bridport!Q47)</f>
        <v/>
      </c>
      <c r="O215" s="41" t="str">
        <f>IF(Bridport!R47="","",Bridport!R47)</f>
        <v/>
      </c>
      <c r="P215" s="41" t="str">
        <f>IF(Bridport!S47="","",Bridport!S47)</f>
        <v/>
      </c>
      <c r="Q215" s="41" t="str">
        <f>IF(Bridport!T47="","",Bridport!T47)</f>
        <v/>
      </c>
      <c r="R215" s="41" t="str">
        <f>IF(Bridport!U47="","",Bridport!U47)</f>
        <v/>
      </c>
      <c r="S215" s="41" t="str">
        <f>IF(Bridport!V47="","",Bridport!V47)</f>
        <v/>
      </c>
      <c r="T215" s="41" t="str">
        <f>IF(Bridport!W47="","",Bridport!W47)</f>
        <v/>
      </c>
      <c r="U215" s="41" t="str">
        <f>IF(Bridport!X47="","",Bridport!X47)</f>
        <v/>
      </c>
      <c r="V215" s="41" t="str">
        <f>IF(Bridport!Y47="","",Bridport!Y47)</f>
        <v/>
      </c>
      <c r="W215" s="249" t="str">
        <f>IF(Bridport!AA47=0,"",Bridport!AA47)</f>
        <v/>
      </c>
      <c r="X215" s="244" t="str">
        <f>IF(Bridport!AB47=0,"",Bridport!AB47)</f>
        <v/>
      </c>
      <c r="Y215" s="245" t="str">
        <f>IF(Bridport!AC47=0,"",Bridport!AC47)</f>
        <v/>
      </c>
      <c r="AA215" s="246" t="str">
        <f>Y215</f>
        <v/>
      </c>
      <c r="AB215" s="243" t="str">
        <f>X215</f>
        <v/>
      </c>
      <c r="AC215" s="185" t="str">
        <f>C215</f>
        <v/>
      </c>
      <c r="AD215" s="185" t="str">
        <f>LEFT($B$175,3)</f>
        <v>Bri</v>
      </c>
      <c r="AE215" s="185" t="str">
        <f t="shared" ref="AE215:AY215" si="104">E215</f>
        <v/>
      </c>
      <c r="AF215" s="185" t="str">
        <f t="shared" si="104"/>
        <v/>
      </c>
      <c r="AG215" s="185" t="str">
        <f t="shared" si="104"/>
        <v/>
      </c>
      <c r="AH215" s="185" t="str">
        <f t="shared" si="104"/>
        <v/>
      </c>
      <c r="AI215" s="185" t="str">
        <f t="shared" si="104"/>
        <v/>
      </c>
      <c r="AJ215" s="243" t="str">
        <f t="shared" si="104"/>
        <v/>
      </c>
      <c r="AK215" s="243" t="str">
        <f t="shared" si="104"/>
        <v/>
      </c>
      <c r="AL215" s="243" t="str">
        <f t="shared" si="104"/>
        <v/>
      </c>
      <c r="AM215" s="243" t="str">
        <f t="shared" si="104"/>
        <v/>
      </c>
      <c r="AN215" s="243" t="str">
        <f t="shared" si="104"/>
        <v/>
      </c>
      <c r="AO215" s="243" t="str">
        <f t="shared" si="104"/>
        <v/>
      </c>
      <c r="AP215" s="243" t="str">
        <f t="shared" si="104"/>
        <v/>
      </c>
      <c r="AQ215" s="243" t="str">
        <f t="shared" si="104"/>
        <v/>
      </c>
      <c r="AR215" s="243" t="str">
        <f t="shared" si="104"/>
        <v/>
      </c>
      <c r="AS215" s="243" t="str">
        <f t="shared" si="104"/>
        <v/>
      </c>
      <c r="AT215" s="243" t="str">
        <f t="shared" si="104"/>
        <v/>
      </c>
      <c r="AU215" s="243" t="str">
        <f t="shared" si="104"/>
        <v/>
      </c>
      <c r="AV215" s="243" t="str">
        <f t="shared" si="104"/>
        <v/>
      </c>
      <c r="AW215" s="247" t="str">
        <f t="shared" si="104"/>
        <v/>
      </c>
      <c r="AX215" s="243" t="str">
        <f t="shared" si="104"/>
        <v/>
      </c>
      <c r="AY215" s="248" t="str">
        <f t="shared" si="104"/>
        <v/>
      </c>
    </row>
    <row r="216" spans="2:51" ht="12.75" customHeight="1" x14ac:dyDescent="0.2">
      <c r="B216" s="269"/>
      <c r="C216" s="211"/>
      <c r="D216" s="211"/>
      <c r="E216" s="223"/>
      <c r="F216" s="225"/>
      <c r="G216" s="225"/>
      <c r="H216" s="225"/>
      <c r="I216" s="228"/>
      <c r="J216" s="164" t="str">
        <f>IF(Bridport!M48="","",Bridport!M48)</f>
        <v/>
      </c>
      <c r="K216" s="165" t="str">
        <f>IF(Bridport!N48="","",Bridport!N48)</f>
        <v/>
      </c>
      <c r="L216" s="165" t="str">
        <f>IF(Bridport!O48="","",Bridport!O48)</f>
        <v/>
      </c>
      <c r="M216" s="165" t="str">
        <f>IF(Bridport!P48="","",Bridport!P48)</f>
        <v/>
      </c>
      <c r="N216" s="165" t="str">
        <f>IF(Bridport!Q48="","",Bridport!Q48)</f>
        <v/>
      </c>
      <c r="O216" s="165" t="str">
        <f>IF(Bridport!R48="","",Bridport!R48)</f>
        <v/>
      </c>
      <c r="P216" s="165" t="str">
        <f>IF(Bridport!S48="","",Bridport!S48)</f>
        <v/>
      </c>
      <c r="Q216" s="165" t="str">
        <f>IF(Bridport!T48="","",Bridport!T48)</f>
        <v/>
      </c>
      <c r="R216" s="165" t="str">
        <f>IF(Bridport!U48="","",Bridport!U48)</f>
        <v/>
      </c>
      <c r="S216" s="165" t="str">
        <f>IF(Bridport!V48="","",Bridport!V48)</f>
        <v/>
      </c>
      <c r="T216" s="165" t="str">
        <f>IF(Bridport!W48="","",Bridport!W48)</f>
        <v/>
      </c>
      <c r="U216" s="165" t="str">
        <f>IF(Bridport!X48="","",Bridport!X48)</f>
        <v/>
      </c>
      <c r="V216" s="165" t="str">
        <f>IF(Bridport!Y48="","",Bridport!Y48)</f>
        <v/>
      </c>
      <c r="W216" s="261"/>
      <c r="X216" s="225"/>
      <c r="Y216" s="228"/>
      <c r="AA216" s="239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233"/>
    </row>
    <row r="217" spans="2:51" ht="12.75" customHeight="1" x14ac:dyDescent="0.2">
      <c r="B217" s="267" t="s">
        <v>28</v>
      </c>
      <c r="C217" s="264" t="str">
        <f>IF(Christchurch!E7="","",Christchurch!E7)</f>
        <v>Declan Harris</v>
      </c>
      <c r="D217" s="260" t="str">
        <f>LEFT($B$217,3)</f>
        <v>Chr</v>
      </c>
      <c r="E217" s="256">
        <f>IF(Christchurch!G7="","",Christchurch!G7)</f>
        <v>8</v>
      </c>
      <c r="F217" s="257">
        <f>IF(Christchurch!H7=0,"",Christchurch!H7)</f>
        <v>5</v>
      </c>
      <c r="G217" s="253">
        <f>IF(Christchurch!I7=0,"",Christchurch!I7)</f>
        <v>3</v>
      </c>
      <c r="H217" s="253">
        <f>IF(Christchurch!J7=0,"",Christchurch!J7)</f>
        <v>22</v>
      </c>
      <c r="I217" s="258">
        <f>IF(Christchurch!K7=0,"",Christchurch!K7)</f>
        <v>18</v>
      </c>
      <c r="J217" s="161" t="str">
        <f>IF(Christchurch!M7="","",Christchurch!M7)</f>
        <v/>
      </c>
      <c r="K217" s="162">
        <f>IF(Christchurch!N7="","",Christchurch!N7)</f>
        <v>23.49</v>
      </c>
      <c r="L217" s="162" t="str">
        <f>IF(Christchurch!O7="","",Christchurch!O7)</f>
        <v/>
      </c>
      <c r="M217" s="162" t="str">
        <f>IF(Christchurch!P7="","",Christchurch!P7)</f>
        <v/>
      </c>
      <c r="N217" s="162">
        <f>IF(Christchurch!Q7="","",Christchurch!Q7)</f>
        <v>23.74</v>
      </c>
      <c r="O217" s="162">
        <f>IF(Christchurch!R7="","",Christchurch!R7)</f>
        <v>23.52</v>
      </c>
      <c r="P217" s="162">
        <f>IF(Christchurch!S7="","",Christchurch!S7)</f>
        <v>24.95</v>
      </c>
      <c r="Q217" s="162">
        <f>IF(Christchurch!T7="","",Christchurch!T7)</f>
        <v>18.920000000000002</v>
      </c>
      <c r="R217" s="162" t="str">
        <f>IF(Christchurch!U7="","",Christchurch!U7)</f>
        <v/>
      </c>
      <c r="S217" s="162">
        <f>IF(Christchurch!V7="","",Christchurch!V7)</f>
        <v>23.18</v>
      </c>
      <c r="T217" s="162" t="str">
        <f>IF(Christchurch!W7="","",Christchurch!W7)</f>
        <v/>
      </c>
      <c r="U217" s="162">
        <f>IF(Christchurch!X7="","",Christchurch!X7)</f>
        <v>23.3</v>
      </c>
      <c r="V217" s="162">
        <f>IF(Christchurch!Y7="","",Christchurch!Y7)</f>
        <v>25.34</v>
      </c>
      <c r="W217" s="262">
        <f>IF(Christchurch!AA7=0,"",Christchurch!AA7)</f>
        <v>4</v>
      </c>
      <c r="X217" s="254">
        <f>IF(Christchurch!AB7=0,"",Christchurch!AB7)</f>
        <v>23.305000000000003</v>
      </c>
      <c r="Y217" s="255">
        <f>IF(Christchurch!AC7=0,"",Christchurch!AC7)</f>
        <v>28.305000000000003</v>
      </c>
      <c r="AA217" s="246">
        <f>Y217</f>
        <v>28.305000000000003</v>
      </c>
      <c r="AB217" s="243">
        <f>X217</f>
        <v>23.305000000000003</v>
      </c>
      <c r="AC217" s="185" t="str">
        <f>C217</f>
        <v>Declan Harris</v>
      </c>
      <c r="AD217" s="185" t="str">
        <f>LEFT($B$217,3)</f>
        <v>Chr</v>
      </c>
      <c r="AE217" s="185">
        <f t="shared" ref="AE217:AY217" si="105">E217</f>
        <v>8</v>
      </c>
      <c r="AF217" s="185">
        <f t="shared" si="105"/>
        <v>5</v>
      </c>
      <c r="AG217" s="247">
        <f t="shared" si="105"/>
        <v>3</v>
      </c>
      <c r="AH217" s="247">
        <f t="shared" si="105"/>
        <v>22</v>
      </c>
      <c r="AI217" s="247">
        <f t="shared" si="105"/>
        <v>18</v>
      </c>
      <c r="AJ217" s="243" t="str">
        <f t="shared" si="105"/>
        <v/>
      </c>
      <c r="AK217" s="243">
        <f t="shared" si="105"/>
        <v>23.49</v>
      </c>
      <c r="AL217" s="243" t="str">
        <f t="shared" si="105"/>
        <v/>
      </c>
      <c r="AM217" s="243" t="str">
        <f t="shared" si="105"/>
        <v/>
      </c>
      <c r="AN217" s="243">
        <f t="shared" si="105"/>
        <v>23.74</v>
      </c>
      <c r="AO217" s="243">
        <f t="shared" si="105"/>
        <v>23.52</v>
      </c>
      <c r="AP217" s="243">
        <f t="shared" si="105"/>
        <v>24.95</v>
      </c>
      <c r="AQ217" s="243">
        <f t="shared" si="105"/>
        <v>18.920000000000002</v>
      </c>
      <c r="AR217" s="243" t="str">
        <f t="shared" si="105"/>
        <v/>
      </c>
      <c r="AS217" s="243">
        <f t="shared" si="105"/>
        <v>23.18</v>
      </c>
      <c r="AT217" s="243" t="str">
        <f t="shared" si="105"/>
        <v/>
      </c>
      <c r="AU217" s="243">
        <f t="shared" si="105"/>
        <v>23.3</v>
      </c>
      <c r="AV217" s="243">
        <f t="shared" si="105"/>
        <v>25.34</v>
      </c>
      <c r="AW217" s="247">
        <f t="shared" si="105"/>
        <v>4</v>
      </c>
      <c r="AX217" s="243">
        <f t="shared" si="105"/>
        <v>23.305000000000003</v>
      </c>
      <c r="AY217" s="248">
        <f t="shared" si="105"/>
        <v>28.305000000000003</v>
      </c>
    </row>
    <row r="218" spans="2:51" ht="12" customHeight="1" x14ac:dyDescent="0.2">
      <c r="B218" s="268"/>
      <c r="C218" s="235"/>
      <c r="D218" s="235"/>
      <c r="E218" s="239"/>
      <c r="F218" s="182"/>
      <c r="G218" s="182"/>
      <c r="H218" s="182"/>
      <c r="I218" s="233"/>
      <c r="J218" s="163" t="str">
        <f>IF(Christchurch!M8="","",Christchurch!M8)</f>
        <v/>
      </c>
      <c r="K218" s="41" t="str">
        <f>IF(Christchurch!N8="","",Christchurch!N8)</f>
        <v>1*4</v>
      </c>
      <c r="L218" s="41" t="str">
        <f>IF(Christchurch!O8="","",Christchurch!O8)</f>
        <v/>
      </c>
      <c r="M218" s="41" t="str">
        <f>IF(Christchurch!P8="","",Christchurch!P8)</f>
        <v/>
      </c>
      <c r="N218" s="41" t="str">
        <f>IF(Christchurch!Q8="","",Christchurch!Q8)</f>
        <v>1*4(1)</v>
      </c>
      <c r="O218" s="41" t="str">
        <f>IF(Christchurch!R8="","",Christchurch!R8)</f>
        <v>0*4</v>
      </c>
      <c r="P218" s="41" t="str">
        <f>IF(Christchurch!S8="","",Christchurch!S8)</f>
        <v>4*1</v>
      </c>
      <c r="Q218" s="41" t="str">
        <f>IF(Christchurch!T8="","",Christchurch!T8)</f>
        <v>4*1</v>
      </c>
      <c r="R218" s="41" t="str">
        <f>IF(Christchurch!U8="","",Christchurch!U8)</f>
        <v/>
      </c>
      <c r="S218" s="41" t="str">
        <f>IF(Christchurch!V8="","",Christchurch!V8)</f>
        <v>4*1(2)</v>
      </c>
      <c r="T218" s="41" t="str">
        <f>IF(Christchurch!W8="","",Christchurch!W8)</f>
        <v/>
      </c>
      <c r="U218" s="41" t="str">
        <f>IF(Christchurch!X8="","",Christchurch!X8)</f>
        <v>4*0</v>
      </c>
      <c r="V218" s="41" t="str">
        <f>IF(Christchurch!Y8="","",Christchurch!Y8)</f>
        <v>4*3(1)</v>
      </c>
      <c r="W218" s="201"/>
      <c r="X218" s="182"/>
      <c r="Y218" s="233"/>
      <c r="AA218" s="239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233"/>
    </row>
    <row r="219" spans="2:51" ht="12" customHeight="1" x14ac:dyDescent="0.2">
      <c r="B219" s="268"/>
      <c r="C219" s="263" t="str">
        <f>IF(Christchurch!E9="","",Christchurch!E9)</f>
        <v>Dan Walker</v>
      </c>
      <c r="D219" s="259" t="str">
        <f>LEFT($B$217,3)</f>
        <v>Chr</v>
      </c>
      <c r="E219" s="251">
        <f>IF(Christchurch!G9="","",Christchurch!G9)</f>
        <v>13</v>
      </c>
      <c r="F219" s="181">
        <f>IF(Christchurch!H9=0,"",Christchurch!H9)</f>
        <v>5</v>
      </c>
      <c r="G219" s="186">
        <f>IF(Christchurch!I9=0,"",Christchurch!I9)</f>
        <v>8</v>
      </c>
      <c r="H219" s="186">
        <f>IF(Christchurch!J9=0,"",Christchurch!J9)</f>
        <v>34</v>
      </c>
      <c r="I219" s="252">
        <f>IF(Christchurch!K9=0,"",Christchurch!K9)</f>
        <v>42</v>
      </c>
      <c r="J219" s="163">
        <f>IF(Christchurch!M9="","",Christchurch!M9)</f>
        <v>19.52</v>
      </c>
      <c r="K219" s="41">
        <f>IF(Christchurch!N9="","",Christchurch!N9)</f>
        <v>22.36</v>
      </c>
      <c r="L219" s="41">
        <f>IF(Christchurch!O9="","",Christchurch!O9)</f>
        <v>21.31</v>
      </c>
      <c r="M219" s="41">
        <f>IF(Christchurch!P9="","",Christchurch!P9)</f>
        <v>19.41</v>
      </c>
      <c r="N219" s="41">
        <f>IF(Christchurch!Q9="","",Christchurch!Q9)</f>
        <v>20.14</v>
      </c>
      <c r="O219" s="41">
        <f>IF(Christchurch!R9="","",Christchurch!R9)</f>
        <v>21.85</v>
      </c>
      <c r="P219" s="41">
        <f>IF(Christchurch!S9="","",Christchurch!S9)</f>
        <v>21.47</v>
      </c>
      <c r="Q219" s="41">
        <f>IF(Christchurch!T9="","",Christchurch!T9)</f>
        <v>22.02</v>
      </c>
      <c r="R219" s="41">
        <f>IF(Christchurch!U9="","",Christchurch!U9)</f>
        <v>22.96</v>
      </c>
      <c r="S219" s="41">
        <f>IF(Christchurch!V9="","",Christchurch!V9)</f>
        <v>20.04</v>
      </c>
      <c r="T219" s="41">
        <f>IF(Christchurch!W9="","",Christchurch!W9)</f>
        <v>19.850000000000001</v>
      </c>
      <c r="U219" s="41">
        <f>IF(Christchurch!X9="","",Christchurch!X9)</f>
        <v>17.73</v>
      </c>
      <c r="V219" s="41">
        <f>IF(Christchurch!Y9="","",Christchurch!Y9)</f>
        <v>20.36</v>
      </c>
      <c r="W219" s="249">
        <f>IF(Christchurch!AA9=0,"",Christchurch!AA9)</f>
        <v>3</v>
      </c>
      <c r="X219" s="244">
        <f>IF(Christchurch!AB9=0,"",Christchurch!AB9)</f>
        <v>20.693846153846152</v>
      </c>
      <c r="Y219" s="245">
        <f>IF(Christchurch!AC9=0,"",Christchurch!AC9)</f>
        <v>25.693846153846152</v>
      </c>
      <c r="AA219" s="246">
        <f>Y219</f>
        <v>25.693846153846152</v>
      </c>
      <c r="AB219" s="243">
        <f>X219</f>
        <v>20.693846153846152</v>
      </c>
      <c r="AC219" s="185" t="str">
        <f>C219</f>
        <v>Dan Walker</v>
      </c>
      <c r="AD219" s="185" t="str">
        <f>LEFT($B$217,3)</f>
        <v>Chr</v>
      </c>
      <c r="AE219" s="185">
        <f t="shared" ref="AE219:AY219" si="106">E219</f>
        <v>13</v>
      </c>
      <c r="AF219" s="185">
        <f t="shared" si="106"/>
        <v>5</v>
      </c>
      <c r="AG219" s="247">
        <f t="shared" si="106"/>
        <v>8</v>
      </c>
      <c r="AH219" s="247">
        <f t="shared" si="106"/>
        <v>34</v>
      </c>
      <c r="AI219" s="247">
        <f t="shared" si="106"/>
        <v>42</v>
      </c>
      <c r="AJ219" s="243">
        <f t="shared" si="106"/>
        <v>19.52</v>
      </c>
      <c r="AK219" s="243">
        <f t="shared" si="106"/>
        <v>22.36</v>
      </c>
      <c r="AL219" s="243">
        <f t="shared" si="106"/>
        <v>21.31</v>
      </c>
      <c r="AM219" s="243">
        <f t="shared" si="106"/>
        <v>19.41</v>
      </c>
      <c r="AN219" s="243">
        <f t="shared" si="106"/>
        <v>20.14</v>
      </c>
      <c r="AO219" s="243">
        <f t="shared" si="106"/>
        <v>21.85</v>
      </c>
      <c r="AP219" s="243">
        <f t="shared" si="106"/>
        <v>21.47</v>
      </c>
      <c r="AQ219" s="243">
        <f t="shared" si="106"/>
        <v>22.02</v>
      </c>
      <c r="AR219" s="243">
        <f t="shared" si="106"/>
        <v>22.96</v>
      </c>
      <c r="AS219" s="243">
        <f t="shared" si="106"/>
        <v>20.04</v>
      </c>
      <c r="AT219" s="243">
        <f t="shared" si="106"/>
        <v>19.850000000000001</v>
      </c>
      <c r="AU219" s="243">
        <f t="shared" si="106"/>
        <v>17.73</v>
      </c>
      <c r="AV219" s="243">
        <f t="shared" si="106"/>
        <v>20.36</v>
      </c>
      <c r="AW219" s="247">
        <f t="shared" si="106"/>
        <v>3</v>
      </c>
      <c r="AX219" s="243">
        <f t="shared" si="106"/>
        <v>20.693846153846152</v>
      </c>
      <c r="AY219" s="248">
        <f t="shared" si="106"/>
        <v>25.693846153846152</v>
      </c>
    </row>
    <row r="220" spans="2:51" ht="12" customHeight="1" x14ac:dyDescent="0.2">
      <c r="B220" s="268"/>
      <c r="C220" s="235"/>
      <c r="D220" s="235"/>
      <c r="E220" s="239"/>
      <c r="F220" s="182"/>
      <c r="G220" s="182"/>
      <c r="H220" s="182"/>
      <c r="I220" s="233"/>
      <c r="J220" s="163" t="str">
        <f>IF(Christchurch!M10="","",Christchurch!M10)</f>
        <v>4*3</v>
      </c>
      <c r="K220" s="41" t="str">
        <f>IF(Christchurch!N10="","",Christchurch!N10)</f>
        <v>3*4</v>
      </c>
      <c r="L220" s="41" t="str">
        <f>IF(Christchurch!O10="","",Christchurch!O10)</f>
        <v>4*2</v>
      </c>
      <c r="M220" s="41" t="str">
        <f>IF(Christchurch!P10="","",Christchurch!P10)</f>
        <v>4*3(1)</v>
      </c>
      <c r="N220" s="41" t="str">
        <f>IF(Christchurch!Q10="","",Christchurch!Q10)</f>
        <v>1*4(1)</v>
      </c>
      <c r="O220" s="41" t="str">
        <f>IF(Christchurch!R10="","",Christchurch!R10)</f>
        <v>1*4</v>
      </c>
      <c r="P220" s="41" t="str">
        <f>IF(Christchurch!S10="","",Christchurch!S10)</f>
        <v>2*4</v>
      </c>
      <c r="Q220" s="41" t="str">
        <f>IF(Christchurch!T10="","",Christchurch!T10)</f>
        <v>4*0</v>
      </c>
      <c r="R220" s="41" t="str">
        <f>IF(Christchurch!U10="","",Christchurch!U10)</f>
        <v>1*4</v>
      </c>
      <c r="S220" s="41" t="str">
        <f>IF(Christchurch!V10="","",Christchurch!V10)</f>
        <v>4*2</v>
      </c>
      <c r="T220" s="41" t="str">
        <f>IF(Christchurch!W10="","",Christchurch!W10)</f>
        <v>3*4(1)</v>
      </c>
      <c r="U220" s="41" t="str">
        <f>IF(Christchurch!X10="","",Christchurch!X10)</f>
        <v>0*4</v>
      </c>
      <c r="V220" s="41" t="str">
        <f>IF(Christchurch!Y10="","",Christchurch!Y10)</f>
        <v>3*4</v>
      </c>
      <c r="W220" s="201"/>
      <c r="X220" s="182"/>
      <c r="Y220" s="233"/>
      <c r="AA220" s="239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233"/>
    </row>
    <row r="221" spans="2:51" ht="12" customHeight="1" x14ac:dyDescent="0.2">
      <c r="B221" s="268"/>
      <c r="C221" s="263" t="str">
        <f>IF(Christchurch!E11="","",Christchurch!E11)</f>
        <v>Mark Grimes</v>
      </c>
      <c r="D221" s="259" t="str">
        <f>LEFT($B$217,3)</f>
        <v>Chr</v>
      </c>
      <c r="E221" s="251">
        <f>IF(Christchurch!G11="","",Christchurch!G11)</f>
        <v>12</v>
      </c>
      <c r="F221" s="181">
        <f>IF(Christchurch!H11=0,"",Christchurch!H11)</f>
        <v>9</v>
      </c>
      <c r="G221" s="186">
        <f>IF(Christchurch!I11=0,"",Christchurch!I11)</f>
        <v>3</v>
      </c>
      <c r="H221" s="186">
        <f>IF(Christchurch!J11=0,"",Christchurch!J11)</f>
        <v>41</v>
      </c>
      <c r="I221" s="252">
        <f>IF(Christchurch!K11=0,"",Christchurch!K11)</f>
        <v>27</v>
      </c>
      <c r="J221" s="163">
        <f>IF(Christchurch!M11="","",Christchurch!M11)</f>
        <v>24.29</v>
      </c>
      <c r="K221" s="41">
        <f>IF(Christchurch!N11="","",Christchurch!N11)</f>
        <v>25.66</v>
      </c>
      <c r="L221" s="41">
        <f>IF(Christchurch!O11="","",Christchurch!O11)</f>
        <v>25.22</v>
      </c>
      <c r="M221" s="41">
        <f>IF(Christchurch!P11="","",Christchurch!P11)</f>
        <v>24.25</v>
      </c>
      <c r="N221" s="41">
        <f>IF(Christchurch!Q11="","",Christchurch!Q11)</f>
        <v>30.36</v>
      </c>
      <c r="O221" s="41">
        <f>IF(Christchurch!R11="","",Christchurch!R11)</f>
        <v>24.31</v>
      </c>
      <c r="P221" s="41">
        <f>IF(Christchurch!S11="","",Christchurch!S11)</f>
        <v>28.4</v>
      </c>
      <c r="Q221" s="41">
        <f>IF(Christchurch!T11="","",Christchurch!T11)</f>
        <v>25.15</v>
      </c>
      <c r="R221" s="41">
        <f>IF(Christchurch!U11="","",Christchurch!U11)</f>
        <v>26.03</v>
      </c>
      <c r="S221" s="41">
        <f>IF(Christchurch!V11="","",Christchurch!V11)</f>
        <v>27.46</v>
      </c>
      <c r="T221" s="41" t="str">
        <f>IF(Christchurch!W11="","",Christchurch!W11)</f>
        <v/>
      </c>
      <c r="U221" s="41">
        <f>IF(Christchurch!X11="","",Christchurch!X11)</f>
        <v>25.74</v>
      </c>
      <c r="V221" s="41">
        <f>IF(Christchurch!Y11="","",Christchurch!Y11)</f>
        <v>24.46</v>
      </c>
      <c r="W221" s="249">
        <f>IF(Christchurch!AA11=0,"",Christchurch!AA11)</f>
        <v>15</v>
      </c>
      <c r="X221" s="244">
        <f>IF(Christchurch!AB11=0,"",Christchurch!AB11)</f>
        <v>25.944166666666664</v>
      </c>
      <c r="Y221" s="245">
        <f>IF(Christchurch!AC11=0,"",Christchurch!AC11)</f>
        <v>34.944166666666661</v>
      </c>
      <c r="AA221" s="246">
        <f>Y221</f>
        <v>34.944166666666661</v>
      </c>
      <c r="AB221" s="243">
        <f>X221</f>
        <v>25.944166666666664</v>
      </c>
      <c r="AC221" s="185" t="str">
        <f>C221</f>
        <v>Mark Grimes</v>
      </c>
      <c r="AD221" s="185" t="str">
        <f>LEFT($B$217,3)</f>
        <v>Chr</v>
      </c>
      <c r="AE221" s="185">
        <f t="shared" ref="AE221:AY221" si="107">E221</f>
        <v>12</v>
      </c>
      <c r="AF221" s="185">
        <f t="shared" si="107"/>
        <v>9</v>
      </c>
      <c r="AG221" s="247">
        <f t="shared" si="107"/>
        <v>3</v>
      </c>
      <c r="AH221" s="247">
        <f t="shared" si="107"/>
        <v>41</v>
      </c>
      <c r="AI221" s="247">
        <f t="shared" si="107"/>
        <v>27</v>
      </c>
      <c r="AJ221" s="243">
        <f t="shared" si="107"/>
        <v>24.29</v>
      </c>
      <c r="AK221" s="243">
        <f t="shared" si="107"/>
        <v>25.66</v>
      </c>
      <c r="AL221" s="243">
        <f t="shared" si="107"/>
        <v>25.22</v>
      </c>
      <c r="AM221" s="243">
        <f t="shared" si="107"/>
        <v>24.25</v>
      </c>
      <c r="AN221" s="243">
        <f t="shared" si="107"/>
        <v>30.36</v>
      </c>
      <c r="AO221" s="243">
        <f t="shared" si="107"/>
        <v>24.31</v>
      </c>
      <c r="AP221" s="243">
        <f t="shared" si="107"/>
        <v>28.4</v>
      </c>
      <c r="AQ221" s="243">
        <f t="shared" si="107"/>
        <v>25.15</v>
      </c>
      <c r="AR221" s="243">
        <f t="shared" si="107"/>
        <v>26.03</v>
      </c>
      <c r="AS221" s="243">
        <f t="shared" si="107"/>
        <v>27.46</v>
      </c>
      <c r="AT221" s="243" t="str">
        <f t="shared" si="107"/>
        <v/>
      </c>
      <c r="AU221" s="243">
        <f t="shared" si="107"/>
        <v>25.74</v>
      </c>
      <c r="AV221" s="243">
        <f t="shared" si="107"/>
        <v>24.46</v>
      </c>
      <c r="AW221" s="247">
        <f t="shared" si="107"/>
        <v>15</v>
      </c>
      <c r="AX221" s="243">
        <f t="shared" si="107"/>
        <v>25.944166666666664</v>
      </c>
      <c r="AY221" s="248">
        <f t="shared" si="107"/>
        <v>34.944166666666661</v>
      </c>
    </row>
    <row r="222" spans="2:51" ht="12" customHeight="1" x14ac:dyDescent="0.2">
      <c r="B222" s="268"/>
      <c r="C222" s="235"/>
      <c r="D222" s="235"/>
      <c r="E222" s="239"/>
      <c r="F222" s="182"/>
      <c r="G222" s="182"/>
      <c r="H222" s="182"/>
      <c r="I222" s="233"/>
      <c r="J222" s="163" t="str">
        <f>IF(Christchurch!M12="","",Christchurch!M12)</f>
        <v>2*4(2)</v>
      </c>
      <c r="K222" s="41" t="str">
        <f>IF(Christchurch!N12="","",Christchurch!N12)</f>
        <v>4*3(1)</v>
      </c>
      <c r="L222" s="41" t="str">
        <f>IF(Christchurch!O12="","",Christchurch!O12)</f>
        <v>4*2</v>
      </c>
      <c r="M222" s="41" t="str">
        <f>IF(Christchurch!P12="","",Christchurch!P12)</f>
        <v>2*4</v>
      </c>
      <c r="N222" s="41" t="str">
        <f>IF(Christchurch!Q12="","",Christchurch!Q12)</f>
        <v>4*0(1)</v>
      </c>
      <c r="O222" s="41" t="str">
        <f>IF(Christchurch!R12="","",Christchurch!R12)</f>
        <v>1*4(1)</v>
      </c>
      <c r="P222" s="41" t="str">
        <f>IF(Christchurch!S12="","",Christchurch!S12)</f>
        <v>4*2(3)</v>
      </c>
      <c r="Q222" s="41" t="str">
        <f>IF(Christchurch!T12="","",Christchurch!T12)</f>
        <v>4*1(3)</v>
      </c>
      <c r="R222" s="41" t="str">
        <f>IF(Christchurch!U12="","",Christchurch!U12)</f>
        <v>4*0(1)</v>
      </c>
      <c r="S222" s="41" t="str">
        <f>IF(Christchurch!V12="","",Christchurch!V12)</f>
        <v>4*3</v>
      </c>
      <c r="T222" s="41" t="str">
        <f>IF(Christchurch!W12="","",Christchurch!W12)</f>
        <v/>
      </c>
      <c r="U222" s="41" t="str">
        <f>IF(Christchurch!X12="","",Christchurch!X12)</f>
        <v>4*1(3)</v>
      </c>
      <c r="V222" s="41" t="str">
        <f>IF(Christchurch!Y12="","",Christchurch!Y12)</f>
        <v>4*3</v>
      </c>
      <c r="W222" s="201"/>
      <c r="X222" s="182"/>
      <c r="Y222" s="233"/>
      <c r="AA222" s="239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233"/>
    </row>
    <row r="223" spans="2:51" ht="12" customHeight="1" x14ac:dyDescent="0.2">
      <c r="B223" s="268"/>
      <c r="C223" s="263" t="str">
        <f>IF(Christchurch!E13="","",Christchurch!E13)</f>
        <v>Gary Howlett</v>
      </c>
      <c r="D223" s="259" t="str">
        <f>LEFT($B$217,3)</f>
        <v>Chr</v>
      </c>
      <c r="E223" s="251">
        <f>IF(Christchurch!G13="","",Christchurch!G13)</f>
        <v>11</v>
      </c>
      <c r="F223" s="181">
        <f>IF(Christchurch!H13=0,"",Christchurch!H13)</f>
        <v>10</v>
      </c>
      <c r="G223" s="181">
        <f>IF(Christchurch!I13=0,"",Christchurch!I13)</f>
        <v>1</v>
      </c>
      <c r="H223" s="186">
        <f>IF(Christchurch!J13=0,"",Christchurch!J13)</f>
        <v>40</v>
      </c>
      <c r="I223" s="252">
        <f>IF(Christchurch!K13=0,"",Christchurch!K13)</f>
        <v>18</v>
      </c>
      <c r="J223" s="163">
        <f>IF(Christchurch!M13="","",Christchurch!M13)</f>
        <v>25.05</v>
      </c>
      <c r="K223" s="41">
        <f>IF(Christchurch!N13="","",Christchurch!N13)</f>
        <v>19.11</v>
      </c>
      <c r="L223" s="41">
        <f>IF(Christchurch!O13="","",Christchurch!O13)</f>
        <v>22.96</v>
      </c>
      <c r="M223" s="41">
        <f>IF(Christchurch!P13="","",Christchurch!P13)</f>
        <v>20.010000000000002</v>
      </c>
      <c r="N223" s="41">
        <f>IF(Christchurch!Q13="","",Christchurch!Q13)</f>
        <v>22.66</v>
      </c>
      <c r="O223" s="41">
        <f>IF(Christchurch!R13="","",Christchurch!R13)</f>
        <v>22.29</v>
      </c>
      <c r="P223" s="41">
        <f>IF(Christchurch!S13="","",Christchurch!S13)</f>
        <v>20.95</v>
      </c>
      <c r="Q223" s="41">
        <f>IF(Christchurch!T13="","",Christchurch!T13)</f>
        <v>20.04</v>
      </c>
      <c r="R223" s="41">
        <f>IF(Christchurch!U13="","",Christchurch!U13)</f>
        <v>21.32</v>
      </c>
      <c r="S223" s="41" t="str">
        <f>IF(Christchurch!V13="","",Christchurch!V13)</f>
        <v/>
      </c>
      <c r="T223" s="41">
        <f>IF(Christchurch!W13="","",Christchurch!W13)</f>
        <v>22.16</v>
      </c>
      <c r="U223" s="41" t="str">
        <f>IF(Christchurch!X13="","",Christchurch!X13)</f>
        <v/>
      </c>
      <c r="V223" s="41">
        <f>IF(Christchurch!Y13="","",Christchurch!Y13)</f>
        <v>24.18</v>
      </c>
      <c r="W223" s="249">
        <f>IF(Christchurch!AA13=0,"",Christchurch!AA13)</f>
        <v>4</v>
      </c>
      <c r="X223" s="244">
        <f>IF(Christchurch!AB13=0,"",Christchurch!AB13)</f>
        <v>21.884545454545453</v>
      </c>
      <c r="Y223" s="245">
        <f>IF(Christchurch!AC13=0,"",Christchurch!AC13)</f>
        <v>31.884545454545453</v>
      </c>
      <c r="AA223" s="246">
        <f>Y223</f>
        <v>31.884545454545453</v>
      </c>
      <c r="AB223" s="243">
        <f>X223</f>
        <v>21.884545454545453</v>
      </c>
      <c r="AC223" s="185" t="str">
        <f>C223</f>
        <v>Gary Howlett</v>
      </c>
      <c r="AD223" s="185" t="str">
        <f>LEFT($B$217,3)</f>
        <v>Chr</v>
      </c>
      <c r="AE223" s="185">
        <f t="shared" ref="AE223:AY223" si="108">E223</f>
        <v>11</v>
      </c>
      <c r="AF223" s="185">
        <f t="shared" si="108"/>
        <v>10</v>
      </c>
      <c r="AG223" s="185">
        <f t="shared" si="108"/>
        <v>1</v>
      </c>
      <c r="AH223" s="247">
        <f t="shared" si="108"/>
        <v>40</v>
      </c>
      <c r="AI223" s="247">
        <f t="shared" si="108"/>
        <v>18</v>
      </c>
      <c r="AJ223" s="243">
        <f t="shared" si="108"/>
        <v>25.05</v>
      </c>
      <c r="AK223" s="243">
        <f t="shared" si="108"/>
        <v>19.11</v>
      </c>
      <c r="AL223" s="243">
        <f t="shared" si="108"/>
        <v>22.96</v>
      </c>
      <c r="AM223" s="243">
        <f t="shared" si="108"/>
        <v>20.010000000000002</v>
      </c>
      <c r="AN223" s="243">
        <f t="shared" si="108"/>
        <v>22.66</v>
      </c>
      <c r="AO223" s="243">
        <f t="shared" si="108"/>
        <v>22.29</v>
      </c>
      <c r="AP223" s="243">
        <f t="shared" si="108"/>
        <v>20.95</v>
      </c>
      <c r="AQ223" s="243">
        <f t="shared" si="108"/>
        <v>20.04</v>
      </c>
      <c r="AR223" s="243">
        <f t="shared" si="108"/>
        <v>21.32</v>
      </c>
      <c r="AS223" s="243" t="str">
        <f t="shared" si="108"/>
        <v/>
      </c>
      <c r="AT223" s="243">
        <f t="shared" si="108"/>
        <v>22.16</v>
      </c>
      <c r="AU223" s="243" t="str">
        <f t="shared" si="108"/>
        <v/>
      </c>
      <c r="AV223" s="243">
        <f t="shared" si="108"/>
        <v>24.18</v>
      </c>
      <c r="AW223" s="247">
        <f t="shared" si="108"/>
        <v>4</v>
      </c>
      <c r="AX223" s="243">
        <f t="shared" si="108"/>
        <v>21.884545454545453</v>
      </c>
      <c r="AY223" s="248">
        <f t="shared" si="108"/>
        <v>31.884545454545453</v>
      </c>
    </row>
    <row r="224" spans="2:51" ht="12" customHeight="1" x14ac:dyDescent="0.2">
      <c r="B224" s="268"/>
      <c r="C224" s="235"/>
      <c r="D224" s="235"/>
      <c r="E224" s="239"/>
      <c r="F224" s="182"/>
      <c r="G224" s="182"/>
      <c r="H224" s="182"/>
      <c r="I224" s="233"/>
      <c r="J224" s="163" t="str">
        <f>IF(Christchurch!M14="","",Christchurch!M14)</f>
        <v>4*0</v>
      </c>
      <c r="K224" s="41" t="str">
        <f>IF(Christchurch!N14="","",Christchurch!N14)</f>
        <v>4*1(1)</v>
      </c>
      <c r="L224" s="41" t="str">
        <f>IF(Christchurch!O14="","",Christchurch!O14)</f>
        <v>4*1</v>
      </c>
      <c r="M224" s="41" t="str">
        <f>IF(Christchurch!P14="","",Christchurch!P14)</f>
        <v>4*3</v>
      </c>
      <c r="N224" s="41" t="str">
        <f>IF(Christchurch!Q14="","",Christchurch!Q14)</f>
        <v>4*1</v>
      </c>
      <c r="O224" s="41" t="str">
        <f>IF(Christchurch!R14="","",Christchurch!R14)</f>
        <v>4*2(1)</v>
      </c>
      <c r="P224" s="41" t="str">
        <f>IF(Christchurch!S14="","",Christchurch!S14)</f>
        <v>4*3(1)</v>
      </c>
      <c r="Q224" s="41" t="str">
        <f>IF(Christchurch!T14="","",Christchurch!T14)</f>
        <v>4*0</v>
      </c>
      <c r="R224" s="41" t="str">
        <f>IF(Christchurch!U14="","",Christchurch!U14)</f>
        <v>4*0</v>
      </c>
      <c r="S224" s="41" t="str">
        <f>IF(Christchurch!V14="","",Christchurch!V14)</f>
        <v/>
      </c>
      <c r="T224" s="41" t="str">
        <f>IF(Christchurch!W14="","",Christchurch!W14)</f>
        <v>0*4</v>
      </c>
      <c r="U224" s="41" t="str">
        <f>IF(Christchurch!X14="","",Christchurch!X14)</f>
        <v/>
      </c>
      <c r="V224" s="41" t="str">
        <f>IF(Christchurch!Y14="","",Christchurch!Y14)</f>
        <v>4*3(1)</v>
      </c>
      <c r="W224" s="201"/>
      <c r="X224" s="182"/>
      <c r="Y224" s="233"/>
      <c r="AA224" s="239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233"/>
    </row>
    <row r="225" spans="2:51" ht="12" customHeight="1" x14ac:dyDescent="0.2">
      <c r="B225" s="268"/>
      <c r="C225" s="263" t="str">
        <f>IF(Christchurch!E15="","",Christchurch!E15)</f>
        <v>Graham Inniss</v>
      </c>
      <c r="D225" s="259" t="str">
        <f>LEFT($B$217,3)</f>
        <v>Chr</v>
      </c>
      <c r="E225" s="251">
        <f>IF(Christchurch!G15="","",Christchurch!G15)</f>
        <v>10</v>
      </c>
      <c r="F225" s="181">
        <f>IF(Christchurch!H15=0,"",Christchurch!H15)</f>
        <v>6</v>
      </c>
      <c r="G225" s="186">
        <f>IF(Christchurch!I15=0,"",Christchurch!I15)</f>
        <v>4</v>
      </c>
      <c r="H225" s="186">
        <f>IF(Christchurch!J15=0,"",Christchurch!J15)</f>
        <v>30</v>
      </c>
      <c r="I225" s="252">
        <f>IF(Christchurch!K15=0,"",Christchurch!K15)</f>
        <v>26</v>
      </c>
      <c r="J225" s="163">
        <f>IF(Christchurch!M15="","",Christchurch!M15)</f>
        <v>23.49</v>
      </c>
      <c r="K225" s="41" t="str">
        <f>IF(Christchurch!N15="","",Christchurch!N15)</f>
        <v/>
      </c>
      <c r="L225" s="41">
        <f>IF(Christchurch!O15="","",Christchurch!O15)</f>
        <v>24.74</v>
      </c>
      <c r="M225" s="41">
        <f>IF(Christchurch!P15="","",Christchurch!P15)</f>
        <v>24.5</v>
      </c>
      <c r="N225" s="41">
        <f>IF(Christchurch!Q15="","",Christchurch!Q15)</f>
        <v>21.35</v>
      </c>
      <c r="O225" s="41">
        <f>IF(Christchurch!R15="","",Christchurch!R15)</f>
        <v>22.37</v>
      </c>
      <c r="P225" s="41">
        <f>IF(Christchurch!S15="","",Christchurch!S15)</f>
        <v>24.14</v>
      </c>
      <c r="Q225" s="41" t="str">
        <f>IF(Christchurch!T15="","",Christchurch!T15)</f>
        <v/>
      </c>
      <c r="R225" s="41">
        <f>IF(Christchurch!U15="","",Christchurch!U15)</f>
        <v>20.190000000000001</v>
      </c>
      <c r="S225" s="41">
        <f>IF(Christchurch!V15="","",Christchurch!V15)</f>
        <v>21.16</v>
      </c>
      <c r="T225" s="41">
        <f>IF(Christchurch!W15="","",Christchurch!W15)</f>
        <v>19.190000000000001</v>
      </c>
      <c r="U225" s="41" t="str">
        <f>IF(Christchurch!X15="","",Christchurch!X15)</f>
        <v/>
      </c>
      <c r="V225" s="41">
        <f>IF(Christchurch!Y15="","",Christchurch!Y15)</f>
        <v>20.61</v>
      </c>
      <c r="W225" s="249">
        <f>IF(Christchurch!AA15=0,"",Christchurch!AA15)</f>
        <v>1</v>
      </c>
      <c r="X225" s="244">
        <f>IF(Christchurch!AB15=0,"",Christchurch!AB15)</f>
        <v>22.173999999999996</v>
      </c>
      <c r="Y225" s="245">
        <f>IF(Christchurch!AC15=0,"",Christchurch!AC15)</f>
        <v>28.173999999999996</v>
      </c>
      <c r="AA225" s="246">
        <f>Y225</f>
        <v>28.173999999999996</v>
      </c>
      <c r="AB225" s="243">
        <f>X225</f>
        <v>22.173999999999996</v>
      </c>
      <c r="AC225" s="185" t="str">
        <f>C225</f>
        <v>Graham Inniss</v>
      </c>
      <c r="AD225" s="185" t="str">
        <f>LEFT($B$217,3)</f>
        <v>Chr</v>
      </c>
      <c r="AE225" s="185">
        <f t="shared" ref="AE225:AY225" si="109">E225</f>
        <v>10</v>
      </c>
      <c r="AF225" s="185">
        <f t="shared" si="109"/>
        <v>6</v>
      </c>
      <c r="AG225" s="247">
        <f t="shared" si="109"/>
        <v>4</v>
      </c>
      <c r="AH225" s="247">
        <f t="shared" si="109"/>
        <v>30</v>
      </c>
      <c r="AI225" s="247">
        <f t="shared" si="109"/>
        <v>26</v>
      </c>
      <c r="AJ225" s="243">
        <f t="shared" si="109"/>
        <v>23.49</v>
      </c>
      <c r="AK225" s="243" t="str">
        <f t="shared" si="109"/>
        <v/>
      </c>
      <c r="AL225" s="243">
        <f t="shared" si="109"/>
        <v>24.74</v>
      </c>
      <c r="AM225" s="243">
        <f t="shared" si="109"/>
        <v>24.5</v>
      </c>
      <c r="AN225" s="243">
        <f t="shared" si="109"/>
        <v>21.35</v>
      </c>
      <c r="AO225" s="243">
        <f t="shared" si="109"/>
        <v>22.37</v>
      </c>
      <c r="AP225" s="243">
        <f t="shared" si="109"/>
        <v>24.14</v>
      </c>
      <c r="AQ225" s="243" t="str">
        <f t="shared" si="109"/>
        <v/>
      </c>
      <c r="AR225" s="243">
        <f t="shared" si="109"/>
        <v>20.190000000000001</v>
      </c>
      <c r="AS225" s="243">
        <f t="shared" si="109"/>
        <v>21.16</v>
      </c>
      <c r="AT225" s="243">
        <f t="shared" si="109"/>
        <v>19.190000000000001</v>
      </c>
      <c r="AU225" s="243" t="str">
        <f t="shared" si="109"/>
        <v/>
      </c>
      <c r="AV225" s="243">
        <f t="shared" si="109"/>
        <v>20.61</v>
      </c>
      <c r="AW225" s="247">
        <f t="shared" si="109"/>
        <v>1</v>
      </c>
      <c r="AX225" s="243">
        <f t="shared" si="109"/>
        <v>22.173999999999996</v>
      </c>
      <c r="AY225" s="248">
        <f t="shared" si="109"/>
        <v>28.173999999999996</v>
      </c>
    </row>
    <row r="226" spans="2:51" ht="12" customHeight="1" x14ac:dyDescent="0.2">
      <c r="B226" s="268"/>
      <c r="C226" s="235"/>
      <c r="D226" s="235"/>
      <c r="E226" s="239"/>
      <c r="F226" s="182"/>
      <c r="G226" s="182"/>
      <c r="H226" s="182"/>
      <c r="I226" s="233"/>
      <c r="J226" s="163" t="str">
        <f>IF(Christchurch!M16="","",Christchurch!M16)</f>
        <v>4*3</v>
      </c>
      <c r="K226" s="41" t="str">
        <f>IF(Christchurch!N16="","",Christchurch!N16)</f>
        <v/>
      </c>
      <c r="L226" s="41" t="str">
        <f>IF(Christchurch!O16="","",Christchurch!O16)</f>
        <v>4*0(1)</v>
      </c>
      <c r="M226" s="41" t="str">
        <f>IF(Christchurch!P16="","",Christchurch!P16)</f>
        <v>4*2</v>
      </c>
      <c r="N226" s="41" t="str">
        <f>IF(Christchurch!Q16="","",Christchurch!Q16)</f>
        <v>3*4</v>
      </c>
      <c r="O226" s="41" t="str">
        <f>IF(Christchurch!R16="","",Christchurch!R16)</f>
        <v>1*4</v>
      </c>
      <c r="P226" s="41" t="str">
        <f>IF(Christchurch!S16="","",Christchurch!S16)</f>
        <v>4*0</v>
      </c>
      <c r="Q226" s="41" t="str">
        <f>IF(Christchurch!T16="","",Christchurch!T16)</f>
        <v/>
      </c>
      <c r="R226" s="41" t="str">
        <f>IF(Christchurch!U16="","",Christchurch!U16)</f>
        <v>4*3</v>
      </c>
      <c r="S226" s="41" t="str">
        <f>IF(Christchurch!V16="","",Christchurch!V16)</f>
        <v>4*2</v>
      </c>
      <c r="T226" s="41" t="str">
        <f>IF(Christchurch!W16="","",Christchurch!W16)</f>
        <v>2*4</v>
      </c>
      <c r="U226" s="41" t="str">
        <f>IF(Christchurch!X16="","",Christchurch!X16)</f>
        <v/>
      </c>
      <c r="V226" s="41" t="str">
        <f>IF(Christchurch!Y16="","",Christchurch!Y16)</f>
        <v>0*4</v>
      </c>
      <c r="W226" s="201"/>
      <c r="X226" s="182"/>
      <c r="Y226" s="233"/>
      <c r="AA226" s="239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233"/>
    </row>
    <row r="227" spans="2:51" ht="12" customHeight="1" x14ac:dyDescent="0.2">
      <c r="B227" s="268"/>
      <c r="C227" s="263" t="str">
        <f>IF(Christchurch!E17="","",Christchurch!E17)</f>
        <v>Phillip Weeks</v>
      </c>
      <c r="D227" s="259" t="str">
        <f>LEFT($B$217,3)</f>
        <v>Chr</v>
      </c>
      <c r="E227" s="251">
        <f>IF(Christchurch!G17="","",Christchurch!G17)</f>
        <v>8</v>
      </c>
      <c r="F227" s="181">
        <f>IF(Christchurch!H17=0,"",Christchurch!H17)</f>
        <v>4</v>
      </c>
      <c r="G227" s="186">
        <f>IF(Christchurch!I17=0,"",Christchurch!I17)</f>
        <v>4</v>
      </c>
      <c r="H227" s="186">
        <f>IF(Christchurch!J17=0,"",Christchurch!J17)</f>
        <v>23</v>
      </c>
      <c r="I227" s="252">
        <f>IF(Christchurch!K17=0,"",Christchurch!K17)</f>
        <v>19</v>
      </c>
      <c r="J227" s="163">
        <f>IF(Christchurch!M17="","",Christchurch!M17)</f>
        <v>21.1</v>
      </c>
      <c r="K227" s="41">
        <f>IF(Christchurch!N17="","",Christchurch!N17)</f>
        <v>18.440000000000001</v>
      </c>
      <c r="L227" s="41">
        <f>IF(Christchurch!O17="","",Christchurch!O17)</f>
        <v>18.14</v>
      </c>
      <c r="M227" s="41">
        <f>IF(Christchurch!P17="","",Christchurch!P17)</f>
        <v>22.02</v>
      </c>
      <c r="N227" s="41">
        <f>IF(Christchurch!Q17="","",Christchurch!Q17)</f>
        <v>20.27</v>
      </c>
      <c r="O227" s="41">
        <f>IF(Christchurch!R17="","",Christchurch!R17)</f>
        <v>21.6</v>
      </c>
      <c r="P227" s="41">
        <f>IF(Christchurch!S17="","",Christchurch!S17)</f>
        <v>21.18</v>
      </c>
      <c r="Q227" s="41">
        <f>IF(Christchurch!T17="","",Christchurch!T17)</f>
        <v>24.44</v>
      </c>
      <c r="R227" s="41" t="str">
        <f>IF(Christchurch!U17="","",Christchurch!U17)</f>
        <v/>
      </c>
      <c r="S227" s="41" t="str">
        <f>IF(Christchurch!V17="","",Christchurch!V17)</f>
        <v/>
      </c>
      <c r="T227" s="41" t="str">
        <f>IF(Christchurch!W17="","",Christchurch!W17)</f>
        <v/>
      </c>
      <c r="U227" s="41" t="str">
        <f>IF(Christchurch!X17="","",Christchurch!X17)</f>
        <v/>
      </c>
      <c r="V227" s="41" t="str">
        <f>IF(Christchurch!Y17="","",Christchurch!Y17)</f>
        <v/>
      </c>
      <c r="W227" s="249" t="str">
        <f>IF(Christchurch!AA17=0,"",Christchurch!AA17)</f>
        <v/>
      </c>
      <c r="X227" s="244">
        <f>IF(Christchurch!AB17=0,"",Christchurch!AB17)</f>
        <v>20.89875</v>
      </c>
      <c r="Y227" s="245">
        <f>IF(Christchurch!AC17=0,"",Christchurch!AC17)</f>
        <v>24.89875</v>
      </c>
      <c r="AA227" s="246">
        <f>Y227</f>
        <v>24.89875</v>
      </c>
      <c r="AB227" s="243">
        <f>X227</f>
        <v>20.89875</v>
      </c>
      <c r="AC227" s="185" t="str">
        <f>C227</f>
        <v>Phillip Weeks</v>
      </c>
      <c r="AD227" s="185" t="str">
        <f>LEFT($B$217,3)</f>
        <v>Chr</v>
      </c>
      <c r="AE227" s="185">
        <f t="shared" ref="AE227:AY227" si="110">E227</f>
        <v>8</v>
      </c>
      <c r="AF227" s="185">
        <f t="shared" si="110"/>
        <v>4</v>
      </c>
      <c r="AG227" s="247">
        <f t="shared" si="110"/>
        <v>4</v>
      </c>
      <c r="AH227" s="247">
        <f t="shared" si="110"/>
        <v>23</v>
      </c>
      <c r="AI227" s="247">
        <f t="shared" si="110"/>
        <v>19</v>
      </c>
      <c r="AJ227" s="243">
        <f t="shared" si="110"/>
        <v>21.1</v>
      </c>
      <c r="AK227" s="243">
        <f t="shared" si="110"/>
        <v>18.440000000000001</v>
      </c>
      <c r="AL227" s="243">
        <f t="shared" si="110"/>
        <v>18.14</v>
      </c>
      <c r="AM227" s="243">
        <f t="shared" si="110"/>
        <v>22.02</v>
      </c>
      <c r="AN227" s="243">
        <f t="shared" si="110"/>
        <v>20.27</v>
      </c>
      <c r="AO227" s="243">
        <f t="shared" si="110"/>
        <v>21.6</v>
      </c>
      <c r="AP227" s="243">
        <f t="shared" si="110"/>
        <v>21.18</v>
      </c>
      <c r="AQ227" s="243">
        <f t="shared" si="110"/>
        <v>24.44</v>
      </c>
      <c r="AR227" s="243" t="str">
        <f t="shared" si="110"/>
        <v/>
      </c>
      <c r="AS227" s="243" t="str">
        <f t="shared" si="110"/>
        <v/>
      </c>
      <c r="AT227" s="243" t="str">
        <f t="shared" si="110"/>
        <v/>
      </c>
      <c r="AU227" s="243" t="str">
        <f t="shared" si="110"/>
        <v/>
      </c>
      <c r="AV227" s="243" t="str">
        <f t="shared" si="110"/>
        <v/>
      </c>
      <c r="AW227" s="247" t="str">
        <f t="shared" si="110"/>
        <v/>
      </c>
      <c r="AX227" s="243">
        <f t="shared" si="110"/>
        <v>20.89875</v>
      </c>
      <c r="AY227" s="248">
        <f t="shared" si="110"/>
        <v>24.89875</v>
      </c>
    </row>
    <row r="228" spans="2:51" ht="12" customHeight="1" x14ac:dyDescent="0.2">
      <c r="B228" s="268"/>
      <c r="C228" s="235"/>
      <c r="D228" s="235"/>
      <c r="E228" s="239"/>
      <c r="F228" s="182"/>
      <c r="G228" s="182"/>
      <c r="H228" s="182"/>
      <c r="I228" s="233"/>
      <c r="J228" s="163" t="str">
        <f>IF(Christchurch!M18="","",Christchurch!M18)</f>
        <v>4*2</v>
      </c>
      <c r="K228" s="41" t="str">
        <f>IF(Christchurch!N18="","",Christchurch!N18)</f>
        <v>1*4</v>
      </c>
      <c r="L228" s="41" t="str">
        <f>IF(Christchurch!O18="","",Christchurch!O18)</f>
        <v>4*1</v>
      </c>
      <c r="M228" s="41" t="str">
        <f>IF(Christchurch!P18="","",Christchurch!P18)</f>
        <v>4*0</v>
      </c>
      <c r="N228" s="41" t="str">
        <f>IF(Christchurch!Q18="","",Christchurch!Q18)</f>
        <v>3*4</v>
      </c>
      <c r="O228" s="41" t="str">
        <f>IF(Christchurch!R18="","",Christchurch!R18)</f>
        <v>0*4</v>
      </c>
      <c r="P228" s="41" t="str">
        <f>IF(Christchurch!S18="","",Christchurch!S18)</f>
        <v>3*4</v>
      </c>
      <c r="Q228" s="41" t="str">
        <f>IF(Christchurch!T18="","",Christchurch!T18)</f>
        <v>4*0</v>
      </c>
      <c r="R228" s="41" t="str">
        <f>IF(Christchurch!U18="","",Christchurch!U18)</f>
        <v/>
      </c>
      <c r="S228" s="41" t="str">
        <f>IF(Christchurch!V18="","",Christchurch!V18)</f>
        <v/>
      </c>
      <c r="T228" s="41" t="str">
        <f>IF(Christchurch!W18="","",Christchurch!W18)</f>
        <v/>
      </c>
      <c r="U228" s="41" t="str">
        <f>IF(Christchurch!X18="","",Christchurch!X18)</f>
        <v/>
      </c>
      <c r="V228" s="41" t="str">
        <f>IF(Christchurch!Y18="","",Christchurch!Y18)</f>
        <v/>
      </c>
      <c r="W228" s="201"/>
      <c r="X228" s="182"/>
      <c r="Y228" s="233"/>
      <c r="AA228" s="239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233"/>
    </row>
    <row r="229" spans="2:51" ht="12" customHeight="1" x14ac:dyDescent="0.2">
      <c r="B229" s="268"/>
      <c r="C229" s="263" t="str">
        <f>IF(Christchurch!E19="","",Christchurch!E19)</f>
        <v>Tommy Morris</v>
      </c>
      <c r="D229" s="259" t="str">
        <f>LEFT($B$217,3)</f>
        <v>Chr</v>
      </c>
      <c r="E229" s="251">
        <f>IF(Christchurch!G19="","",Christchurch!G19)</f>
        <v>13</v>
      </c>
      <c r="F229" s="181">
        <f>IF(Christchurch!H19=0,"",Christchurch!H19)</f>
        <v>13</v>
      </c>
      <c r="G229" s="181" t="str">
        <f>IF(Christchurch!I19=0,"",Christchurch!I19)</f>
        <v/>
      </c>
      <c r="H229" s="186">
        <f>IF(Christchurch!J19=0,"",Christchurch!J19)</f>
        <v>52</v>
      </c>
      <c r="I229" s="252">
        <f>IF(Christchurch!K19=0,"",Christchurch!K19)</f>
        <v>5</v>
      </c>
      <c r="J229" s="163">
        <f>IF(Christchurch!M19="","",Christchurch!M19)</f>
        <v>25.37</v>
      </c>
      <c r="K229" s="41">
        <f>IF(Christchurch!N19="","",Christchurch!N19)</f>
        <v>27.45</v>
      </c>
      <c r="L229" s="41">
        <f>IF(Christchurch!O19="","",Christchurch!O19)</f>
        <v>29.91</v>
      </c>
      <c r="M229" s="41">
        <f>IF(Christchurch!P19="","",Christchurch!P19)</f>
        <v>26.18</v>
      </c>
      <c r="N229" s="41">
        <f>IF(Christchurch!Q19="","",Christchurch!Q19)</f>
        <v>23.93</v>
      </c>
      <c r="O229" s="41">
        <f>IF(Christchurch!R19="","",Christchurch!R19)</f>
        <v>25.69</v>
      </c>
      <c r="P229" s="41">
        <f>IF(Christchurch!S19="","",Christchurch!S19)</f>
        <v>29.91</v>
      </c>
      <c r="Q229" s="41">
        <f>IF(Christchurch!T19="","",Christchurch!T19)</f>
        <v>26.72</v>
      </c>
      <c r="R229" s="41">
        <f>IF(Christchurch!U19="","",Christchurch!U19)</f>
        <v>23.3</v>
      </c>
      <c r="S229" s="41">
        <f>IF(Christchurch!V19="","",Christchurch!V19)</f>
        <v>28.23</v>
      </c>
      <c r="T229" s="41">
        <f>IF(Christchurch!W19="","",Christchurch!W19)</f>
        <v>27.08</v>
      </c>
      <c r="U229" s="41">
        <f>IF(Christchurch!X19="","",Christchurch!X19)</f>
        <v>27.88</v>
      </c>
      <c r="V229" s="41">
        <f>IF(Christchurch!Y19="","",Christchurch!Y19)</f>
        <v>28.23</v>
      </c>
      <c r="W229" s="249">
        <f>IF(Christchurch!AA19=0,"",Christchurch!AA19)</f>
        <v>5</v>
      </c>
      <c r="X229" s="244">
        <f>IF(Christchurch!AB19=0,"",Christchurch!AB19)</f>
        <v>26.913846153846155</v>
      </c>
      <c r="Y229" s="245">
        <f>IF(Christchurch!AC19=0,"",Christchurch!AC19)</f>
        <v>39.913846153846151</v>
      </c>
      <c r="AA229" s="246">
        <f>Y229</f>
        <v>39.913846153846151</v>
      </c>
      <c r="AB229" s="243">
        <f>X229</f>
        <v>26.913846153846155</v>
      </c>
      <c r="AC229" s="185" t="str">
        <f>C229</f>
        <v>Tommy Morris</v>
      </c>
      <c r="AD229" s="185" t="str">
        <f>LEFT($B$217,3)</f>
        <v>Chr</v>
      </c>
      <c r="AE229" s="185">
        <f t="shared" ref="AE229:AY229" si="111">E229</f>
        <v>13</v>
      </c>
      <c r="AF229" s="185">
        <f t="shared" si="111"/>
        <v>13</v>
      </c>
      <c r="AG229" s="185" t="str">
        <f t="shared" si="111"/>
        <v/>
      </c>
      <c r="AH229" s="247">
        <f t="shared" si="111"/>
        <v>52</v>
      </c>
      <c r="AI229" s="247">
        <f t="shared" si="111"/>
        <v>5</v>
      </c>
      <c r="AJ229" s="243">
        <f t="shared" si="111"/>
        <v>25.37</v>
      </c>
      <c r="AK229" s="243">
        <f t="shared" si="111"/>
        <v>27.45</v>
      </c>
      <c r="AL229" s="243">
        <f t="shared" si="111"/>
        <v>29.91</v>
      </c>
      <c r="AM229" s="243">
        <f t="shared" si="111"/>
        <v>26.18</v>
      </c>
      <c r="AN229" s="243">
        <f t="shared" si="111"/>
        <v>23.93</v>
      </c>
      <c r="AO229" s="243">
        <f t="shared" si="111"/>
        <v>25.69</v>
      </c>
      <c r="AP229" s="243">
        <f t="shared" si="111"/>
        <v>29.91</v>
      </c>
      <c r="AQ229" s="243">
        <f t="shared" si="111"/>
        <v>26.72</v>
      </c>
      <c r="AR229" s="243">
        <f t="shared" si="111"/>
        <v>23.3</v>
      </c>
      <c r="AS229" s="243">
        <f t="shared" si="111"/>
        <v>28.23</v>
      </c>
      <c r="AT229" s="243">
        <f t="shared" si="111"/>
        <v>27.08</v>
      </c>
      <c r="AU229" s="243">
        <f t="shared" si="111"/>
        <v>27.88</v>
      </c>
      <c r="AV229" s="243">
        <f t="shared" si="111"/>
        <v>28.23</v>
      </c>
      <c r="AW229" s="247">
        <f t="shared" si="111"/>
        <v>5</v>
      </c>
      <c r="AX229" s="243">
        <f t="shared" si="111"/>
        <v>26.913846153846155</v>
      </c>
      <c r="AY229" s="248">
        <f t="shared" si="111"/>
        <v>39.913846153846151</v>
      </c>
    </row>
    <row r="230" spans="2:51" ht="12" customHeight="1" x14ac:dyDescent="0.2">
      <c r="B230" s="268"/>
      <c r="C230" s="235"/>
      <c r="D230" s="235"/>
      <c r="E230" s="239"/>
      <c r="F230" s="182"/>
      <c r="G230" s="182"/>
      <c r="H230" s="182"/>
      <c r="I230" s="233"/>
      <c r="J230" s="163" t="str">
        <f>IF(Christchurch!M20="","",Christchurch!M20)</f>
        <v>4*0</v>
      </c>
      <c r="K230" s="41" t="str">
        <f>IF(Christchurch!N20="","",Christchurch!N20)</f>
        <v>4*0</v>
      </c>
      <c r="L230" s="41" t="str">
        <f>IF(Christchurch!O20="","",Christchurch!O20)</f>
        <v>4*0</v>
      </c>
      <c r="M230" s="41" t="str">
        <f>IF(Christchurch!P20="","",Christchurch!P20)</f>
        <v>4*2</v>
      </c>
      <c r="N230" s="41" t="str">
        <f>IF(Christchurch!Q20="","",Christchurch!Q20)</f>
        <v>4*1(1)</v>
      </c>
      <c r="O230" s="41" t="str">
        <f>IF(Christchurch!R20="","",Christchurch!R20)</f>
        <v>4*0</v>
      </c>
      <c r="P230" s="41" t="str">
        <f>IF(Christchurch!S20="","",Christchurch!S20)</f>
        <v>4*0</v>
      </c>
      <c r="Q230" s="41" t="str">
        <f>IF(Christchurch!T20="","",Christchurch!T20)</f>
        <v>4*1(1)</v>
      </c>
      <c r="R230" s="41" t="str">
        <f>IF(Christchurch!U20="","",Christchurch!U20)</f>
        <v>4*0</v>
      </c>
      <c r="S230" s="41" t="str">
        <f>IF(Christchurch!V20="","",Christchurch!V20)</f>
        <v>4*0(3)</v>
      </c>
      <c r="T230" s="41" t="str">
        <f>IF(Christchurch!W20="","",Christchurch!W20)</f>
        <v>4*0</v>
      </c>
      <c r="U230" s="41" t="str">
        <f>IF(Christchurch!X20="","",Christchurch!X20)</f>
        <v>4*1</v>
      </c>
      <c r="V230" s="41" t="str">
        <f>IF(Christchurch!Y20="","",Christchurch!Y20)</f>
        <v>4*0</v>
      </c>
      <c r="W230" s="201"/>
      <c r="X230" s="182"/>
      <c r="Y230" s="233"/>
      <c r="AA230" s="239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233"/>
    </row>
    <row r="231" spans="2:51" ht="12" customHeight="1" x14ac:dyDescent="0.2">
      <c r="B231" s="268"/>
      <c r="C231" s="263" t="str">
        <f>IF(Christchurch!E21="","",Christchurch!E21)</f>
        <v>Eddie White</v>
      </c>
      <c r="D231" s="259" t="str">
        <f>LEFT($B$217,3)</f>
        <v>Chr</v>
      </c>
      <c r="E231" s="251">
        <f>IF(Christchurch!G21="","",Christchurch!G21)</f>
        <v>6</v>
      </c>
      <c r="F231" s="181">
        <f>IF(Christchurch!H21=0,"",Christchurch!H21)</f>
        <v>5</v>
      </c>
      <c r="G231" s="181">
        <f>IF(Christchurch!I21=0,"",Christchurch!I21)</f>
        <v>1</v>
      </c>
      <c r="H231" s="186">
        <f>IF(Christchurch!J21=0,"",Christchurch!J21)</f>
        <v>21</v>
      </c>
      <c r="I231" s="252">
        <f>IF(Christchurch!K21=0,"",Christchurch!K21)</f>
        <v>8</v>
      </c>
      <c r="J231" s="163">
        <f>IF(Christchurch!M21="","",Christchurch!M21)</f>
        <v>25.05</v>
      </c>
      <c r="K231" s="41" t="str">
        <f>IF(Christchurch!N21="","",Christchurch!N21)</f>
        <v/>
      </c>
      <c r="L231" s="41">
        <f>IF(Christchurch!O21="","",Christchurch!O21)</f>
        <v>23.86</v>
      </c>
      <c r="M231" s="41" t="str">
        <f>IF(Christchurch!P21="","",Christchurch!P21)</f>
        <v/>
      </c>
      <c r="N231" s="41" t="str">
        <f>IF(Christchurch!Q21="","",Christchurch!Q21)</f>
        <v/>
      </c>
      <c r="O231" s="41" t="str">
        <f>IF(Christchurch!R21="","",Christchurch!R21)</f>
        <v/>
      </c>
      <c r="P231" s="41" t="str">
        <f>IF(Christchurch!S21="","",Christchurch!S21)</f>
        <v/>
      </c>
      <c r="Q231" s="41">
        <f>IF(Christchurch!T21="","",Christchurch!T21)</f>
        <v>21.64</v>
      </c>
      <c r="R231" s="41" t="str">
        <f>IF(Christchurch!U21="","",Christchurch!U21)</f>
        <v/>
      </c>
      <c r="S231" s="41">
        <f>IF(Christchurch!V21="","",Christchurch!V21)</f>
        <v>23.86</v>
      </c>
      <c r="T231" s="41">
        <f>IF(Christchurch!W21="","",Christchurch!W21)</f>
        <v>22.91</v>
      </c>
      <c r="U231" s="41" t="str">
        <f>IF(Christchurch!X21="","",Christchurch!X21)</f>
        <v/>
      </c>
      <c r="V231" s="41">
        <f>IF(Christchurch!Y21="","",Christchurch!Y21)</f>
        <v>21.5</v>
      </c>
      <c r="W231" s="249">
        <f>IF(Christchurch!AA21=0,"",Christchurch!AA21)</f>
        <v>1</v>
      </c>
      <c r="X231" s="244">
        <f>IF(Christchurch!AB21=0,"",Christchurch!AB21)</f>
        <v>23.136666666666667</v>
      </c>
      <c r="Y231" s="245">
        <f>IF(Christchurch!AC21=0,"",Christchurch!AC21)</f>
        <v>28.136666666666667</v>
      </c>
      <c r="AA231" s="246">
        <f>Y231</f>
        <v>28.136666666666667</v>
      </c>
      <c r="AB231" s="243">
        <f>X231</f>
        <v>23.136666666666667</v>
      </c>
      <c r="AC231" s="185" t="str">
        <f>C231</f>
        <v>Eddie White</v>
      </c>
      <c r="AD231" s="185" t="str">
        <f>LEFT($B$217,3)</f>
        <v>Chr</v>
      </c>
      <c r="AE231" s="185">
        <f t="shared" ref="AE231:AY231" si="112">E231</f>
        <v>6</v>
      </c>
      <c r="AF231" s="185">
        <f t="shared" si="112"/>
        <v>5</v>
      </c>
      <c r="AG231" s="185">
        <f t="shared" si="112"/>
        <v>1</v>
      </c>
      <c r="AH231" s="247">
        <f t="shared" si="112"/>
        <v>21</v>
      </c>
      <c r="AI231" s="247">
        <f t="shared" si="112"/>
        <v>8</v>
      </c>
      <c r="AJ231" s="243">
        <f t="shared" si="112"/>
        <v>25.05</v>
      </c>
      <c r="AK231" s="243" t="str">
        <f t="shared" si="112"/>
        <v/>
      </c>
      <c r="AL231" s="243">
        <f t="shared" si="112"/>
        <v>23.86</v>
      </c>
      <c r="AM231" s="243" t="str">
        <f t="shared" si="112"/>
        <v/>
      </c>
      <c r="AN231" s="243" t="str">
        <f t="shared" si="112"/>
        <v/>
      </c>
      <c r="AO231" s="243" t="str">
        <f t="shared" si="112"/>
        <v/>
      </c>
      <c r="AP231" s="243" t="str">
        <f t="shared" si="112"/>
        <v/>
      </c>
      <c r="AQ231" s="243">
        <f t="shared" si="112"/>
        <v>21.64</v>
      </c>
      <c r="AR231" s="243" t="str">
        <f t="shared" si="112"/>
        <v/>
      </c>
      <c r="AS231" s="243">
        <f t="shared" si="112"/>
        <v>23.86</v>
      </c>
      <c r="AT231" s="243">
        <f t="shared" si="112"/>
        <v>22.91</v>
      </c>
      <c r="AU231" s="243" t="str">
        <f t="shared" si="112"/>
        <v/>
      </c>
      <c r="AV231" s="243">
        <f t="shared" si="112"/>
        <v>21.5</v>
      </c>
      <c r="AW231" s="247">
        <f t="shared" si="112"/>
        <v>1</v>
      </c>
      <c r="AX231" s="243">
        <f t="shared" si="112"/>
        <v>23.136666666666667</v>
      </c>
      <c r="AY231" s="248">
        <f t="shared" si="112"/>
        <v>28.136666666666667</v>
      </c>
    </row>
    <row r="232" spans="2:51" ht="12" customHeight="1" x14ac:dyDescent="0.2">
      <c r="B232" s="268"/>
      <c r="C232" s="235"/>
      <c r="D232" s="235"/>
      <c r="E232" s="239"/>
      <c r="F232" s="182"/>
      <c r="G232" s="182"/>
      <c r="H232" s="182"/>
      <c r="I232" s="233"/>
      <c r="J232" s="163" t="str">
        <f>IF(Christchurch!M22="","",Christchurch!M22)</f>
        <v>4*0</v>
      </c>
      <c r="K232" s="41" t="str">
        <f>IF(Christchurch!N22="","",Christchurch!N22)</f>
        <v/>
      </c>
      <c r="L232" s="41" t="str">
        <f>IF(Christchurch!O22="","",Christchurch!O22)</f>
        <v>4*0</v>
      </c>
      <c r="M232" s="41" t="str">
        <f>IF(Christchurch!P22="","",Christchurch!P22)</f>
        <v/>
      </c>
      <c r="N232" s="41" t="str">
        <f>IF(Christchurch!Q22="","",Christchurch!Q22)</f>
        <v/>
      </c>
      <c r="O232" s="41" t="str">
        <f>IF(Christchurch!R22="","",Christchurch!R22)</f>
        <v/>
      </c>
      <c r="P232" s="41" t="str">
        <f>IF(Christchurch!S22="","",Christchurch!S22)</f>
        <v/>
      </c>
      <c r="Q232" s="41" t="str">
        <f>IF(Christchurch!T22="","",Christchurch!T22)</f>
        <v>4*3</v>
      </c>
      <c r="R232" s="41" t="str">
        <f>IF(Christchurch!U22="","",Christchurch!U22)</f>
        <v/>
      </c>
      <c r="S232" s="41" t="str">
        <f>IF(Christchurch!V22="","",Christchurch!V22)</f>
        <v>4*0</v>
      </c>
      <c r="T232" s="41" t="str">
        <f>IF(Christchurch!W22="","",Christchurch!W22)</f>
        <v>1*4</v>
      </c>
      <c r="U232" s="41" t="str">
        <f>IF(Christchurch!X22="","",Christchurch!X22)</f>
        <v/>
      </c>
      <c r="V232" s="41" t="str">
        <f>IF(Christchurch!Y22="","",Christchurch!Y22)</f>
        <v>4*1(1)</v>
      </c>
      <c r="W232" s="201"/>
      <c r="X232" s="182"/>
      <c r="Y232" s="233"/>
      <c r="AA232" s="239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233"/>
    </row>
    <row r="233" spans="2:51" ht="12" customHeight="1" x14ac:dyDescent="0.2">
      <c r="B233" s="268"/>
      <c r="C233" s="263" t="str">
        <f>IF(Christchurch!E23="","",Christchurch!E23)</f>
        <v>Tony Dunning</v>
      </c>
      <c r="D233" s="259" t="str">
        <f>LEFT($B$217,3)</f>
        <v>Chr</v>
      </c>
      <c r="E233" s="251">
        <f>IF(Christchurch!G23="","",Christchurch!G23)</f>
        <v>13</v>
      </c>
      <c r="F233" s="181">
        <f>IF(Christchurch!H23=0,"",Christchurch!H23)</f>
        <v>8</v>
      </c>
      <c r="G233" s="186">
        <f>IF(Christchurch!I23=0,"",Christchurch!I23)</f>
        <v>5</v>
      </c>
      <c r="H233" s="186">
        <f>IF(Christchurch!J23=0,"",Christchurch!J23)</f>
        <v>41</v>
      </c>
      <c r="I233" s="252">
        <f>IF(Christchurch!K23=0,"",Christchurch!K23)</f>
        <v>28</v>
      </c>
      <c r="J233" s="163">
        <f>IF(Christchurch!M23="","",Christchurch!M23)</f>
        <v>20.059999999999999</v>
      </c>
      <c r="K233" s="41">
        <f>IF(Christchurch!N23="","",Christchurch!N23)</f>
        <v>20.64</v>
      </c>
      <c r="L233" s="41">
        <f>IF(Christchurch!O23="","",Christchurch!O23)</f>
        <v>30.36</v>
      </c>
      <c r="M233" s="41">
        <f>IF(Christchurch!P23="","",Christchurch!P23)</f>
        <v>20.16</v>
      </c>
      <c r="N233" s="41">
        <f>IF(Christchurch!Q23="","",Christchurch!Q23)</f>
        <v>27.45</v>
      </c>
      <c r="O233" s="41">
        <f>IF(Christchurch!R23="","",Christchurch!R23)</f>
        <v>23.59</v>
      </c>
      <c r="P233" s="41">
        <f>IF(Christchurch!S23="","",Christchurch!S23)</f>
        <v>25.14</v>
      </c>
      <c r="Q233" s="41">
        <f>IF(Christchurch!T23="","",Christchurch!T23)</f>
        <v>23.39</v>
      </c>
      <c r="R233" s="41">
        <f>IF(Christchurch!U23="","",Christchurch!U23)</f>
        <v>17.899999999999999</v>
      </c>
      <c r="S233" s="41">
        <f>IF(Christchurch!V23="","",Christchurch!V23)</f>
        <v>21.32</v>
      </c>
      <c r="T233" s="41">
        <f>IF(Christchurch!W23="","",Christchurch!W23)</f>
        <v>25.05</v>
      </c>
      <c r="U233" s="41">
        <f>IF(Christchurch!X23="","",Christchurch!X23)</f>
        <v>20.28</v>
      </c>
      <c r="V233" s="41">
        <f>IF(Christchurch!Y23="","",Christchurch!Y23)</f>
        <v>26.01</v>
      </c>
      <c r="W233" s="249">
        <f>IF(Christchurch!AA23=0,"",Christchurch!AA23)</f>
        <v>4</v>
      </c>
      <c r="X233" s="244">
        <f>IF(Christchurch!AB23=0,"",Christchurch!AB23)</f>
        <v>23.180769230769229</v>
      </c>
      <c r="Y233" s="245">
        <f>IF(Christchurch!AC23=0,"",Christchurch!AC23)</f>
        <v>31.180769230769229</v>
      </c>
      <c r="AA233" s="246">
        <f>Y233</f>
        <v>31.180769230769229</v>
      </c>
      <c r="AB233" s="243">
        <f>X233</f>
        <v>23.180769230769229</v>
      </c>
      <c r="AC233" s="185" t="str">
        <f>C233</f>
        <v>Tony Dunning</v>
      </c>
      <c r="AD233" s="185" t="str">
        <f>LEFT($B$217,3)</f>
        <v>Chr</v>
      </c>
      <c r="AE233" s="185">
        <f t="shared" ref="AE233:AY233" si="113">E233</f>
        <v>13</v>
      </c>
      <c r="AF233" s="185">
        <f t="shared" si="113"/>
        <v>8</v>
      </c>
      <c r="AG233" s="247">
        <f t="shared" si="113"/>
        <v>5</v>
      </c>
      <c r="AH233" s="247">
        <f t="shared" si="113"/>
        <v>41</v>
      </c>
      <c r="AI233" s="247">
        <f t="shared" si="113"/>
        <v>28</v>
      </c>
      <c r="AJ233" s="243">
        <f t="shared" si="113"/>
        <v>20.059999999999999</v>
      </c>
      <c r="AK233" s="243">
        <f t="shared" si="113"/>
        <v>20.64</v>
      </c>
      <c r="AL233" s="243">
        <f t="shared" si="113"/>
        <v>30.36</v>
      </c>
      <c r="AM233" s="243">
        <f t="shared" si="113"/>
        <v>20.16</v>
      </c>
      <c r="AN233" s="243">
        <f t="shared" si="113"/>
        <v>27.45</v>
      </c>
      <c r="AO233" s="243">
        <f t="shared" si="113"/>
        <v>23.59</v>
      </c>
      <c r="AP233" s="243">
        <f t="shared" si="113"/>
        <v>25.14</v>
      </c>
      <c r="AQ233" s="243">
        <f t="shared" si="113"/>
        <v>23.39</v>
      </c>
      <c r="AR233" s="243">
        <f t="shared" si="113"/>
        <v>17.899999999999999</v>
      </c>
      <c r="AS233" s="243">
        <f t="shared" si="113"/>
        <v>21.32</v>
      </c>
      <c r="AT233" s="243">
        <f t="shared" si="113"/>
        <v>25.05</v>
      </c>
      <c r="AU233" s="243">
        <f t="shared" si="113"/>
        <v>20.28</v>
      </c>
      <c r="AV233" s="243">
        <f t="shared" si="113"/>
        <v>26.01</v>
      </c>
      <c r="AW233" s="247">
        <f t="shared" si="113"/>
        <v>4</v>
      </c>
      <c r="AX233" s="243">
        <f t="shared" si="113"/>
        <v>23.180769230769229</v>
      </c>
      <c r="AY233" s="248">
        <f t="shared" si="113"/>
        <v>31.180769230769229</v>
      </c>
    </row>
    <row r="234" spans="2:51" ht="12" customHeight="1" x14ac:dyDescent="0.2">
      <c r="B234" s="268"/>
      <c r="C234" s="235"/>
      <c r="D234" s="235"/>
      <c r="E234" s="239"/>
      <c r="F234" s="182"/>
      <c r="G234" s="182"/>
      <c r="H234" s="182"/>
      <c r="I234" s="233"/>
      <c r="J234" s="163" t="str">
        <f>IF(Christchurch!M24="","",Christchurch!M24)</f>
        <v>3*4(1)</v>
      </c>
      <c r="K234" s="41" t="str">
        <f>IF(Christchurch!N24="","",Christchurch!N24)</f>
        <v>4*3</v>
      </c>
      <c r="L234" s="41" t="str">
        <f>IF(Christchurch!O24="","",Christchurch!O24)</f>
        <v>4*0(1)</v>
      </c>
      <c r="M234" s="41" t="str">
        <f>IF(Christchurch!P24="","",Christchurch!P24)</f>
        <v>1*4</v>
      </c>
      <c r="N234" s="41" t="str">
        <f>IF(Christchurch!Q24="","",Christchurch!Q24)</f>
        <v>4*0</v>
      </c>
      <c r="O234" s="41" t="str">
        <f>IF(Christchurch!R24="","",Christchurch!R24)</f>
        <v>4*3</v>
      </c>
      <c r="P234" s="41" t="str">
        <f>IF(Christchurch!S24="","",Christchurch!S24)</f>
        <v>0*4(1)</v>
      </c>
      <c r="Q234" s="41" t="str">
        <f>IF(Christchurch!T24="","",Christchurch!T24)</f>
        <v>4*1</v>
      </c>
      <c r="R234" s="41" t="str">
        <f>IF(Christchurch!U24="","",Christchurch!U24)</f>
        <v>2*4</v>
      </c>
      <c r="S234" s="41" t="str">
        <f>IF(Christchurch!V24="","",Christchurch!V24)</f>
        <v>4*0(1)</v>
      </c>
      <c r="T234" s="41" t="str">
        <f>IF(Christchurch!W24="","",Christchurch!W24)</f>
        <v>4*0</v>
      </c>
      <c r="U234" s="41" t="str">
        <f>IF(Christchurch!X24="","",Christchurch!X24)</f>
        <v>3*4</v>
      </c>
      <c r="V234" s="41" t="str">
        <f>IF(Christchurch!Y24="","",Christchurch!Y24)</f>
        <v>4*1</v>
      </c>
      <c r="W234" s="201"/>
      <c r="X234" s="182"/>
      <c r="Y234" s="233"/>
      <c r="AA234" s="239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233"/>
    </row>
    <row r="235" spans="2:51" ht="12" customHeight="1" x14ac:dyDescent="0.2">
      <c r="B235" s="268"/>
      <c r="C235" s="263" t="str">
        <f>IF(Christchurch!E25="","",Christchurch!E25)</f>
        <v>Martin Wood</v>
      </c>
      <c r="D235" s="259" t="str">
        <f>LEFT($B$217,3)</f>
        <v>Chr</v>
      </c>
      <c r="E235" s="251">
        <f>IF(Christchurch!G25="","",Christchurch!G25)</f>
        <v>5</v>
      </c>
      <c r="F235" s="181">
        <f>IF(Christchurch!H25=0,"",Christchurch!H25)</f>
        <v>5</v>
      </c>
      <c r="G235" s="181" t="str">
        <f>IF(Christchurch!I25=0,"",Christchurch!I25)</f>
        <v/>
      </c>
      <c r="H235" s="186">
        <f>IF(Christchurch!J25=0,"",Christchurch!J25)</f>
        <v>20</v>
      </c>
      <c r="I235" s="252">
        <f>IF(Christchurch!K25=0,"",Christchurch!K25)</f>
        <v>3</v>
      </c>
      <c r="J235" s="163" t="str">
        <f>IF(Christchurch!M25="","",Christchurch!M25)</f>
        <v/>
      </c>
      <c r="K235" s="41">
        <f>IF(Christchurch!N25="","",Christchurch!N25)</f>
        <v>22.77</v>
      </c>
      <c r="L235" s="41" t="str">
        <f>IF(Christchurch!O25="","",Christchurch!O25)</f>
        <v/>
      </c>
      <c r="M235" s="41">
        <f>IF(Christchurch!P25="","",Christchurch!P25)</f>
        <v>23.3</v>
      </c>
      <c r="N235" s="41" t="str">
        <f>IF(Christchurch!Q25="","",Christchurch!Q25)</f>
        <v/>
      </c>
      <c r="O235" s="41" t="str">
        <f>IF(Christchurch!R25="","",Christchurch!R25)</f>
        <v/>
      </c>
      <c r="P235" s="41" t="str">
        <f>IF(Christchurch!S25="","",Christchurch!S25)</f>
        <v/>
      </c>
      <c r="Q235" s="41" t="str">
        <f>IF(Christchurch!T25="","",Christchurch!T25)</f>
        <v/>
      </c>
      <c r="R235" s="41">
        <f>IF(Christchurch!U25="","",Christchurch!U25)</f>
        <v>22.96</v>
      </c>
      <c r="S235" s="41">
        <f>IF(Christchurch!V25="","",Christchurch!V25)</f>
        <v>23.04</v>
      </c>
      <c r="T235" s="41" t="str">
        <f>IF(Christchurch!W25="","",Christchurch!W25)</f>
        <v/>
      </c>
      <c r="U235" s="41">
        <f>IF(Christchurch!X25="","",Christchurch!X25)</f>
        <v>26.03</v>
      </c>
      <c r="V235" s="41" t="str">
        <f>IF(Christchurch!Y25="","",Christchurch!Y25)</f>
        <v/>
      </c>
      <c r="W235" s="249">
        <f>IF(Christchurch!AA25=0,"",Christchurch!AA25)</f>
        <v>1</v>
      </c>
      <c r="X235" s="244">
        <f>IF(Christchurch!AB25=0,"",Christchurch!AB25)</f>
        <v>23.619999999999997</v>
      </c>
      <c r="Y235" s="245">
        <f>IF(Christchurch!AC25=0,"",Christchurch!AC25)</f>
        <v>28.619999999999997</v>
      </c>
      <c r="AA235" s="246">
        <f>Y235</f>
        <v>28.619999999999997</v>
      </c>
      <c r="AB235" s="243">
        <f>X235</f>
        <v>23.619999999999997</v>
      </c>
      <c r="AC235" s="185" t="str">
        <f>C235</f>
        <v>Martin Wood</v>
      </c>
      <c r="AD235" s="185" t="str">
        <f>LEFT($B$217,3)</f>
        <v>Chr</v>
      </c>
      <c r="AE235" s="185">
        <f t="shared" ref="AE235:AY235" si="114">E235</f>
        <v>5</v>
      </c>
      <c r="AF235" s="185">
        <f t="shared" si="114"/>
        <v>5</v>
      </c>
      <c r="AG235" s="185" t="str">
        <f t="shared" si="114"/>
        <v/>
      </c>
      <c r="AH235" s="247">
        <f t="shared" si="114"/>
        <v>20</v>
      </c>
      <c r="AI235" s="247">
        <f t="shared" si="114"/>
        <v>3</v>
      </c>
      <c r="AJ235" s="243" t="str">
        <f t="shared" si="114"/>
        <v/>
      </c>
      <c r="AK235" s="243">
        <f t="shared" si="114"/>
        <v>22.77</v>
      </c>
      <c r="AL235" s="243" t="str">
        <f t="shared" si="114"/>
        <v/>
      </c>
      <c r="AM235" s="243">
        <f t="shared" si="114"/>
        <v>23.3</v>
      </c>
      <c r="AN235" s="243" t="str">
        <f t="shared" si="114"/>
        <v/>
      </c>
      <c r="AO235" s="243" t="str">
        <f t="shared" si="114"/>
        <v/>
      </c>
      <c r="AP235" s="243" t="str">
        <f t="shared" si="114"/>
        <v/>
      </c>
      <c r="AQ235" s="243" t="str">
        <f t="shared" si="114"/>
        <v/>
      </c>
      <c r="AR235" s="243">
        <f t="shared" si="114"/>
        <v>22.96</v>
      </c>
      <c r="AS235" s="243">
        <f t="shared" si="114"/>
        <v>23.04</v>
      </c>
      <c r="AT235" s="243" t="str">
        <f t="shared" si="114"/>
        <v/>
      </c>
      <c r="AU235" s="243">
        <f t="shared" si="114"/>
        <v>26.03</v>
      </c>
      <c r="AV235" s="243" t="str">
        <f t="shared" si="114"/>
        <v/>
      </c>
      <c r="AW235" s="247">
        <f t="shared" si="114"/>
        <v>1</v>
      </c>
      <c r="AX235" s="243">
        <f t="shared" si="114"/>
        <v>23.619999999999997</v>
      </c>
      <c r="AY235" s="248">
        <f t="shared" si="114"/>
        <v>28.619999999999997</v>
      </c>
    </row>
    <row r="236" spans="2:51" ht="12" customHeight="1" x14ac:dyDescent="0.2">
      <c r="B236" s="268"/>
      <c r="C236" s="235"/>
      <c r="D236" s="235"/>
      <c r="E236" s="239"/>
      <c r="F236" s="182"/>
      <c r="G236" s="182"/>
      <c r="H236" s="182"/>
      <c r="I236" s="233"/>
      <c r="J236" s="163" t="str">
        <f>IF(Christchurch!M26="","",Christchurch!M26)</f>
        <v/>
      </c>
      <c r="K236" s="41" t="str">
        <f>IF(Christchurch!N26="","",Christchurch!N26)</f>
        <v>4*0(1)</v>
      </c>
      <c r="L236" s="41" t="str">
        <f>IF(Christchurch!O26="","",Christchurch!O26)</f>
        <v/>
      </c>
      <c r="M236" s="41" t="str">
        <f>IF(Christchurch!P26="","",Christchurch!P26)</f>
        <v>4*0</v>
      </c>
      <c r="N236" s="41" t="str">
        <f>IF(Christchurch!Q26="","",Christchurch!Q26)</f>
        <v/>
      </c>
      <c r="O236" s="41" t="str">
        <f>IF(Christchurch!R26="","",Christchurch!R26)</f>
        <v/>
      </c>
      <c r="P236" s="41" t="str">
        <f>IF(Christchurch!S26="","",Christchurch!S26)</f>
        <v/>
      </c>
      <c r="Q236" s="41" t="str">
        <f>IF(Christchurch!T26="","",Christchurch!T26)</f>
        <v/>
      </c>
      <c r="R236" s="41" t="str">
        <f>IF(Christchurch!U26="","",Christchurch!U26)</f>
        <v>4*1</v>
      </c>
      <c r="S236" s="41" t="str">
        <f>IF(Christchurch!V26="","",Christchurch!V26)</f>
        <v>4*2</v>
      </c>
      <c r="T236" s="41" t="str">
        <f>IF(Christchurch!W26="","",Christchurch!W26)</f>
        <v/>
      </c>
      <c r="U236" s="41" t="str">
        <f>IF(Christchurch!X26="","",Christchurch!X26)</f>
        <v>4*0</v>
      </c>
      <c r="V236" s="41" t="str">
        <f>IF(Christchurch!Y26="","",Christchurch!Y26)</f>
        <v/>
      </c>
      <c r="W236" s="201"/>
      <c r="X236" s="182"/>
      <c r="Y236" s="233"/>
      <c r="AA236" s="239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233"/>
    </row>
    <row r="237" spans="2:51" ht="12" customHeight="1" x14ac:dyDescent="0.2">
      <c r="B237" s="268"/>
      <c r="C237" s="263" t="str">
        <f>IF(Christchurch!E27="","",Christchurch!E27)</f>
        <v>Scott Bailey</v>
      </c>
      <c r="D237" s="259" t="str">
        <f>LEFT($B$217,3)</f>
        <v>Chr</v>
      </c>
      <c r="E237" s="251">
        <f>IF(Christchurch!G27="","",Christchurch!G27)</f>
        <v>3</v>
      </c>
      <c r="F237" s="181">
        <f>IF(Christchurch!H27=0,"",Christchurch!H27)</f>
        <v>2</v>
      </c>
      <c r="G237" s="181">
        <f>IF(Christchurch!I27=0,"",Christchurch!I27)</f>
        <v>1</v>
      </c>
      <c r="H237" s="186">
        <f>IF(Christchurch!J27=0,"",Christchurch!J27)</f>
        <v>11</v>
      </c>
      <c r="I237" s="252">
        <f>IF(Christchurch!K27=0,"",Christchurch!K27)</f>
        <v>5</v>
      </c>
      <c r="J237" s="163" t="str">
        <f>IF(Christchurch!M27="","",Christchurch!M27)</f>
        <v/>
      </c>
      <c r="K237" s="41" t="str">
        <f>IF(Christchurch!N27="","",Christchurch!N27)</f>
        <v/>
      </c>
      <c r="L237" s="41" t="str">
        <f>IF(Christchurch!O27="","",Christchurch!O27)</f>
        <v/>
      </c>
      <c r="M237" s="41" t="str">
        <f>IF(Christchurch!P27="","",Christchurch!P27)</f>
        <v/>
      </c>
      <c r="N237" s="41" t="str">
        <f>IF(Christchurch!Q27="","",Christchurch!Q27)</f>
        <v/>
      </c>
      <c r="O237" s="41" t="str">
        <f>IF(Christchurch!R27="","",Christchurch!R27)</f>
        <v/>
      </c>
      <c r="P237" s="41" t="str">
        <f>IF(Christchurch!S27="","",Christchurch!S27)</f>
        <v/>
      </c>
      <c r="Q237" s="41" t="str">
        <f>IF(Christchurch!T27="","",Christchurch!T27)</f>
        <v/>
      </c>
      <c r="R237" s="41">
        <f>IF(Christchurch!U27="","",Christchurch!U27)</f>
        <v>20.04</v>
      </c>
      <c r="S237" s="41" t="str">
        <f>IF(Christchurch!V27="","",Christchurch!V27)</f>
        <v/>
      </c>
      <c r="T237" s="41">
        <f>IF(Christchurch!W27="","",Christchurch!W27)</f>
        <v>19.79</v>
      </c>
      <c r="U237" s="41">
        <f>IF(Christchurch!X27="","",Christchurch!X27)</f>
        <v>23.49</v>
      </c>
      <c r="V237" s="41" t="str">
        <f>IF(Christchurch!Y27="","",Christchurch!Y27)</f>
        <v/>
      </c>
      <c r="W237" s="249" t="str">
        <f>IF(Christchurch!AA27=0,"",Christchurch!AA27)</f>
        <v/>
      </c>
      <c r="X237" s="244">
        <f>IF(Christchurch!AB27=0,"",Christchurch!AB27)</f>
        <v>21.106666666666666</v>
      </c>
      <c r="Y237" s="245">
        <f>IF(Christchurch!AC27=0,"",Christchurch!AC27)</f>
        <v>23.106666666666666</v>
      </c>
      <c r="AA237" s="246">
        <f>Y237</f>
        <v>23.106666666666666</v>
      </c>
      <c r="AB237" s="243">
        <f>X237</f>
        <v>21.106666666666666</v>
      </c>
      <c r="AC237" s="185" t="str">
        <f>C237</f>
        <v>Scott Bailey</v>
      </c>
      <c r="AD237" s="185" t="str">
        <f>LEFT($B$217,3)</f>
        <v>Chr</v>
      </c>
      <c r="AE237" s="185">
        <f t="shared" ref="AE237:AY237" si="115">E237</f>
        <v>3</v>
      </c>
      <c r="AF237" s="185">
        <f t="shared" si="115"/>
        <v>2</v>
      </c>
      <c r="AG237" s="185">
        <f t="shared" si="115"/>
        <v>1</v>
      </c>
      <c r="AH237" s="247">
        <f t="shared" si="115"/>
        <v>11</v>
      </c>
      <c r="AI237" s="247">
        <f t="shared" si="115"/>
        <v>5</v>
      </c>
      <c r="AJ237" s="243" t="str">
        <f t="shared" si="115"/>
        <v/>
      </c>
      <c r="AK237" s="243" t="str">
        <f t="shared" si="115"/>
        <v/>
      </c>
      <c r="AL237" s="243" t="str">
        <f t="shared" si="115"/>
        <v/>
      </c>
      <c r="AM237" s="243" t="str">
        <f t="shared" si="115"/>
        <v/>
      </c>
      <c r="AN237" s="243" t="str">
        <f t="shared" si="115"/>
        <v/>
      </c>
      <c r="AO237" s="243" t="str">
        <f t="shared" si="115"/>
        <v/>
      </c>
      <c r="AP237" s="243" t="str">
        <f t="shared" si="115"/>
        <v/>
      </c>
      <c r="AQ237" s="243" t="str">
        <f t="shared" si="115"/>
        <v/>
      </c>
      <c r="AR237" s="243">
        <f t="shared" si="115"/>
        <v>20.04</v>
      </c>
      <c r="AS237" s="243" t="str">
        <f t="shared" si="115"/>
        <v/>
      </c>
      <c r="AT237" s="243">
        <f t="shared" si="115"/>
        <v>19.79</v>
      </c>
      <c r="AU237" s="243">
        <f t="shared" si="115"/>
        <v>23.49</v>
      </c>
      <c r="AV237" s="243" t="str">
        <f t="shared" si="115"/>
        <v/>
      </c>
      <c r="AW237" s="247" t="str">
        <f t="shared" si="115"/>
        <v/>
      </c>
      <c r="AX237" s="243">
        <f t="shared" si="115"/>
        <v>21.106666666666666</v>
      </c>
      <c r="AY237" s="248">
        <f t="shared" si="115"/>
        <v>23.106666666666666</v>
      </c>
    </row>
    <row r="238" spans="2:51" ht="12" customHeight="1" x14ac:dyDescent="0.2">
      <c r="B238" s="268"/>
      <c r="C238" s="235"/>
      <c r="D238" s="235"/>
      <c r="E238" s="239"/>
      <c r="F238" s="182"/>
      <c r="G238" s="182"/>
      <c r="H238" s="182"/>
      <c r="I238" s="233"/>
      <c r="J238" s="163" t="str">
        <f>IF(Christchurch!M28="","",Christchurch!M28)</f>
        <v/>
      </c>
      <c r="K238" s="41" t="str">
        <f>IF(Christchurch!N28="","",Christchurch!N28)</f>
        <v/>
      </c>
      <c r="L238" s="41" t="str">
        <f>IF(Christchurch!O28="","",Christchurch!O28)</f>
        <v/>
      </c>
      <c r="M238" s="41" t="str">
        <f>IF(Christchurch!P28="","",Christchurch!P28)</f>
        <v/>
      </c>
      <c r="N238" s="41" t="str">
        <f>IF(Christchurch!Q28="","",Christchurch!Q28)</f>
        <v/>
      </c>
      <c r="O238" s="41" t="str">
        <f>IF(Christchurch!R28="","",Christchurch!R28)</f>
        <v/>
      </c>
      <c r="P238" s="41" t="str">
        <f>IF(Christchurch!S28="","",Christchurch!S28)</f>
        <v/>
      </c>
      <c r="Q238" s="41" t="str">
        <f>IF(Christchurch!T28="","",Christchurch!T28)</f>
        <v/>
      </c>
      <c r="R238" s="41" t="str">
        <f>IF(Christchurch!U28="","",Christchurch!U28)</f>
        <v>4*0</v>
      </c>
      <c r="S238" s="41" t="str">
        <f>IF(Christchurch!V28="","",Christchurch!V28)</f>
        <v/>
      </c>
      <c r="T238" s="41" t="str">
        <f>IF(Christchurch!W28="","",Christchurch!W28)</f>
        <v>3*4</v>
      </c>
      <c r="U238" s="41" t="str">
        <f>IF(Christchurch!X28="","",Christchurch!X28)</f>
        <v>4*1</v>
      </c>
      <c r="V238" s="41" t="str">
        <f>IF(Christchurch!Y28="","",Christchurch!Y28)</f>
        <v/>
      </c>
      <c r="W238" s="201"/>
      <c r="X238" s="182"/>
      <c r="Y238" s="233"/>
      <c r="AA238" s="239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233"/>
    </row>
    <row r="239" spans="2:51" ht="12" customHeight="1" x14ac:dyDescent="0.2">
      <c r="B239" s="268"/>
      <c r="C239" s="263" t="str">
        <f>IF(Christchurch!E29="","",Christchurch!E29)</f>
        <v>Nick Matthius</v>
      </c>
      <c r="D239" s="259" t="str">
        <f>LEFT($B$217,3)</f>
        <v>Chr</v>
      </c>
      <c r="E239" s="251">
        <f>IF(Christchurch!G29="","",Christchurch!G29)</f>
        <v>1</v>
      </c>
      <c r="F239" s="181">
        <f>IF(Christchurch!H29=0,"",Christchurch!H29)</f>
        <v>1</v>
      </c>
      <c r="G239" s="181" t="str">
        <f>IF(Christchurch!I29=0,"",Christchurch!I29)</f>
        <v/>
      </c>
      <c r="H239" s="186">
        <f>IF(Christchurch!J29=0,"",Christchurch!J29)</f>
        <v>4</v>
      </c>
      <c r="I239" s="252">
        <f>IF(Christchurch!K29=0,"",Christchurch!K29)</f>
        <v>3</v>
      </c>
      <c r="J239" s="163" t="str">
        <f>IF(Christchurch!M29="","",Christchurch!M29)</f>
        <v/>
      </c>
      <c r="K239" s="41" t="str">
        <f>IF(Christchurch!N29="","",Christchurch!N29)</f>
        <v/>
      </c>
      <c r="L239" s="41" t="str">
        <f>IF(Christchurch!O29="","",Christchurch!O29)</f>
        <v/>
      </c>
      <c r="M239" s="41" t="str">
        <f>IF(Christchurch!P29="","",Christchurch!P29)</f>
        <v/>
      </c>
      <c r="N239" s="41" t="str">
        <f>IF(Christchurch!Q29="","",Christchurch!Q29)</f>
        <v/>
      </c>
      <c r="O239" s="41" t="str">
        <f>IF(Christchurch!R29="","",Christchurch!R29)</f>
        <v/>
      </c>
      <c r="P239" s="41" t="str">
        <f>IF(Christchurch!S29="","",Christchurch!S29)</f>
        <v/>
      </c>
      <c r="Q239" s="41" t="str">
        <f>IF(Christchurch!T29="","",Christchurch!T29)</f>
        <v/>
      </c>
      <c r="R239" s="41" t="str">
        <f>IF(Christchurch!U29="","",Christchurch!U29)</f>
        <v/>
      </c>
      <c r="S239" s="41" t="str">
        <f>IF(Christchurch!V29="","",Christchurch!V29)</f>
        <v/>
      </c>
      <c r="T239" s="41" t="str">
        <f>IF(Christchurch!W29="","",Christchurch!W29)</f>
        <v/>
      </c>
      <c r="U239" s="41">
        <f>IF(Christchurch!X29="","",Christchurch!X29)</f>
        <v>19.899999999999999</v>
      </c>
      <c r="V239" s="41" t="str">
        <f>IF(Christchurch!Y29="","",Christchurch!Y29)</f>
        <v/>
      </c>
      <c r="W239" s="249">
        <f>IF(Christchurch!AA29=0,"",Christchurch!AA29)</f>
        <v>1</v>
      </c>
      <c r="X239" s="244">
        <f>IF(Christchurch!AB29=0,"",Christchurch!AB29)</f>
        <v>19.899999999999999</v>
      </c>
      <c r="Y239" s="245">
        <f>IF(Christchurch!AC29=0,"",Christchurch!AC29)</f>
        <v>20.9</v>
      </c>
      <c r="AA239" s="246">
        <f>Y239</f>
        <v>20.9</v>
      </c>
      <c r="AB239" s="243">
        <f>X239</f>
        <v>19.899999999999999</v>
      </c>
      <c r="AC239" s="185" t="str">
        <f>C239</f>
        <v>Nick Matthius</v>
      </c>
      <c r="AD239" s="185" t="str">
        <f>LEFT($B$217,3)</f>
        <v>Chr</v>
      </c>
      <c r="AE239" s="185">
        <f t="shared" ref="AE239:AY239" si="116">E239</f>
        <v>1</v>
      </c>
      <c r="AF239" s="185">
        <f t="shared" si="116"/>
        <v>1</v>
      </c>
      <c r="AG239" s="185" t="str">
        <f t="shared" si="116"/>
        <v/>
      </c>
      <c r="AH239" s="247">
        <f t="shared" si="116"/>
        <v>4</v>
      </c>
      <c r="AI239" s="247">
        <f t="shared" si="116"/>
        <v>3</v>
      </c>
      <c r="AJ239" s="243" t="str">
        <f t="shared" si="116"/>
        <v/>
      </c>
      <c r="AK239" s="243" t="str">
        <f t="shared" si="116"/>
        <v/>
      </c>
      <c r="AL239" s="243" t="str">
        <f t="shared" si="116"/>
        <v/>
      </c>
      <c r="AM239" s="243" t="str">
        <f t="shared" si="116"/>
        <v/>
      </c>
      <c r="AN239" s="243" t="str">
        <f t="shared" si="116"/>
        <v/>
      </c>
      <c r="AO239" s="243" t="str">
        <f t="shared" si="116"/>
        <v/>
      </c>
      <c r="AP239" s="243" t="str">
        <f t="shared" si="116"/>
        <v/>
      </c>
      <c r="AQ239" s="243" t="str">
        <f t="shared" si="116"/>
        <v/>
      </c>
      <c r="AR239" s="243" t="str">
        <f t="shared" si="116"/>
        <v/>
      </c>
      <c r="AS239" s="243" t="str">
        <f t="shared" si="116"/>
        <v/>
      </c>
      <c r="AT239" s="243" t="str">
        <f t="shared" si="116"/>
        <v/>
      </c>
      <c r="AU239" s="243">
        <f t="shared" si="116"/>
        <v>19.899999999999999</v>
      </c>
      <c r="AV239" s="243" t="str">
        <f t="shared" si="116"/>
        <v/>
      </c>
      <c r="AW239" s="247">
        <f t="shared" si="116"/>
        <v>1</v>
      </c>
      <c r="AX239" s="243">
        <f t="shared" si="116"/>
        <v>19.899999999999999</v>
      </c>
      <c r="AY239" s="248">
        <f t="shared" si="116"/>
        <v>20.9</v>
      </c>
    </row>
    <row r="240" spans="2:51" ht="12" customHeight="1" x14ac:dyDescent="0.2">
      <c r="B240" s="268"/>
      <c r="C240" s="235"/>
      <c r="D240" s="235"/>
      <c r="E240" s="239"/>
      <c r="F240" s="182"/>
      <c r="G240" s="182"/>
      <c r="H240" s="182"/>
      <c r="I240" s="233"/>
      <c r="J240" s="163" t="str">
        <f>IF(Christchurch!M30="","",Christchurch!M30)</f>
        <v/>
      </c>
      <c r="K240" s="41" t="str">
        <f>IF(Christchurch!N30="","",Christchurch!N30)</f>
        <v/>
      </c>
      <c r="L240" s="41" t="str">
        <f>IF(Christchurch!O30="","",Christchurch!O30)</f>
        <v/>
      </c>
      <c r="M240" s="41" t="str">
        <f>IF(Christchurch!P30="","",Christchurch!P30)</f>
        <v/>
      </c>
      <c r="N240" s="41" t="str">
        <f>IF(Christchurch!Q30="","",Christchurch!Q30)</f>
        <v/>
      </c>
      <c r="O240" s="41" t="str">
        <f>IF(Christchurch!R30="","",Christchurch!R30)</f>
        <v/>
      </c>
      <c r="P240" s="41" t="str">
        <f>IF(Christchurch!S30="","",Christchurch!S30)</f>
        <v/>
      </c>
      <c r="Q240" s="41" t="str">
        <f>IF(Christchurch!T30="","",Christchurch!T30)</f>
        <v/>
      </c>
      <c r="R240" s="41" t="str">
        <f>IF(Christchurch!U30="","",Christchurch!U30)</f>
        <v/>
      </c>
      <c r="S240" s="41" t="str">
        <f>IF(Christchurch!V30="","",Christchurch!V30)</f>
        <v/>
      </c>
      <c r="T240" s="41" t="str">
        <f>IF(Christchurch!W30="","",Christchurch!W30)</f>
        <v/>
      </c>
      <c r="U240" s="41" t="str">
        <f>IF(Christchurch!X30="","",Christchurch!X30)</f>
        <v>4*3(1)</v>
      </c>
      <c r="V240" s="41" t="str">
        <f>IF(Christchurch!Y30="","",Christchurch!Y30)</f>
        <v/>
      </c>
      <c r="W240" s="201"/>
      <c r="X240" s="182"/>
      <c r="Y240" s="233"/>
      <c r="AA240" s="239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233"/>
    </row>
    <row r="241" spans="2:51" ht="12" customHeight="1" x14ac:dyDescent="0.2">
      <c r="B241" s="268"/>
      <c r="C241" s="263" t="str">
        <f>IF(Christchurch!E31="","",Christchurch!E31)</f>
        <v>John Lamb</v>
      </c>
      <c r="D241" s="259" t="str">
        <f>LEFT($B$217,3)</f>
        <v>Chr</v>
      </c>
      <c r="E241" s="251">
        <f>IF(Christchurch!G31="","",Christchurch!G31)</f>
        <v>1</v>
      </c>
      <c r="F241" s="181" t="str">
        <f>IF(Christchurch!H31=0,"",Christchurch!H31)</f>
        <v/>
      </c>
      <c r="G241" s="181">
        <f>IF(Christchurch!I31=0,"",Christchurch!I31)</f>
        <v>1</v>
      </c>
      <c r="H241" s="181" t="str">
        <f>IF(Christchurch!J31=0,"",Christchurch!J31)</f>
        <v/>
      </c>
      <c r="I241" s="250">
        <f>IF(Christchurch!K31=0,"",Christchurch!K31)</f>
        <v>4</v>
      </c>
      <c r="J241" s="163" t="str">
        <f>IF(Christchurch!M31="","",Christchurch!M31)</f>
        <v/>
      </c>
      <c r="K241" s="41" t="str">
        <f>IF(Christchurch!N31="","",Christchurch!N31)</f>
        <v/>
      </c>
      <c r="L241" s="41" t="str">
        <f>IF(Christchurch!O31="","",Christchurch!O31)</f>
        <v/>
      </c>
      <c r="M241" s="41" t="str">
        <f>IF(Christchurch!P31="","",Christchurch!P31)</f>
        <v/>
      </c>
      <c r="N241" s="41" t="str">
        <f>IF(Christchurch!Q31="","",Christchurch!Q31)</f>
        <v/>
      </c>
      <c r="O241" s="41" t="str">
        <f>IF(Christchurch!R31="","",Christchurch!R31)</f>
        <v/>
      </c>
      <c r="P241" s="41" t="str">
        <f>IF(Christchurch!S31="","",Christchurch!S31)</f>
        <v/>
      </c>
      <c r="Q241" s="41" t="str">
        <f>IF(Christchurch!T31="","",Christchurch!T31)</f>
        <v/>
      </c>
      <c r="R241" s="41" t="str">
        <f>IF(Christchurch!U31="","",Christchurch!U31)</f>
        <v/>
      </c>
      <c r="S241" s="41" t="str">
        <f>IF(Christchurch!V31="","",Christchurch!V31)</f>
        <v/>
      </c>
      <c r="T241" s="41">
        <f>IF(Christchurch!W31="","",Christchurch!W31)</f>
        <v>15.54</v>
      </c>
      <c r="U241" s="41" t="str">
        <f>IF(Christchurch!X31="","",Christchurch!X31)</f>
        <v/>
      </c>
      <c r="V241" s="41" t="str">
        <f>IF(Christchurch!Y31="","",Christchurch!Y31)</f>
        <v/>
      </c>
      <c r="W241" s="249" t="str">
        <f>IF(Christchurch!AA31=0,"",Christchurch!AA31)</f>
        <v/>
      </c>
      <c r="X241" s="244">
        <f>IF(Christchurch!AB31=0,"",Christchurch!AB31)</f>
        <v>15.54</v>
      </c>
      <c r="Y241" s="245">
        <f>IF(Christchurch!AC31=0,"",Christchurch!AC31)</f>
        <v>15.54</v>
      </c>
      <c r="AA241" s="246">
        <f>Y241</f>
        <v>15.54</v>
      </c>
      <c r="AB241" s="243">
        <f>X241</f>
        <v>15.54</v>
      </c>
      <c r="AC241" s="185" t="str">
        <f>C241</f>
        <v>John Lamb</v>
      </c>
      <c r="AD241" s="185" t="str">
        <f>LEFT($B$217,3)</f>
        <v>Chr</v>
      </c>
      <c r="AE241" s="185">
        <f t="shared" ref="AE241:AY241" si="117">E241</f>
        <v>1</v>
      </c>
      <c r="AF241" s="185" t="str">
        <f t="shared" si="117"/>
        <v/>
      </c>
      <c r="AG241" s="185">
        <f t="shared" si="117"/>
        <v>1</v>
      </c>
      <c r="AH241" s="185" t="str">
        <f t="shared" si="117"/>
        <v/>
      </c>
      <c r="AI241" s="185">
        <f t="shared" si="117"/>
        <v>4</v>
      </c>
      <c r="AJ241" s="243" t="str">
        <f t="shared" si="117"/>
        <v/>
      </c>
      <c r="AK241" s="243" t="str">
        <f t="shared" si="117"/>
        <v/>
      </c>
      <c r="AL241" s="243" t="str">
        <f t="shared" si="117"/>
        <v/>
      </c>
      <c r="AM241" s="243" t="str">
        <f t="shared" si="117"/>
        <v/>
      </c>
      <c r="AN241" s="243" t="str">
        <f t="shared" si="117"/>
        <v/>
      </c>
      <c r="AO241" s="243" t="str">
        <f t="shared" si="117"/>
        <v/>
      </c>
      <c r="AP241" s="243" t="str">
        <f t="shared" si="117"/>
        <v/>
      </c>
      <c r="AQ241" s="243" t="str">
        <f t="shared" si="117"/>
        <v/>
      </c>
      <c r="AR241" s="243" t="str">
        <f t="shared" si="117"/>
        <v/>
      </c>
      <c r="AS241" s="243" t="str">
        <f t="shared" si="117"/>
        <v/>
      </c>
      <c r="AT241" s="243">
        <f t="shared" si="117"/>
        <v>15.54</v>
      </c>
      <c r="AU241" s="243" t="str">
        <f t="shared" si="117"/>
        <v/>
      </c>
      <c r="AV241" s="243" t="str">
        <f t="shared" si="117"/>
        <v/>
      </c>
      <c r="AW241" s="247" t="str">
        <f t="shared" si="117"/>
        <v/>
      </c>
      <c r="AX241" s="243">
        <f t="shared" si="117"/>
        <v>15.54</v>
      </c>
      <c r="AY241" s="248">
        <f t="shared" si="117"/>
        <v>15.54</v>
      </c>
    </row>
    <row r="242" spans="2:51" ht="12" customHeight="1" x14ac:dyDescent="0.2">
      <c r="B242" s="268"/>
      <c r="C242" s="235"/>
      <c r="D242" s="235"/>
      <c r="E242" s="239"/>
      <c r="F242" s="182"/>
      <c r="G242" s="182"/>
      <c r="H242" s="182"/>
      <c r="I242" s="233"/>
      <c r="J242" s="163" t="str">
        <f>IF(Christchurch!M32="","",Christchurch!M32)</f>
        <v/>
      </c>
      <c r="K242" s="41" t="str">
        <f>IF(Christchurch!N32="","",Christchurch!N32)</f>
        <v/>
      </c>
      <c r="L242" s="41" t="str">
        <f>IF(Christchurch!O32="","",Christchurch!O32)</f>
        <v/>
      </c>
      <c r="M242" s="41" t="str">
        <f>IF(Christchurch!P32="","",Christchurch!P32)</f>
        <v/>
      </c>
      <c r="N242" s="41" t="str">
        <f>IF(Christchurch!Q32="","",Christchurch!Q32)</f>
        <v/>
      </c>
      <c r="O242" s="41" t="str">
        <f>IF(Christchurch!R32="","",Christchurch!R32)</f>
        <v/>
      </c>
      <c r="P242" s="41" t="str">
        <f>IF(Christchurch!S32="","",Christchurch!S32)</f>
        <v/>
      </c>
      <c r="Q242" s="41" t="str">
        <f>IF(Christchurch!T32="","",Christchurch!T32)</f>
        <v/>
      </c>
      <c r="R242" s="41" t="str">
        <f>IF(Christchurch!U32="","",Christchurch!U32)</f>
        <v/>
      </c>
      <c r="S242" s="41" t="str">
        <f>IF(Christchurch!V32="","",Christchurch!V32)</f>
        <v/>
      </c>
      <c r="T242" s="41" t="str">
        <f>IF(Christchurch!W32="","",Christchurch!W32)</f>
        <v>0*4</v>
      </c>
      <c r="U242" s="41" t="str">
        <f>IF(Christchurch!X32="","",Christchurch!X32)</f>
        <v/>
      </c>
      <c r="V242" s="41" t="str">
        <f>IF(Christchurch!Y32="","",Christchurch!Y32)</f>
        <v/>
      </c>
      <c r="W242" s="201"/>
      <c r="X242" s="182"/>
      <c r="Y242" s="233"/>
      <c r="AA242" s="239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233"/>
    </row>
    <row r="243" spans="2:51" ht="12" customHeight="1" x14ac:dyDescent="0.2">
      <c r="B243" s="268"/>
      <c r="C243" s="263" t="str">
        <f>IF(Christchurch!E33="","",Christchurch!E33)</f>
        <v/>
      </c>
      <c r="D243" s="259" t="str">
        <f>LEFT($B$217,3)</f>
        <v>Chr</v>
      </c>
      <c r="E243" s="251" t="str">
        <f>IF(Christchurch!G33="","",Christchurch!G33)</f>
        <v/>
      </c>
      <c r="F243" s="181" t="str">
        <f>IF(Christchurch!H33=0,"",Christchurch!H33)</f>
        <v/>
      </c>
      <c r="G243" s="181" t="str">
        <f>IF(Christchurch!I33=0,"",Christchurch!I33)</f>
        <v/>
      </c>
      <c r="H243" s="181" t="str">
        <f>IF(Christchurch!J33=0,"",Christchurch!J33)</f>
        <v/>
      </c>
      <c r="I243" s="250" t="str">
        <f>IF(Christchurch!K33=0,"",Christchurch!K33)</f>
        <v/>
      </c>
      <c r="J243" s="163" t="str">
        <f>IF(Christchurch!M33="","",Christchurch!M33)</f>
        <v/>
      </c>
      <c r="K243" s="41" t="str">
        <f>IF(Christchurch!N33="","",Christchurch!N33)</f>
        <v/>
      </c>
      <c r="L243" s="41" t="str">
        <f>IF(Christchurch!O33="","",Christchurch!O33)</f>
        <v/>
      </c>
      <c r="M243" s="41" t="str">
        <f>IF(Christchurch!P33="","",Christchurch!P33)</f>
        <v/>
      </c>
      <c r="N243" s="41" t="str">
        <f>IF(Christchurch!Q33="","",Christchurch!Q33)</f>
        <v/>
      </c>
      <c r="O243" s="41" t="str">
        <f>IF(Christchurch!R33="","",Christchurch!R33)</f>
        <v/>
      </c>
      <c r="P243" s="41" t="str">
        <f>IF(Christchurch!S33="","",Christchurch!S33)</f>
        <v/>
      </c>
      <c r="Q243" s="41" t="str">
        <f>IF(Christchurch!T33="","",Christchurch!T33)</f>
        <v/>
      </c>
      <c r="R243" s="41" t="str">
        <f>IF(Christchurch!U33="","",Christchurch!U33)</f>
        <v/>
      </c>
      <c r="S243" s="41" t="str">
        <f>IF(Christchurch!V33="","",Christchurch!V33)</f>
        <v/>
      </c>
      <c r="T243" s="41" t="str">
        <f>IF(Christchurch!W33="","",Christchurch!W33)</f>
        <v/>
      </c>
      <c r="U243" s="41" t="str">
        <f>IF(Christchurch!X33="","",Christchurch!X33)</f>
        <v/>
      </c>
      <c r="V243" s="41" t="str">
        <f>IF(Christchurch!Y33="","",Christchurch!Y33)</f>
        <v/>
      </c>
      <c r="W243" s="249" t="str">
        <f>IF(Christchurch!AA33=0,"",Christchurch!AA33)</f>
        <v/>
      </c>
      <c r="X243" s="244" t="str">
        <f>IF(Christchurch!AB33=0,"",Christchurch!AB33)</f>
        <v/>
      </c>
      <c r="Y243" s="245" t="str">
        <f>IF(Christchurch!AC33=0,"",Christchurch!AC33)</f>
        <v/>
      </c>
      <c r="AA243" s="246" t="str">
        <f>Y243</f>
        <v/>
      </c>
      <c r="AB243" s="243" t="str">
        <f>X243</f>
        <v/>
      </c>
      <c r="AC243" s="185" t="str">
        <f>C243</f>
        <v/>
      </c>
      <c r="AD243" s="185" t="str">
        <f>LEFT($B$217,3)</f>
        <v>Chr</v>
      </c>
      <c r="AE243" s="185" t="str">
        <f t="shared" ref="AE243:AY243" si="118">E243</f>
        <v/>
      </c>
      <c r="AF243" s="185" t="str">
        <f t="shared" si="118"/>
        <v/>
      </c>
      <c r="AG243" s="185" t="str">
        <f t="shared" si="118"/>
        <v/>
      </c>
      <c r="AH243" s="185" t="str">
        <f t="shared" si="118"/>
        <v/>
      </c>
      <c r="AI243" s="185" t="str">
        <f t="shared" si="118"/>
        <v/>
      </c>
      <c r="AJ243" s="243" t="str">
        <f t="shared" si="118"/>
        <v/>
      </c>
      <c r="AK243" s="243" t="str">
        <f t="shared" si="118"/>
        <v/>
      </c>
      <c r="AL243" s="243" t="str">
        <f t="shared" si="118"/>
        <v/>
      </c>
      <c r="AM243" s="243" t="str">
        <f t="shared" si="118"/>
        <v/>
      </c>
      <c r="AN243" s="243" t="str">
        <f t="shared" si="118"/>
        <v/>
      </c>
      <c r="AO243" s="243" t="str">
        <f t="shared" si="118"/>
        <v/>
      </c>
      <c r="AP243" s="243" t="str">
        <f t="shared" si="118"/>
        <v/>
      </c>
      <c r="AQ243" s="243" t="str">
        <f t="shared" si="118"/>
        <v/>
      </c>
      <c r="AR243" s="243" t="str">
        <f t="shared" si="118"/>
        <v/>
      </c>
      <c r="AS243" s="243" t="str">
        <f t="shared" si="118"/>
        <v/>
      </c>
      <c r="AT243" s="243" t="str">
        <f t="shared" si="118"/>
        <v/>
      </c>
      <c r="AU243" s="243" t="str">
        <f t="shared" si="118"/>
        <v/>
      </c>
      <c r="AV243" s="243" t="str">
        <f t="shared" si="118"/>
        <v/>
      </c>
      <c r="AW243" s="247" t="str">
        <f t="shared" si="118"/>
        <v/>
      </c>
      <c r="AX243" s="243" t="str">
        <f t="shared" si="118"/>
        <v/>
      </c>
      <c r="AY243" s="248" t="str">
        <f t="shared" si="118"/>
        <v/>
      </c>
    </row>
    <row r="244" spans="2:51" ht="12" customHeight="1" x14ac:dyDescent="0.2">
      <c r="B244" s="268"/>
      <c r="C244" s="235"/>
      <c r="D244" s="235"/>
      <c r="E244" s="239"/>
      <c r="F244" s="182"/>
      <c r="G244" s="182"/>
      <c r="H244" s="182"/>
      <c r="I244" s="233"/>
      <c r="J244" s="163" t="str">
        <f>IF(Christchurch!M34="","",Christchurch!M34)</f>
        <v/>
      </c>
      <c r="K244" s="41" t="str">
        <f>IF(Christchurch!N34="","",Christchurch!N34)</f>
        <v/>
      </c>
      <c r="L244" s="41" t="str">
        <f>IF(Christchurch!O34="","",Christchurch!O34)</f>
        <v/>
      </c>
      <c r="M244" s="41" t="str">
        <f>IF(Christchurch!P34="","",Christchurch!P34)</f>
        <v/>
      </c>
      <c r="N244" s="41" t="str">
        <f>IF(Christchurch!Q34="","",Christchurch!Q34)</f>
        <v/>
      </c>
      <c r="O244" s="41" t="str">
        <f>IF(Christchurch!R34="","",Christchurch!R34)</f>
        <v/>
      </c>
      <c r="P244" s="41" t="str">
        <f>IF(Christchurch!S34="","",Christchurch!S34)</f>
        <v/>
      </c>
      <c r="Q244" s="41" t="str">
        <f>IF(Christchurch!T34="","",Christchurch!T34)</f>
        <v/>
      </c>
      <c r="R244" s="41" t="str">
        <f>IF(Christchurch!U34="","",Christchurch!U34)</f>
        <v/>
      </c>
      <c r="S244" s="41" t="str">
        <f>IF(Christchurch!V34="","",Christchurch!V34)</f>
        <v/>
      </c>
      <c r="T244" s="41" t="str">
        <f>IF(Christchurch!W34="","",Christchurch!W34)</f>
        <v/>
      </c>
      <c r="U244" s="41" t="str">
        <f>IF(Christchurch!X34="","",Christchurch!X34)</f>
        <v/>
      </c>
      <c r="V244" s="41" t="str">
        <f>IF(Christchurch!Y34="","",Christchurch!Y34)</f>
        <v/>
      </c>
      <c r="W244" s="201"/>
      <c r="X244" s="182"/>
      <c r="Y244" s="233"/>
      <c r="AA244" s="239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233"/>
    </row>
    <row r="245" spans="2:51" ht="12" customHeight="1" x14ac:dyDescent="0.2">
      <c r="B245" s="268"/>
      <c r="C245" s="263" t="str">
        <f>IF(Christchurch!E35="","",Christchurch!E35)</f>
        <v/>
      </c>
      <c r="D245" s="259" t="str">
        <f>LEFT($B$217,3)</f>
        <v>Chr</v>
      </c>
      <c r="E245" s="251" t="str">
        <f>IF(Christchurch!G35="","",Christchurch!G35)</f>
        <v/>
      </c>
      <c r="F245" s="181" t="str">
        <f>IF(Christchurch!H35=0,"",Christchurch!H35)</f>
        <v/>
      </c>
      <c r="G245" s="181" t="str">
        <f>IF(Christchurch!I35=0,"",Christchurch!I35)</f>
        <v/>
      </c>
      <c r="H245" s="181" t="str">
        <f>IF(Christchurch!J35=0,"",Christchurch!J35)</f>
        <v/>
      </c>
      <c r="I245" s="250" t="str">
        <f>IF(Christchurch!K35=0,"",Christchurch!K35)</f>
        <v/>
      </c>
      <c r="J245" s="163" t="str">
        <f>IF(Christchurch!M35="","",Christchurch!M35)</f>
        <v/>
      </c>
      <c r="K245" s="41" t="str">
        <f>IF(Christchurch!N35="","",Christchurch!N35)</f>
        <v/>
      </c>
      <c r="L245" s="41" t="str">
        <f>IF(Christchurch!O35="","",Christchurch!O35)</f>
        <v/>
      </c>
      <c r="M245" s="41" t="str">
        <f>IF(Christchurch!P35="","",Christchurch!P35)</f>
        <v/>
      </c>
      <c r="N245" s="41" t="str">
        <f>IF(Christchurch!Q35="","",Christchurch!Q35)</f>
        <v/>
      </c>
      <c r="O245" s="41" t="str">
        <f>IF(Christchurch!R35="","",Christchurch!R35)</f>
        <v/>
      </c>
      <c r="P245" s="41" t="str">
        <f>IF(Christchurch!S35="","",Christchurch!S35)</f>
        <v/>
      </c>
      <c r="Q245" s="41" t="str">
        <f>IF(Christchurch!T35="","",Christchurch!T35)</f>
        <v/>
      </c>
      <c r="R245" s="41" t="str">
        <f>IF(Christchurch!U35="","",Christchurch!U35)</f>
        <v/>
      </c>
      <c r="S245" s="41" t="str">
        <f>IF(Christchurch!V35="","",Christchurch!V35)</f>
        <v/>
      </c>
      <c r="T245" s="41" t="str">
        <f>IF(Christchurch!W35="","",Christchurch!W35)</f>
        <v/>
      </c>
      <c r="U245" s="41" t="str">
        <f>IF(Christchurch!X35="","",Christchurch!X35)</f>
        <v/>
      </c>
      <c r="V245" s="41" t="str">
        <f>IF(Christchurch!Y35="","",Christchurch!Y35)</f>
        <v/>
      </c>
      <c r="W245" s="249" t="str">
        <f>IF(Christchurch!AA35=0,"",Christchurch!AA35)</f>
        <v/>
      </c>
      <c r="X245" s="244" t="str">
        <f>IF(Christchurch!AB35=0,"",Christchurch!AB35)</f>
        <v/>
      </c>
      <c r="Y245" s="245" t="str">
        <f>IF(Christchurch!AC35=0,"",Christchurch!AC35)</f>
        <v/>
      </c>
      <c r="AA245" s="246" t="str">
        <f>Y245</f>
        <v/>
      </c>
      <c r="AB245" s="243" t="str">
        <f>X245</f>
        <v/>
      </c>
      <c r="AC245" s="185" t="str">
        <f>C245</f>
        <v/>
      </c>
      <c r="AD245" s="185" t="str">
        <f>LEFT($B$217,3)</f>
        <v>Chr</v>
      </c>
      <c r="AE245" s="185" t="str">
        <f t="shared" ref="AE245:AY245" si="119">E245</f>
        <v/>
      </c>
      <c r="AF245" s="185" t="str">
        <f t="shared" si="119"/>
        <v/>
      </c>
      <c r="AG245" s="185" t="str">
        <f t="shared" si="119"/>
        <v/>
      </c>
      <c r="AH245" s="185" t="str">
        <f t="shared" si="119"/>
        <v/>
      </c>
      <c r="AI245" s="185" t="str">
        <f t="shared" si="119"/>
        <v/>
      </c>
      <c r="AJ245" s="243" t="str">
        <f t="shared" si="119"/>
        <v/>
      </c>
      <c r="AK245" s="243" t="str">
        <f t="shared" si="119"/>
        <v/>
      </c>
      <c r="AL245" s="243" t="str">
        <f t="shared" si="119"/>
        <v/>
      </c>
      <c r="AM245" s="243" t="str">
        <f t="shared" si="119"/>
        <v/>
      </c>
      <c r="AN245" s="243" t="str">
        <f t="shared" si="119"/>
        <v/>
      </c>
      <c r="AO245" s="243" t="str">
        <f t="shared" si="119"/>
        <v/>
      </c>
      <c r="AP245" s="243" t="str">
        <f t="shared" si="119"/>
        <v/>
      </c>
      <c r="AQ245" s="243" t="str">
        <f t="shared" si="119"/>
        <v/>
      </c>
      <c r="AR245" s="243" t="str">
        <f t="shared" si="119"/>
        <v/>
      </c>
      <c r="AS245" s="243" t="str">
        <f t="shared" si="119"/>
        <v/>
      </c>
      <c r="AT245" s="243" t="str">
        <f t="shared" si="119"/>
        <v/>
      </c>
      <c r="AU245" s="243" t="str">
        <f t="shared" si="119"/>
        <v/>
      </c>
      <c r="AV245" s="243" t="str">
        <f t="shared" si="119"/>
        <v/>
      </c>
      <c r="AW245" s="247" t="str">
        <f t="shared" si="119"/>
        <v/>
      </c>
      <c r="AX245" s="243" t="str">
        <f t="shared" si="119"/>
        <v/>
      </c>
      <c r="AY245" s="248" t="str">
        <f t="shared" si="119"/>
        <v/>
      </c>
    </row>
    <row r="246" spans="2:51" ht="12" customHeight="1" x14ac:dyDescent="0.2">
      <c r="B246" s="268"/>
      <c r="C246" s="235"/>
      <c r="D246" s="235"/>
      <c r="E246" s="239"/>
      <c r="F246" s="182"/>
      <c r="G246" s="182"/>
      <c r="H246" s="182"/>
      <c r="I246" s="233"/>
      <c r="J246" s="163" t="str">
        <f>IF(Christchurch!M36="","",Christchurch!M36)</f>
        <v/>
      </c>
      <c r="K246" s="41" t="str">
        <f>IF(Christchurch!N36="","",Christchurch!N36)</f>
        <v/>
      </c>
      <c r="L246" s="41" t="str">
        <f>IF(Christchurch!O36="","",Christchurch!O36)</f>
        <v/>
      </c>
      <c r="M246" s="41" t="str">
        <f>IF(Christchurch!P36="","",Christchurch!P36)</f>
        <v/>
      </c>
      <c r="N246" s="41" t="str">
        <f>IF(Christchurch!Q36="","",Christchurch!Q36)</f>
        <v/>
      </c>
      <c r="O246" s="41" t="str">
        <f>IF(Christchurch!R36="","",Christchurch!R36)</f>
        <v/>
      </c>
      <c r="P246" s="41" t="str">
        <f>IF(Christchurch!S36="","",Christchurch!S36)</f>
        <v/>
      </c>
      <c r="Q246" s="41" t="str">
        <f>IF(Christchurch!T36="","",Christchurch!T36)</f>
        <v/>
      </c>
      <c r="R246" s="41" t="str">
        <f>IF(Christchurch!U36="","",Christchurch!U36)</f>
        <v/>
      </c>
      <c r="S246" s="41" t="str">
        <f>IF(Christchurch!V36="","",Christchurch!V36)</f>
        <v/>
      </c>
      <c r="T246" s="41" t="str">
        <f>IF(Christchurch!W36="","",Christchurch!W36)</f>
        <v/>
      </c>
      <c r="U246" s="41" t="str">
        <f>IF(Christchurch!X36="","",Christchurch!X36)</f>
        <v/>
      </c>
      <c r="V246" s="41" t="str">
        <f>IF(Christchurch!Y36="","",Christchurch!Y36)</f>
        <v/>
      </c>
      <c r="W246" s="201"/>
      <c r="X246" s="182"/>
      <c r="Y246" s="233"/>
      <c r="AA246" s="239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233"/>
    </row>
    <row r="247" spans="2:51" ht="12" customHeight="1" x14ac:dyDescent="0.2">
      <c r="B247" s="268"/>
      <c r="C247" s="263" t="str">
        <f>IF(Christchurch!E37="","",Christchurch!E37)</f>
        <v/>
      </c>
      <c r="D247" s="259" t="str">
        <f>LEFT($B$217,3)</f>
        <v>Chr</v>
      </c>
      <c r="E247" s="251" t="str">
        <f>IF(Christchurch!G37="","",Christchurch!G37)</f>
        <v/>
      </c>
      <c r="F247" s="181" t="str">
        <f>IF(Christchurch!H37=0,"",Christchurch!H37)</f>
        <v/>
      </c>
      <c r="G247" s="181" t="str">
        <f>IF(Christchurch!I37=0,"",Christchurch!I37)</f>
        <v/>
      </c>
      <c r="H247" s="181" t="str">
        <f>IF(Christchurch!J37=0,"",Christchurch!J37)</f>
        <v/>
      </c>
      <c r="I247" s="250" t="str">
        <f>IF(Christchurch!K37=0,"",Christchurch!K37)</f>
        <v/>
      </c>
      <c r="J247" s="163" t="str">
        <f>IF(Christchurch!M37="","",Christchurch!M37)</f>
        <v/>
      </c>
      <c r="K247" s="41" t="str">
        <f>IF(Christchurch!N37="","",Christchurch!N37)</f>
        <v/>
      </c>
      <c r="L247" s="41" t="str">
        <f>IF(Christchurch!O37="","",Christchurch!O37)</f>
        <v/>
      </c>
      <c r="M247" s="41" t="str">
        <f>IF(Christchurch!P37="","",Christchurch!P37)</f>
        <v/>
      </c>
      <c r="N247" s="41" t="str">
        <f>IF(Christchurch!Q37="","",Christchurch!Q37)</f>
        <v/>
      </c>
      <c r="O247" s="41" t="str">
        <f>IF(Christchurch!R37="","",Christchurch!R37)</f>
        <v/>
      </c>
      <c r="P247" s="41" t="str">
        <f>IF(Christchurch!S37="","",Christchurch!S37)</f>
        <v/>
      </c>
      <c r="Q247" s="41" t="str">
        <f>IF(Christchurch!T37="","",Christchurch!T37)</f>
        <v/>
      </c>
      <c r="R247" s="41" t="str">
        <f>IF(Christchurch!U37="","",Christchurch!U37)</f>
        <v/>
      </c>
      <c r="S247" s="41" t="str">
        <f>IF(Christchurch!V37="","",Christchurch!V37)</f>
        <v/>
      </c>
      <c r="T247" s="41" t="str">
        <f>IF(Christchurch!W37="","",Christchurch!W37)</f>
        <v/>
      </c>
      <c r="U247" s="41" t="str">
        <f>IF(Christchurch!X37="","",Christchurch!X37)</f>
        <v/>
      </c>
      <c r="V247" s="41" t="str">
        <f>IF(Christchurch!Y37="","",Christchurch!Y37)</f>
        <v/>
      </c>
      <c r="W247" s="249" t="str">
        <f>IF(Christchurch!AA37=0,"",Christchurch!AA37)</f>
        <v/>
      </c>
      <c r="X247" s="244" t="str">
        <f>IF(Christchurch!AB37=0,"",Christchurch!AB37)</f>
        <v/>
      </c>
      <c r="Y247" s="245" t="str">
        <f>IF(Christchurch!AC37=0,"",Christchurch!AC37)</f>
        <v/>
      </c>
      <c r="AA247" s="246" t="str">
        <f>Y247</f>
        <v/>
      </c>
      <c r="AB247" s="243" t="str">
        <f>X247</f>
        <v/>
      </c>
      <c r="AC247" s="185" t="str">
        <f>C247</f>
        <v/>
      </c>
      <c r="AD247" s="185" t="str">
        <f>LEFT($B$217,3)</f>
        <v>Chr</v>
      </c>
      <c r="AE247" s="185" t="str">
        <f t="shared" ref="AE247:AY247" si="120">E247</f>
        <v/>
      </c>
      <c r="AF247" s="185" t="str">
        <f t="shared" si="120"/>
        <v/>
      </c>
      <c r="AG247" s="185" t="str">
        <f t="shared" si="120"/>
        <v/>
      </c>
      <c r="AH247" s="185" t="str">
        <f t="shared" si="120"/>
        <v/>
      </c>
      <c r="AI247" s="185" t="str">
        <f t="shared" si="120"/>
        <v/>
      </c>
      <c r="AJ247" s="243" t="str">
        <f t="shared" si="120"/>
        <v/>
      </c>
      <c r="AK247" s="243" t="str">
        <f t="shared" si="120"/>
        <v/>
      </c>
      <c r="AL247" s="243" t="str">
        <f t="shared" si="120"/>
        <v/>
      </c>
      <c r="AM247" s="243" t="str">
        <f t="shared" si="120"/>
        <v/>
      </c>
      <c r="AN247" s="243" t="str">
        <f t="shared" si="120"/>
        <v/>
      </c>
      <c r="AO247" s="243" t="str">
        <f t="shared" si="120"/>
        <v/>
      </c>
      <c r="AP247" s="243" t="str">
        <f t="shared" si="120"/>
        <v/>
      </c>
      <c r="AQ247" s="243" t="str">
        <f t="shared" si="120"/>
        <v/>
      </c>
      <c r="AR247" s="243" t="str">
        <f t="shared" si="120"/>
        <v/>
      </c>
      <c r="AS247" s="243" t="str">
        <f t="shared" si="120"/>
        <v/>
      </c>
      <c r="AT247" s="243" t="str">
        <f t="shared" si="120"/>
        <v/>
      </c>
      <c r="AU247" s="243" t="str">
        <f t="shared" si="120"/>
        <v/>
      </c>
      <c r="AV247" s="243" t="str">
        <f t="shared" si="120"/>
        <v/>
      </c>
      <c r="AW247" s="247" t="str">
        <f t="shared" si="120"/>
        <v/>
      </c>
      <c r="AX247" s="243" t="str">
        <f t="shared" si="120"/>
        <v/>
      </c>
      <c r="AY247" s="248" t="str">
        <f t="shared" si="120"/>
        <v/>
      </c>
    </row>
    <row r="248" spans="2:51" ht="12" customHeight="1" x14ac:dyDescent="0.2">
      <c r="B248" s="268"/>
      <c r="C248" s="235"/>
      <c r="D248" s="235"/>
      <c r="E248" s="239"/>
      <c r="F248" s="182"/>
      <c r="G248" s="182"/>
      <c r="H248" s="182"/>
      <c r="I248" s="233"/>
      <c r="J248" s="163" t="str">
        <f>IF(Christchurch!M38="","",Christchurch!M38)</f>
        <v/>
      </c>
      <c r="K248" s="41" t="str">
        <f>IF(Christchurch!N38="","",Christchurch!N38)</f>
        <v/>
      </c>
      <c r="L248" s="41" t="str">
        <f>IF(Christchurch!O38="","",Christchurch!O38)</f>
        <v/>
      </c>
      <c r="M248" s="41" t="str">
        <f>IF(Christchurch!P38="","",Christchurch!P38)</f>
        <v/>
      </c>
      <c r="N248" s="41" t="str">
        <f>IF(Christchurch!Q38="","",Christchurch!Q38)</f>
        <v/>
      </c>
      <c r="O248" s="41" t="str">
        <f>IF(Christchurch!R38="","",Christchurch!R38)</f>
        <v/>
      </c>
      <c r="P248" s="41" t="str">
        <f>IF(Christchurch!S38="","",Christchurch!S38)</f>
        <v/>
      </c>
      <c r="Q248" s="41" t="str">
        <f>IF(Christchurch!T38="","",Christchurch!T38)</f>
        <v/>
      </c>
      <c r="R248" s="41" t="str">
        <f>IF(Christchurch!U38="","",Christchurch!U38)</f>
        <v/>
      </c>
      <c r="S248" s="41" t="str">
        <f>IF(Christchurch!V38="","",Christchurch!V38)</f>
        <v/>
      </c>
      <c r="T248" s="41" t="str">
        <f>IF(Christchurch!W38="","",Christchurch!W38)</f>
        <v/>
      </c>
      <c r="U248" s="41" t="str">
        <f>IF(Christchurch!X38="","",Christchurch!X38)</f>
        <v/>
      </c>
      <c r="V248" s="41" t="str">
        <f>IF(Christchurch!Y38="","",Christchurch!Y38)</f>
        <v/>
      </c>
      <c r="W248" s="201"/>
      <c r="X248" s="182"/>
      <c r="Y248" s="233"/>
      <c r="AA248" s="239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233"/>
    </row>
    <row r="249" spans="2:51" ht="12" customHeight="1" x14ac:dyDescent="0.2">
      <c r="B249" s="268"/>
      <c r="C249" s="263" t="str">
        <f>IF(Christchurch!E39="","",Christchurch!E39)</f>
        <v/>
      </c>
      <c r="D249" s="259" t="str">
        <f>LEFT($B$217,3)</f>
        <v>Chr</v>
      </c>
      <c r="E249" s="251" t="str">
        <f>IF(Christchurch!G39="","",Christchurch!G39)</f>
        <v/>
      </c>
      <c r="F249" s="181" t="str">
        <f>IF(Christchurch!H39=0,"",Christchurch!H39)</f>
        <v/>
      </c>
      <c r="G249" s="181" t="str">
        <f>IF(Christchurch!I39=0,"",Christchurch!I39)</f>
        <v/>
      </c>
      <c r="H249" s="181" t="str">
        <f>IF(Christchurch!J39=0,"",Christchurch!J39)</f>
        <v/>
      </c>
      <c r="I249" s="250" t="str">
        <f>IF(Christchurch!K39=0,"",Christchurch!K39)</f>
        <v/>
      </c>
      <c r="J249" s="163" t="str">
        <f>IF(Christchurch!M39="","",Christchurch!M39)</f>
        <v/>
      </c>
      <c r="K249" s="41" t="str">
        <f>IF(Christchurch!N39="","",Christchurch!N39)</f>
        <v/>
      </c>
      <c r="L249" s="41" t="str">
        <f>IF(Christchurch!O39="","",Christchurch!O39)</f>
        <v/>
      </c>
      <c r="M249" s="41" t="str">
        <f>IF(Christchurch!P39="","",Christchurch!P39)</f>
        <v/>
      </c>
      <c r="N249" s="41" t="str">
        <f>IF(Christchurch!Q39="","",Christchurch!Q39)</f>
        <v/>
      </c>
      <c r="O249" s="41" t="str">
        <f>IF(Christchurch!R39="","",Christchurch!R39)</f>
        <v/>
      </c>
      <c r="P249" s="41" t="str">
        <f>IF(Christchurch!S39="","",Christchurch!S39)</f>
        <v/>
      </c>
      <c r="Q249" s="41" t="str">
        <f>IF(Christchurch!T39="","",Christchurch!T39)</f>
        <v/>
      </c>
      <c r="R249" s="41" t="str">
        <f>IF(Christchurch!U39="","",Christchurch!U39)</f>
        <v/>
      </c>
      <c r="S249" s="41" t="str">
        <f>IF(Christchurch!V39="","",Christchurch!V39)</f>
        <v/>
      </c>
      <c r="T249" s="41" t="str">
        <f>IF(Christchurch!W39="","",Christchurch!W39)</f>
        <v/>
      </c>
      <c r="U249" s="41" t="str">
        <f>IF(Christchurch!X39="","",Christchurch!X39)</f>
        <v/>
      </c>
      <c r="V249" s="41" t="str">
        <f>IF(Christchurch!Y39="","",Christchurch!Y39)</f>
        <v/>
      </c>
      <c r="W249" s="249" t="str">
        <f>IF(Christchurch!AA39=0,"",Christchurch!AA39)</f>
        <v/>
      </c>
      <c r="X249" s="244" t="str">
        <f>IF(Christchurch!AB39=0,"",Christchurch!AB39)</f>
        <v/>
      </c>
      <c r="Y249" s="245" t="str">
        <f>IF(Christchurch!AC39=0,"",Christchurch!AC39)</f>
        <v/>
      </c>
      <c r="AA249" s="246" t="str">
        <f>Y249</f>
        <v/>
      </c>
      <c r="AB249" s="243" t="str">
        <f>X249</f>
        <v/>
      </c>
      <c r="AC249" s="185" t="str">
        <f>C249</f>
        <v/>
      </c>
      <c r="AD249" s="185" t="str">
        <f>LEFT($B$217,3)</f>
        <v>Chr</v>
      </c>
      <c r="AE249" s="185" t="str">
        <f t="shared" ref="AE249:AY249" si="121">E249</f>
        <v/>
      </c>
      <c r="AF249" s="185" t="str">
        <f t="shared" si="121"/>
        <v/>
      </c>
      <c r="AG249" s="185" t="str">
        <f t="shared" si="121"/>
        <v/>
      </c>
      <c r="AH249" s="185" t="str">
        <f t="shared" si="121"/>
        <v/>
      </c>
      <c r="AI249" s="185" t="str">
        <f t="shared" si="121"/>
        <v/>
      </c>
      <c r="AJ249" s="243" t="str">
        <f t="shared" si="121"/>
        <v/>
      </c>
      <c r="AK249" s="243" t="str">
        <f t="shared" si="121"/>
        <v/>
      </c>
      <c r="AL249" s="243" t="str">
        <f t="shared" si="121"/>
        <v/>
      </c>
      <c r="AM249" s="243" t="str">
        <f t="shared" si="121"/>
        <v/>
      </c>
      <c r="AN249" s="243" t="str">
        <f t="shared" si="121"/>
        <v/>
      </c>
      <c r="AO249" s="243" t="str">
        <f t="shared" si="121"/>
        <v/>
      </c>
      <c r="AP249" s="243" t="str">
        <f t="shared" si="121"/>
        <v/>
      </c>
      <c r="AQ249" s="243" t="str">
        <f t="shared" si="121"/>
        <v/>
      </c>
      <c r="AR249" s="243" t="str">
        <f t="shared" si="121"/>
        <v/>
      </c>
      <c r="AS249" s="243" t="str">
        <f t="shared" si="121"/>
        <v/>
      </c>
      <c r="AT249" s="243" t="str">
        <f t="shared" si="121"/>
        <v/>
      </c>
      <c r="AU249" s="243" t="str">
        <f t="shared" si="121"/>
        <v/>
      </c>
      <c r="AV249" s="243" t="str">
        <f t="shared" si="121"/>
        <v/>
      </c>
      <c r="AW249" s="247" t="str">
        <f t="shared" si="121"/>
        <v/>
      </c>
      <c r="AX249" s="243" t="str">
        <f t="shared" si="121"/>
        <v/>
      </c>
      <c r="AY249" s="248" t="str">
        <f t="shared" si="121"/>
        <v/>
      </c>
    </row>
    <row r="250" spans="2:51" ht="12" customHeight="1" x14ac:dyDescent="0.2">
      <c r="B250" s="268"/>
      <c r="C250" s="235"/>
      <c r="D250" s="235"/>
      <c r="E250" s="239"/>
      <c r="F250" s="182"/>
      <c r="G250" s="182"/>
      <c r="H250" s="182"/>
      <c r="I250" s="233"/>
      <c r="J250" s="163" t="str">
        <f>IF(Christchurch!M40="","",Christchurch!M40)</f>
        <v/>
      </c>
      <c r="K250" s="41" t="str">
        <f>IF(Christchurch!N40="","",Christchurch!N40)</f>
        <v/>
      </c>
      <c r="L250" s="41" t="str">
        <f>IF(Christchurch!O40="","",Christchurch!O40)</f>
        <v/>
      </c>
      <c r="M250" s="41" t="str">
        <f>IF(Christchurch!P40="","",Christchurch!P40)</f>
        <v/>
      </c>
      <c r="N250" s="41" t="str">
        <f>IF(Christchurch!Q40="","",Christchurch!Q40)</f>
        <v/>
      </c>
      <c r="O250" s="41" t="str">
        <f>IF(Christchurch!R40="","",Christchurch!R40)</f>
        <v/>
      </c>
      <c r="P250" s="41" t="str">
        <f>IF(Christchurch!S40="","",Christchurch!S40)</f>
        <v/>
      </c>
      <c r="Q250" s="41" t="str">
        <f>IF(Christchurch!T40="","",Christchurch!T40)</f>
        <v/>
      </c>
      <c r="R250" s="41" t="str">
        <f>IF(Christchurch!U40="","",Christchurch!U40)</f>
        <v/>
      </c>
      <c r="S250" s="41" t="str">
        <f>IF(Christchurch!V40="","",Christchurch!V40)</f>
        <v/>
      </c>
      <c r="T250" s="41" t="str">
        <f>IF(Christchurch!W40="","",Christchurch!W40)</f>
        <v/>
      </c>
      <c r="U250" s="41" t="str">
        <f>IF(Christchurch!X40="","",Christchurch!X40)</f>
        <v/>
      </c>
      <c r="V250" s="41" t="str">
        <f>IF(Christchurch!Y40="","",Christchurch!Y40)</f>
        <v/>
      </c>
      <c r="W250" s="201"/>
      <c r="X250" s="182"/>
      <c r="Y250" s="233"/>
      <c r="AA250" s="239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233"/>
    </row>
    <row r="251" spans="2:51" ht="12" customHeight="1" x14ac:dyDescent="0.2">
      <c r="B251" s="268"/>
      <c r="C251" s="263" t="str">
        <f>IF(Christchurch!E41="","",Christchurch!E41)</f>
        <v/>
      </c>
      <c r="D251" s="259" t="str">
        <f>LEFT($B$217,3)</f>
        <v>Chr</v>
      </c>
      <c r="E251" s="251" t="str">
        <f>IF(Christchurch!G41="","",Christchurch!G41)</f>
        <v/>
      </c>
      <c r="F251" s="181" t="str">
        <f>IF(Christchurch!H41=0,"",Christchurch!H41)</f>
        <v/>
      </c>
      <c r="G251" s="181" t="str">
        <f>IF(Christchurch!I41=0,"",Christchurch!I41)</f>
        <v/>
      </c>
      <c r="H251" s="181" t="str">
        <f>IF(Christchurch!J41=0,"",Christchurch!J41)</f>
        <v/>
      </c>
      <c r="I251" s="250" t="str">
        <f>IF(Christchurch!K41=0,"",Christchurch!K41)</f>
        <v/>
      </c>
      <c r="J251" s="163" t="str">
        <f>IF(Christchurch!M41="","",Christchurch!M41)</f>
        <v/>
      </c>
      <c r="K251" s="41" t="str">
        <f>IF(Christchurch!N41="","",Christchurch!N41)</f>
        <v/>
      </c>
      <c r="L251" s="41" t="str">
        <f>IF(Christchurch!O41="","",Christchurch!O41)</f>
        <v/>
      </c>
      <c r="M251" s="41" t="str">
        <f>IF(Christchurch!P41="","",Christchurch!P41)</f>
        <v/>
      </c>
      <c r="N251" s="41" t="str">
        <f>IF(Christchurch!Q41="","",Christchurch!Q41)</f>
        <v/>
      </c>
      <c r="O251" s="41" t="str">
        <f>IF(Christchurch!R41="","",Christchurch!R41)</f>
        <v/>
      </c>
      <c r="P251" s="41" t="str">
        <f>IF(Christchurch!S41="","",Christchurch!S41)</f>
        <v/>
      </c>
      <c r="Q251" s="41" t="str">
        <f>IF(Christchurch!T41="","",Christchurch!T41)</f>
        <v/>
      </c>
      <c r="R251" s="41" t="str">
        <f>IF(Christchurch!U41="","",Christchurch!U41)</f>
        <v/>
      </c>
      <c r="S251" s="41" t="str">
        <f>IF(Christchurch!V41="","",Christchurch!V41)</f>
        <v/>
      </c>
      <c r="T251" s="41" t="str">
        <f>IF(Christchurch!W41="","",Christchurch!W41)</f>
        <v/>
      </c>
      <c r="U251" s="41" t="str">
        <f>IF(Christchurch!X41="","",Christchurch!X41)</f>
        <v/>
      </c>
      <c r="V251" s="41" t="str">
        <f>IF(Christchurch!Y41="","",Christchurch!Y41)</f>
        <v/>
      </c>
      <c r="W251" s="249" t="str">
        <f>IF(Christchurch!AA41=0,"",Christchurch!AA41)</f>
        <v/>
      </c>
      <c r="X251" s="244" t="str">
        <f>IF(Christchurch!AB41=0,"",Christchurch!AB41)</f>
        <v/>
      </c>
      <c r="Y251" s="245" t="str">
        <f>IF(Christchurch!AC41=0,"",Christchurch!AC41)</f>
        <v/>
      </c>
      <c r="AA251" s="246" t="str">
        <f>Y251</f>
        <v/>
      </c>
      <c r="AB251" s="243" t="str">
        <f>X251</f>
        <v/>
      </c>
      <c r="AC251" s="185" t="str">
        <f>C251</f>
        <v/>
      </c>
      <c r="AD251" s="185" t="str">
        <f>LEFT($B$217,3)</f>
        <v>Chr</v>
      </c>
      <c r="AE251" s="185" t="str">
        <f t="shared" ref="AE251:AY251" si="122">E251</f>
        <v/>
      </c>
      <c r="AF251" s="185" t="str">
        <f t="shared" si="122"/>
        <v/>
      </c>
      <c r="AG251" s="185" t="str">
        <f t="shared" si="122"/>
        <v/>
      </c>
      <c r="AH251" s="185" t="str">
        <f t="shared" si="122"/>
        <v/>
      </c>
      <c r="AI251" s="185" t="str">
        <f t="shared" si="122"/>
        <v/>
      </c>
      <c r="AJ251" s="243" t="str">
        <f t="shared" si="122"/>
        <v/>
      </c>
      <c r="AK251" s="243" t="str">
        <f t="shared" si="122"/>
        <v/>
      </c>
      <c r="AL251" s="243" t="str">
        <f t="shared" si="122"/>
        <v/>
      </c>
      <c r="AM251" s="243" t="str">
        <f t="shared" si="122"/>
        <v/>
      </c>
      <c r="AN251" s="243" t="str">
        <f t="shared" si="122"/>
        <v/>
      </c>
      <c r="AO251" s="243" t="str">
        <f t="shared" si="122"/>
        <v/>
      </c>
      <c r="AP251" s="243" t="str">
        <f t="shared" si="122"/>
        <v/>
      </c>
      <c r="AQ251" s="243" t="str">
        <f t="shared" si="122"/>
        <v/>
      </c>
      <c r="AR251" s="243" t="str">
        <f t="shared" si="122"/>
        <v/>
      </c>
      <c r="AS251" s="243" t="str">
        <f t="shared" si="122"/>
        <v/>
      </c>
      <c r="AT251" s="243" t="str">
        <f t="shared" si="122"/>
        <v/>
      </c>
      <c r="AU251" s="243" t="str">
        <f t="shared" si="122"/>
        <v/>
      </c>
      <c r="AV251" s="243" t="str">
        <f t="shared" si="122"/>
        <v/>
      </c>
      <c r="AW251" s="247" t="str">
        <f t="shared" si="122"/>
        <v/>
      </c>
      <c r="AX251" s="243" t="str">
        <f t="shared" si="122"/>
        <v/>
      </c>
      <c r="AY251" s="248" t="str">
        <f t="shared" si="122"/>
        <v/>
      </c>
    </row>
    <row r="252" spans="2:51" ht="12" customHeight="1" x14ac:dyDescent="0.2">
      <c r="B252" s="268"/>
      <c r="C252" s="235"/>
      <c r="D252" s="235"/>
      <c r="E252" s="239"/>
      <c r="F252" s="182"/>
      <c r="G252" s="182"/>
      <c r="H252" s="182"/>
      <c r="I252" s="233"/>
      <c r="J252" s="163" t="str">
        <f>IF(Christchurch!M42="","",Christchurch!M42)</f>
        <v/>
      </c>
      <c r="K252" s="41" t="str">
        <f>IF(Christchurch!N42="","",Christchurch!N42)</f>
        <v/>
      </c>
      <c r="L252" s="41" t="str">
        <f>IF(Christchurch!O42="","",Christchurch!O42)</f>
        <v/>
      </c>
      <c r="M252" s="41" t="str">
        <f>IF(Christchurch!P42="","",Christchurch!P42)</f>
        <v/>
      </c>
      <c r="N252" s="41" t="str">
        <f>IF(Christchurch!Q42="","",Christchurch!Q42)</f>
        <v/>
      </c>
      <c r="O252" s="41" t="str">
        <f>IF(Christchurch!R42="","",Christchurch!R42)</f>
        <v/>
      </c>
      <c r="P252" s="41" t="str">
        <f>IF(Christchurch!S42="","",Christchurch!S42)</f>
        <v/>
      </c>
      <c r="Q252" s="41" t="str">
        <f>IF(Christchurch!T42="","",Christchurch!T42)</f>
        <v/>
      </c>
      <c r="R252" s="41" t="str">
        <f>IF(Christchurch!U42="","",Christchurch!U42)</f>
        <v/>
      </c>
      <c r="S252" s="41" t="str">
        <f>IF(Christchurch!V42="","",Christchurch!V42)</f>
        <v/>
      </c>
      <c r="T252" s="41" t="str">
        <f>IF(Christchurch!W42="","",Christchurch!W42)</f>
        <v/>
      </c>
      <c r="U252" s="41" t="str">
        <f>IF(Christchurch!X42="","",Christchurch!X42)</f>
        <v/>
      </c>
      <c r="V252" s="41" t="str">
        <f>IF(Christchurch!Y42="","",Christchurch!Y42)</f>
        <v/>
      </c>
      <c r="W252" s="201"/>
      <c r="X252" s="182"/>
      <c r="Y252" s="233"/>
      <c r="AA252" s="239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233"/>
    </row>
    <row r="253" spans="2:51" ht="12" customHeight="1" x14ac:dyDescent="0.2">
      <c r="B253" s="268"/>
      <c r="C253" s="263" t="str">
        <f>IF(Christchurch!E43="","",Christchurch!E43)</f>
        <v/>
      </c>
      <c r="D253" s="259" t="str">
        <f>LEFT($B$217,3)</f>
        <v>Chr</v>
      </c>
      <c r="E253" s="251" t="str">
        <f>IF(Christchurch!G43="","",Christchurch!G43)</f>
        <v/>
      </c>
      <c r="F253" s="181" t="str">
        <f>IF(Christchurch!H43=0,"",Christchurch!H43)</f>
        <v/>
      </c>
      <c r="G253" s="181" t="str">
        <f>IF(Christchurch!I43=0,"",Christchurch!I43)</f>
        <v/>
      </c>
      <c r="H253" s="181" t="str">
        <f>IF(Christchurch!J43=0,"",Christchurch!J43)</f>
        <v/>
      </c>
      <c r="I253" s="250" t="str">
        <f>IF(Christchurch!K43=0,"",Christchurch!K43)</f>
        <v/>
      </c>
      <c r="J253" s="163" t="str">
        <f>IF(Christchurch!M43="","",Christchurch!M43)</f>
        <v/>
      </c>
      <c r="K253" s="41" t="str">
        <f>IF(Christchurch!N43="","",Christchurch!N43)</f>
        <v/>
      </c>
      <c r="L253" s="41" t="str">
        <f>IF(Christchurch!O43="","",Christchurch!O43)</f>
        <v/>
      </c>
      <c r="M253" s="41" t="str">
        <f>IF(Christchurch!P43="","",Christchurch!P43)</f>
        <v/>
      </c>
      <c r="N253" s="41" t="str">
        <f>IF(Christchurch!Q43="","",Christchurch!Q43)</f>
        <v/>
      </c>
      <c r="O253" s="41" t="str">
        <f>IF(Christchurch!R43="","",Christchurch!R43)</f>
        <v/>
      </c>
      <c r="P253" s="41" t="str">
        <f>IF(Christchurch!S43="","",Christchurch!S43)</f>
        <v/>
      </c>
      <c r="Q253" s="41" t="str">
        <f>IF(Christchurch!T43="","",Christchurch!T43)</f>
        <v/>
      </c>
      <c r="R253" s="41" t="str">
        <f>IF(Christchurch!U43="","",Christchurch!U43)</f>
        <v/>
      </c>
      <c r="S253" s="41" t="str">
        <f>IF(Christchurch!V43="","",Christchurch!V43)</f>
        <v/>
      </c>
      <c r="T253" s="41" t="str">
        <f>IF(Christchurch!W43="","",Christchurch!W43)</f>
        <v/>
      </c>
      <c r="U253" s="41" t="str">
        <f>IF(Christchurch!X43="","",Christchurch!X43)</f>
        <v/>
      </c>
      <c r="V253" s="41" t="str">
        <f>IF(Christchurch!Y43="","",Christchurch!Y43)</f>
        <v/>
      </c>
      <c r="W253" s="249" t="str">
        <f>IF(Christchurch!AA43=0,"",Christchurch!AA43)</f>
        <v/>
      </c>
      <c r="X253" s="244" t="str">
        <f>IF(Christchurch!AB43=0,"",Christchurch!AB43)</f>
        <v/>
      </c>
      <c r="Y253" s="245" t="str">
        <f>IF(Christchurch!AC43=0,"",Christchurch!AC43)</f>
        <v/>
      </c>
      <c r="AA253" s="246" t="str">
        <f>Y253</f>
        <v/>
      </c>
      <c r="AB253" s="243" t="str">
        <f>X253</f>
        <v/>
      </c>
      <c r="AC253" s="185" t="str">
        <f>C253</f>
        <v/>
      </c>
      <c r="AD253" s="185" t="str">
        <f>LEFT($B$217,3)</f>
        <v>Chr</v>
      </c>
      <c r="AE253" s="185" t="str">
        <f t="shared" ref="AE253:AY253" si="123">E253</f>
        <v/>
      </c>
      <c r="AF253" s="185" t="str">
        <f t="shared" si="123"/>
        <v/>
      </c>
      <c r="AG253" s="185" t="str">
        <f t="shared" si="123"/>
        <v/>
      </c>
      <c r="AH253" s="185" t="str">
        <f t="shared" si="123"/>
        <v/>
      </c>
      <c r="AI253" s="185" t="str">
        <f t="shared" si="123"/>
        <v/>
      </c>
      <c r="AJ253" s="243" t="str">
        <f t="shared" si="123"/>
        <v/>
      </c>
      <c r="AK253" s="243" t="str">
        <f t="shared" si="123"/>
        <v/>
      </c>
      <c r="AL253" s="243" t="str">
        <f t="shared" si="123"/>
        <v/>
      </c>
      <c r="AM253" s="243" t="str">
        <f t="shared" si="123"/>
        <v/>
      </c>
      <c r="AN253" s="243" t="str">
        <f t="shared" si="123"/>
        <v/>
      </c>
      <c r="AO253" s="243" t="str">
        <f t="shared" si="123"/>
        <v/>
      </c>
      <c r="AP253" s="243" t="str">
        <f t="shared" si="123"/>
        <v/>
      </c>
      <c r="AQ253" s="243" t="str">
        <f t="shared" si="123"/>
        <v/>
      </c>
      <c r="AR253" s="243" t="str">
        <f t="shared" si="123"/>
        <v/>
      </c>
      <c r="AS253" s="243" t="str">
        <f t="shared" si="123"/>
        <v/>
      </c>
      <c r="AT253" s="243" t="str">
        <f t="shared" si="123"/>
        <v/>
      </c>
      <c r="AU253" s="243" t="str">
        <f t="shared" si="123"/>
        <v/>
      </c>
      <c r="AV253" s="243" t="str">
        <f t="shared" si="123"/>
        <v/>
      </c>
      <c r="AW253" s="247" t="str">
        <f t="shared" si="123"/>
        <v/>
      </c>
      <c r="AX253" s="243" t="str">
        <f t="shared" si="123"/>
        <v/>
      </c>
      <c r="AY253" s="248" t="str">
        <f t="shared" si="123"/>
        <v/>
      </c>
    </row>
    <row r="254" spans="2:51" ht="12" customHeight="1" x14ac:dyDescent="0.2">
      <c r="B254" s="268"/>
      <c r="C254" s="235"/>
      <c r="D254" s="235"/>
      <c r="E254" s="239"/>
      <c r="F254" s="182"/>
      <c r="G254" s="182"/>
      <c r="H254" s="182"/>
      <c r="I254" s="233"/>
      <c r="J254" s="163" t="str">
        <f>IF(Christchurch!M44="","",Christchurch!M44)</f>
        <v/>
      </c>
      <c r="K254" s="41" t="str">
        <f>IF(Christchurch!N44="","",Christchurch!N44)</f>
        <v/>
      </c>
      <c r="L254" s="41" t="str">
        <f>IF(Christchurch!O44="","",Christchurch!O44)</f>
        <v/>
      </c>
      <c r="M254" s="41" t="str">
        <f>IF(Christchurch!P44="","",Christchurch!P44)</f>
        <v/>
      </c>
      <c r="N254" s="41" t="str">
        <f>IF(Christchurch!Q44="","",Christchurch!Q44)</f>
        <v/>
      </c>
      <c r="O254" s="41" t="str">
        <f>IF(Christchurch!R44="","",Christchurch!R44)</f>
        <v/>
      </c>
      <c r="P254" s="41" t="str">
        <f>IF(Christchurch!S44="","",Christchurch!S44)</f>
        <v/>
      </c>
      <c r="Q254" s="41" t="str">
        <f>IF(Christchurch!T44="","",Christchurch!T44)</f>
        <v/>
      </c>
      <c r="R254" s="41" t="str">
        <f>IF(Christchurch!U44="","",Christchurch!U44)</f>
        <v/>
      </c>
      <c r="S254" s="41" t="str">
        <f>IF(Christchurch!V44="","",Christchurch!V44)</f>
        <v/>
      </c>
      <c r="T254" s="41" t="str">
        <f>IF(Christchurch!W44="","",Christchurch!W44)</f>
        <v/>
      </c>
      <c r="U254" s="41" t="str">
        <f>IF(Christchurch!X44="","",Christchurch!X44)</f>
        <v/>
      </c>
      <c r="V254" s="41" t="str">
        <f>IF(Christchurch!Y44="","",Christchurch!Y44)</f>
        <v/>
      </c>
      <c r="W254" s="201"/>
      <c r="X254" s="182"/>
      <c r="Y254" s="233"/>
      <c r="AA254" s="239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233"/>
    </row>
    <row r="255" spans="2:51" ht="12" customHeight="1" x14ac:dyDescent="0.2">
      <c r="B255" s="268"/>
      <c r="C255" s="263" t="str">
        <f>IF(Christchurch!E45="","",Christchurch!E45)</f>
        <v/>
      </c>
      <c r="D255" s="259" t="str">
        <f>LEFT($B$217,3)</f>
        <v>Chr</v>
      </c>
      <c r="E255" s="251" t="str">
        <f>IF(Christchurch!G45="","",Christchurch!G45)</f>
        <v/>
      </c>
      <c r="F255" s="181" t="str">
        <f>IF(Christchurch!H45=0,"",Christchurch!H45)</f>
        <v/>
      </c>
      <c r="G255" s="181" t="str">
        <f>IF(Christchurch!I45=0,"",Christchurch!I45)</f>
        <v/>
      </c>
      <c r="H255" s="181" t="str">
        <f>IF(Christchurch!J45=0,"",Christchurch!J45)</f>
        <v/>
      </c>
      <c r="I255" s="250" t="str">
        <f>IF(Christchurch!K45=0,"",Christchurch!K45)</f>
        <v/>
      </c>
      <c r="J255" s="163" t="str">
        <f>IF(Christchurch!M45="","",Christchurch!M45)</f>
        <v/>
      </c>
      <c r="K255" s="41" t="str">
        <f>IF(Christchurch!N45="","",Christchurch!N45)</f>
        <v/>
      </c>
      <c r="L255" s="41" t="str">
        <f>IF(Christchurch!O45="","",Christchurch!O45)</f>
        <v/>
      </c>
      <c r="M255" s="41" t="str">
        <f>IF(Christchurch!P45="","",Christchurch!P45)</f>
        <v/>
      </c>
      <c r="N255" s="41" t="str">
        <f>IF(Christchurch!Q45="","",Christchurch!Q45)</f>
        <v/>
      </c>
      <c r="O255" s="41" t="str">
        <f>IF(Christchurch!R45="","",Christchurch!R45)</f>
        <v/>
      </c>
      <c r="P255" s="41" t="str">
        <f>IF(Christchurch!S45="","",Christchurch!S45)</f>
        <v/>
      </c>
      <c r="Q255" s="41" t="str">
        <f>IF(Christchurch!T45="","",Christchurch!T45)</f>
        <v/>
      </c>
      <c r="R255" s="41" t="str">
        <f>IF(Christchurch!U45="","",Christchurch!U45)</f>
        <v/>
      </c>
      <c r="S255" s="41" t="str">
        <f>IF(Christchurch!V45="","",Christchurch!V45)</f>
        <v/>
      </c>
      <c r="T255" s="41" t="str">
        <f>IF(Christchurch!W45="","",Christchurch!W45)</f>
        <v/>
      </c>
      <c r="U255" s="41" t="str">
        <f>IF(Christchurch!X45="","",Christchurch!X45)</f>
        <v/>
      </c>
      <c r="V255" s="41" t="str">
        <f>IF(Christchurch!Y45="","",Christchurch!Y45)</f>
        <v/>
      </c>
      <c r="W255" s="249" t="str">
        <f>IF(Christchurch!AA45=0,"",Christchurch!AA45)</f>
        <v/>
      </c>
      <c r="X255" s="244" t="str">
        <f>IF(Christchurch!AB45=0,"",Christchurch!AB45)</f>
        <v/>
      </c>
      <c r="Y255" s="245" t="str">
        <f>IF(Christchurch!AC45=0,"",Christchurch!AC45)</f>
        <v/>
      </c>
      <c r="AA255" s="246" t="str">
        <f>Y255</f>
        <v/>
      </c>
      <c r="AB255" s="243" t="str">
        <f>X255</f>
        <v/>
      </c>
      <c r="AC255" s="185" t="str">
        <f>C255</f>
        <v/>
      </c>
      <c r="AD255" s="185" t="str">
        <f>LEFT($B$217,3)</f>
        <v>Chr</v>
      </c>
      <c r="AE255" s="185" t="str">
        <f t="shared" ref="AE255:AY255" si="124">E255</f>
        <v/>
      </c>
      <c r="AF255" s="185" t="str">
        <f t="shared" si="124"/>
        <v/>
      </c>
      <c r="AG255" s="185" t="str">
        <f t="shared" si="124"/>
        <v/>
      </c>
      <c r="AH255" s="185" t="str">
        <f t="shared" si="124"/>
        <v/>
      </c>
      <c r="AI255" s="185" t="str">
        <f t="shared" si="124"/>
        <v/>
      </c>
      <c r="AJ255" s="243" t="str">
        <f t="shared" si="124"/>
        <v/>
      </c>
      <c r="AK255" s="243" t="str">
        <f t="shared" si="124"/>
        <v/>
      </c>
      <c r="AL255" s="243" t="str">
        <f t="shared" si="124"/>
        <v/>
      </c>
      <c r="AM255" s="243" t="str">
        <f t="shared" si="124"/>
        <v/>
      </c>
      <c r="AN255" s="243" t="str">
        <f t="shared" si="124"/>
        <v/>
      </c>
      <c r="AO255" s="243" t="str">
        <f t="shared" si="124"/>
        <v/>
      </c>
      <c r="AP255" s="243" t="str">
        <f t="shared" si="124"/>
        <v/>
      </c>
      <c r="AQ255" s="243" t="str">
        <f t="shared" si="124"/>
        <v/>
      </c>
      <c r="AR255" s="243" t="str">
        <f t="shared" si="124"/>
        <v/>
      </c>
      <c r="AS255" s="243" t="str">
        <f t="shared" si="124"/>
        <v/>
      </c>
      <c r="AT255" s="243" t="str">
        <f t="shared" si="124"/>
        <v/>
      </c>
      <c r="AU255" s="243" t="str">
        <f t="shared" si="124"/>
        <v/>
      </c>
      <c r="AV255" s="243" t="str">
        <f t="shared" si="124"/>
        <v/>
      </c>
      <c r="AW255" s="247" t="str">
        <f t="shared" si="124"/>
        <v/>
      </c>
      <c r="AX255" s="243" t="str">
        <f t="shared" si="124"/>
        <v/>
      </c>
      <c r="AY255" s="248" t="str">
        <f t="shared" si="124"/>
        <v/>
      </c>
    </row>
    <row r="256" spans="2:51" ht="12" customHeight="1" x14ac:dyDescent="0.2">
      <c r="B256" s="268"/>
      <c r="C256" s="235"/>
      <c r="D256" s="235"/>
      <c r="E256" s="239"/>
      <c r="F256" s="182"/>
      <c r="G256" s="182"/>
      <c r="H256" s="182"/>
      <c r="I256" s="233"/>
      <c r="J256" s="163" t="str">
        <f>IF(Christchurch!M46="","",Christchurch!M46)</f>
        <v/>
      </c>
      <c r="K256" s="41" t="str">
        <f>IF(Christchurch!N46="","",Christchurch!N46)</f>
        <v/>
      </c>
      <c r="L256" s="41" t="str">
        <f>IF(Christchurch!O46="","",Christchurch!O46)</f>
        <v/>
      </c>
      <c r="M256" s="41" t="str">
        <f>IF(Christchurch!P46="","",Christchurch!P46)</f>
        <v/>
      </c>
      <c r="N256" s="41" t="str">
        <f>IF(Christchurch!Q46="","",Christchurch!Q46)</f>
        <v/>
      </c>
      <c r="O256" s="41" t="str">
        <f>IF(Christchurch!R46="","",Christchurch!R46)</f>
        <v/>
      </c>
      <c r="P256" s="41" t="str">
        <f>IF(Christchurch!S46="","",Christchurch!S46)</f>
        <v/>
      </c>
      <c r="Q256" s="41" t="str">
        <f>IF(Christchurch!T46="","",Christchurch!T46)</f>
        <v/>
      </c>
      <c r="R256" s="41" t="str">
        <f>IF(Christchurch!U46="","",Christchurch!U46)</f>
        <v/>
      </c>
      <c r="S256" s="41" t="str">
        <f>IF(Christchurch!V46="","",Christchurch!V46)</f>
        <v/>
      </c>
      <c r="T256" s="41" t="str">
        <f>IF(Christchurch!W46="","",Christchurch!W46)</f>
        <v/>
      </c>
      <c r="U256" s="41" t="str">
        <f>IF(Christchurch!X46="","",Christchurch!X46)</f>
        <v/>
      </c>
      <c r="V256" s="41" t="str">
        <f>IF(Christchurch!Y46="","",Christchurch!Y46)</f>
        <v/>
      </c>
      <c r="W256" s="201"/>
      <c r="X256" s="182"/>
      <c r="Y256" s="233"/>
      <c r="AA256" s="239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233"/>
    </row>
    <row r="257" spans="2:51" ht="12" customHeight="1" x14ac:dyDescent="0.2">
      <c r="B257" s="268"/>
      <c r="C257" s="263" t="str">
        <f>IF(Christchurch!E47="","",Christchurch!E47)</f>
        <v/>
      </c>
      <c r="D257" s="259" t="str">
        <f>LEFT($B$217,3)</f>
        <v>Chr</v>
      </c>
      <c r="E257" s="251" t="str">
        <f>IF(Christchurch!G47="","",Christchurch!G47)</f>
        <v/>
      </c>
      <c r="F257" s="181" t="str">
        <f>IF(Christchurch!H47=0,"",Christchurch!H47)</f>
        <v/>
      </c>
      <c r="G257" s="181" t="str">
        <f>IF(Christchurch!I47=0,"",Christchurch!I47)</f>
        <v/>
      </c>
      <c r="H257" s="181" t="str">
        <f>IF(Christchurch!J47=0,"",Christchurch!J47)</f>
        <v/>
      </c>
      <c r="I257" s="250" t="str">
        <f>IF(Christchurch!K47=0,"",Christchurch!K47)</f>
        <v/>
      </c>
      <c r="J257" s="163" t="str">
        <f>IF(Christchurch!M47="","",Christchurch!M47)</f>
        <v/>
      </c>
      <c r="K257" s="41" t="str">
        <f>IF(Christchurch!N47="","",Christchurch!N47)</f>
        <v/>
      </c>
      <c r="L257" s="41" t="str">
        <f>IF(Christchurch!O47="","",Christchurch!O47)</f>
        <v/>
      </c>
      <c r="M257" s="41" t="str">
        <f>IF(Christchurch!P47="","",Christchurch!P47)</f>
        <v/>
      </c>
      <c r="N257" s="41" t="str">
        <f>IF(Christchurch!Q47="","",Christchurch!Q47)</f>
        <v/>
      </c>
      <c r="O257" s="41" t="str">
        <f>IF(Christchurch!R47="","",Christchurch!R47)</f>
        <v/>
      </c>
      <c r="P257" s="41" t="str">
        <f>IF(Christchurch!S47="","",Christchurch!S47)</f>
        <v/>
      </c>
      <c r="Q257" s="41" t="str">
        <f>IF(Christchurch!T47="","",Christchurch!T47)</f>
        <v/>
      </c>
      <c r="R257" s="41" t="str">
        <f>IF(Christchurch!U47="","",Christchurch!U47)</f>
        <v/>
      </c>
      <c r="S257" s="41" t="str">
        <f>IF(Christchurch!V47="","",Christchurch!V47)</f>
        <v/>
      </c>
      <c r="T257" s="41" t="str">
        <f>IF(Christchurch!W47="","",Christchurch!W47)</f>
        <v/>
      </c>
      <c r="U257" s="41" t="str">
        <f>IF(Christchurch!X47="","",Christchurch!X47)</f>
        <v/>
      </c>
      <c r="V257" s="41" t="str">
        <f>IF(Christchurch!Y47="","",Christchurch!Y47)</f>
        <v/>
      </c>
      <c r="W257" s="249" t="str">
        <f>IF(Christchurch!AA47=0,"",Christchurch!AA47)</f>
        <v/>
      </c>
      <c r="X257" s="244" t="str">
        <f>IF(Christchurch!AB47=0,"",Christchurch!AB47)</f>
        <v/>
      </c>
      <c r="Y257" s="245" t="str">
        <f>IF(Christchurch!AC47=0,"",Christchurch!AC47)</f>
        <v/>
      </c>
      <c r="AA257" s="246" t="str">
        <f>Y257</f>
        <v/>
      </c>
      <c r="AB257" s="243" t="str">
        <f>X257</f>
        <v/>
      </c>
      <c r="AC257" s="185" t="str">
        <f>C257</f>
        <v/>
      </c>
      <c r="AD257" s="185" t="str">
        <f>LEFT($B$217,3)</f>
        <v>Chr</v>
      </c>
      <c r="AE257" s="185" t="str">
        <f t="shared" ref="AE257:AY257" si="125">E257</f>
        <v/>
      </c>
      <c r="AF257" s="185" t="str">
        <f t="shared" si="125"/>
        <v/>
      </c>
      <c r="AG257" s="185" t="str">
        <f t="shared" si="125"/>
        <v/>
      </c>
      <c r="AH257" s="185" t="str">
        <f t="shared" si="125"/>
        <v/>
      </c>
      <c r="AI257" s="185" t="str">
        <f t="shared" si="125"/>
        <v/>
      </c>
      <c r="AJ257" s="243" t="str">
        <f t="shared" si="125"/>
        <v/>
      </c>
      <c r="AK257" s="243" t="str">
        <f t="shared" si="125"/>
        <v/>
      </c>
      <c r="AL257" s="243" t="str">
        <f t="shared" si="125"/>
        <v/>
      </c>
      <c r="AM257" s="243" t="str">
        <f t="shared" si="125"/>
        <v/>
      </c>
      <c r="AN257" s="243" t="str">
        <f t="shared" si="125"/>
        <v/>
      </c>
      <c r="AO257" s="243" t="str">
        <f t="shared" si="125"/>
        <v/>
      </c>
      <c r="AP257" s="243" t="str">
        <f t="shared" si="125"/>
        <v/>
      </c>
      <c r="AQ257" s="243" t="str">
        <f t="shared" si="125"/>
        <v/>
      </c>
      <c r="AR257" s="243" t="str">
        <f t="shared" si="125"/>
        <v/>
      </c>
      <c r="AS257" s="243" t="str">
        <f t="shared" si="125"/>
        <v/>
      </c>
      <c r="AT257" s="243" t="str">
        <f t="shared" si="125"/>
        <v/>
      </c>
      <c r="AU257" s="243" t="str">
        <f t="shared" si="125"/>
        <v/>
      </c>
      <c r="AV257" s="243" t="str">
        <f t="shared" si="125"/>
        <v/>
      </c>
      <c r="AW257" s="247" t="str">
        <f t="shared" si="125"/>
        <v/>
      </c>
      <c r="AX257" s="243" t="str">
        <f t="shared" si="125"/>
        <v/>
      </c>
      <c r="AY257" s="248" t="str">
        <f t="shared" si="125"/>
        <v/>
      </c>
    </row>
    <row r="258" spans="2:51" ht="12.75" customHeight="1" x14ac:dyDescent="0.2">
      <c r="B258" s="269"/>
      <c r="C258" s="211"/>
      <c r="D258" s="211"/>
      <c r="E258" s="223"/>
      <c r="F258" s="225"/>
      <c r="G258" s="225"/>
      <c r="H258" s="225"/>
      <c r="I258" s="228"/>
      <c r="J258" s="164" t="str">
        <f>IF(Christchurch!M48="","",Christchurch!M48)</f>
        <v/>
      </c>
      <c r="K258" s="165" t="str">
        <f>IF(Christchurch!N48="","",Christchurch!N48)</f>
        <v/>
      </c>
      <c r="L258" s="165" t="str">
        <f>IF(Christchurch!O48="","",Christchurch!O48)</f>
        <v/>
      </c>
      <c r="M258" s="165" t="str">
        <f>IF(Christchurch!P48="","",Christchurch!P48)</f>
        <v/>
      </c>
      <c r="N258" s="165" t="str">
        <f>IF(Christchurch!Q48="","",Christchurch!Q48)</f>
        <v/>
      </c>
      <c r="O258" s="165" t="str">
        <f>IF(Christchurch!R48="","",Christchurch!R48)</f>
        <v/>
      </c>
      <c r="P258" s="165" t="str">
        <f>IF(Christchurch!S48="","",Christchurch!S48)</f>
        <v/>
      </c>
      <c r="Q258" s="165" t="str">
        <f>IF(Christchurch!T48="","",Christchurch!T48)</f>
        <v/>
      </c>
      <c r="R258" s="165" t="str">
        <f>IF(Christchurch!U48="","",Christchurch!U48)</f>
        <v/>
      </c>
      <c r="S258" s="165" t="str">
        <f>IF(Christchurch!V48="","",Christchurch!V48)</f>
        <v/>
      </c>
      <c r="T258" s="165" t="str">
        <f>IF(Christchurch!W48="","",Christchurch!W48)</f>
        <v/>
      </c>
      <c r="U258" s="165" t="str">
        <f>IF(Christchurch!X48="","",Christchurch!X48)</f>
        <v/>
      </c>
      <c r="V258" s="165" t="str">
        <f>IF(Christchurch!Y48="","",Christchurch!Y48)</f>
        <v/>
      </c>
      <c r="W258" s="261"/>
      <c r="X258" s="225"/>
      <c r="Y258" s="228"/>
      <c r="AA258" s="239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233"/>
    </row>
    <row r="259" spans="2:51" ht="12.75" customHeight="1" x14ac:dyDescent="0.2">
      <c r="B259" s="270" t="s">
        <v>18</v>
      </c>
      <c r="C259" s="264" t="str">
        <f>IF(Dorchester!E7="","",Dorchester!E7)</f>
        <v>Henry Cooper</v>
      </c>
      <c r="D259" s="260" t="str">
        <f>LEFT($B$259,3)</f>
        <v>Dor</v>
      </c>
      <c r="E259" s="256">
        <f>IF(Dorchester!G7="","",Dorchester!G7)</f>
        <v>13</v>
      </c>
      <c r="F259" s="257">
        <f>IF(Dorchester!H7=0,"",Dorchester!H7)</f>
        <v>12</v>
      </c>
      <c r="G259" s="253">
        <f>IF(Dorchester!I7=0,"",Dorchester!I7)</f>
        <v>1</v>
      </c>
      <c r="H259" s="253">
        <f>IF(Dorchester!J7=0,"",Dorchester!J7)</f>
        <v>49</v>
      </c>
      <c r="I259" s="258">
        <f>IF(Dorchester!K7=0,"",Dorchester!K7)</f>
        <v>16</v>
      </c>
      <c r="J259" s="161">
        <f>IF(Dorchester!M7="","",Dorchester!M7)</f>
        <v>25.05</v>
      </c>
      <c r="K259" s="162">
        <f>IF(Dorchester!N7="","",Dorchester!N7)</f>
        <v>29.04</v>
      </c>
      <c r="L259" s="162">
        <f>IF(Dorchester!O7="","",Dorchester!O7)</f>
        <v>27.45</v>
      </c>
      <c r="M259" s="162">
        <f>IF(Dorchester!P7="","",Dorchester!P7)</f>
        <v>22.08</v>
      </c>
      <c r="N259" s="162">
        <f>IF(Dorchester!Q7="","",Dorchester!Q7)</f>
        <v>26.03</v>
      </c>
      <c r="O259" s="162">
        <f>IF(Dorchester!R7="","",Dorchester!R7)</f>
        <v>21.68</v>
      </c>
      <c r="P259" s="162">
        <f>IF(Dorchester!S7="","",Dorchester!S7)</f>
        <v>28.23</v>
      </c>
      <c r="Q259" s="162">
        <f>IF(Dorchester!T7="","",Dorchester!T7)</f>
        <v>26.39</v>
      </c>
      <c r="R259" s="162">
        <f>IF(Dorchester!U7="","",Dorchester!U7)</f>
        <v>21.09</v>
      </c>
      <c r="S259" s="162">
        <f>IF(Dorchester!V7="","",Dorchester!V7)</f>
        <v>25.31</v>
      </c>
      <c r="T259" s="162">
        <f>IF(Dorchester!W7="","",Dorchester!W7)</f>
        <v>23.94</v>
      </c>
      <c r="U259" s="162">
        <f>IF(Dorchester!X7="","",Dorchester!X7)</f>
        <v>25.05</v>
      </c>
      <c r="V259" s="162">
        <f>IF(Dorchester!Y7="","",Dorchester!Y7)</f>
        <v>22.26</v>
      </c>
      <c r="W259" s="262">
        <f>IF(Dorchester!AA7=0,"",Dorchester!AA7)</f>
        <v>4</v>
      </c>
      <c r="X259" s="254">
        <f>IF(Dorchester!AB7=0,"",Dorchester!AB7)</f>
        <v>24.892307692307693</v>
      </c>
      <c r="Y259" s="255">
        <f>IF(Dorchester!AC7=0,"",Dorchester!AC7)</f>
        <v>36.892307692307696</v>
      </c>
      <c r="AA259" s="246">
        <f>Y259</f>
        <v>36.892307692307696</v>
      </c>
      <c r="AB259" s="243">
        <f>X259</f>
        <v>24.892307692307693</v>
      </c>
      <c r="AC259" s="185" t="str">
        <f>C259</f>
        <v>Henry Cooper</v>
      </c>
      <c r="AD259" s="185" t="str">
        <f>LEFT($B$259,3)</f>
        <v>Dor</v>
      </c>
      <c r="AE259" s="185">
        <f t="shared" ref="AE259:AY259" si="126">E259</f>
        <v>13</v>
      </c>
      <c r="AF259" s="185">
        <f t="shared" si="126"/>
        <v>12</v>
      </c>
      <c r="AG259" s="247">
        <f t="shared" si="126"/>
        <v>1</v>
      </c>
      <c r="AH259" s="247">
        <f t="shared" si="126"/>
        <v>49</v>
      </c>
      <c r="AI259" s="247">
        <f t="shared" si="126"/>
        <v>16</v>
      </c>
      <c r="AJ259" s="243">
        <f t="shared" si="126"/>
        <v>25.05</v>
      </c>
      <c r="AK259" s="243">
        <f t="shared" si="126"/>
        <v>29.04</v>
      </c>
      <c r="AL259" s="243">
        <f t="shared" si="126"/>
        <v>27.45</v>
      </c>
      <c r="AM259" s="243">
        <f t="shared" si="126"/>
        <v>22.08</v>
      </c>
      <c r="AN259" s="243">
        <f t="shared" si="126"/>
        <v>26.03</v>
      </c>
      <c r="AO259" s="243">
        <f t="shared" si="126"/>
        <v>21.68</v>
      </c>
      <c r="AP259" s="243">
        <f t="shared" si="126"/>
        <v>28.23</v>
      </c>
      <c r="AQ259" s="243">
        <f t="shared" si="126"/>
        <v>26.39</v>
      </c>
      <c r="AR259" s="243">
        <f t="shared" si="126"/>
        <v>21.09</v>
      </c>
      <c r="AS259" s="243">
        <f t="shared" si="126"/>
        <v>25.31</v>
      </c>
      <c r="AT259" s="243">
        <f t="shared" si="126"/>
        <v>23.94</v>
      </c>
      <c r="AU259" s="243">
        <f t="shared" si="126"/>
        <v>25.05</v>
      </c>
      <c r="AV259" s="243">
        <f t="shared" si="126"/>
        <v>22.26</v>
      </c>
      <c r="AW259" s="247">
        <f t="shared" si="126"/>
        <v>4</v>
      </c>
      <c r="AX259" s="243">
        <f t="shared" si="126"/>
        <v>24.892307692307693</v>
      </c>
      <c r="AY259" s="248">
        <f t="shared" si="126"/>
        <v>36.892307692307696</v>
      </c>
    </row>
    <row r="260" spans="2:51" ht="12" customHeight="1" x14ac:dyDescent="0.2">
      <c r="B260" s="266"/>
      <c r="C260" s="235"/>
      <c r="D260" s="235"/>
      <c r="E260" s="239"/>
      <c r="F260" s="182"/>
      <c r="G260" s="182"/>
      <c r="H260" s="182"/>
      <c r="I260" s="233"/>
      <c r="J260" s="163" t="str">
        <f>IF(Dorchester!M8="","",Dorchester!M8)</f>
        <v>4*0</v>
      </c>
      <c r="K260" s="41" t="str">
        <f>IF(Dorchester!N8="","",Dorchester!N8)</f>
        <v>4*0(1)</v>
      </c>
      <c r="L260" s="41" t="str">
        <f>IF(Dorchester!O8="","",Dorchester!O8)</f>
        <v>4*0(1)</v>
      </c>
      <c r="M260" s="41" t="str">
        <f>IF(Dorchester!P8="","",Dorchester!P8)</f>
        <v>4*1</v>
      </c>
      <c r="N260" s="41" t="str">
        <f>IF(Dorchester!Q8="","",Dorchester!Q8)</f>
        <v>4*0</v>
      </c>
      <c r="O260" s="41" t="str">
        <f>IF(Dorchester!R8="","",Dorchester!R8)</f>
        <v>4*2</v>
      </c>
      <c r="P260" s="41" t="str">
        <f>IF(Dorchester!S8="","",Dorchester!S8)</f>
        <v>4*0(1)</v>
      </c>
      <c r="Q260" s="41" t="str">
        <f>IF(Dorchester!T8="","",Dorchester!T8)</f>
        <v>4*3(1)</v>
      </c>
      <c r="R260" s="41" t="str">
        <f>IF(Dorchester!U8="","",Dorchester!U8)</f>
        <v>4*0</v>
      </c>
      <c r="S260" s="41" t="str">
        <f>IF(Dorchester!V8="","",Dorchester!V8)</f>
        <v>1*4</v>
      </c>
      <c r="T260" s="41" t="str">
        <f>IF(Dorchester!W8="","",Dorchester!W8)</f>
        <v>4*3</v>
      </c>
      <c r="U260" s="41" t="str">
        <f>IF(Dorchester!X8="","",Dorchester!X8)</f>
        <v>4*0</v>
      </c>
      <c r="V260" s="41" t="str">
        <f>IF(Dorchester!Y8="","",Dorchester!Y8)</f>
        <v>4*3</v>
      </c>
      <c r="W260" s="201"/>
      <c r="X260" s="182"/>
      <c r="Y260" s="233"/>
      <c r="AA260" s="239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233"/>
    </row>
    <row r="261" spans="2:51" ht="12" customHeight="1" x14ac:dyDescent="0.2">
      <c r="B261" s="266"/>
      <c r="C261" s="263" t="str">
        <f>IF(Dorchester!E9="","",Dorchester!E9)</f>
        <v>Matt Yarrow</v>
      </c>
      <c r="D261" s="259" t="str">
        <f>LEFT($B$259,3)</f>
        <v>Dor</v>
      </c>
      <c r="E261" s="251">
        <f>IF(Dorchester!G9="","",Dorchester!G9)</f>
        <v>12</v>
      </c>
      <c r="F261" s="181">
        <f>IF(Dorchester!H9=0,"",Dorchester!H9)</f>
        <v>10</v>
      </c>
      <c r="G261" s="186">
        <f>IF(Dorchester!I9=0,"",Dorchester!I9)</f>
        <v>2</v>
      </c>
      <c r="H261" s="186">
        <f>IF(Dorchester!J9=0,"",Dorchester!J9)</f>
        <v>43</v>
      </c>
      <c r="I261" s="252">
        <f>IF(Dorchester!K9=0,"",Dorchester!K9)</f>
        <v>17</v>
      </c>
      <c r="J261" s="163">
        <f>IF(Dorchester!M9="","",Dorchester!M9)</f>
        <v>22.52</v>
      </c>
      <c r="K261" s="41">
        <f>IF(Dorchester!N9="","",Dorchester!N9)</f>
        <v>24.72</v>
      </c>
      <c r="L261" s="41">
        <f>IF(Dorchester!O9="","",Dorchester!O9)</f>
        <v>29.25</v>
      </c>
      <c r="M261" s="41">
        <f>IF(Dorchester!P9="","",Dorchester!P9)</f>
        <v>32.85</v>
      </c>
      <c r="N261" s="41">
        <f>IF(Dorchester!Q9="","",Dorchester!Q9)</f>
        <v>21.09</v>
      </c>
      <c r="O261" s="41">
        <f>IF(Dorchester!R9="","",Dorchester!R9)</f>
        <v>26.03</v>
      </c>
      <c r="P261" s="41">
        <f>IF(Dorchester!S9="","",Dorchester!S9)</f>
        <v>22.98</v>
      </c>
      <c r="Q261" s="41">
        <f>IF(Dorchester!T9="","",Dorchester!T9)</f>
        <v>25.26</v>
      </c>
      <c r="R261" s="41">
        <f>IF(Dorchester!U9="","",Dorchester!U9)</f>
        <v>24.03</v>
      </c>
      <c r="S261" s="41">
        <f>IF(Dorchester!V9="","",Dorchester!V9)</f>
        <v>23.4</v>
      </c>
      <c r="T261" s="41">
        <f>IF(Dorchester!W9="","",Dorchester!W9)</f>
        <v>27.45</v>
      </c>
      <c r="U261" s="41">
        <f>IF(Dorchester!X9="","",Dorchester!X9)</f>
        <v>22.61</v>
      </c>
      <c r="V261" s="41" t="str">
        <f>IF(Dorchester!Y9="","",Dorchester!Y9)</f>
        <v/>
      </c>
      <c r="W261" s="249">
        <f>IF(Dorchester!AA9=0,"",Dorchester!AA9)</f>
        <v>4</v>
      </c>
      <c r="X261" s="244">
        <f>IF(Dorchester!AB9=0,"",Dorchester!AB9)</f>
        <v>25.182500000000001</v>
      </c>
      <c r="Y261" s="245">
        <f>IF(Dorchester!AC9=0,"",Dorchester!AC9)</f>
        <v>35.182500000000005</v>
      </c>
      <c r="AA261" s="246">
        <f>Y261</f>
        <v>35.182500000000005</v>
      </c>
      <c r="AB261" s="243">
        <f>X261</f>
        <v>25.182500000000001</v>
      </c>
      <c r="AC261" s="185" t="str">
        <f>C261</f>
        <v>Matt Yarrow</v>
      </c>
      <c r="AD261" s="185" t="str">
        <f>LEFT($B$259,3)</f>
        <v>Dor</v>
      </c>
      <c r="AE261" s="185">
        <f t="shared" ref="AE261:AY261" si="127">E261</f>
        <v>12</v>
      </c>
      <c r="AF261" s="185">
        <f t="shared" si="127"/>
        <v>10</v>
      </c>
      <c r="AG261" s="247">
        <f t="shared" si="127"/>
        <v>2</v>
      </c>
      <c r="AH261" s="247">
        <f t="shared" si="127"/>
        <v>43</v>
      </c>
      <c r="AI261" s="247">
        <f t="shared" si="127"/>
        <v>17</v>
      </c>
      <c r="AJ261" s="243">
        <f t="shared" si="127"/>
        <v>22.52</v>
      </c>
      <c r="AK261" s="243">
        <f t="shared" si="127"/>
        <v>24.72</v>
      </c>
      <c r="AL261" s="243">
        <f t="shared" si="127"/>
        <v>29.25</v>
      </c>
      <c r="AM261" s="243">
        <f t="shared" si="127"/>
        <v>32.85</v>
      </c>
      <c r="AN261" s="243">
        <f t="shared" si="127"/>
        <v>21.09</v>
      </c>
      <c r="AO261" s="243">
        <f t="shared" si="127"/>
        <v>26.03</v>
      </c>
      <c r="AP261" s="243">
        <f t="shared" si="127"/>
        <v>22.98</v>
      </c>
      <c r="AQ261" s="243">
        <f t="shared" si="127"/>
        <v>25.26</v>
      </c>
      <c r="AR261" s="243">
        <f t="shared" si="127"/>
        <v>24.03</v>
      </c>
      <c r="AS261" s="243">
        <f t="shared" si="127"/>
        <v>23.4</v>
      </c>
      <c r="AT261" s="243">
        <f t="shared" si="127"/>
        <v>27.45</v>
      </c>
      <c r="AU261" s="243">
        <f t="shared" si="127"/>
        <v>22.61</v>
      </c>
      <c r="AV261" s="243" t="str">
        <f t="shared" si="127"/>
        <v/>
      </c>
      <c r="AW261" s="247">
        <f t="shared" si="127"/>
        <v>4</v>
      </c>
      <c r="AX261" s="243">
        <f t="shared" si="127"/>
        <v>25.182500000000001</v>
      </c>
      <c r="AY261" s="248">
        <f t="shared" si="127"/>
        <v>35.182500000000005</v>
      </c>
    </row>
    <row r="262" spans="2:51" ht="12" customHeight="1" x14ac:dyDescent="0.2">
      <c r="B262" s="266"/>
      <c r="C262" s="235"/>
      <c r="D262" s="235"/>
      <c r="E262" s="239"/>
      <c r="F262" s="182"/>
      <c r="G262" s="182"/>
      <c r="H262" s="182"/>
      <c r="I262" s="233"/>
      <c r="J262" s="163" t="str">
        <f>IF(Dorchester!M10="","",Dorchester!M10)</f>
        <v>4*0</v>
      </c>
      <c r="K262" s="41" t="str">
        <f>IF(Dorchester!N10="","",Dorchester!N10)</f>
        <v>4*3</v>
      </c>
      <c r="L262" s="41" t="str">
        <f>IF(Dorchester!O10="","",Dorchester!O10)</f>
        <v>4*2(1)</v>
      </c>
      <c r="M262" s="41" t="str">
        <f>IF(Dorchester!P10="","",Dorchester!P10)</f>
        <v>4*0(1)</v>
      </c>
      <c r="N262" s="41" t="str">
        <f>IF(Dorchester!Q10="","",Dorchester!Q10)</f>
        <v>4*0(1)</v>
      </c>
      <c r="O262" s="41" t="str">
        <f>IF(Dorchester!R10="","",Dorchester!R10)</f>
        <v>4*0</v>
      </c>
      <c r="P262" s="41" t="str">
        <f>IF(Dorchester!S10="","",Dorchester!S10)</f>
        <v>2*4</v>
      </c>
      <c r="Q262" s="41" t="str">
        <f>IF(Dorchester!T10="","",Dorchester!T10)</f>
        <v>4*1(1)</v>
      </c>
      <c r="R262" s="41" t="str">
        <f>IF(Dorchester!U10="","",Dorchester!U10)</f>
        <v>1*4</v>
      </c>
      <c r="S262" s="41" t="str">
        <f>IF(Dorchester!V10="","",Dorchester!V10)</f>
        <v>4*2</v>
      </c>
      <c r="T262" s="41" t="str">
        <f>IF(Dorchester!W10="","",Dorchester!W10)</f>
        <v>4*0</v>
      </c>
      <c r="U262" s="41" t="str">
        <f>IF(Dorchester!X10="","",Dorchester!X10)</f>
        <v>4*1</v>
      </c>
      <c r="V262" s="41" t="str">
        <f>IF(Dorchester!Y10="","",Dorchester!Y10)</f>
        <v/>
      </c>
      <c r="W262" s="201"/>
      <c r="X262" s="182"/>
      <c r="Y262" s="233"/>
      <c r="AA262" s="239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233"/>
    </row>
    <row r="263" spans="2:51" ht="12" customHeight="1" x14ac:dyDescent="0.2">
      <c r="B263" s="266"/>
      <c r="C263" s="263" t="str">
        <f>IF(Dorchester!E11="","",Dorchester!E11)</f>
        <v>Neil Read</v>
      </c>
      <c r="D263" s="259" t="str">
        <f>LEFT($B$259,3)</f>
        <v>Dor</v>
      </c>
      <c r="E263" s="251" t="str">
        <f>IF(Dorchester!G11="","",Dorchester!G11)</f>
        <v/>
      </c>
      <c r="F263" s="181" t="str">
        <f>IF(Dorchester!H11=0,"",Dorchester!H11)</f>
        <v/>
      </c>
      <c r="G263" s="181" t="str">
        <f>IF(Dorchester!I11=0,"",Dorchester!I11)</f>
        <v/>
      </c>
      <c r="H263" s="181" t="str">
        <f>IF(Dorchester!J11=0,"",Dorchester!J11)</f>
        <v/>
      </c>
      <c r="I263" s="250" t="str">
        <f>IF(Dorchester!K11=0,"",Dorchester!K11)</f>
        <v/>
      </c>
      <c r="J263" s="163" t="str">
        <f>IF(Dorchester!M11="","",Dorchester!M11)</f>
        <v/>
      </c>
      <c r="K263" s="41" t="str">
        <f>IF(Dorchester!N11="","",Dorchester!N11)</f>
        <v/>
      </c>
      <c r="L263" s="41" t="str">
        <f>IF(Dorchester!O11="","",Dorchester!O11)</f>
        <v/>
      </c>
      <c r="M263" s="41" t="str">
        <f>IF(Dorchester!P11="","",Dorchester!P11)</f>
        <v/>
      </c>
      <c r="N263" s="41" t="str">
        <f>IF(Dorchester!Q11="","",Dorchester!Q11)</f>
        <v/>
      </c>
      <c r="O263" s="41" t="str">
        <f>IF(Dorchester!R11="","",Dorchester!R11)</f>
        <v/>
      </c>
      <c r="P263" s="41" t="str">
        <f>IF(Dorchester!S11="","",Dorchester!S11)</f>
        <v/>
      </c>
      <c r="Q263" s="41" t="str">
        <f>IF(Dorchester!T11="","",Dorchester!T11)</f>
        <v/>
      </c>
      <c r="R263" s="41" t="str">
        <f>IF(Dorchester!U11="","",Dorchester!U11)</f>
        <v/>
      </c>
      <c r="S263" s="41" t="str">
        <f>IF(Dorchester!V11="","",Dorchester!V11)</f>
        <v/>
      </c>
      <c r="T263" s="41" t="str">
        <f>IF(Dorchester!W11="","",Dorchester!W11)</f>
        <v/>
      </c>
      <c r="U263" s="41" t="str">
        <f>IF(Dorchester!X11="","",Dorchester!X11)</f>
        <v/>
      </c>
      <c r="V263" s="41" t="str">
        <f>IF(Dorchester!Y11="","",Dorchester!Y11)</f>
        <v/>
      </c>
      <c r="W263" s="249" t="str">
        <f>IF(Dorchester!AA11=0,"",Dorchester!AA11)</f>
        <v/>
      </c>
      <c r="X263" s="244" t="str">
        <f>IF(Dorchester!AB11=0,"",Dorchester!AB11)</f>
        <v/>
      </c>
      <c r="Y263" s="245" t="str">
        <f>IF(Dorchester!AC11=0,"",Dorchester!AC11)</f>
        <v/>
      </c>
      <c r="AA263" s="246" t="str">
        <f>Y263</f>
        <v/>
      </c>
      <c r="AB263" s="243" t="str">
        <f>X263</f>
        <v/>
      </c>
      <c r="AC263" s="185" t="str">
        <f>C263</f>
        <v>Neil Read</v>
      </c>
      <c r="AD263" s="185" t="str">
        <f>LEFT($B$259,3)</f>
        <v>Dor</v>
      </c>
      <c r="AE263" s="185" t="str">
        <f t="shared" ref="AE263:AY263" si="128">E263</f>
        <v/>
      </c>
      <c r="AF263" s="185" t="str">
        <f t="shared" si="128"/>
        <v/>
      </c>
      <c r="AG263" s="185" t="str">
        <f t="shared" si="128"/>
        <v/>
      </c>
      <c r="AH263" s="185" t="str">
        <f t="shared" si="128"/>
        <v/>
      </c>
      <c r="AI263" s="185" t="str">
        <f t="shared" si="128"/>
        <v/>
      </c>
      <c r="AJ263" s="243" t="str">
        <f t="shared" si="128"/>
        <v/>
      </c>
      <c r="AK263" s="243" t="str">
        <f t="shared" si="128"/>
        <v/>
      </c>
      <c r="AL263" s="243" t="str">
        <f t="shared" si="128"/>
        <v/>
      </c>
      <c r="AM263" s="243" t="str">
        <f t="shared" si="128"/>
        <v/>
      </c>
      <c r="AN263" s="243" t="str">
        <f t="shared" si="128"/>
        <v/>
      </c>
      <c r="AO263" s="243" t="str">
        <f t="shared" si="128"/>
        <v/>
      </c>
      <c r="AP263" s="243" t="str">
        <f t="shared" si="128"/>
        <v/>
      </c>
      <c r="AQ263" s="243" t="str">
        <f t="shared" si="128"/>
        <v/>
      </c>
      <c r="AR263" s="243" t="str">
        <f t="shared" si="128"/>
        <v/>
      </c>
      <c r="AS263" s="243" t="str">
        <f t="shared" si="128"/>
        <v/>
      </c>
      <c r="AT263" s="243" t="str">
        <f t="shared" si="128"/>
        <v/>
      </c>
      <c r="AU263" s="243" t="str">
        <f t="shared" si="128"/>
        <v/>
      </c>
      <c r="AV263" s="243" t="str">
        <f t="shared" si="128"/>
        <v/>
      </c>
      <c r="AW263" s="247" t="str">
        <f t="shared" si="128"/>
        <v/>
      </c>
      <c r="AX263" s="243" t="str">
        <f t="shared" si="128"/>
        <v/>
      </c>
      <c r="AY263" s="248" t="str">
        <f t="shared" si="128"/>
        <v/>
      </c>
    </row>
    <row r="264" spans="2:51" ht="12" customHeight="1" x14ac:dyDescent="0.2">
      <c r="B264" s="266"/>
      <c r="C264" s="235"/>
      <c r="D264" s="235"/>
      <c r="E264" s="239"/>
      <c r="F264" s="182"/>
      <c r="G264" s="182"/>
      <c r="H264" s="182"/>
      <c r="I264" s="233"/>
      <c r="J264" s="163" t="str">
        <f>IF(Dorchester!M12="","",Dorchester!M12)</f>
        <v/>
      </c>
      <c r="K264" s="41" t="str">
        <f>IF(Dorchester!N12="","",Dorchester!N12)</f>
        <v/>
      </c>
      <c r="L264" s="41" t="str">
        <f>IF(Dorchester!O12="","",Dorchester!O12)</f>
        <v/>
      </c>
      <c r="M264" s="41" t="str">
        <f>IF(Dorchester!P12="","",Dorchester!P12)</f>
        <v/>
      </c>
      <c r="N264" s="41" t="str">
        <f>IF(Dorchester!Q12="","",Dorchester!Q12)</f>
        <v/>
      </c>
      <c r="O264" s="41" t="str">
        <f>IF(Dorchester!R12="","",Dorchester!R12)</f>
        <v/>
      </c>
      <c r="P264" s="41" t="str">
        <f>IF(Dorchester!S12="","",Dorchester!S12)</f>
        <v/>
      </c>
      <c r="Q264" s="41" t="str">
        <f>IF(Dorchester!T12="","",Dorchester!T12)</f>
        <v/>
      </c>
      <c r="R264" s="41" t="str">
        <f>IF(Dorchester!U12="","",Dorchester!U12)</f>
        <v/>
      </c>
      <c r="S264" s="41" t="str">
        <f>IF(Dorchester!V12="","",Dorchester!V12)</f>
        <v/>
      </c>
      <c r="T264" s="41" t="str">
        <f>IF(Dorchester!W12="","",Dorchester!W12)</f>
        <v/>
      </c>
      <c r="U264" s="41" t="str">
        <f>IF(Dorchester!X12="","",Dorchester!X12)</f>
        <v/>
      </c>
      <c r="V264" s="41" t="str">
        <f>IF(Dorchester!Y12="","",Dorchester!Y12)</f>
        <v/>
      </c>
      <c r="W264" s="201"/>
      <c r="X264" s="182"/>
      <c r="Y264" s="233"/>
      <c r="AA264" s="239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233"/>
    </row>
    <row r="265" spans="2:51" ht="12" customHeight="1" x14ac:dyDescent="0.2">
      <c r="B265" s="266"/>
      <c r="C265" s="263" t="str">
        <f>IF(Dorchester!E13="","",Dorchester!E13)</f>
        <v>Robby Morris</v>
      </c>
      <c r="D265" s="259" t="str">
        <f>LEFT($B$259,3)</f>
        <v>Dor</v>
      </c>
      <c r="E265" s="251">
        <f>IF(Dorchester!G13="","",Dorchester!G13)</f>
        <v>12</v>
      </c>
      <c r="F265" s="181">
        <f>IF(Dorchester!H13=0,"",Dorchester!H13)</f>
        <v>8</v>
      </c>
      <c r="G265" s="186">
        <f>IF(Dorchester!I13=0,"",Dorchester!I13)</f>
        <v>4</v>
      </c>
      <c r="H265" s="186">
        <f>IF(Dorchester!J13=0,"",Dorchester!J13)</f>
        <v>36</v>
      </c>
      <c r="I265" s="252">
        <f>IF(Dorchester!K13=0,"",Dorchester!K13)</f>
        <v>33</v>
      </c>
      <c r="J265" s="163">
        <f>IF(Dorchester!M13="","",Dorchester!M13)</f>
        <v>20.04</v>
      </c>
      <c r="K265" s="41">
        <f>IF(Dorchester!N13="","",Dorchester!N13)</f>
        <v>20.51</v>
      </c>
      <c r="L265" s="41">
        <f>IF(Dorchester!O13="","",Dorchester!O13)</f>
        <v>22.61</v>
      </c>
      <c r="M265" s="41">
        <f>IF(Dorchester!P13="","",Dorchester!P13)</f>
        <v>21.06</v>
      </c>
      <c r="N265" s="41">
        <f>IF(Dorchester!Q13="","",Dorchester!Q13)</f>
        <v>21.4</v>
      </c>
      <c r="O265" s="41">
        <f>IF(Dorchester!R13="","",Dorchester!R13)</f>
        <v>21.42</v>
      </c>
      <c r="P265" s="41">
        <f>IF(Dorchester!S13="","",Dorchester!S13)</f>
        <v>24.13</v>
      </c>
      <c r="Q265" s="41">
        <f>IF(Dorchester!T13="","",Dorchester!T13)</f>
        <v>18.82</v>
      </c>
      <c r="R265" s="41">
        <f>IF(Dorchester!U13="","",Dorchester!U13)</f>
        <v>20.59</v>
      </c>
      <c r="S265" s="41" t="str">
        <f>IF(Dorchester!V13="","",Dorchester!V13)</f>
        <v/>
      </c>
      <c r="T265" s="41">
        <f>IF(Dorchester!W13="","",Dorchester!W13)</f>
        <v>24.87</v>
      </c>
      <c r="U265" s="41">
        <f>IF(Dorchester!X13="","",Dorchester!X13)</f>
        <v>22.38</v>
      </c>
      <c r="V265" s="41">
        <f>IF(Dorchester!Y13="","",Dorchester!Y13)</f>
        <v>22.52</v>
      </c>
      <c r="W265" s="249">
        <f>IF(Dorchester!AA13=0,"",Dorchester!AA13)</f>
        <v>3</v>
      </c>
      <c r="X265" s="244">
        <f>IF(Dorchester!AB13=0,"",Dorchester!AB13)</f>
        <v>21.695833333333336</v>
      </c>
      <c r="Y265" s="245">
        <f>IF(Dorchester!AC13=0,"",Dorchester!AC13)</f>
        <v>29.695833333333336</v>
      </c>
      <c r="AA265" s="246">
        <f>Y265</f>
        <v>29.695833333333336</v>
      </c>
      <c r="AB265" s="243">
        <f>X265</f>
        <v>21.695833333333336</v>
      </c>
      <c r="AC265" s="185" t="str">
        <f>C265</f>
        <v>Robby Morris</v>
      </c>
      <c r="AD265" s="185" t="str">
        <f>LEFT($B$259,3)</f>
        <v>Dor</v>
      </c>
      <c r="AE265" s="185">
        <f t="shared" ref="AE265:AY265" si="129">E265</f>
        <v>12</v>
      </c>
      <c r="AF265" s="185">
        <f t="shared" si="129"/>
        <v>8</v>
      </c>
      <c r="AG265" s="247">
        <f t="shared" si="129"/>
        <v>4</v>
      </c>
      <c r="AH265" s="247">
        <f t="shared" si="129"/>
        <v>36</v>
      </c>
      <c r="AI265" s="247">
        <f t="shared" si="129"/>
        <v>33</v>
      </c>
      <c r="AJ265" s="243">
        <f t="shared" si="129"/>
        <v>20.04</v>
      </c>
      <c r="AK265" s="243">
        <f t="shared" si="129"/>
        <v>20.51</v>
      </c>
      <c r="AL265" s="243">
        <f t="shared" si="129"/>
        <v>22.61</v>
      </c>
      <c r="AM265" s="243">
        <f t="shared" si="129"/>
        <v>21.06</v>
      </c>
      <c r="AN265" s="243">
        <f t="shared" si="129"/>
        <v>21.4</v>
      </c>
      <c r="AO265" s="243">
        <f t="shared" si="129"/>
        <v>21.42</v>
      </c>
      <c r="AP265" s="243">
        <f t="shared" si="129"/>
        <v>24.13</v>
      </c>
      <c r="AQ265" s="243">
        <f t="shared" si="129"/>
        <v>18.82</v>
      </c>
      <c r="AR265" s="243">
        <f t="shared" si="129"/>
        <v>20.59</v>
      </c>
      <c r="AS265" s="243" t="str">
        <f t="shared" si="129"/>
        <v/>
      </c>
      <c r="AT265" s="243">
        <f t="shared" si="129"/>
        <v>24.87</v>
      </c>
      <c r="AU265" s="243">
        <f t="shared" si="129"/>
        <v>22.38</v>
      </c>
      <c r="AV265" s="243">
        <f t="shared" si="129"/>
        <v>22.52</v>
      </c>
      <c r="AW265" s="247">
        <f t="shared" si="129"/>
        <v>3</v>
      </c>
      <c r="AX265" s="243">
        <f t="shared" si="129"/>
        <v>21.695833333333336</v>
      </c>
      <c r="AY265" s="248">
        <f t="shared" si="129"/>
        <v>29.695833333333336</v>
      </c>
    </row>
    <row r="266" spans="2:51" ht="12" customHeight="1" x14ac:dyDescent="0.2">
      <c r="B266" s="266"/>
      <c r="C266" s="235"/>
      <c r="D266" s="235"/>
      <c r="E266" s="239"/>
      <c r="F266" s="182"/>
      <c r="G266" s="182"/>
      <c r="H266" s="182"/>
      <c r="I266" s="233"/>
      <c r="J266" s="163" t="str">
        <f>IF(Dorchester!M14="","",Dorchester!M14)</f>
        <v>4*1(1)</v>
      </c>
      <c r="K266" s="41" t="str">
        <f>IF(Dorchester!N14="","",Dorchester!N14)</f>
        <v>2*4</v>
      </c>
      <c r="L266" s="41" t="str">
        <f>IF(Dorchester!O14="","",Dorchester!O14)</f>
        <v>4*3</v>
      </c>
      <c r="M266" s="41" t="str">
        <f>IF(Dorchester!P14="","",Dorchester!P14)</f>
        <v>1*4</v>
      </c>
      <c r="N266" s="41" t="str">
        <f>IF(Dorchester!Q14="","",Dorchester!Q14)</f>
        <v>4*1</v>
      </c>
      <c r="O266" s="41" t="str">
        <f>IF(Dorchester!R14="","",Dorchester!R14)</f>
        <v>4*2(1)</v>
      </c>
      <c r="P266" s="41" t="str">
        <f>IF(Dorchester!S14="","",Dorchester!S14)</f>
        <v>0*4</v>
      </c>
      <c r="Q266" s="41" t="str">
        <f>IF(Dorchester!T14="","",Dorchester!T14)</f>
        <v>4*2</v>
      </c>
      <c r="R266" s="41" t="str">
        <f>IF(Dorchester!U14="","",Dorchester!U14)</f>
        <v>4*2</v>
      </c>
      <c r="S266" s="41" t="str">
        <f>IF(Dorchester!V14="","",Dorchester!V14)</f>
        <v/>
      </c>
      <c r="T266" s="41" t="str">
        <f>IF(Dorchester!W14="","",Dorchester!W14)</f>
        <v>4*3</v>
      </c>
      <c r="U266" s="41" t="str">
        <f>IF(Dorchester!X14="","",Dorchester!X14)</f>
        <v>1*4</v>
      </c>
      <c r="V266" s="41" t="str">
        <f>IF(Dorchester!Y14="","",Dorchester!Y14)</f>
        <v>4*3(1)</v>
      </c>
      <c r="W266" s="201"/>
      <c r="X266" s="182"/>
      <c r="Y266" s="233"/>
      <c r="AA266" s="239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233"/>
    </row>
    <row r="267" spans="2:51" ht="12" customHeight="1" x14ac:dyDescent="0.2">
      <c r="B267" s="266"/>
      <c r="C267" s="263" t="str">
        <f>IF(Dorchester!E15="","",Dorchester!E15)</f>
        <v>Liam Blakeley</v>
      </c>
      <c r="D267" s="259" t="str">
        <f>LEFT($B$259,3)</f>
        <v>Dor</v>
      </c>
      <c r="E267" s="251">
        <f>IF(Dorchester!G15="","",Dorchester!G15)</f>
        <v>10</v>
      </c>
      <c r="F267" s="181">
        <f>IF(Dorchester!H15=0,"",Dorchester!H15)</f>
        <v>9</v>
      </c>
      <c r="G267" s="186">
        <f>IF(Dorchester!I15=0,"",Dorchester!I15)</f>
        <v>1</v>
      </c>
      <c r="H267" s="186">
        <f>IF(Dorchester!J15=0,"",Dorchester!J15)</f>
        <v>38</v>
      </c>
      <c r="I267" s="252">
        <f>IF(Dorchester!K15=0,"",Dorchester!K15)</f>
        <v>13</v>
      </c>
      <c r="J267" s="163">
        <f>IF(Dorchester!M15="","",Dorchester!M15)</f>
        <v>20.329999999999998</v>
      </c>
      <c r="K267" s="41">
        <f>IF(Dorchester!N15="","",Dorchester!N15)</f>
        <v>22.73</v>
      </c>
      <c r="L267" s="41">
        <f>IF(Dorchester!O15="","",Dorchester!O15)</f>
        <v>22.52</v>
      </c>
      <c r="M267" s="41">
        <f>IF(Dorchester!P15="","",Dorchester!P15)</f>
        <v>21.27</v>
      </c>
      <c r="N267" s="41">
        <f>IF(Dorchester!Q15="","",Dorchester!Q15)</f>
        <v>21.9</v>
      </c>
      <c r="O267" s="41">
        <f>IF(Dorchester!R15="","",Dorchester!R15)</f>
        <v>23.58</v>
      </c>
      <c r="P267" s="41">
        <f>IF(Dorchester!S15="","",Dorchester!S15)</f>
        <v>21.77</v>
      </c>
      <c r="Q267" s="41">
        <f>IF(Dorchester!T15="","",Dorchester!T15)</f>
        <v>25.21</v>
      </c>
      <c r="R267" s="41" t="str">
        <f>IF(Dorchester!U15="","",Dorchester!U15)</f>
        <v/>
      </c>
      <c r="S267" s="41">
        <f>IF(Dorchester!V15="","",Dorchester!V15)</f>
        <v>25.37</v>
      </c>
      <c r="T267" s="41">
        <f>IF(Dorchester!W15="","",Dorchester!W15)</f>
        <v>27.65</v>
      </c>
      <c r="U267" s="41" t="str">
        <f>IF(Dorchester!X15="","",Dorchester!X15)</f>
        <v/>
      </c>
      <c r="V267" s="41" t="str">
        <f>IF(Dorchester!Y15="","",Dorchester!Y15)</f>
        <v/>
      </c>
      <c r="W267" s="249">
        <f>IF(Dorchester!AA15=0,"",Dorchester!AA15)</f>
        <v>4</v>
      </c>
      <c r="X267" s="244">
        <f>IF(Dorchester!AB15=0,"",Dorchester!AB15)</f>
        <v>23.233000000000001</v>
      </c>
      <c r="Y267" s="245">
        <f>IF(Dorchester!AC15=0,"",Dorchester!AC15)</f>
        <v>32.233000000000004</v>
      </c>
      <c r="AA267" s="246">
        <f>Y267</f>
        <v>32.233000000000004</v>
      </c>
      <c r="AB267" s="243">
        <f>X267</f>
        <v>23.233000000000001</v>
      </c>
      <c r="AC267" s="185" t="str">
        <f>C267</f>
        <v>Liam Blakeley</v>
      </c>
      <c r="AD267" s="185" t="str">
        <f>LEFT($B$259,3)</f>
        <v>Dor</v>
      </c>
      <c r="AE267" s="185">
        <f t="shared" ref="AE267:AY267" si="130">E267</f>
        <v>10</v>
      </c>
      <c r="AF267" s="185">
        <f t="shared" si="130"/>
        <v>9</v>
      </c>
      <c r="AG267" s="247">
        <f t="shared" si="130"/>
        <v>1</v>
      </c>
      <c r="AH267" s="247">
        <f t="shared" si="130"/>
        <v>38</v>
      </c>
      <c r="AI267" s="247">
        <f t="shared" si="130"/>
        <v>13</v>
      </c>
      <c r="AJ267" s="243">
        <f t="shared" si="130"/>
        <v>20.329999999999998</v>
      </c>
      <c r="AK267" s="243">
        <f t="shared" si="130"/>
        <v>22.73</v>
      </c>
      <c r="AL267" s="243">
        <f t="shared" si="130"/>
        <v>22.52</v>
      </c>
      <c r="AM267" s="243">
        <f t="shared" si="130"/>
        <v>21.27</v>
      </c>
      <c r="AN267" s="243">
        <f t="shared" si="130"/>
        <v>21.9</v>
      </c>
      <c r="AO267" s="243">
        <f t="shared" si="130"/>
        <v>23.58</v>
      </c>
      <c r="AP267" s="243">
        <f t="shared" si="130"/>
        <v>21.77</v>
      </c>
      <c r="AQ267" s="243">
        <f t="shared" si="130"/>
        <v>25.21</v>
      </c>
      <c r="AR267" s="243" t="str">
        <f t="shared" si="130"/>
        <v/>
      </c>
      <c r="AS267" s="243">
        <f t="shared" si="130"/>
        <v>25.37</v>
      </c>
      <c r="AT267" s="243">
        <f t="shared" si="130"/>
        <v>27.65</v>
      </c>
      <c r="AU267" s="243" t="str">
        <f t="shared" si="130"/>
        <v/>
      </c>
      <c r="AV267" s="243" t="str">
        <f t="shared" si="130"/>
        <v/>
      </c>
      <c r="AW267" s="247">
        <f t="shared" si="130"/>
        <v>4</v>
      </c>
      <c r="AX267" s="243">
        <f t="shared" si="130"/>
        <v>23.233000000000001</v>
      </c>
      <c r="AY267" s="248">
        <f t="shared" si="130"/>
        <v>32.233000000000004</v>
      </c>
    </row>
    <row r="268" spans="2:51" ht="12" customHeight="1" x14ac:dyDescent="0.2">
      <c r="B268" s="266"/>
      <c r="C268" s="235"/>
      <c r="D268" s="235"/>
      <c r="E268" s="239"/>
      <c r="F268" s="182"/>
      <c r="G268" s="182"/>
      <c r="H268" s="182"/>
      <c r="I268" s="233"/>
      <c r="J268" s="163" t="str">
        <f>IF(Dorchester!M16="","",Dorchester!M16)</f>
        <v>4*1</v>
      </c>
      <c r="K268" s="41" t="str">
        <f>IF(Dorchester!N16="","",Dorchester!N16)</f>
        <v>4*0(1)</v>
      </c>
      <c r="L268" s="41" t="str">
        <f>IF(Dorchester!O16="","",Dorchester!O16)</f>
        <v>4*0</v>
      </c>
      <c r="M268" s="41" t="str">
        <f>IF(Dorchester!P16="","",Dorchester!P16)</f>
        <v>4*2(2)</v>
      </c>
      <c r="N268" s="41" t="str">
        <f>IF(Dorchester!Q16="","",Dorchester!Q16)</f>
        <v>4*1(1)</v>
      </c>
      <c r="O268" s="41" t="str">
        <f>IF(Dorchester!R16="","",Dorchester!R16)</f>
        <v>4*0</v>
      </c>
      <c r="P268" s="41" t="str">
        <f>IF(Dorchester!S16="","",Dorchester!S16)</f>
        <v>4*2</v>
      </c>
      <c r="Q268" s="41" t="str">
        <f>IF(Dorchester!T16="","",Dorchester!T16)</f>
        <v>2*4</v>
      </c>
      <c r="R268" s="41" t="str">
        <f>IF(Dorchester!U16="","",Dorchester!U16)</f>
        <v/>
      </c>
      <c r="S268" s="41" t="str">
        <f>IF(Dorchester!V16="","",Dorchester!V16)</f>
        <v>4*0</v>
      </c>
      <c r="T268" s="41" t="str">
        <f>IF(Dorchester!W16="","",Dorchester!W16)</f>
        <v>4*3</v>
      </c>
      <c r="U268" s="41" t="str">
        <f>IF(Dorchester!X16="","",Dorchester!X16)</f>
        <v/>
      </c>
      <c r="V268" s="41" t="str">
        <f>IF(Dorchester!Y16="","",Dorchester!Y16)</f>
        <v/>
      </c>
      <c r="W268" s="201"/>
      <c r="X268" s="182"/>
      <c r="Y268" s="233"/>
      <c r="AA268" s="239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233"/>
    </row>
    <row r="269" spans="2:51" ht="12" customHeight="1" x14ac:dyDescent="0.2">
      <c r="B269" s="266"/>
      <c r="C269" s="263" t="str">
        <f>IF(Dorchester!E17="","",Dorchester!E17)</f>
        <v>Simon Coles</v>
      </c>
      <c r="D269" s="259" t="str">
        <f>LEFT($B$259,3)</f>
        <v>Dor</v>
      </c>
      <c r="E269" s="251">
        <f>IF(Dorchester!G17="","",Dorchester!G17)</f>
        <v>10</v>
      </c>
      <c r="F269" s="181">
        <f>IF(Dorchester!H17=0,"",Dorchester!H17)</f>
        <v>5</v>
      </c>
      <c r="G269" s="186">
        <f>IF(Dorchester!I17=0,"",Dorchester!I17)</f>
        <v>5</v>
      </c>
      <c r="H269" s="186">
        <f>IF(Dorchester!J17=0,"",Dorchester!J17)</f>
        <v>28</v>
      </c>
      <c r="I269" s="252">
        <f>IF(Dorchester!K17=0,"",Dorchester!K17)</f>
        <v>28</v>
      </c>
      <c r="J269" s="163">
        <f>IF(Dorchester!M17="","",Dorchester!M17)</f>
        <v>21.05</v>
      </c>
      <c r="K269" s="41">
        <f>IF(Dorchester!N17="","",Dorchester!N17)</f>
        <v>21.62</v>
      </c>
      <c r="L269" s="41">
        <f>IF(Dorchester!O17="","",Dorchester!O17)</f>
        <v>22.25</v>
      </c>
      <c r="M269" s="41">
        <f>IF(Dorchester!P17="","",Dorchester!P17)</f>
        <v>19.64</v>
      </c>
      <c r="N269" s="41">
        <f>IF(Dorchester!Q17="","",Dorchester!Q17)</f>
        <v>25.53</v>
      </c>
      <c r="O269" s="41" t="str">
        <f>IF(Dorchester!R17="","",Dorchester!R17)</f>
        <v/>
      </c>
      <c r="P269" s="41" t="str">
        <f>IF(Dorchester!S17="","",Dorchester!S17)</f>
        <v/>
      </c>
      <c r="Q269" s="41" t="str">
        <f>IF(Dorchester!T17="","",Dorchester!T17)</f>
        <v/>
      </c>
      <c r="R269" s="41">
        <f>IF(Dorchester!U17="","",Dorchester!U17)</f>
        <v>22.76</v>
      </c>
      <c r="S269" s="41">
        <f>IF(Dorchester!V17="","",Dorchester!V17)</f>
        <v>19.87</v>
      </c>
      <c r="T269" s="41">
        <f>IF(Dorchester!W17="","",Dorchester!W17)</f>
        <v>24.46</v>
      </c>
      <c r="U269" s="41">
        <f>IF(Dorchester!X17="","",Dorchester!X17)</f>
        <v>24.52</v>
      </c>
      <c r="V269" s="41">
        <f>IF(Dorchester!Y17="","",Dorchester!Y17)</f>
        <v>21.6</v>
      </c>
      <c r="W269" s="249">
        <f>IF(Dorchester!AA17=0,"",Dorchester!AA17)</f>
        <v>1</v>
      </c>
      <c r="X269" s="244">
        <f>IF(Dorchester!AB17=0,"",Dorchester!AB17)</f>
        <v>22.330000000000002</v>
      </c>
      <c r="Y269" s="245">
        <f>IF(Dorchester!AC17=0,"",Dorchester!AC17)</f>
        <v>27.330000000000002</v>
      </c>
      <c r="AA269" s="246">
        <f>Y269</f>
        <v>27.330000000000002</v>
      </c>
      <c r="AB269" s="243">
        <f>X269</f>
        <v>22.330000000000002</v>
      </c>
      <c r="AC269" s="185" t="str">
        <f>C269</f>
        <v>Simon Coles</v>
      </c>
      <c r="AD269" s="185" t="str">
        <f>LEFT($B$259,3)</f>
        <v>Dor</v>
      </c>
      <c r="AE269" s="185">
        <f t="shared" ref="AE269:AY269" si="131">E269</f>
        <v>10</v>
      </c>
      <c r="AF269" s="185">
        <f t="shared" si="131"/>
        <v>5</v>
      </c>
      <c r="AG269" s="247">
        <f t="shared" si="131"/>
        <v>5</v>
      </c>
      <c r="AH269" s="247">
        <f t="shared" si="131"/>
        <v>28</v>
      </c>
      <c r="AI269" s="247">
        <f t="shared" si="131"/>
        <v>28</v>
      </c>
      <c r="AJ269" s="243">
        <f t="shared" si="131"/>
        <v>21.05</v>
      </c>
      <c r="AK269" s="243">
        <f t="shared" si="131"/>
        <v>21.62</v>
      </c>
      <c r="AL269" s="243">
        <f t="shared" si="131"/>
        <v>22.25</v>
      </c>
      <c r="AM269" s="243">
        <f t="shared" si="131"/>
        <v>19.64</v>
      </c>
      <c r="AN269" s="243">
        <f t="shared" si="131"/>
        <v>25.53</v>
      </c>
      <c r="AO269" s="243" t="str">
        <f t="shared" si="131"/>
        <v/>
      </c>
      <c r="AP269" s="243" t="str">
        <f t="shared" si="131"/>
        <v/>
      </c>
      <c r="AQ269" s="243" t="str">
        <f t="shared" si="131"/>
        <v/>
      </c>
      <c r="AR269" s="243">
        <f t="shared" si="131"/>
        <v>22.76</v>
      </c>
      <c r="AS269" s="243">
        <f t="shared" si="131"/>
        <v>19.87</v>
      </c>
      <c r="AT269" s="243">
        <f t="shared" si="131"/>
        <v>24.46</v>
      </c>
      <c r="AU269" s="243">
        <f t="shared" si="131"/>
        <v>24.52</v>
      </c>
      <c r="AV269" s="243">
        <f t="shared" si="131"/>
        <v>21.6</v>
      </c>
      <c r="AW269" s="247">
        <f t="shared" si="131"/>
        <v>1</v>
      </c>
      <c r="AX269" s="243">
        <f t="shared" si="131"/>
        <v>22.330000000000002</v>
      </c>
      <c r="AY269" s="248">
        <f t="shared" si="131"/>
        <v>27.330000000000002</v>
      </c>
    </row>
    <row r="270" spans="2:51" ht="12" customHeight="1" x14ac:dyDescent="0.2">
      <c r="B270" s="266"/>
      <c r="C270" s="235"/>
      <c r="D270" s="235"/>
      <c r="E270" s="239"/>
      <c r="F270" s="182"/>
      <c r="G270" s="182"/>
      <c r="H270" s="182"/>
      <c r="I270" s="233"/>
      <c r="J270" s="163" t="str">
        <f>IF(Dorchester!M18="","",Dorchester!M18)</f>
        <v>4*1</v>
      </c>
      <c r="K270" s="41" t="str">
        <f>IF(Dorchester!N18="","",Dorchester!N18)</f>
        <v>2*4</v>
      </c>
      <c r="L270" s="41" t="str">
        <f>IF(Dorchester!O18="","",Dorchester!O18)</f>
        <v>4*3</v>
      </c>
      <c r="M270" s="41" t="str">
        <f>IF(Dorchester!P18="","",Dorchester!P18)</f>
        <v>2*4</v>
      </c>
      <c r="N270" s="41" t="str">
        <f>IF(Dorchester!Q18="","",Dorchester!Q18)</f>
        <v>1*4</v>
      </c>
      <c r="O270" s="41" t="str">
        <f>IF(Dorchester!R18="","",Dorchester!R18)</f>
        <v/>
      </c>
      <c r="P270" s="41" t="str">
        <f>IF(Dorchester!S18="","",Dorchester!S18)</f>
        <v/>
      </c>
      <c r="Q270" s="41" t="str">
        <f>IF(Dorchester!T18="","",Dorchester!T18)</f>
        <v/>
      </c>
      <c r="R270" s="41" t="str">
        <f>IF(Dorchester!U18="","",Dorchester!U18)</f>
        <v>4*2</v>
      </c>
      <c r="S270" s="41" t="str">
        <f>IF(Dorchester!V18="","",Dorchester!V18)</f>
        <v>4*1</v>
      </c>
      <c r="T270" s="41" t="str">
        <f>IF(Dorchester!W18="","",Dorchester!W18)</f>
        <v>4*1(1)</v>
      </c>
      <c r="U270" s="41" t="str">
        <f>IF(Dorchester!X18="","",Dorchester!X18)</f>
        <v>2*4</v>
      </c>
      <c r="V270" s="41" t="str">
        <f>IF(Dorchester!Y18="","",Dorchester!Y18)</f>
        <v>1*4</v>
      </c>
      <c r="W270" s="201"/>
      <c r="X270" s="182"/>
      <c r="Y270" s="233"/>
      <c r="AA270" s="239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233"/>
    </row>
    <row r="271" spans="2:51" ht="12" customHeight="1" x14ac:dyDescent="0.2">
      <c r="B271" s="266"/>
      <c r="C271" s="263" t="str">
        <f>IF(Dorchester!E19="","",Dorchester!E19)</f>
        <v>Graham Knight</v>
      </c>
      <c r="D271" s="259" t="str">
        <f>LEFT($B$259,3)</f>
        <v>Dor</v>
      </c>
      <c r="E271" s="251">
        <f>IF(Dorchester!G19="","",Dorchester!G19)</f>
        <v>13</v>
      </c>
      <c r="F271" s="181">
        <f>IF(Dorchester!H19=0,"",Dorchester!H19)</f>
        <v>10</v>
      </c>
      <c r="G271" s="186">
        <f>IF(Dorchester!I19=0,"",Dorchester!I19)</f>
        <v>3</v>
      </c>
      <c r="H271" s="186">
        <f>IF(Dorchester!J19=0,"",Dorchester!J19)</f>
        <v>43</v>
      </c>
      <c r="I271" s="252">
        <f>IF(Dorchester!K19=0,"",Dorchester!K19)</f>
        <v>24</v>
      </c>
      <c r="J271" s="163">
        <f>IF(Dorchester!M19="","",Dorchester!M19)</f>
        <v>22.15</v>
      </c>
      <c r="K271" s="41">
        <f>IF(Dorchester!N19="","",Dorchester!N19)</f>
        <v>22.02</v>
      </c>
      <c r="L271" s="41">
        <f>IF(Dorchester!O19="","",Dorchester!O19)</f>
        <v>24.07</v>
      </c>
      <c r="M271" s="41">
        <f>IF(Dorchester!P19="","",Dorchester!P19)</f>
        <v>23.57</v>
      </c>
      <c r="N271" s="41">
        <f>IF(Dorchester!Q19="","",Dorchester!Q19)</f>
        <v>22.52</v>
      </c>
      <c r="O271" s="41">
        <f>IF(Dorchester!R19="","",Dorchester!R19)</f>
        <v>20.76</v>
      </c>
      <c r="P271" s="41">
        <f>IF(Dorchester!S19="","",Dorchester!S19)</f>
        <v>21.98</v>
      </c>
      <c r="Q271" s="41">
        <f>IF(Dorchester!T19="","",Dorchester!T19)</f>
        <v>21.6</v>
      </c>
      <c r="R271" s="41">
        <f>IF(Dorchester!U19="","",Dorchester!U19)</f>
        <v>21.36</v>
      </c>
      <c r="S271" s="41">
        <f>IF(Dorchester!V19="","",Dorchester!V19)</f>
        <v>20.97</v>
      </c>
      <c r="T271" s="41">
        <f>IF(Dorchester!W19="","",Dorchester!W19)</f>
        <v>23.07</v>
      </c>
      <c r="U271" s="41">
        <f>IF(Dorchester!X19="","",Dorchester!X19)</f>
        <v>24.74</v>
      </c>
      <c r="V271" s="41">
        <f>IF(Dorchester!Y19="","",Dorchester!Y19)</f>
        <v>20.84</v>
      </c>
      <c r="W271" s="249">
        <f>IF(Dorchester!AA19=0,"",Dorchester!AA19)</f>
        <v>4</v>
      </c>
      <c r="X271" s="244">
        <f>IF(Dorchester!AB19=0,"",Dorchester!AB19)</f>
        <v>22.280769230769224</v>
      </c>
      <c r="Y271" s="245">
        <f>IF(Dorchester!AC19=0,"",Dorchester!AC19)</f>
        <v>32.280769230769224</v>
      </c>
      <c r="AA271" s="246">
        <f>Y271</f>
        <v>32.280769230769224</v>
      </c>
      <c r="AB271" s="243">
        <f>X271</f>
        <v>22.280769230769224</v>
      </c>
      <c r="AC271" s="185" t="str">
        <f>C271</f>
        <v>Graham Knight</v>
      </c>
      <c r="AD271" s="185" t="str">
        <f>LEFT($B$259,3)</f>
        <v>Dor</v>
      </c>
      <c r="AE271" s="185">
        <f t="shared" ref="AE271:AY271" si="132">E271</f>
        <v>13</v>
      </c>
      <c r="AF271" s="185">
        <f t="shared" si="132"/>
        <v>10</v>
      </c>
      <c r="AG271" s="247">
        <f t="shared" si="132"/>
        <v>3</v>
      </c>
      <c r="AH271" s="247">
        <f t="shared" si="132"/>
        <v>43</v>
      </c>
      <c r="AI271" s="247">
        <f t="shared" si="132"/>
        <v>24</v>
      </c>
      <c r="AJ271" s="243">
        <f t="shared" si="132"/>
        <v>22.15</v>
      </c>
      <c r="AK271" s="243">
        <f t="shared" si="132"/>
        <v>22.02</v>
      </c>
      <c r="AL271" s="243">
        <f t="shared" si="132"/>
        <v>24.07</v>
      </c>
      <c r="AM271" s="243">
        <f t="shared" si="132"/>
        <v>23.57</v>
      </c>
      <c r="AN271" s="243">
        <f t="shared" si="132"/>
        <v>22.52</v>
      </c>
      <c r="AO271" s="243">
        <f t="shared" si="132"/>
        <v>20.76</v>
      </c>
      <c r="AP271" s="243">
        <f t="shared" si="132"/>
        <v>21.98</v>
      </c>
      <c r="AQ271" s="243">
        <f t="shared" si="132"/>
        <v>21.6</v>
      </c>
      <c r="AR271" s="243">
        <f t="shared" si="132"/>
        <v>21.36</v>
      </c>
      <c r="AS271" s="243">
        <f t="shared" si="132"/>
        <v>20.97</v>
      </c>
      <c r="AT271" s="243">
        <f t="shared" si="132"/>
        <v>23.07</v>
      </c>
      <c r="AU271" s="243">
        <f t="shared" si="132"/>
        <v>24.74</v>
      </c>
      <c r="AV271" s="243">
        <f t="shared" si="132"/>
        <v>20.84</v>
      </c>
      <c r="AW271" s="247">
        <f t="shared" si="132"/>
        <v>4</v>
      </c>
      <c r="AX271" s="243">
        <f t="shared" si="132"/>
        <v>22.280769230769224</v>
      </c>
      <c r="AY271" s="248">
        <f t="shared" si="132"/>
        <v>32.280769230769224</v>
      </c>
    </row>
    <row r="272" spans="2:51" ht="12" customHeight="1" x14ac:dyDescent="0.2">
      <c r="B272" s="266"/>
      <c r="C272" s="235"/>
      <c r="D272" s="235"/>
      <c r="E272" s="239"/>
      <c r="F272" s="182"/>
      <c r="G272" s="182"/>
      <c r="H272" s="182"/>
      <c r="I272" s="233"/>
      <c r="J272" s="163" t="str">
        <f>IF(Dorchester!M20="","",Dorchester!M20)</f>
        <v>3*4(1)</v>
      </c>
      <c r="K272" s="41" t="str">
        <f>IF(Dorchester!N20="","",Dorchester!N20)</f>
        <v>4*0</v>
      </c>
      <c r="L272" s="41" t="str">
        <f>IF(Dorchester!O20="","",Dorchester!O20)</f>
        <v>4*1</v>
      </c>
      <c r="M272" s="41" t="str">
        <f>IF(Dorchester!P20="","",Dorchester!P20)</f>
        <v>4*1(1)</v>
      </c>
      <c r="N272" s="41" t="str">
        <f>IF(Dorchester!Q20="","",Dorchester!Q20)</f>
        <v>4*0</v>
      </c>
      <c r="O272" s="41" t="str">
        <f>IF(Dorchester!R20="","",Dorchester!R20)</f>
        <v>0*4</v>
      </c>
      <c r="P272" s="41" t="str">
        <f>IF(Dorchester!S20="","",Dorchester!S20)</f>
        <v>4*3</v>
      </c>
      <c r="Q272" s="41" t="str">
        <f>IF(Dorchester!T20="","",Dorchester!T20)</f>
        <v>4*1(1)</v>
      </c>
      <c r="R272" s="41" t="str">
        <f>IF(Dorchester!U20="","",Dorchester!U20)</f>
        <v>4*2</v>
      </c>
      <c r="S272" s="41" t="str">
        <f>IF(Dorchester!V20="","",Dorchester!V20)</f>
        <v>4*3</v>
      </c>
      <c r="T272" s="41" t="str">
        <f>IF(Dorchester!W20="","",Dorchester!W20)</f>
        <v>0*4</v>
      </c>
      <c r="U272" s="41" t="str">
        <f>IF(Dorchester!X20="","",Dorchester!X20)</f>
        <v>4*0(1)</v>
      </c>
      <c r="V272" s="41" t="str">
        <f>IF(Dorchester!Y20="","",Dorchester!Y20)</f>
        <v>4*1</v>
      </c>
      <c r="W272" s="201"/>
      <c r="X272" s="182"/>
      <c r="Y272" s="233"/>
      <c r="AA272" s="239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233"/>
    </row>
    <row r="273" spans="2:51" ht="12" customHeight="1" x14ac:dyDescent="0.2">
      <c r="B273" s="266"/>
      <c r="C273" s="263" t="str">
        <f>IF(Dorchester!E21="","",Dorchester!E21)</f>
        <v>Richard Wright</v>
      </c>
      <c r="D273" s="259" t="str">
        <f>LEFT($B$259,3)</f>
        <v>Dor</v>
      </c>
      <c r="E273" s="251">
        <f>IF(Dorchester!G21="","",Dorchester!G21)</f>
        <v>13</v>
      </c>
      <c r="F273" s="181">
        <f>IF(Dorchester!H21=0,"",Dorchester!H21)</f>
        <v>6</v>
      </c>
      <c r="G273" s="186">
        <f>IF(Dorchester!I21=0,"",Dorchester!I21)</f>
        <v>7</v>
      </c>
      <c r="H273" s="186">
        <f>IF(Dorchester!J21=0,"",Dorchester!J21)</f>
        <v>35</v>
      </c>
      <c r="I273" s="252">
        <f>IF(Dorchester!K21=0,"",Dorchester!K21)</f>
        <v>37</v>
      </c>
      <c r="J273" s="163">
        <f>IF(Dorchester!M21="","",Dorchester!M21)</f>
        <v>21.57</v>
      </c>
      <c r="K273" s="41">
        <f>IF(Dorchester!N21="","",Dorchester!N21)</f>
        <v>23.32</v>
      </c>
      <c r="L273" s="41">
        <f>IF(Dorchester!O21="","",Dorchester!O21)</f>
        <v>23.82</v>
      </c>
      <c r="M273" s="41">
        <f>IF(Dorchester!P21="","",Dorchester!P21)</f>
        <v>19.46</v>
      </c>
      <c r="N273" s="41">
        <f>IF(Dorchester!Q21="","",Dorchester!Q21)</f>
        <v>19.14</v>
      </c>
      <c r="O273" s="41">
        <f>IF(Dorchester!R21="","",Dorchester!R21)</f>
        <v>22.39</v>
      </c>
      <c r="P273" s="41">
        <f>IF(Dorchester!S21="","",Dorchester!S21)</f>
        <v>22.74</v>
      </c>
      <c r="Q273" s="41">
        <f>IF(Dorchester!T21="","",Dorchester!T21)</f>
        <v>28.63</v>
      </c>
      <c r="R273" s="41">
        <f>IF(Dorchester!U21="","",Dorchester!U21)</f>
        <v>21.59</v>
      </c>
      <c r="S273" s="41">
        <f>IF(Dorchester!V21="","",Dorchester!V21)</f>
        <v>25.6</v>
      </c>
      <c r="T273" s="41">
        <f>IF(Dorchester!W21="","",Dorchester!W21)</f>
        <v>21.05</v>
      </c>
      <c r="U273" s="41">
        <f>IF(Dorchester!X21="","",Dorchester!X21)</f>
        <v>17.809999999999999</v>
      </c>
      <c r="V273" s="41">
        <f>IF(Dorchester!Y21="","",Dorchester!Y21)</f>
        <v>17.93</v>
      </c>
      <c r="W273" s="249">
        <f>IF(Dorchester!AA21=0,"",Dorchester!AA21)</f>
        <v>3</v>
      </c>
      <c r="X273" s="244">
        <f>IF(Dorchester!AB21=0,"",Dorchester!AB21)</f>
        <v>21.926923076923078</v>
      </c>
      <c r="Y273" s="245">
        <f>IF(Dorchester!AC21=0,"",Dorchester!AC21)</f>
        <v>27.926923076923078</v>
      </c>
      <c r="AA273" s="246">
        <f>Y273</f>
        <v>27.926923076923078</v>
      </c>
      <c r="AB273" s="243">
        <f>X273</f>
        <v>21.926923076923078</v>
      </c>
      <c r="AC273" s="185" t="str">
        <f>C273</f>
        <v>Richard Wright</v>
      </c>
      <c r="AD273" s="185" t="str">
        <f>LEFT($B$259,3)</f>
        <v>Dor</v>
      </c>
      <c r="AE273" s="185">
        <f t="shared" ref="AE273:AY273" si="133">E273</f>
        <v>13</v>
      </c>
      <c r="AF273" s="185">
        <f t="shared" si="133"/>
        <v>6</v>
      </c>
      <c r="AG273" s="247">
        <f t="shared" si="133"/>
        <v>7</v>
      </c>
      <c r="AH273" s="247">
        <f t="shared" si="133"/>
        <v>35</v>
      </c>
      <c r="AI273" s="247">
        <f t="shared" si="133"/>
        <v>37</v>
      </c>
      <c r="AJ273" s="243">
        <f t="shared" si="133"/>
        <v>21.57</v>
      </c>
      <c r="AK273" s="243">
        <f t="shared" si="133"/>
        <v>23.32</v>
      </c>
      <c r="AL273" s="243">
        <f t="shared" si="133"/>
        <v>23.82</v>
      </c>
      <c r="AM273" s="243">
        <f t="shared" si="133"/>
        <v>19.46</v>
      </c>
      <c r="AN273" s="243">
        <f t="shared" si="133"/>
        <v>19.14</v>
      </c>
      <c r="AO273" s="243">
        <f t="shared" si="133"/>
        <v>22.39</v>
      </c>
      <c r="AP273" s="243">
        <f t="shared" si="133"/>
        <v>22.74</v>
      </c>
      <c r="AQ273" s="243">
        <f t="shared" si="133"/>
        <v>28.63</v>
      </c>
      <c r="AR273" s="243">
        <f t="shared" si="133"/>
        <v>21.59</v>
      </c>
      <c r="AS273" s="243">
        <f t="shared" si="133"/>
        <v>25.6</v>
      </c>
      <c r="AT273" s="243">
        <f t="shared" si="133"/>
        <v>21.05</v>
      </c>
      <c r="AU273" s="243">
        <f t="shared" si="133"/>
        <v>17.809999999999999</v>
      </c>
      <c r="AV273" s="243">
        <f t="shared" si="133"/>
        <v>17.93</v>
      </c>
      <c r="AW273" s="247">
        <f t="shared" si="133"/>
        <v>3</v>
      </c>
      <c r="AX273" s="243">
        <f t="shared" si="133"/>
        <v>21.926923076923078</v>
      </c>
      <c r="AY273" s="248">
        <f t="shared" si="133"/>
        <v>27.926923076923078</v>
      </c>
    </row>
    <row r="274" spans="2:51" ht="12" customHeight="1" x14ac:dyDescent="0.2">
      <c r="B274" s="266"/>
      <c r="C274" s="235"/>
      <c r="D274" s="235"/>
      <c r="E274" s="239"/>
      <c r="F274" s="182"/>
      <c r="G274" s="182"/>
      <c r="H274" s="182"/>
      <c r="I274" s="233"/>
      <c r="J274" s="163" t="str">
        <f>IF(Dorchester!M22="","",Dorchester!M22)</f>
        <v>4*3</v>
      </c>
      <c r="K274" s="41" t="str">
        <f>IF(Dorchester!N22="","",Dorchester!N22)</f>
        <v>2*4</v>
      </c>
      <c r="L274" s="41" t="str">
        <f>IF(Dorchester!O22="","",Dorchester!O22)</f>
        <v>4*1(1)</v>
      </c>
      <c r="M274" s="41" t="str">
        <f>IF(Dorchester!P22="","",Dorchester!P22)</f>
        <v>4*0</v>
      </c>
      <c r="N274" s="41" t="str">
        <f>IF(Dorchester!Q22="","",Dorchester!Q22)</f>
        <v>4*2</v>
      </c>
      <c r="O274" s="41" t="str">
        <f>IF(Dorchester!R22="","",Dorchester!R22)</f>
        <v>1*4(1)</v>
      </c>
      <c r="P274" s="41" t="str">
        <f>IF(Dorchester!S22="","",Dorchester!S22)</f>
        <v>3*4</v>
      </c>
      <c r="Q274" s="41" t="str">
        <f>IF(Dorchester!T22="","",Dorchester!T22)</f>
        <v>4*0</v>
      </c>
      <c r="R274" s="41" t="str">
        <f>IF(Dorchester!U22="","",Dorchester!U22)</f>
        <v>1*4</v>
      </c>
      <c r="S274" s="41" t="str">
        <f>IF(Dorchester!V22="","",Dorchester!V22)</f>
        <v>4*3(1)</v>
      </c>
      <c r="T274" s="41" t="str">
        <f>IF(Dorchester!W22="","",Dorchester!W22)</f>
        <v>3*4</v>
      </c>
      <c r="U274" s="41" t="str">
        <f>IF(Dorchester!X22="","",Dorchester!X22)</f>
        <v>0*4</v>
      </c>
      <c r="V274" s="41" t="str">
        <f>IF(Dorchester!Y22="","",Dorchester!Y22)</f>
        <v>1*4</v>
      </c>
      <c r="W274" s="201"/>
      <c r="X274" s="182"/>
      <c r="Y274" s="233"/>
      <c r="AA274" s="239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233"/>
    </row>
    <row r="275" spans="2:51" ht="12" customHeight="1" x14ac:dyDescent="0.2">
      <c r="B275" s="266"/>
      <c r="C275" s="263" t="str">
        <f>IF(Dorchester!E23="","",Dorchester!E23)</f>
        <v>Matt Read</v>
      </c>
      <c r="D275" s="259" t="str">
        <f>LEFT($B$259,3)</f>
        <v>Dor</v>
      </c>
      <c r="E275" s="251">
        <f>IF(Dorchester!G23="","",Dorchester!G23)</f>
        <v>11</v>
      </c>
      <c r="F275" s="181">
        <f>IF(Dorchester!H23=0,"",Dorchester!H23)</f>
        <v>7</v>
      </c>
      <c r="G275" s="186">
        <f>IF(Dorchester!I23=0,"",Dorchester!I23)</f>
        <v>4</v>
      </c>
      <c r="H275" s="186">
        <f>IF(Dorchester!J23=0,"",Dorchester!J23)</f>
        <v>31</v>
      </c>
      <c r="I275" s="252">
        <f>IF(Dorchester!K23=0,"",Dorchester!K23)</f>
        <v>31</v>
      </c>
      <c r="J275" s="163">
        <f>IF(Dorchester!M23="","",Dorchester!M23)</f>
        <v>18.920000000000002</v>
      </c>
      <c r="K275" s="41">
        <f>IF(Dorchester!N23="","",Dorchester!N23)</f>
        <v>19.98</v>
      </c>
      <c r="L275" s="41">
        <f>IF(Dorchester!O23="","",Dorchester!O23)</f>
        <v>26.72</v>
      </c>
      <c r="M275" s="41">
        <f>IF(Dorchester!P23="","",Dorchester!P23)</f>
        <v>25.41</v>
      </c>
      <c r="N275" s="41" t="str">
        <f>IF(Dorchester!Q23="","",Dorchester!Q23)</f>
        <v/>
      </c>
      <c r="O275" s="41">
        <f>IF(Dorchester!R23="","",Dorchester!R23)</f>
        <v>25.89</v>
      </c>
      <c r="P275" s="41">
        <f>IF(Dorchester!S23="","",Dorchester!S23)</f>
        <v>22.69</v>
      </c>
      <c r="Q275" s="41">
        <f>IF(Dorchester!T23="","",Dorchester!T23)</f>
        <v>23.43</v>
      </c>
      <c r="R275" s="41">
        <f>IF(Dorchester!U23="","",Dorchester!U23)</f>
        <v>18.260000000000002</v>
      </c>
      <c r="S275" s="41">
        <f>IF(Dorchester!V23="","",Dorchester!V23)</f>
        <v>19.57</v>
      </c>
      <c r="T275" s="41" t="str">
        <f>IF(Dorchester!W23="","",Dorchester!W23)</f>
        <v/>
      </c>
      <c r="U275" s="41">
        <f>IF(Dorchester!X23="","",Dorchester!X23)</f>
        <v>21.44</v>
      </c>
      <c r="V275" s="41">
        <f>IF(Dorchester!Y23="","",Dorchester!Y23)</f>
        <v>24.93</v>
      </c>
      <c r="W275" s="249">
        <f>IF(Dorchester!AA23=0,"",Dorchester!AA23)</f>
        <v>1</v>
      </c>
      <c r="X275" s="244">
        <f>IF(Dorchester!AB23=0,"",Dorchester!AB23)</f>
        <v>22.476363636363637</v>
      </c>
      <c r="Y275" s="245">
        <f>IF(Dorchester!AC23=0,"",Dorchester!AC23)</f>
        <v>29.476363636363637</v>
      </c>
      <c r="AA275" s="246">
        <f>Y275</f>
        <v>29.476363636363637</v>
      </c>
      <c r="AB275" s="243">
        <f>X275</f>
        <v>22.476363636363637</v>
      </c>
      <c r="AC275" s="185" t="str">
        <f>C275</f>
        <v>Matt Read</v>
      </c>
      <c r="AD275" s="185" t="str">
        <f>LEFT($B$259,3)</f>
        <v>Dor</v>
      </c>
      <c r="AE275" s="185">
        <f t="shared" ref="AE275:AY275" si="134">E275</f>
        <v>11</v>
      </c>
      <c r="AF275" s="185">
        <f t="shared" si="134"/>
        <v>7</v>
      </c>
      <c r="AG275" s="247">
        <f t="shared" si="134"/>
        <v>4</v>
      </c>
      <c r="AH275" s="247">
        <f t="shared" si="134"/>
        <v>31</v>
      </c>
      <c r="AI275" s="247">
        <f t="shared" si="134"/>
        <v>31</v>
      </c>
      <c r="AJ275" s="243">
        <f t="shared" si="134"/>
        <v>18.920000000000002</v>
      </c>
      <c r="AK275" s="243">
        <f t="shared" si="134"/>
        <v>19.98</v>
      </c>
      <c r="AL275" s="243">
        <f t="shared" si="134"/>
        <v>26.72</v>
      </c>
      <c r="AM275" s="243">
        <f t="shared" si="134"/>
        <v>25.41</v>
      </c>
      <c r="AN275" s="243" t="str">
        <f t="shared" si="134"/>
        <v/>
      </c>
      <c r="AO275" s="243">
        <f t="shared" si="134"/>
        <v>25.89</v>
      </c>
      <c r="AP275" s="243">
        <f t="shared" si="134"/>
        <v>22.69</v>
      </c>
      <c r="AQ275" s="243">
        <f t="shared" si="134"/>
        <v>23.43</v>
      </c>
      <c r="AR275" s="243">
        <f t="shared" si="134"/>
        <v>18.260000000000002</v>
      </c>
      <c r="AS275" s="243">
        <f t="shared" si="134"/>
        <v>19.57</v>
      </c>
      <c r="AT275" s="243" t="str">
        <f t="shared" si="134"/>
        <v/>
      </c>
      <c r="AU275" s="243">
        <f t="shared" si="134"/>
        <v>21.44</v>
      </c>
      <c r="AV275" s="243">
        <f t="shared" si="134"/>
        <v>24.93</v>
      </c>
      <c r="AW275" s="247">
        <f t="shared" si="134"/>
        <v>1</v>
      </c>
      <c r="AX275" s="243">
        <f t="shared" si="134"/>
        <v>22.476363636363637</v>
      </c>
      <c r="AY275" s="248">
        <f t="shared" si="134"/>
        <v>29.476363636363637</v>
      </c>
    </row>
    <row r="276" spans="2:51" ht="12" customHeight="1" x14ac:dyDescent="0.2">
      <c r="B276" s="266"/>
      <c r="C276" s="235"/>
      <c r="D276" s="235"/>
      <c r="E276" s="239"/>
      <c r="F276" s="182"/>
      <c r="G276" s="182"/>
      <c r="H276" s="182"/>
      <c r="I276" s="233"/>
      <c r="J276" s="163" t="str">
        <f>IF(Dorchester!M24="","",Dorchester!M24)</f>
        <v>4*3(1)</v>
      </c>
      <c r="K276" s="41" t="str">
        <f>IF(Dorchester!N24="","",Dorchester!N24)</f>
        <v>2*4</v>
      </c>
      <c r="L276" s="41" t="str">
        <f>IF(Dorchester!O24="","",Dorchester!O24)</f>
        <v>4*0</v>
      </c>
      <c r="M276" s="41" t="str">
        <f>IF(Dorchester!P24="","",Dorchester!P24)</f>
        <v>4*2</v>
      </c>
      <c r="N276" s="41" t="str">
        <f>IF(Dorchester!Q24="","",Dorchester!Q24)</f>
        <v/>
      </c>
      <c r="O276" s="41" t="str">
        <f>IF(Dorchester!R24="","",Dorchester!R24)</f>
        <v>4*1</v>
      </c>
      <c r="P276" s="41" t="str">
        <f>IF(Dorchester!S24="","",Dorchester!S24)</f>
        <v>0*4</v>
      </c>
      <c r="Q276" s="41" t="str">
        <f>IF(Dorchester!T24="","",Dorchester!T24)</f>
        <v>4*3</v>
      </c>
      <c r="R276" s="41" t="str">
        <f>IF(Dorchester!U24="","",Dorchester!U24)</f>
        <v>4*3</v>
      </c>
      <c r="S276" s="41" t="str">
        <f>IF(Dorchester!V24="","",Dorchester!V24)</f>
        <v>0*4</v>
      </c>
      <c r="T276" s="41" t="str">
        <f>IF(Dorchester!W24="","",Dorchester!W24)</f>
        <v/>
      </c>
      <c r="U276" s="41" t="str">
        <f>IF(Dorchester!X24="","",Dorchester!X24)</f>
        <v>4*3</v>
      </c>
      <c r="V276" s="41" t="str">
        <f>IF(Dorchester!Y24="","",Dorchester!Y24)</f>
        <v>1*4</v>
      </c>
      <c r="W276" s="201"/>
      <c r="X276" s="182"/>
      <c r="Y276" s="233"/>
      <c r="AA276" s="239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233"/>
    </row>
    <row r="277" spans="2:51" ht="12" customHeight="1" x14ac:dyDescent="0.2">
      <c r="B277" s="266"/>
      <c r="C277" s="263" t="str">
        <f>IF(Dorchester!E25="","",Dorchester!E25)</f>
        <v>Matt Payne</v>
      </c>
      <c r="D277" s="259" t="str">
        <f>LEFT($B$259,3)</f>
        <v>Dor</v>
      </c>
      <c r="E277" s="251">
        <f>IF(Dorchester!G25="","",Dorchester!G25)</f>
        <v>1</v>
      </c>
      <c r="F277" s="181" t="str">
        <f>IF(Dorchester!H25=0,"",Dorchester!H25)</f>
        <v/>
      </c>
      <c r="G277" s="181">
        <f>IF(Dorchester!I25=0,"",Dorchester!I25)</f>
        <v>1</v>
      </c>
      <c r="H277" s="181" t="str">
        <f>IF(Dorchester!J25=0,"",Dorchester!J25)</f>
        <v/>
      </c>
      <c r="I277" s="250">
        <f>IF(Dorchester!K25=0,"",Dorchester!K25)</f>
        <v>4</v>
      </c>
      <c r="J277" s="163" t="str">
        <f>IF(Dorchester!M25="","",Dorchester!M25)</f>
        <v/>
      </c>
      <c r="K277" s="41" t="str">
        <f>IF(Dorchester!N25="","",Dorchester!N25)</f>
        <v/>
      </c>
      <c r="L277" s="41" t="str">
        <f>IF(Dorchester!O25="","",Dorchester!O25)</f>
        <v/>
      </c>
      <c r="M277" s="41" t="str">
        <f>IF(Dorchester!P25="","",Dorchester!P25)</f>
        <v/>
      </c>
      <c r="N277" s="41" t="str">
        <f>IF(Dorchester!Q25="","",Dorchester!Q25)</f>
        <v/>
      </c>
      <c r="O277" s="41" t="str">
        <f>IF(Dorchester!R25="","",Dorchester!R25)</f>
        <v/>
      </c>
      <c r="P277" s="41" t="str">
        <f>IF(Dorchester!S25="","",Dorchester!S25)</f>
        <v/>
      </c>
      <c r="Q277" s="41" t="str">
        <f>IF(Dorchester!T25="","",Dorchester!T25)</f>
        <v/>
      </c>
      <c r="R277" s="41" t="str">
        <f>IF(Dorchester!U25="","",Dorchester!U25)</f>
        <v/>
      </c>
      <c r="S277" s="41" t="str">
        <f>IF(Dorchester!V25="","",Dorchester!V25)</f>
        <v/>
      </c>
      <c r="T277" s="41" t="str">
        <f>IF(Dorchester!W25="","",Dorchester!W25)</f>
        <v/>
      </c>
      <c r="U277" s="41" t="str">
        <f>IF(Dorchester!X25="","",Dorchester!X25)</f>
        <v/>
      </c>
      <c r="V277" s="41">
        <f>IF(Dorchester!Y25="","",Dorchester!Y25)</f>
        <v>16.829999999999998</v>
      </c>
      <c r="W277" s="249">
        <f>IF(Dorchester!AA25=0,"",Dorchester!AA25)</f>
        <v>1</v>
      </c>
      <c r="X277" s="244">
        <f>IF(Dorchester!AB25=0,"",Dorchester!AB25)</f>
        <v>16.829999999999998</v>
      </c>
      <c r="Y277" s="245">
        <f>IF(Dorchester!AC25=0,"",Dorchester!AC25)</f>
        <v>16.829999999999998</v>
      </c>
      <c r="AA277" s="246">
        <f>Y277</f>
        <v>16.829999999999998</v>
      </c>
      <c r="AB277" s="243">
        <f>X277</f>
        <v>16.829999999999998</v>
      </c>
      <c r="AC277" s="185" t="str">
        <f>C277</f>
        <v>Matt Payne</v>
      </c>
      <c r="AD277" s="185" t="str">
        <f>LEFT($B$259,3)</f>
        <v>Dor</v>
      </c>
      <c r="AE277" s="185">
        <f t="shared" ref="AE277:AY277" si="135">E277</f>
        <v>1</v>
      </c>
      <c r="AF277" s="185" t="str">
        <f t="shared" si="135"/>
        <v/>
      </c>
      <c r="AG277" s="185">
        <f t="shared" si="135"/>
        <v>1</v>
      </c>
      <c r="AH277" s="185" t="str">
        <f t="shared" si="135"/>
        <v/>
      </c>
      <c r="AI277" s="185">
        <f t="shared" si="135"/>
        <v>4</v>
      </c>
      <c r="AJ277" s="243" t="str">
        <f t="shared" si="135"/>
        <v/>
      </c>
      <c r="AK277" s="243" t="str">
        <f t="shared" si="135"/>
        <v/>
      </c>
      <c r="AL277" s="243" t="str">
        <f t="shared" si="135"/>
        <v/>
      </c>
      <c r="AM277" s="243" t="str">
        <f t="shared" si="135"/>
        <v/>
      </c>
      <c r="AN277" s="243" t="str">
        <f t="shared" si="135"/>
        <v/>
      </c>
      <c r="AO277" s="243" t="str">
        <f t="shared" si="135"/>
        <v/>
      </c>
      <c r="AP277" s="243" t="str">
        <f t="shared" si="135"/>
        <v/>
      </c>
      <c r="AQ277" s="243" t="str">
        <f t="shared" si="135"/>
        <v/>
      </c>
      <c r="AR277" s="243" t="str">
        <f t="shared" si="135"/>
        <v/>
      </c>
      <c r="AS277" s="243" t="str">
        <f t="shared" si="135"/>
        <v/>
      </c>
      <c r="AT277" s="243" t="str">
        <f t="shared" si="135"/>
        <v/>
      </c>
      <c r="AU277" s="243" t="str">
        <f t="shared" si="135"/>
        <v/>
      </c>
      <c r="AV277" s="243">
        <f t="shared" si="135"/>
        <v>16.829999999999998</v>
      </c>
      <c r="AW277" s="247">
        <f t="shared" si="135"/>
        <v>1</v>
      </c>
      <c r="AX277" s="243">
        <f t="shared" si="135"/>
        <v>16.829999999999998</v>
      </c>
      <c r="AY277" s="248">
        <f t="shared" si="135"/>
        <v>16.829999999999998</v>
      </c>
    </row>
    <row r="278" spans="2:51" ht="12" customHeight="1" x14ac:dyDescent="0.2">
      <c r="B278" s="266"/>
      <c r="C278" s="235"/>
      <c r="D278" s="235"/>
      <c r="E278" s="239"/>
      <c r="F278" s="182"/>
      <c r="G278" s="182"/>
      <c r="H278" s="182"/>
      <c r="I278" s="233"/>
      <c r="J278" s="163" t="str">
        <f>IF(Dorchester!M26="","",Dorchester!M26)</f>
        <v/>
      </c>
      <c r="K278" s="41" t="str">
        <f>IF(Dorchester!N26="","",Dorchester!N26)</f>
        <v/>
      </c>
      <c r="L278" s="41" t="str">
        <f>IF(Dorchester!O26="","",Dorchester!O26)</f>
        <v/>
      </c>
      <c r="M278" s="41" t="str">
        <f>IF(Dorchester!P26="","",Dorchester!P26)</f>
        <v/>
      </c>
      <c r="N278" s="41" t="str">
        <f>IF(Dorchester!Q26="","",Dorchester!Q26)</f>
        <v/>
      </c>
      <c r="O278" s="41" t="str">
        <f>IF(Dorchester!R26="","",Dorchester!R26)</f>
        <v/>
      </c>
      <c r="P278" s="41" t="str">
        <f>IF(Dorchester!S26="","",Dorchester!S26)</f>
        <v/>
      </c>
      <c r="Q278" s="41" t="str">
        <f>IF(Dorchester!T26="","",Dorchester!T26)</f>
        <v/>
      </c>
      <c r="R278" s="41" t="str">
        <f>IF(Dorchester!U26="","",Dorchester!U26)</f>
        <v/>
      </c>
      <c r="S278" s="41" t="str">
        <f>IF(Dorchester!V26="","",Dorchester!V26)</f>
        <v/>
      </c>
      <c r="T278" s="41" t="str">
        <f>IF(Dorchester!W26="","",Dorchester!W26)</f>
        <v/>
      </c>
      <c r="U278" s="41" t="str">
        <f>IF(Dorchester!X26="","",Dorchester!X26)</f>
        <v/>
      </c>
      <c r="V278" s="41" t="str">
        <f>IF(Dorchester!Y26="","",Dorchester!Y26)</f>
        <v>0*4(1)</v>
      </c>
      <c r="W278" s="201"/>
      <c r="X278" s="182"/>
      <c r="Y278" s="233"/>
      <c r="AA278" s="239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233"/>
    </row>
    <row r="279" spans="2:51" ht="12" customHeight="1" x14ac:dyDescent="0.2">
      <c r="B279" s="266"/>
      <c r="C279" s="263" t="str">
        <f>IF(Dorchester!E27="","",Dorchester!E27)</f>
        <v>Mark Long</v>
      </c>
      <c r="D279" s="259" t="str">
        <f>LEFT($B$259,3)</f>
        <v>Dor</v>
      </c>
      <c r="E279" s="251" t="str">
        <f>IF(Dorchester!G27="","",Dorchester!G27)</f>
        <v/>
      </c>
      <c r="F279" s="181" t="str">
        <f>IF(Dorchester!H27=0,"",Dorchester!H27)</f>
        <v/>
      </c>
      <c r="G279" s="181" t="str">
        <f>IF(Dorchester!I27=0,"",Dorchester!I27)</f>
        <v/>
      </c>
      <c r="H279" s="181" t="str">
        <f>IF(Dorchester!J27=0,"",Dorchester!J27)</f>
        <v/>
      </c>
      <c r="I279" s="250" t="str">
        <f>IF(Dorchester!K27=0,"",Dorchester!K27)</f>
        <v/>
      </c>
      <c r="J279" s="163" t="str">
        <f>IF(Dorchester!M27="","",Dorchester!M27)</f>
        <v/>
      </c>
      <c r="K279" s="41" t="str">
        <f>IF(Dorchester!N27="","",Dorchester!N27)</f>
        <v/>
      </c>
      <c r="L279" s="41" t="str">
        <f>IF(Dorchester!O27="","",Dorchester!O27)</f>
        <v/>
      </c>
      <c r="M279" s="41" t="str">
        <f>IF(Dorchester!P27="","",Dorchester!P27)</f>
        <v/>
      </c>
      <c r="N279" s="41" t="str">
        <f>IF(Dorchester!Q27="","",Dorchester!Q27)</f>
        <v/>
      </c>
      <c r="O279" s="41" t="str">
        <f>IF(Dorchester!R27="","",Dorchester!R27)</f>
        <v/>
      </c>
      <c r="P279" s="41" t="str">
        <f>IF(Dorchester!S27="","",Dorchester!S27)</f>
        <v/>
      </c>
      <c r="Q279" s="41" t="str">
        <f>IF(Dorchester!T27="","",Dorchester!T27)</f>
        <v/>
      </c>
      <c r="R279" s="41" t="str">
        <f>IF(Dorchester!U27="","",Dorchester!U27)</f>
        <v/>
      </c>
      <c r="S279" s="41" t="str">
        <f>IF(Dorchester!V27="","",Dorchester!V27)</f>
        <v/>
      </c>
      <c r="T279" s="41" t="str">
        <f>IF(Dorchester!W27="","",Dorchester!W27)</f>
        <v/>
      </c>
      <c r="U279" s="41" t="str">
        <f>IF(Dorchester!X27="","",Dorchester!X27)</f>
        <v/>
      </c>
      <c r="V279" s="41" t="str">
        <f>IF(Dorchester!Y27="","",Dorchester!Y27)</f>
        <v/>
      </c>
      <c r="W279" s="249" t="str">
        <f>IF(Dorchester!AA27=0,"",Dorchester!AA27)</f>
        <v/>
      </c>
      <c r="X279" s="244" t="str">
        <f>IF(Dorchester!AB27=0,"",Dorchester!AB27)</f>
        <v/>
      </c>
      <c r="Y279" s="245" t="str">
        <f>IF(Dorchester!AC27=0,"",Dorchester!AC27)</f>
        <v/>
      </c>
      <c r="AA279" s="246" t="str">
        <f>Y279</f>
        <v/>
      </c>
      <c r="AB279" s="243" t="str">
        <f>X279</f>
        <v/>
      </c>
      <c r="AC279" s="185" t="str">
        <f>C279</f>
        <v>Mark Long</v>
      </c>
      <c r="AD279" s="185" t="str">
        <f>LEFT($B$259,3)</f>
        <v>Dor</v>
      </c>
      <c r="AE279" s="185" t="str">
        <f t="shared" ref="AE279:AY279" si="136">E279</f>
        <v/>
      </c>
      <c r="AF279" s="185" t="str">
        <f t="shared" si="136"/>
        <v/>
      </c>
      <c r="AG279" s="185" t="str">
        <f t="shared" si="136"/>
        <v/>
      </c>
      <c r="AH279" s="185" t="str">
        <f t="shared" si="136"/>
        <v/>
      </c>
      <c r="AI279" s="185" t="str">
        <f t="shared" si="136"/>
        <v/>
      </c>
      <c r="AJ279" s="243" t="str">
        <f t="shared" si="136"/>
        <v/>
      </c>
      <c r="AK279" s="243" t="str">
        <f t="shared" si="136"/>
        <v/>
      </c>
      <c r="AL279" s="243" t="str">
        <f t="shared" si="136"/>
        <v/>
      </c>
      <c r="AM279" s="243" t="str">
        <f t="shared" si="136"/>
        <v/>
      </c>
      <c r="AN279" s="243" t="str">
        <f t="shared" si="136"/>
        <v/>
      </c>
      <c r="AO279" s="243" t="str">
        <f t="shared" si="136"/>
        <v/>
      </c>
      <c r="AP279" s="243" t="str">
        <f t="shared" si="136"/>
        <v/>
      </c>
      <c r="AQ279" s="243" t="str">
        <f t="shared" si="136"/>
        <v/>
      </c>
      <c r="AR279" s="243" t="str">
        <f t="shared" si="136"/>
        <v/>
      </c>
      <c r="AS279" s="243" t="str">
        <f t="shared" si="136"/>
        <v/>
      </c>
      <c r="AT279" s="243" t="str">
        <f t="shared" si="136"/>
        <v/>
      </c>
      <c r="AU279" s="243" t="str">
        <f t="shared" si="136"/>
        <v/>
      </c>
      <c r="AV279" s="243" t="str">
        <f t="shared" si="136"/>
        <v/>
      </c>
      <c r="AW279" s="247" t="str">
        <f t="shared" si="136"/>
        <v/>
      </c>
      <c r="AX279" s="243" t="str">
        <f t="shared" si="136"/>
        <v/>
      </c>
      <c r="AY279" s="248" t="str">
        <f t="shared" si="136"/>
        <v/>
      </c>
    </row>
    <row r="280" spans="2:51" ht="12" customHeight="1" x14ac:dyDescent="0.2">
      <c r="B280" s="266"/>
      <c r="C280" s="235"/>
      <c r="D280" s="235"/>
      <c r="E280" s="239"/>
      <c r="F280" s="182"/>
      <c r="G280" s="182"/>
      <c r="H280" s="182"/>
      <c r="I280" s="233"/>
      <c r="J280" s="163" t="str">
        <f>IF(Dorchester!M28="","",Dorchester!M28)</f>
        <v/>
      </c>
      <c r="K280" s="41" t="str">
        <f>IF(Dorchester!N28="","",Dorchester!N28)</f>
        <v/>
      </c>
      <c r="L280" s="41" t="str">
        <f>IF(Dorchester!O28="","",Dorchester!O28)</f>
        <v/>
      </c>
      <c r="M280" s="41" t="str">
        <f>IF(Dorchester!P28="","",Dorchester!P28)</f>
        <v/>
      </c>
      <c r="N280" s="41" t="str">
        <f>IF(Dorchester!Q28="","",Dorchester!Q28)</f>
        <v/>
      </c>
      <c r="O280" s="41" t="str">
        <f>IF(Dorchester!R28="","",Dorchester!R28)</f>
        <v/>
      </c>
      <c r="P280" s="41" t="str">
        <f>IF(Dorchester!S28="","",Dorchester!S28)</f>
        <v/>
      </c>
      <c r="Q280" s="41" t="str">
        <f>IF(Dorchester!T28="","",Dorchester!T28)</f>
        <v/>
      </c>
      <c r="R280" s="41" t="str">
        <f>IF(Dorchester!U28="","",Dorchester!U28)</f>
        <v/>
      </c>
      <c r="S280" s="41" t="str">
        <f>IF(Dorchester!V28="","",Dorchester!V28)</f>
        <v/>
      </c>
      <c r="T280" s="41" t="str">
        <f>IF(Dorchester!W28="","",Dorchester!W28)</f>
        <v/>
      </c>
      <c r="U280" s="41" t="str">
        <f>IF(Dorchester!X28="","",Dorchester!X28)</f>
        <v/>
      </c>
      <c r="V280" s="41" t="str">
        <f>IF(Dorchester!Y28="","",Dorchester!Y28)</f>
        <v/>
      </c>
      <c r="W280" s="201"/>
      <c r="X280" s="182"/>
      <c r="Y280" s="233"/>
      <c r="AA280" s="239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233"/>
    </row>
    <row r="281" spans="2:51" ht="12" customHeight="1" x14ac:dyDescent="0.2">
      <c r="B281" s="266"/>
      <c r="C281" s="263" t="str">
        <f>IF(Dorchester!E29="","",Dorchester!E29)</f>
        <v>Alan Ayres</v>
      </c>
      <c r="D281" s="259" t="str">
        <f>LEFT($B$259,3)</f>
        <v>Dor</v>
      </c>
      <c r="E281" s="251">
        <f>IF(Dorchester!G29="","",Dorchester!G29)</f>
        <v>9</v>
      </c>
      <c r="F281" s="181">
        <f>IF(Dorchester!H29=0,"",Dorchester!H29)</f>
        <v>7</v>
      </c>
      <c r="G281" s="186">
        <f>IF(Dorchester!I29=0,"",Dorchester!I29)</f>
        <v>2</v>
      </c>
      <c r="H281" s="186">
        <f>IF(Dorchester!J29=0,"",Dorchester!J29)</f>
        <v>31</v>
      </c>
      <c r="I281" s="252">
        <f>IF(Dorchester!K29=0,"",Dorchester!K29)</f>
        <v>13</v>
      </c>
      <c r="J281" s="163" t="str">
        <f>IF(Dorchester!M29="","",Dorchester!M29)</f>
        <v/>
      </c>
      <c r="K281" s="41" t="str">
        <f>IF(Dorchester!N29="","",Dorchester!N29)</f>
        <v/>
      </c>
      <c r="L281" s="41" t="str">
        <f>IF(Dorchester!O29="","",Dorchester!O29)</f>
        <v/>
      </c>
      <c r="M281" s="41" t="str">
        <f>IF(Dorchester!P29="","",Dorchester!P29)</f>
        <v/>
      </c>
      <c r="N281" s="41">
        <f>IF(Dorchester!Q29="","",Dorchester!Q29)</f>
        <v>24.44</v>
      </c>
      <c r="O281" s="41">
        <f>IF(Dorchester!R29="","",Dorchester!R29)</f>
        <v>30.36</v>
      </c>
      <c r="P281" s="41">
        <f>IF(Dorchester!S29="","",Dorchester!S29)</f>
        <v>23.95</v>
      </c>
      <c r="Q281" s="41">
        <f>IF(Dorchester!T29="","",Dorchester!T29)</f>
        <v>24.44</v>
      </c>
      <c r="R281" s="41">
        <f>IF(Dorchester!U29="","",Dorchester!U29)</f>
        <v>22.52</v>
      </c>
      <c r="S281" s="41">
        <f>IF(Dorchester!V29="","",Dorchester!V29)</f>
        <v>22.3</v>
      </c>
      <c r="T281" s="41">
        <f>IF(Dorchester!W29="","",Dorchester!W29)</f>
        <v>21.81</v>
      </c>
      <c r="U281" s="41">
        <f>IF(Dorchester!X29="","",Dorchester!X29)</f>
        <v>19.89</v>
      </c>
      <c r="V281" s="41">
        <f>IF(Dorchester!Y29="","",Dorchester!Y29)</f>
        <v>21.39</v>
      </c>
      <c r="W281" s="249">
        <f>IF(Dorchester!AA29=0,"",Dorchester!AA29)</f>
        <v>2</v>
      </c>
      <c r="X281" s="244">
        <f>IF(Dorchester!AB29=0,"",Dorchester!AB29)</f>
        <v>23.455555555555552</v>
      </c>
      <c r="Y281" s="245">
        <f>IF(Dorchester!AC29=0,"",Dorchester!AC29)</f>
        <v>30.455555555555552</v>
      </c>
      <c r="AA281" s="246">
        <f>Y281</f>
        <v>30.455555555555552</v>
      </c>
      <c r="AB281" s="243">
        <f>X281</f>
        <v>23.455555555555552</v>
      </c>
      <c r="AC281" s="185" t="str">
        <f>C281</f>
        <v>Alan Ayres</v>
      </c>
      <c r="AD281" s="185" t="str">
        <f>LEFT($B$259,3)</f>
        <v>Dor</v>
      </c>
      <c r="AE281" s="185">
        <f t="shared" ref="AE281:AY281" si="137">E281</f>
        <v>9</v>
      </c>
      <c r="AF281" s="185">
        <f t="shared" si="137"/>
        <v>7</v>
      </c>
      <c r="AG281" s="247">
        <f t="shared" si="137"/>
        <v>2</v>
      </c>
      <c r="AH281" s="247">
        <f t="shared" si="137"/>
        <v>31</v>
      </c>
      <c r="AI281" s="247">
        <f t="shared" si="137"/>
        <v>13</v>
      </c>
      <c r="AJ281" s="243" t="str">
        <f t="shared" si="137"/>
        <v/>
      </c>
      <c r="AK281" s="243" t="str">
        <f t="shared" si="137"/>
        <v/>
      </c>
      <c r="AL281" s="243" t="str">
        <f t="shared" si="137"/>
        <v/>
      </c>
      <c r="AM281" s="243" t="str">
        <f t="shared" si="137"/>
        <v/>
      </c>
      <c r="AN281" s="243">
        <f t="shared" si="137"/>
        <v>24.44</v>
      </c>
      <c r="AO281" s="243">
        <f t="shared" si="137"/>
        <v>30.36</v>
      </c>
      <c r="AP281" s="243">
        <f t="shared" si="137"/>
        <v>23.95</v>
      </c>
      <c r="AQ281" s="243">
        <f t="shared" si="137"/>
        <v>24.44</v>
      </c>
      <c r="AR281" s="243">
        <f t="shared" si="137"/>
        <v>22.52</v>
      </c>
      <c r="AS281" s="243">
        <f t="shared" si="137"/>
        <v>22.3</v>
      </c>
      <c r="AT281" s="243">
        <f t="shared" si="137"/>
        <v>21.81</v>
      </c>
      <c r="AU281" s="243">
        <f t="shared" si="137"/>
        <v>19.89</v>
      </c>
      <c r="AV281" s="243">
        <f t="shared" si="137"/>
        <v>21.39</v>
      </c>
      <c r="AW281" s="247">
        <f t="shared" si="137"/>
        <v>2</v>
      </c>
      <c r="AX281" s="243">
        <f t="shared" si="137"/>
        <v>23.455555555555552</v>
      </c>
      <c r="AY281" s="248">
        <f t="shared" si="137"/>
        <v>30.455555555555552</v>
      </c>
    </row>
    <row r="282" spans="2:51" ht="12" customHeight="1" x14ac:dyDescent="0.2">
      <c r="B282" s="266"/>
      <c r="C282" s="235"/>
      <c r="D282" s="235"/>
      <c r="E282" s="239"/>
      <c r="F282" s="182"/>
      <c r="G282" s="182"/>
      <c r="H282" s="182"/>
      <c r="I282" s="233"/>
      <c r="J282" s="163" t="str">
        <f>IF(Dorchester!M30="","",Dorchester!M30)</f>
        <v/>
      </c>
      <c r="K282" s="41" t="str">
        <f>IF(Dorchester!N30="","",Dorchester!N30)</f>
        <v/>
      </c>
      <c r="L282" s="41" t="str">
        <f>IF(Dorchester!O30="","",Dorchester!O30)</f>
        <v/>
      </c>
      <c r="M282" s="41" t="str">
        <f>IF(Dorchester!P30="","",Dorchester!P30)</f>
        <v/>
      </c>
      <c r="N282" s="41" t="str">
        <f>IF(Dorchester!Q30="","",Dorchester!Q30)</f>
        <v>4*0</v>
      </c>
      <c r="O282" s="41" t="str">
        <f>IF(Dorchester!R30="","",Dorchester!R30)</f>
        <v>4*0(1)</v>
      </c>
      <c r="P282" s="41" t="str">
        <f>IF(Dorchester!S30="","",Dorchester!S30)</f>
        <v>1*4</v>
      </c>
      <c r="Q282" s="41" t="str">
        <f>IF(Dorchester!T30="","",Dorchester!T30)</f>
        <v>4*0(1)</v>
      </c>
      <c r="R282" s="41" t="str">
        <f>IF(Dorchester!U30="","",Dorchester!U30)</f>
        <v>4*0</v>
      </c>
      <c r="S282" s="41" t="str">
        <f>IF(Dorchester!V30="","",Dorchester!V30)</f>
        <v>4*3</v>
      </c>
      <c r="T282" s="41" t="str">
        <f>IF(Dorchester!W30="","",Dorchester!W30)</f>
        <v>4*1</v>
      </c>
      <c r="U282" s="41" t="str">
        <f>IF(Dorchester!X30="","",Dorchester!X30)</f>
        <v>2*4</v>
      </c>
      <c r="V282" s="41" t="str">
        <f>IF(Dorchester!Y30="","",Dorchester!Y30)</f>
        <v>4*1</v>
      </c>
      <c r="W282" s="201"/>
      <c r="X282" s="182"/>
      <c r="Y282" s="233"/>
      <c r="AA282" s="239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233"/>
    </row>
    <row r="283" spans="2:51" ht="12" customHeight="1" x14ac:dyDescent="0.2">
      <c r="B283" s="266"/>
      <c r="C283" s="263" t="str">
        <f>IF(Dorchester!E31="","",Dorchester!E31)</f>
        <v/>
      </c>
      <c r="D283" s="259" t="str">
        <f>LEFT($B$259,3)</f>
        <v>Dor</v>
      </c>
      <c r="E283" s="251" t="str">
        <f>IF(Dorchester!G31="","",Dorchester!G31)</f>
        <v/>
      </c>
      <c r="F283" s="181" t="str">
        <f>IF(Dorchester!H31=0,"",Dorchester!H31)</f>
        <v/>
      </c>
      <c r="G283" s="181" t="str">
        <f>IF(Dorchester!I31=0,"",Dorchester!I31)</f>
        <v/>
      </c>
      <c r="H283" s="181" t="str">
        <f>IF(Dorchester!J31=0,"",Dorchester!J31)</f>
        <v/>
      </c>
      <c r="I283" s="250" t="str">
        <f>IF(Dorchester!K31=0,"",Dorchester!K31)</f>
        <v/>
      </c>
      <c r="J283" s="163" t="str">
        <f>IF(Dorchester!M31="","",Dorchester!M31)</f>
        <v/>
      </c>
      <c r="K283" s="41" t="str">
        <f>IF(Dorchester!N31="","",Dorchester!N31)</f>
        <v/>
      </c>
      <c r="L283" s="41" t="str">
        <f>IF(Dorchester!O31="","",Dorchester!O31)</f>
        <v/>
      </c>
      <c r="M283" s="41" t="str">
        <f>IF(Dorchester!P31="","",Dorchester!P31)</f>
        <v/>
      </c>
      <c r="N283" s="41" t="str">
        <f>IF(Dorchester!Q31="","",Dorchester!Q31)</f>
        <v/>
      </c>
      <c r="O283" s="41" t="str">
        <f>IF(Dorchester!R31="","",Dorchester!R31)</f>
        <v/>
      </c>
      <c r="P283" s="41" t="str">
        <f>IF(Dorchester!S31="","",Dorchester!S31)</f>
        <v/>
      </c>
      <c r="Q283" s="41" t="str">
        <f>IF(Dorchester!T31="","",Dorchester!T31)</f>
        <v/>
      </c>
      <c r="R283" s="41" t="str">
        <f>IF(Dorchester!U31="","",Dorchester!U31)</f>
        <v/>
      </c>
      <c r="S283" s="41" t="str">
        <f>IF(Dorchester!V31="","",Dorchester!V31)</f>
        <v/>
      </c>
      <c r="T283" s="41" t="str">
        <f>IF(Dorchester!W31="","",Dorchester!W31)</f>
        <v/>
      </c>
      <c r="U283" s="41" t="str">
        <f>IF(Dorchester!X31="","",Dorchester!X31)</f>
        <v/>
      </c>
      <c r="V283" s="41" t="str">
        <f>IF(Dorchester!Y31="","",Dorchester!Y31)</f>
        <v/>
      </c>
      <c r="W283" s="249" t="str">
        <f>IF(Dorchester!AA31=0,"",Dorchester!AA31)</f>
        <v/>
      </c>
      <c r="X283" s="244" t="str">
        <f>IF(Dorchester!AB31=0,"",Dorchester!AB31)</f>
        <v/>
      </c>
      <c r="Y283" s="245" t="str">
        <f>IF(Dorchester!AC31=0,"",Dorchester!AC31)</f>
        <v/>
      </c>
      <c r="AA283" s="246" t="str">
        <f>Y283</f>
        <v/>
      </c>
      <c r="AB283" s="243" t="str">
        <f>X283</f>
        <v/>
      </c>
      <c r="AC283" s="185" t="str">
        <f>C283</f>
        <v/>
      </c>
      <c r="AD283" s="185" t="str">
        <f>LEFT($B$259,3)</f>
        <v>Dor</v>
      </c>
      <c r="AE283" s="185" t="str">
        <f t="shared" ref="AE283:AY283" si="138">E283</f>
        <v/>
      </c>
      <c r="AF283" s="185" t="str">
        <f t="shared" si="138"/>
        <v/>
      </c>
      <c r="AG283" s="185" t="str">
        <f t="shared" si="138"/>
        <v/>
      </c>
      <c r="AH283" s="185" t="str">
        <f t="shared" si="138"/>
        <v/>
      </c>
      <c r="AI283" s="185" t="str">
        <f t="shared" si="138"/>
        <v/>
      </c>
      <c r="AJ283" s="243" t="str">
        <f t="shared" si="138"/>
        <v/>
      </c>
      <c r="AK283" s="243" t="str">
        <f t="shared" si="138"/>
        <v/>
      </c>
      <c r="AL283" s="243" t="str">
        <f t="shared" si="138"/>
        <v/>
      </c>
      <c r="AM283" s="243" t="str">
        <f t="shared" si="138"/>
        <v/>
      </c>
      <c r="AN283" s="243" t="str">
        <f t="shared" si="138"/>
        <v/>
      </c>
      <c r="AO283" s="243" t="str">
        <f t="shared" si="138"/>
        <v/>
      </c>
      <c r="AP283" s="243" t="str">
        <f t="shared" si="138"/>
        <v/>
      </c>
      <c r="AQ283" s="243" t="str">
        <f t="shared" si="138"/>
        <v/>
      </c>
      <c r="AR283" s="243" t="str">
        <f t="shared" si="138"/>
        <v/>
      </c>
      <c r="AS283" s="243" t="str">
        <f t="shared" si="138"/>
        <v/>
      </c>
      <c r="AT283" s="243" t="str">
        <f t="shared" si="138"/>
        <v/>
      </c>
      <c r="AU283" s="243" t="str">
        <f t="shared" si="138"/>
        <v/>
      </c>
      <c r="AV283" s="243" t="str">
        <f t="shared" si="138"/>
        <v/>
      </c>
      <c r="AW283" s="247" t="str">
        <f t="shared" si="138"/>
        <v/>
      </c>
      <c r="AX283" s="243" t="str">
        <f t="shared" si="138"/>
        <v/>
      </c>
      <c r="AY283" s="248" t="str">
        <f t="shared" si="138"/>
        <v/>
      </c>
    </row>
    <row r="284" spans="2:51" ht="12" customHeight="1" x14ac:dyDescent="0.2">
      <c r="B284" s="266"/>
      <c r="C284" s="235"/>
      <c r="D284" s="235"/>
      <c r="E284" s="239"/>
      <c r="F284" s="182"/>
      <c r="G284" s="182"/>
      <c r="H284" s="182"/>
      <c r="I284" s="233"/>
      <c r="J284" s="163" t="str">
        <f>IF(Dorchester!M32="","",Dorchester!M32)</f>
        <v/>
      </c>
      <c r="K284" s="41" t="str">
        <f>IF(Dorchester!N32="","",Dorchester!N32)</f>
        <v/>
      </c>
      <c r="L284" s="41" t="str">
        <f>IF(Dorchester!O32="","",Dorchester!O32)</f>
        <v/>
      </c>
      <c r="M284" s="41" t="str">
        <f>IF(Dorchester!P32="","",Dorchester!P32)</f>
        <v/>
      </c>
      <c r="N284" s="41" t="str">
        <f>IF(Dorchester!Q32="","",Dorchester!Q32)</f>
        <v/>
      </c>
      <c r="O284" s="41" t="str">
        <f>IF(Dorchester!R32="","",Dorchester!R32)</f>
        <v/>
      </c>
      <c r="P284" s="41" t="str">
        <f>IF(Dorchester!S32="","",Dorchester!S32)</f>
        <v/>
      </c>
      <c r="Q284" s="41" t="str">
        <f>IF(Dorchester!T32="","",Dorchester!T32)</f>
        <v/>
      </c>
      <c r="R284" s="41" t="str">
        <f>IF(Dorchester!U32="","",Dorchester!U32)</f>
        <v/>
      </c>
      <c r="S284" s="41" t="str">
        <f>IF(Dorchester!V32="","",Dorchester!V32)</f>
        <v/>
      </c>
      <c r="T284" s="41" t="str">
        <f>IF(Dorchester!W32="","",Dorchester!W32)</f>
        <v/>
      </c>
      <c r="U284" s="41" t="str">
        <f>IF(Dorchester!X32="","",Dorchester!X32)</f>
        <v/>
      </c>
      <c r="V284" s="41" t="str">
        <f>IF(Dorchester!Y32="","",Dorchester!Y32)</f>
        <v/>
      </c>
      <c r="W284" s="201"/>
      <c r="X284" s="182"/>
      <c r="Y284" s="233"/>
      <c r="AA284" s="239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233"/>
    </row>
    <row r="285" spans="2:51" ht="12" customHeight="1" x14ac:dyDescent="0.2">
      <c r="B285" s="266"/>
      <c r="C285" s="263" t="str">
        <f>IF(Dorchester!E33="","",Dorchester!E33)</f>
        <v/>
      </c>
      <c r="D285" s="259" t="str">
        <f>LEFT($B$259,3)</f>
        <v>Dor</v>
      </c>
      <c r="E285" s="251" t="str">
        <f>IF(Dorchester!G33="","",Dorchester!G33)</f>
        <v/>
      </c>
      <c r="F285" s="181" t="str">
        <f>IF(Dorchester!H33=0,"",Dorchester!H33)</f>
        <v/>
      </c>
      <c r="G285" s="181" t="str">
        <f>IF(Dorchester!I33=0,"",Dorchester!I33)</f>
        <v/>
      </c>
      <c r="H285" s="181" t="str">
        <f>IF(Dorchester!J33=0,"",Dorchester!J33)</f>
        <v/>
      </c>
      <c r="I285" s="250" t="str">
        <f>IF(Dorchester!K33=0,"",Dorchester!K33)</f>
        <v/>
      </c>
      <c r="J285" s="163" t="str">
        <f>IF(Dorchester!M33="","",Dorchester!M33)</f>
        <v/>
      </c>
      <c r="K285" s="41" t="str">
        <f>IF(Dorchester!N33="","",Dorchester!N33)</f>
        <v/>
      </c>
      <c r="L285" s="41" t="str">
        <f>IF(Dorchester!O33="","",Dorchester!O33)</f>
        <v/>
      </c>
      <c r="M285" s="41" t="str">
        <f>IF(Dorchester!P33="","",Dorchester!P33)</f>
        <v/>
      </c>
      <c r="N285" s="41" t="str">
        <f>IF(Dorchester!Q33="","",Dorchester!Q33)</f>
        <v/>
      </c>
      <c r="O285" s="41" t="str">
        <f>IF(Dorchester!R33="","",Dorchester!R33)</f>
        <v/>
      </c>
      <c r="P285" s="41" t="str">
        <f>IF(Dorchester!S33="","",Dorchester!S33)</f>
        <v/>
      </c>
      <c r="Q285" s="41" t="str">
        <f>IF(Dorchester!T33="","",Dorchester!T33)</f>
        <v/>
      </c>
      <c r="R285" s="41" t="str">
        <f>IF(Dorchester!U33="","",Dorchester!U33)</f>
        <v/>
      </c>
      <c r="S285" s="41" t="str">
        <f>IF(Dorchester!V33="","",Dorchester!V33)</f>
        <v/>
      </c>
      <c r="T285" s="41" t="str">
        <f>IF(Dorchester!W33="","",Dorchester!W33)</f>
        <v/>
      </c>
      <c r="U285" s="41" t="str">
        <f>IF(Dorchester!X33="","",Dorchester!X33)</f>
        <v/>
      </c>
      <c r="V285" s="41" t="str">
        <f>IF(Dorchester!Y33="","",Dorchester!Y33)</f>
        <v/>
      </c>
      <c r="W285" s="249" t="str">
        <f>IF(Dorchester!AA33=0,"",Dorchester!AA33)</f>
        <v/>
      </c>
      <c r="X285" s="244" t="str">
        <f>IF(Dorchester!AB33=0,"",Dorchester!AB33)</f>
        <v/>
      </c>
      <c r="Y285" s="245" t="str">
        <f>IF(Dorchester!AC33=0,"",Dorchester!AC33)</f>
        <v/>
      </c>
      <c r="AA285" s="246" t="str">
        <f>Y285</f>
        <v/>
      </c>
      <c r="AB285" s="243" t="str">
        <f>X285</f>
        <v/>
      </c>
      <c r="AC285" s="185" t="str">
        <f>C285</f>
        <v/>
      </c>
      <c r="AD285" s="185" t="str">
        <f>LEFT($B$259,3)</f>
        <v>Dor</v>
      </c>
      <c r="AE285" s="185" t="str">
        <f t="shared" ref="AE285:AY285" si="139">E285</f>
        <v/>
      </c>
      <c r="AF285" s="185" t="str">
        <f t="shared" si="139"/>
        <v/>
      </c>
      <c r="AG285" s="185" t="str">
        <f t="shared" si="139"/>
        <v/>
      </c>
      <c r="AH285" s="185" t="str">
        <f t="shared" si="139"/>
        <v/>
      </c>
      <c r="AI285" s="185" t="str">
        <f t="shared" si="139"/>
        <v/>
      </c>
      <c r="AJ285" s="243" t="str">
        <f t="shared" si="139"/>
        <v/>
      </c>
      <c r="AK285" s="243" t="str">
        <f t="shared" si="139"/>
        <v/>
      </c>
      <c r="AL285" s="243" t="str">
        <f t="shared" si="139"/>
        <v/>
      </c>
      <c r="AM285" s="243" t="str">
        <f t="shared" si="139"/>
        <v/>
      </c>
      <c r="AN285" s="243" t="str">
        <f t="shared" si="139"/>
        <v/>
      </c>
      <c r="AO285" s="243" t="str">
        <f t="shared" si="139"/>
        <v/>
      </c>
      <c r="AP285" s="243" t="str">
        <f t="shared" si="139"/>
        <v/>
      </c>
      <c r="AQ285" s="243" t="str">
        <f t="shared" si="139"/>
        <v/>
      </c>
      <c r="AR285" s="243" t="str">
        <f t="shared" si="139"/>
        <v/>
      </c>
      <c r="AS285" s="243" t="str">
        <f t="shared" si="139"/>
        <v/>
      </c>
      <c r="AT285" s="243" t="str">
        <f t="shared" si="139"/>
        <v/>
      </c>
      <c r="AU285" s="243" t="str">
        <f t="shared" si="139"/>
        <v/>
      </c>
      <c r="AV285" s="243" t="str">
        <f t="shared" si="139"/>
        <v/>
      </c>
      <c r="AW285" s="247" t="str">
        <f t="shared" si="139"/>
        <v/>
      </c>
      <c r="AX285" s="243" t="str">
        <f t="shared" si="139"/>
        <v/>
      </c>
      <c r="AY285" s="248" t="str">
        <f t="shared" si="139"/>
        <v/>
      </c>
    </row>
    <row r="286" spans="2:51" ht="12" customHeight="1" x14ac:dyDescent="0.2">
      <c r="B286" s="266"/>
      <c r="C286" s="235"/>
      <c r="D286" s="235"/>
      <c r="E286" s="239"/>
      <c r="F286" s="182"/>
      <c r="G286" s="182"/>
      <c r="H286" s="182"/>
      <c r="I286" s="233"/>
      <c r="J286" s="163" t="str">
        <f>IF(Dorchester!M34="","",Dorchester!M34)</f>
        <v/>
      </c>
      <c r="K286" s="41" t="str">
        <f>IF(Dorchester!N34="","",Dorchester!N34)</f>
        <v/>
      </c>
      <c r="L286" s="41" t="str">
        <f>IF(Dorchester!O34="","",Dorchester!O34)</f>
        <v/>
      </c>
      <c r="M286" s="41" t="str">
        <f>IF(Dorchester!P34="","",Dorchester!P34)</f>
        <v/>
      </c>
      <c r="N286" s="41" t="str">
        <f>IF(Dorchester!Q34="","",Dorchester!Q34)</f>
        <v/>
      </c>
      <c r="O286" s="41" t="str">
        <f>IF(Dorchester!R34="","",Dorchester!R34)</f>
        <v/>
      </c>
      <c r="P286" s="41" t="str">
        <f>IF(Dorchester!S34="","",Dorchester!S34)</f>
        <v/>
      </c>
      <c r="Q286" s="41" t="str">
        <f>IF(Dorchester!T34="","",Dorchester!T34)</f>
        <v/>
      </c>
      <c r="R286" s="41" t="str">
        <f>IF(Dorchester!U34="","",Dorchester!U34)</f>
        <v/>
      </c>
      <c r="S286" s="41" t="str">
        <f>IF(Dorchester!V34="","",Dorchester!V34)</f>
        <v/>
      </c>
      <c r="T286" s="41" t="str">
        <f>IF(Dorchester!W34="","",Dorchester!W34)</f>
        <v/>
      </c>
      <c r="U286" s="41" t="str">
        <f>IF(Dorchester!X34="","",Dorchester!X34)</f>
        <v/>
      </c>
      <c r="V286" s="41" t="str">
        <f>IF(Dorchester!Y34="","",Dorchester!Y34)</f>
        <v/>
      </c>
      <c r="W286" s="201"/>
      <c r="X286" s="182"/>
      <c r="Y286" s="233"/>
      <c r="AA286" s="239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233"/>
    </row>
    <row r="287" spans="2:51" ht="12" customHeight="1" x14ac:dyDescent="0.2">
      <c r="B287" s="266"/>
      <c r="C287" s="263" t="str">
        <f>IF(Dorchester!E35="","",Dorchester!E35)</f>
        <v/>
      </c>
      <c r="D287" s="259" t="str">
        <f>LEFT($B$259,3)</f>
        <v>Dor</v>
      </c>
      <c r="E287" s="251" t="str">
        <f>IF(Dorchester!G35="","",Dorchester!G35)</f>
        <v/>
      </c>
      <c r="F287" s="181" t="str">
        <f>IF(Dorchester!H35=0,"",Dorchester!H35)</f>
        <v/>
      </c>
      <c r="G287" s="181" t="str">
        <f>IF(Dorchester!I35=0,"",Dorchester!I35)</f>
        <v/>
      </c>
      <c r="H287" s="181" t="str">
        <f>IF(Dorchester!J35=0,"",Dorchester!J35)</f>
        <v/>
      </c>
      <c r="I287" s="250" t="str">
        <f>IF(Dorchester!K35=0,"",Dorchester!K35)</f>
        <v/>
      </c>
      <c r="J287" s="163" t="str">
        <f>IF(Dorchester!M35="","",Dorchester!M35)</f>
        <v/>
      </c>
      <c r="K287" s="41" t="str">
        <f>IF(Dorchester!N35="","",Dorchester!N35)</f>
        <v/>
      </c>
      <c r="L287" s="41" t="str">
        <f>IF(Dorchester!O35="","",Dorchester!O35)</f>
        <v/>
      </c>
      <c r="M287" s="41" t="str">
        <f>IF(Dorchester!P35="","",Dorchester!P35)</f>
        <v/>
      </c>
      <c r="N287" s="41" t="str">
        <f>IF(Dorchester!Q35="","",Dorchester!Q35)</f>
        <v/>
      </c>
      <c r="O287" s="41" t="str">
        <f>IF(Dorchester!R35="","",Dorchester!R35)</f>
        <v/>
      </c>
      <c r="P287" s="41" t="str">
        <f>IF(Dorchester!S35="","",Dorchester!S35)</f>
        <v/>
      </c>
      <c r="Q287" s="41" t="str">
        <f>IF(Dorchester!T35="","",Dorchester!T35)</f>
        <v/>
      </c>
      <c r="R287" s="41" t="str">
        <f>IF(Dorchester!U35="","",Dorchester!U35)</f>
        <v/>
      </c>
      <c r="S287" s="41" t="str">
        <f>IF(Dorchester!V35="","",Dorchester!V35)</f>
        <v/>
      </c>
      <c r="T287" s="41" t="str">
        <f>IF(Dorchester!W35="","",Dorchester!W35)</f>
        <v/>
      </c>
      <c r="U287" s="41" t="str">
        <f>IF(Dorchester!X35="","",Dorchester!X35)</f>
        <v/>
      </c>
      <c r="V287" s="41" t="str">
        <f>IF(Dorchester!Y35="","",Dorchester!Y35)</f>
        <v/>
      </c>
      <c r="W287" s="249" t="str">
        <f>IF(Dorchester!AA35=0,"",Dorchester!AA35)</f>
        <v/>
      </c>
      <c r="X287" s="244" t="str">
        <f>IF(Dorchester!AB35=0,"",Dorchester!AB35)</f>
        <v/>
      </c>
      <c r="Y287" s="245" t="str">
        <f>IF(Dorchester!AC35=0,"",Dorchester!AC35)</f>
        <v/>
      </c>
      <c r="AA287" s="246" t="str">
        <f>Y287</f>
        <v/>
      </c>
      <c r="AB287" s="243" t="str">
        <f>X287</f>
        <v/>
      </c>
      <c r="AC287" s="185" t="str">
        <f>C287</f>
        <v/>
      </c>
      <c r="AD287" s="185" t="str">
        <f>LEFT($B$259,3)</f>
        <v>Dor</v>
      </c>
      <c r="AE287" s="185" t="str">
        <f t="shared" ref="AE287:AY287" si="140">E287</f>
        <v/>
      </c>
      <c r="AF287" s="185" t="str">
        <f t="shared" si="140"/>
        <v/>
      </c>
      <c r="AG287" s="185" t="str">
        <f t="shared" si="140"/>
        <v/>
      </c>
      <c r="AH287" s="185" t="str">
        <f t="shared" si="140"/>
        <v/>
      </c>
      <c r="AI287" s="185" t="str">
        <f t="shared" si="140"/>
        <v/>
      </c>
      <c r="AJ287" s="243" t="str">
        <f t="shared" si="140"/>
        <v/>
      </c>
      <c r="AK287" s="243" t="str">
        <f t="shared" si="140"/>
        <v/>
      </c>
      <c r="AL287" s="243" t="str">
        <f t="shared" si="140"/>
        <v/>
      </c>
      <c r="AM287" s="243" t="str">
        <f t="shared" si="140"/>
        <v/>
      </c>
      <c r="AN287" s="243" t="str">
        <f t="shared" si="140"/>
        <v/>
      </c>
      <c r="AO287" s="243" t="str">
        <f t="shared" si="140"/>
        <v/>
      </c>
      <c r="AP287" s="243" t="str">
        <f t="shared" si="140"/>
        <v/>
      </c>
      <c r="AQ287" s="243" t="str">
        <f t="shared" si="140"/>
        <v/>
      </c>
      <c r="AR287" s="243" t="str">
        <f t="shared" si="140"/>
        <v/>
      </c>
      <c r="AS287" s="243" t="str">
        <f t="shared" si="140"/>
        <v/>
      </c>
      <c r="AT287" s="243" t="str">
        <f t="shared" si="140"/>
        <v/>
      </c>
      <c r="AU287" s="243" t="str">
        <f t="shared" si="140"/>
        <v/>
      </c>
      <c r="AV287" s="243" t="str">
        <f t="shared" si="140"/>
        <v/>
      </c>
      <c r="AW287" s="247" t="str">
        <f t="shared" si="140"/>
        <v/>
      </c>
      <c r="AX287" s="243" t="str">
        <f t="shared" si="140"/>
        <v/>
      </c>
      <c r="AY287" s="248" t="str">
        <f t="shared" si="140"/>
        <v/>
      </c>
    </row>
    <row r="288" spans="2:51" ht="12" customHeight="1" x14ac:dyDescent="0.2">
      <c r="B288" s="266"/>
      <c r="C288" s="235"/>
      <c r="D288" s="235"/>
      <c r="E288" s="239"/>
      <c r="F288" s="182"/>
      <c r="G288" s="182"/>
      <c r="H288" s="182"/>
      <c r="I288" s="233"/>
      <c r="J288" s="163" t="str">
        <f>IF(Dorchester!M36="","",Dorchester!M36)</f>
        <v/>
      </c>
      <c r="K288" s="41" t="str">
        <f>IF(Dorchester!N36="","",Dorchester!N36)</f>
        <v/>
      </c>
      <c r="L288" s="41" t="str">
        <f>IF(Dorchester!O36="","",Dorchester!O36)</f>
        <v/>
      </c>
      <c r="M288" s="41" t="str">
        <f>IF(Dorchester!P36="","",Dorchester!P36)</f>
        <v/>
      </c>
      <c r="N288" s="41" t="str">
        <f>IF(Dorchester!Q36="","",Dorchester!Q36)</f>
        <v/>
      </c>
      <c r="O288" s="41" t="str">
        <f>IF(Dorchester!R36="","",Dorchester!R36)</f>
        <v/>
      </c>
      <c r="P288" s="41" t="str">
        <f>IF(Dorchester!S36="","",Dorchester!S36)</f>
        <v/>
      </c>
      <c r="Q288" s="41" t="str">
        <f>IF(Dorchester!T36="","",Dorchester!T36)</f>
        <v/>
      </c>
      <c r="R288" s="41" t="str">
        <f>IF(Dorchester!U36="","",Dorchester!U36)</f>
        <v/>
      </c>
      <c r="S288" s="41" t="str">
        <f>IF(Dorchester!V36="","",Dorchester!V36)</f>
        <v/>
      </c>
      <c r="T288" s="41" t="str">
        <f>IF(Dorchester!W36="","",Dorchester!W36)</f>
        <v/>
      </c>
      <c r="U288" s="41" t="str">
        <f>IF(Dorchester!X36="","",Dorchester!X36)</f>
        <v/>
      </c>
      <c r="V288" s="41" t="str">
        <f>IF(Dorchester!Y36="","",Dorchester!Y36)</f>
        <v/>
      </c>
      <c r="W288" s="201"/>
      <c r="X288" s="182"/>
      <c r="Y288" s="233"/>
      <c r="AA288" s="239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233"/>
    </row>
    <row r="289" spans="2:51" ht="12" customHeight="1" x14ac:dyDescent="0.2">
      <c r="B289" s="266"/>
      <c r="C289" s="263" t="str">
        <f>IF(Dorchester!E37="","",Dorchester!E37)</f>
        <v/>
      </c>
      <c r="D289" s="259" t="str">
        <f>LEFT($B$259,3)</f>
        <v>Dor</v>
      </c>
      <c r="E289" s="251" t="str">
        <f>IF(Dorchester!G37="","",Dorchester!G37)</f>
        <v/>
      </c>
      <c r="F289" s="181" t="str">
        <f>IF(Dorchester!H37=0,"",Dorchester!H37)</f>
        <v/>
      </c>
      <c r="G289" s="181" t="str">
        <f>IF(Dorchester!I37=0,"",Dorchester!I37)</f>
        <v/>
      </c>
      <c r="H289" s="181" t="str">
        <f>IF(Dorchester!J37=0,"",Dorchester!J37)</f>
        <v/>
      </c>
      <c r="I289" s="250" t="str">
        <f>IF(Dorchester!K37=0,"",Dorchester!K37)</f>
        <v/>
      </c>
      <c r="J289" s="163" t="str">
        <f>IF(Dorchester!M37="","",Dorchester!M37)</f>
        <v/>
      </c>
      <c r="K289" s="41" t="str">
        <f>IF(Dorchester!N37="","",Dorchester!N37)</f>
        <v/>
      </c>
      <c r="L289" s="41" t="str">
        <f>IF(Dorchester!O37="","",Dorchester!O37)</f>
        <v/>
      </c>
      <c r="M289" s="41" t="str">
        <f>IF(Dorchester!P37="","",Dorchester!P37)</f>
        <v/>
      </c>
      <c r="N289" s="41" t="str">
        <f>IF(Dorchester!Q37="","",Dorchester!Q37)</f>
        <v/>
      </c>
      <c r="O289" s="41" t="str">
        <f>IF(Dorchester!R37="","",Dorchester!R37)</f>
        <v/>
      </c>
      <c r="P289" s="41" t="str">
        <f>IF(Dorchester!S37="","",Dorchester!S37)</f>
        <v/>
      </c>
      <c r="Q289" s="41" t="str">
        <f>IF(Dorchester!T37="","",Dorchester!T37)</f>
        <v/>
      </c>
      <c r="R289" s="41" t="str">
        <f>IF(Dorchester!U37="","",Dorchester!U37)</f>
        <v/>
      </c>
      <c r="S289" s="41" t="str">
        <f>IF(Dorchester!V37="","",Dorchester!V37)</f>
        <v/>
      </c>
      <c r="T289" s="41" t="str">
        <f>IF(Dorchester!W37="","",Dorchester!W37)</f>
        <v/>
      </c>
      <c r="U289" s="41" t="str">
        <f>IF(Dorchester!X37="","",Dorchester!X37)</f>
        <v/>
      </c>
      <c r="V289" s="41" t="str">
        <f>IF(Dorchester!Y37="","",Dorchester!Y37)</f>
        <v/>
      </c>
      <c r="W289" s="249" t="str">
        <f>IF(Dorchester!AA37=0,"",Dorchester!AA37)</f>
        <v/>
      </c>
      <c r="X289" s="244" t="str">
        <f>IF(Dorchester!AB37=0,"",Dorchester!AB37)</f>
        <v/>
      </c>
      <c r="Y289" s="245" t="str">
        <f>IF(Dorchester!AC37=0,"",Dorchester!AC37)</f>
        <v/>
      </c>
      <c r="AA289" s="246" t="str">
        <f>Y289</f>
        <v/>
      </c>
      <c r="AB289" s="243" t="str">
        <f>X289</f>
        <v/>
      </c>
      <c r="AC289" s="185" t="str">
        <f>C289</f>
        <v/>
      </c>
      <c r="AD289" s="185" t="str">
        <f>LEFT($B$259,3)</f>
        <v>Dor</v>
      </c>
      <c r="AE289" s="185" t="str">
        <f t="shared" ref="AE289:AY289" si="141">E289</f>
        <v/>
      </c>
      <c r="AF289" s="185" t="str">
        <f t="shared" si="141"/>
        <v/>
      </c>
      <c r="AG289" s="185" t="str">
        <f t="shared" si="141"/>
        <v/>
      </c>
      <c r="AH289" s="185" t="str">
        <f t="shared" si="141"/>
        <v/>
      </c>
      <c r="AI289" s="185" t="str">
        <f t="shared" si="141"/>
        <v/>
      </c>
      <c r="AJ289" s="243" t="str">
        <f t="shared" si="141"/>
        <v/>
      </c>
      <c r="AK289" s="243" t="str">
        <f t="shared" si="141"/>
        <v/>
      </c>
      <c r="AL289" s="243" t="str">
        <f t="shared" si="141"/>
        <v/>
      </c>
      <c r="AM289" s="243" t="str">
        <f t="shared" si="141"/>
        <v/>
      </c>
      <c r="AN289" s="243" t="str">
        <f t="shared" si="141"/>
        <v/>
      </c>
      <c r="AO289" s="243" t="str">
        <f t="shared" si="141"/>
        <v/>
      </c>
      <c r="AP289" s="243" t="str">
        <f t="shared" si="141"/>
        <v/>
      </c>
      <c r="AQ289" s="243" t="str">
        <f t="shared" si="141"/>
        <v/>
      </c>
      <c r="AR289" s="243" t="str">
        <f t="shared" si="141"/>
        <v/>
      </c>
      <c r="AS289" s="243" t="str">
        <f t="shared" si="141"/>
        <v/>
      </c>
      <c r="AT289" s="243" t="str">
        <f t="shared" si="141"/>
        <v/>
      </c>
      <c r="AU289" s="243" t="str">
        <f t="shared" si="141"/>
        <v/>
      </c>
      <c r="AV289" s="243" t="str">
        <f t="shared" si="141"/>
        <v/>
      </c>
      <c r="AW289" s="247" t="str">
        <f t="shared" si="141"/>
        <v/>
      </c>
      <c r="AX289" s="243" t="str">
        <f t="shared" si="141"/>
        <v/>
      </c>
      <c r="AY289" s="248" t="str">
        <f t="shared" si="141"/>
        <v/>
      </c>
    </row>
    <row r="290" spans="2:51" ht="12" customHeight="1" x14ac:dyDescent="0.2">
      <c r="B290" s="266"/>
      <c r="C290" s="235"/>
      <c r="D290" s="235"/>
      <c r="E290" s="239"/>
      <c r="F290" s="182"/>
      <c r="G290" s="182"/>
      <c r="H290" s="182"/>
      <c r="I290" s="233"/>
      <c r="J290" s="163" t="str">
        <f>IF(Dorchester!M38="","",Dorchester!M38)</f>
        <v/>
      </c>
      <c r="K290" s="41" t="str">
        <f>IF(Dorchester!N38="","",Dorchester!N38)</f>
        <v/>
      </c>
      <c r="L290" s="41" t="str">
        <f>IF(Dorchester!O38="","",Dorchester!O38)</f>
        <v/>
      </c>
      <c r="M290" s="41" t="str">
        <f>IF(Dorchester!P38="","",Dorchester!P38)</f>
        <v/>
      </c>
      <c r="N290" s="41" t="str">
        <f>IF(Dorchester!Q38="","",Dorchester!Q38)</f>
        <v/>
      </c>
      <c r="O290" s="41" t="str">
        <f>IF(Dorchester!R38="","",Dorchester!R38)</f>
        <v/>
      </c>
      <c r="P290" s="41" t="str">
        <f>IF(Dorchester!S38="","",Dorchester!S38)</f>
        <v/>
      </c>
      <c r="Q290" s="41" t="str">
        <f>IF(Dorchester!T38="","",Dorchester!T38)</f>
        <v/>
      </c>
      <c r="R290" s="41" t="str">
        <f>IF(Dorchester!U38="","",Dorchester!U38)</f>
        <v/>
      </c>
      <c r="S290" s="41" t="str">
        <f>IF(Dorchester!V38="","",Dorchester!V38)</f>
        <v/>
      </c>
      <c r="T290" s="41" t="str">
        <f>IF(Dorchester!W38="","",Dorchester!W38)</f>
        <v/>
      </c>
      <c r="U290" s="41" t="str">
        <f>IF(Dorchester!X38="","",Dorchester!X38)</f>
        <v/>
      </c>
      <c r="V290" s="41" t="str">
        <f>IF(Dorchester!Y38="","",Dorchester!Y38)</f>
        <v/>
      </c>
      <c r="W290" s="201"/>
      <c r="X290" s="182"/>
      <c r="Y290" s="233"/>
      <c r="AA290" s="239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233"/>
    </row>
    <row r="291" spans="2:51" ht="12" customHeight="1" x14ac:dyDescent="0.2">
      <c r="B291" s="266"/>
      <c r="C291" s="263" t="str">
        <f>IF(Dorchester!E39="","",Dorchester!E39)</f>
        <v/>
      </c>
      <c r="D291" s="259" t="str">
        <f>LEFT($B$259,3)</f>
        <v>Dor</v>
      </c>
      <c r="E291" s="251" t="str">
        <f>IF(Dorchester!G39="","",Dorchester!G39)</f>
        <v/>
      </c>
      <c r="F291" s="181" t="str">
        <f>IF(Dorchester!H39=0,"",Dorchester!H39)</f>
        <v/>
      </c>
      <c r="G291" s="181" t="str">
        <f>IF(Dorchester!I39=0,"",Dorchester!I39)</f>
        <v/>
      </c>
      <c r="H291" s="181" t="str">
        <f>IF(Dorchester!J39=0,"",Dorchester!J39)</f>
        <v/>
      </c>
      <c r="I291" s="250" t="str">
        <f>IF(Dorchester!K39=0,"",Dorchester!K39)</f>
        <v/>
      </c>
      <c r="J291" s="163" t="str">
        <f>IF(Dorchester!M39="","",Dorchester!M39)</f>
        <v/>
      </c>
      <c r="K291" s="41" t="str">
        <f>IF(Dorchester!N39="","",Dorchester!N39)</f>
        <v/>
      </c>
      <c r="L291" s="41" t="str">
        <f>IF(Dorchester!O39="","",Dorchester!O39)</f>
        <v/>
      </c>
      <c r="M291" s="41" t="str">
        <f>IF(Dorchester!P39="","",Dorchester!P39)</f>
        <v/>
      </c>
      <c r="N291" s="41" t="str">
        <f>IF(Dorchester!Q39="","",Dorchester!Q39)</f>
        <v/>
      </c>
      <c r="O291" s="41" t="str">
        <f>IF(Dorchester!R39="","",Dorchester!R39)</f>
        <v/>
      </c>
      <c r="P291" s="41" t="str">
        <f>IF(Dorchester!S39="","",Dorchester!S39)</f>
        <v/>
      </c>
      <c r="Q291" s="41" t="str">
        <f>IF(Dorchester!T39="","",Dorchester!T39)</f>
        <v/>
      </c>
      <c r="R291" s="41" t="str">
        <f>IF(Dorchester!U39="","",Dorchester!U39)</f>
        <v/>
      </c>
      <c r="S291" s="41" t="str">
        <f>IF(Dorchester!V39="","",Dorchester!V39)</f>
        <v/>
      </c>
      <c r="T291" s="41" t="str">
        <f>IF(Dorchester!W39="","",Dorchester!W39)</f>
        <v/>
      </c>
      <c r="U291" s="41" t="str">
        <f>IF(Dorchester!X39="","",Dorchester!X39)</f>
        <v/>
      </c>
      <c r="V291" s="41" t="str">
        <f>IF(Dorchester!Y39="","",Dorchester!Y39)</f>
        <v/>
      </c>
      <c r="W291" s="249" t="str">
        <f>IF(Dorchester!AA39=0,"",Dorchester!AA39)</f>
        <v/>
      </c>
      <c r="X291" s="244" t="str">
        <f>IF(Dorchester!AB39=0,"",Dorchester!AB39)</f>
        <v/>
      </c>
      <c r="Y291" s="245" t="str">
        <f>IF(Dorchester!AC39=0,"",Dorchester!AC39)</f>
        <v/>
      </c>
      <c r="AA291" s="246" t="str">
        <f>Y291</f>
        <v/>
      </c>
      <c r="AB291" s="243" t="str">
        <f>X291</f>
        <v/>
      </c>
      <c r="AC291" s="185" t="str">
        <f>C291</f>
        <v/>
      </c>
      <c r="AD291" s="185" t="str">
        <f>LEFT($B$259,3)</f>
        <v>Dor</v>
      </c>
      <c r="AE291" s="185" t="str">
        <f t="shared" ref="AE291:AY291" si="142">E291</f>
        <v/>
      </c>
      <c r="AF291" s="185" t="str">
        <f t="shared" si="142"/>
        <v/>
      </c>
      <c r="AG291" s="185" t="str">
        <f t="shared" si="142"/>
        <v/>
      </c>
      <c r="AH291" s="185" t="str">
        <f t="shared" si="142"/>
        <v/>
      </c>
      <c r="AI291" s="185" t="str">
        <f t="shared" si="142"/>
        <v/>
      </c>
      <c r="AJ291" s="243" t="str">
        <f t="shared" si="142"/>
        <v/>
      </c>
      <c r="AK291" s="243" t="str">
        <f t="shared" si="142"/>
        <v/>
      </c>
      <c r="AL291" s="243" t="str">
        <f t="shared" si="142"/>
        <v/>
      </c>
      <c r="AM291" s="243" t="str">
        <f t="shared" si="142"/>
        <v/>
      </c>
      <c r="AN291" s="243" t="str">
        <f t="shared" si="142"/>
        <v/>
      </c>
      <c r="AO291" s="243" t="str">
        <f t="shared" si="142"/>
        <v/>
      </c>
      <c r="AP291" s="243" t="str">
        <f t="shared" si="142"/>
        <v/>
      </c>
      <c r="AQ291" s="243" t="str">
        <f t="shared" si="142"/>
        <v/>
      </c>
      <c r="AR291" s="243" t="str">
        <f t="shared" si="142"/>
        <v/>
      </c>
      <c r="AS291" s="243" t="str">
        <f t="shared" si="142"/>
        <v/>
      </c>
      <c r="AT291" s="243" t="str">
        <f t="shared" si="142"/>
        <v/>
      </c>
      <c r="AU291" s="243" t="str">
        <f t="shared" si="142"/>
        <v/>
      </c>
      <c r="AV291" s="243" t="str">
        <f t="shared" si="142"/>
        <v/>
      </c>
      <c r="AW291" s="247" t="str">
        <f t="shared" si="142"/>
        <v/>
      </c>
      <c r="AX291" s="243" t="str">
        <f t="shared" si="142"/>
        <v/>
      </c>
      <c r="AY291" s="248" t="str">
        <f t="shared" si="142"/>
        <v/>
      </c>
    </row>
    <row r="292" spans="2:51" ht="12" customHeight="1" x14ac:dyDescent="0.2">
      <c r="B292" s="266"/>
      <c r="C292" s="235"/>
      <c r="D292" s="235"/>
      <c r="E292" s="239"/>
      <c r="F292" s="182"/>
      <c r="G292" s="182"/>
      <c r="H292" s="182"/>
      <c r="I292" s="233"/>
      <c r="J292" s="163" t="str">
        <f>IF(Dorchester!M40="","",Dorchester!M40)</f>
        <v/>
      </c>
      <c r="K292" s="41" t="str">
        <f>IF(Dorchester!N40="","",Dorchester!N40)</f>
        <v/>
      </c>
      <c r="L292" s="41" t="str">
        <f>IF(Dorchester!O40="","",Dorchester!O40)</f>
        <v/>
      </c>
      <c r="M292" s="41" t="str">
        <f>IF(Dorchester!P40="","",Dorchester!P40)</f>
        <v/>
      </c>
      <c r="N292" s="41" t="str">
        <f>IF(Dorchester!Q40="","",Dorchester!Q40)</f>
        <v/>
      </c>
      <c r="O292" s="41" t="str">
        <f>IF(Dorchester!R40="","",Dorchester!R40)</f>
        <v/>
      </c>
      <c r="P292" s="41" t="str">
        <f>IF(Dorchester!S40="","",Dorchester!S40)</f>
        <v/>
      </c>
      <c r="Q292" s="41" t="str">
        <f>IF(Dorchester!T40="","",Dorchester!T40)</f>
        <v/>
      </c>
      <c r="R292" s="41" t="str">
        <f>IF(Dorchester!U40="","",Dorchester!U40)</f>
        <v/>
      </c>
      <c r="S292" s="41" t="str">
        <f>IF(Dorchester!V40="","",Dorchester!V40)</f>
        <v/>
      </c>
      <c r="T292" s="41" t="str">
        <f>IF(Dorchester!W40="","",Dorchester!W40)</f>
        <v/>
      </c>
      <c r="U292" s="41" t="str">
        <f>IF(Dorchester!X40="","",Dorchester!X40)</f>
        <v/>
      </c>
      <c r="V292" s="41" t="str">
        <f>IF(Dorchester!Y40="","",Dorchester!Y40)</f>
        <v/>
      </c>
      <c r="W292" s="201"/>
      <c r="X292" s="182"/>
      <c r="Y292" s="233"/>
      <c r="AA292" s="239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233"/>
    </row>
    <row r="293" spans="2:51" ht="12" customHeight="1" x14ac:dyDescent="0.2">
      <c r="B293" s="266"/>
      <c r="C293" s="263" t="str">
        <f>IF(Dorchester!E41="","",Dorchester!E41)</f>
        <v/>
      </c>
      <c r="D293" s="259" t="str">
        <f>LEFT($B$259,3)</f>
        <v>Dor</v>
      </c>
      <c r="E293" s="251" t="str">
        <f>IF(Dorchester!G41="","",Dorchester!G41)</f>
        <v/>
      </c>
      <c r="F293" s="181" t="str">
        <f>IF(Dorchester!H41=0,"",Dorchester!H41)</f>
        <v/>
      </c>
      <c r="G293" s="181" t="str">
        <f>IF(Dorchester!I41=0,"",Dorchester!I41)</f>
        <v/>
      </c>
      <c r="H293" s="181" t="str">
        <f>IF(Dorchester!J41=0,"",Dorchester!J41)</f>
        <v/>
      </c>
      <c r="I293" s="250" t="str">
        <f>IF(Dorchester!K41=0,"",Dorchester!K41)</f>
        <v/>
      </c>
      <c r="J293" s="163" t="str">
        <f>IF(Dorchester!M41="","",Dorchester!M41)</f>
        <v/>
      </c>
      <c r="K293" s="41" t="str">
        <f>IF(Dorchester!N41="","",Dorchester!N41)</f>
        <v/>
      </c>
      <c r="L293" s="41" t="str">
        <f>IF(Dorchester!O41="","",Dorchester!O41)</f>
        <v/>
      </c>
      <c r="M293" s="41" t="str">
        <f>IF(Dorchester!P41="","",Dorchester!P41)</f>
        <v/>
      </c>
      <c r="N293" s="41" t="str">
        <f>IF(Dorchester!Q41="","",Dorchester!Q41)</f>
        <v/>
      </c>
      <c r="O293" s="41" t="str">
        <f>IF(Dorchester!R41="","",Dorchester!R41)</f>
        <v/>
      </c>
      <c r="P293" s="41" t="str">
        <f>IF(Dorchester!S41="","",Dorchester!S41)</f>
        <v/>
      </c>
      <c r="Q293" s="41" t="str">
        <f>IF(Dorchester!T41="","",Dorchester!T41)</f>
        <v/>
      </c>
      <c r="R293" s="41" t="str">
        <f>IF(Dorchester!U41="","",Dorchester!U41)</f>
        <v/>
      </c>
      <c r="S293" s="41" t="str">
        <f>IF(Dorchester!V41="","",Dorchester!V41)</f>
        <v/>
      </c>
      <c r="T293" s="41" t="str">
        <f>IF(Dorchester!W41="","",Dorchester!W41)</f>
        <v/>
      </c>
      <c r="U293" s="41" t="str">
        <f>IF(Dorchester!X41="","",Dorchester!X41)</f>
        <v/>
      </c>
      <c r="V293" s="41" t="str">
        <f>IF(Dorchester!Y41="","",Dorchester!Y41)</f>
        <v/>
      </c>
      <c r="W293" s="249" t="str">
        <f>IF(Dorchester!AA41=0,"",Dorchester!AA41)</f>
        <v/>
      </c>
      <c r="X293" s="244" t="str">
        <f>IF(Dorchester!AB41=0,"",Dorchester!AB41)</f>
        <v/>
      </c>
      <c r="Y293" s="245" t="str">
        <f>IF(Dorchester!AC41=0,"",Dorchester!AC41)</f>
        <v/>
      </c>
      <c r="AA293" s="246" t="str">
        <f>Y293</f>
        <v/>
      </c>
      <c r="AB293" s="243" t="str">
        <f>X293</f>
        <v/>
      </c>
      <c r="AC293" s="185" t="str">
        <f>C293</f>
        <v/>
      </c>
      <c r="AD293" s="185" t="str">
        <f>LEFT($B$259,3)</f>
        <v>Dor</v>
      </c>
      <c r="AE293" s="185" t="str">
        <f t="shared" ref="AE293:AY293" si="143">E293</f>
        <v/>
      </c>
      <c r="AF293" s="185" t="str">
        <f t="shared" si="143"/>
        <v/>
      </c>
      <c r="AG293" s="185" t="str">
        <f t="shared" si="143"/>
        <v/>
      </c>
      <c r="AH293" s="185" t="str">
        <f t="shared" si="143"/>
        <v/>
      </c>
      <c r="AI293" s="185" t="str">
        <f t="shared" si="143"/>
        <v/>
      </c>
      <c r="AJ293" s="243" t="str">
        <f t="shared" si="143"/>
        <v/>
      </c>
      <c r="AK293" s="243" t="str">
        <f t="shared" si="143"/>
        <v/>
      </c>
      <c r="AL293" s="243" t="str">
        <f t="shared" si="143"/>
        <v/>
      </c>
      <c r="AM293" s="243" t="str">
        <f t="shared" si="143"/>
        <v/>
      </c>
      <c r="AN293" s="243" t="str">
        <f t="shared" si="143"/>
        <v/>
      </c>
      <c r="AO293" s="243" t="str">
        <f t="shared" si="143"/>
        <v/>
      </c>
      <c r="AP293" s="243" t="str">
        <f t="shared" si="143"/>
        <v/>
      </c>
      <c r="AQ293" s="243" t="str">
        <f t="shared" si="143"/>
        <v/>
      </c>
      <c r="AR293" s="243" t="str">
        <f t="shared" si="143"/>
        <v/>
      </c>
      <c r="AS293" s="243" t="str">
        <f t="shared" si="143"/>
        <v/>
      </c>
      <c r="AT293" s="243" t="str">
        <f t="shared" si="143"/>
        <v/>
      </c>
      <c r="AU293" s="243" t="str">
        <f t="shared" si="143"/>
        <v/>
      </c>
      <c r="AV293" s="243" t="str">
        <f t="shared" si="143"/>
        <v/>
      </c>
      <c r="AW293" s="247" t="str">
        <f t="shared" si="143"/>
        <v/>
      </c>
      <c r="AX293" s="243" t="str">
        <f t="shared" si="143"/>
        <v/>
      </c>
      <c r="AY293" s="248" t="str">
        <f t="shared" si="143"/>
        <v/>
      </c>
    </row>
    <row r="294" spans="2:51" ht="12" customHeight="1" x14ac:dyDescent="0.2">
      <c r="B294" s="266"/>
      <c r="C294" s="235"/>
      <c r="D294" s="235"/>
      <c r="E294" s="239"/>
      <c r="F294" s="182"/>
      <c r="G294" s="182"/>
      <c r="H294" s="182"/>
      <c r="I294" s="233"/>
      <c r="J294" s="163" t="str">
        <f>IF(Dorchester!M42="","",Dorchester!M42)</f>
        <v/>
      </c>
      <c r="K294" s="41" t="str">
        <f>IF(Dorchester!N42="","",Dorchester!N42)</f>
        <v/>
      </c>
      <c r="L294" s="41" t="str">
        <f>IF(Dorchester!O42="","",Dorchester!O42)</f>
        <v/>
      </c>
      <c r="M294" s="41" t="str">
        <f>IF(Dorchester!P42="","",Dorchester!P42)</f>
        <v/>
      </c>
      <c r="N294" s="41" t="str">
        <f>IF(Dorchester!Q42="","",Dorchester!Q42)</f>
        <v/>
      </c>
      <c r="O294" s="41" t="str">
        <f>IF(Dorchester!R42="","",Dorchester!R42)</f>
        <v/>
      </c>
      <c r="P294" s="41" t="str">
        <f>IF(Dorchester!S42="","",Dorchester!S42)</f>
        <v/>
      </c>
      <c r="Q294" s="41" t="str">
        <f>IF(Dorchester!T42="","",Dorchester!T42)</f>
        <v/>
      </c>
      <c r="R294" s="41" t="str">
        <f>IF(Dorchester!U42="","",Dorchester!U42)</f>
        <v/>
      </c>
      <c r="S294" s="41" t="str">
        <f>IF(Dorchester!V42="","",Dorchester!V42)</f>
        <v/>
      </c>
      <c r="T294" s="41" t="str">
        <f>IF(Dorchester!W42="","",Dorchester!W42)</f>
        <v/>
      </c>
      <c r="U294" s="41" t="str">
        <f>IF(Dorchester!X42="","",Dorchester!X42)</f>
        <v/>
      </c>
      <c r="V294" s="41" t="str">
        <f>IF(Dorchester!Y42="","",Dorchester!Y42)</f>
        <v/>
      </c>
      <c r="W294" s="201"/>
      <c r="X294" s="182"/>
      <c r="Y294" s="233"/>
      <c r="AA294" s="239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233"/>
    </row>
    <row r="295" spans="2:51" ht="12" customHeight="1" x14ac:dyDescent="0.2">
      <c r="B295" s="266"/>
      <c r="C295" s="263" t="str">
        <f>IF(Dorchester!E43="","",Dorchester!E43)</f>
        <v/>
      </c>
      <c r="D295" s="259" t="str">
        <f>LEFT($B$259,3)</f>
        <v>Dor</v>
      </c>
      <c r="E295" s="251" t="str">
        <f>IF(Dorchester!G43="","",Dorchester!G43)</f>
        <v/>
      </c>
      <c r="F295" s="181" t="str">
        <f>IF(Dorchester!H43=0,"",Dorchester!H43)</f>
        <v/>
      </c>
      <c r="G295" s="181" t="str">
        <f>IF(Dorchester!I43=0,"",Dorchester!I43)</f>
        <v/>
      </c>
      <c r="H295" s="181" t="str">
        <f>IF(Dorchester!J43=0,"",Dorchester!J43)</f>
        <v/>
      </c>
      <c r="I295" s="250" t="str">
        <f>IF(Dorchester!K43=0,"",Dorchester!K43)</f>
        <v/>
      </c>
      <c r="J295" s="163" t="str">
        <f>IF(Dorchester!M43="","",Dorchester!M43)</f>
        <v/>
      </c>
      <c r="K295" s="41" t="str">
        <f>IF(Dorchester!N43="","",Dorchester!N43)</f>
        <v/>
      </c>
      <c r="L295" s="41" t="str">
        <f>IF(Dorchester!O43="","",Dorchester!O43)</f>
        <v/>
      </c>
      <c r="M295" s="41" t="str">
        <f>IF(Dorchester!P43="","",Dorchester!P43)</f>
        <v/>
      </c>
      <c r="N295" s="41" t="str">
        <f>IF(Dorchester!Q43="","",Dorchester!Q43)</f>
        <v/>
      </c>
      <c r="O295" s="41" t="str">
        <f>IF(Dorchester!R43="","",Dorchester!R43)</f>
        <v/>
      </c>
      <c r="P295" s="41" t="str">
        <f>IF(Dorchester!S43="","",Dorchester!S43)</f>
        <v/>
      </c>
      <c r="Q295" s="41" t="str">
        <f>IF(Dorchester!T43="","",Dorchester!T43)</f>
        <v/>
      </c>
      <c r="R295" s="41" t="str">
        <f>IF(Dorchester!U43="","",Dorchester!U43)</f>
        <v/>
      </c>
      <c r="S295" s="41" t="str">
        <f>IF(Dorchester!V43="","",Dorchester!V43)</f>
        <v/>
      </c>
      <c r="T295" s="41" t="str">
        <f>IF(Dorchester!W43="","",Dorchester!W43)</f>
        <v/>
      </c>
      <c r="U295" s="41" t="str">
        <f>IF(Dorchester!X43="","",Dorchester!X43)</f>
        <v/>
      </c>
      <c r="V295" s="41" t="str">
        <f>IF(Dorchester!Y43="","",Dorchester!Y43)</f>
        <v/>
      </c>
      <c r="W295" s="249" t="str">
        <f>IF(Dorchester!AA43=0,"",Dorchester!AA43)</f>
        <v/>
      </c>
      <c r="X295" s="244" t="str">
        <f>IF(Dorchester!AB43=0,"",Dorchester!AB43)</f>
        <v/>
      </c>
      <c r="Y295" s="245" t="str">
        <f>IF(Dorchester!AC43=0,"",Dorchester!AC43)</f>
        <v/>
      </c>
      <c r="AA295" s="246" t="str">
        <f>Y295</f>
        <v/>
      </c>
      <c r="AB295" s="243" t="str">
        <f>X295</f>
        <v/>
      </c>
      <c r="AC295" s="185" t="str">
        <f>C295</f>
        <v/>
      </c>
      <c r="AD295" s="185" t="str">
        <f>LEFT($B$259,3)</f>
        <v>Dor</v>
      </c>
      <c r="AE295" s="185" t="str">
        <f t="shared" ref="AE295:AY295" si="144">E295</f>
        <v/>
      </c>
      <c r="AF295" s="185" t="str">
        <f t="shared" si="144"/>
        <v/>
      </c>
      <c r="AG295" s="185" t="str">
        <f t="shared" si="144"/>
        <v/>
      </c>
      <c r="AH295" s="185" t="str">
        <f t="shared" si="144"/>
        <v/>
      </c>
      <c r="AI295" s="185" t="str">
        <f t="shared" si="144"/>
        <v/>
      </c>
      <c r="AJ295" s="243" t="str">
        <f t="shared" si="144"/>
        <v/>
      </c>
      <c r="AK295" s="243" t="str">
        <f t="shared" si="144"/>
        <v/>
      </c>
      <c r="AL295" s="243" t="str">
        <f t="shared" si="144"/>
        <v/>
      </c>
      <c r="AM295" s="243" t="str">
        <f t="shared" si="144"/>
        <v/>
      </c>
      <c r="AN295" s="243" t="str">
        <f t="shared" si="144"/>
        <v/>
      </c>
      <c r="AO295" s="243" t="str">
        <f t="shared" si="144"/>
        <v/>
      </c>
      <c r="AP295" s="243" t="str">
        <f t="shared" si="144"/>
        <v/>
      </c>
      <c r="AQ295" s="243" t="str">
        <f t="shared" si="144"/>
        <v/>
      </c>
      <c r="AR295" s="243" t="str">
        <f t="shared" si="144"/>
        <v/>
      </c>
      <c r="AS295" s="243" t="str">
        <f t="shared" si="144"/>
        <v/>
      </c>
      <c r="AT295" s="243" t="str">
        <f t="shared" si="144"/>
        <v/>
      </c>
      <c r="AU295" s="243" t="str">
        <f t="shared" si="144"/>
        <v/>
      </c>
      <c r="AV295" s="243" t="str">
        <f t="shared" si="144"/>
        <v/>
      </c>
      <c r="AW295" s="247" t="str">
        <f t="shared" si="144"/>
        <v/>
      </c>
      <c r="AX295" s="243" t="str">
        <f t="shared" si="144"/>
        <v/>
      </c>
      <c r="AY295" s="248" t="str">
        <f t="shared" si="144"/>
        <v/>
      </c>
    </row>
    <row r="296" spans="2:51" ht="12" customHeight="1" x14ac:dyDescent="0.2">
      <c r="B296" s="266"/>
      <c r="C296" s="235"/>
      <c r="D296" s="235"/>
      <c r="E296" s="239"/>
      <c r="F296" s="182"/>
      <c r="G296" s="182"/>
      <c r="H296" s="182"/>
      <c r="I296" s="233"/>
      <c r="J296" s="163" t="str">
        <f>IF(Dorchester!M44="","",Dorchester!M44)</f>
        <v/>
      </c>
      <c r="K296" s="41" t="str">
        <f>IF(Dorchester!N44="","",Dorchester!N44)</f>
        <v/>
      </c>
      <c r="L296" s="41" t="str">
        <f>IF(Dorchester!O44="","",Dorchester!O44)</f>
        <v/>
      </c>
      <c r="M296" s="41" t="str">
        <f>IF(Dorchester!P44="","",Dorchester!P44)</f>
        <v/>
      </c>
      <c r="N296" s="41" t="str">
        <f>IF(Dorchester!Q44="","",Dorchester!Q44)</f>
        <v/>
      </c>
      <c r="O296" s="41" t="str">
        <f>IF(Dorchester!R44="","",Dorchester!R44)</f>
        <v/>
      </c>
      <c r="P296" s="41" t="str">
        <f>IF(Dorchester!S44="","",Dorchester!S44)</f>
        <v/>
      </c>
      <c r="Q296" s="41" t="str">
        <f>IF(Dorchester!T44="","",Dorchester!T44)</f>
        <v/>
      </c>
      <c r="R296" s="41" t="str">
        <f>IF(Dorchester!U44="","",Dorchester!U44)</f>
        <v/>
      </c>
      <c r="S296" s="41" t="str">
        <f>IF(Dorchester!V44="","",Dorchester!V44)</f>
        <v/>
      </c>
      <c r="T296" s="41" t="str">
        <f>IF(Dorchester!W44="","",Dorchester!W44)</f>
        <v/>
      </c>
      <c r="U296" s="41" t="str">
        <f>IF(Dorchester!X44="","",Dorchester!X44)</f>
        <v/>
      </c>
      <c r="V296" s="41" t="str">
        <f>IF(Dorchester!Y44="","",Dorchester!Y44)</f>
        <v/>
      </c>
      <c r="W296" s="201"/>
      <c r="X296" s="182"/>
      <c r="Y296" s="233"/>
      <c r="AA296" s="239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233"/>
    </row>
    <row r="297" spans="2:51" ht="12" customHeight="1" x14ac:dyDescent="0.2">
      <c r="B297" s="266"/>
      <c r="C297" s="263" t="str">
        <f>IF(Dorchester!E45="","",Dorchester!E45)</f>
        <v/>
      </c>
      <c r="D297" s="259" t="str">
        <f>LEFT($B$259,3)</f>
        <v>Dor</v>
      </c>
      <c r="E297" s="251" t="str">
        <f>IF(Dorchester!G45="","",Dorchester!G45)</f>
        <v/>
      </c>
      <c r="F297" s="181" t="str">
        <f>IF(Dorchester!H45=0,"",Dorchester!H45)</f>
        <v/>
      </c>
      <c r="G297" s="181" t="str">
        <f>IF(Dorchester!I45=0,"",Dorchester!I45)</f>
        <v/>
      </c>
      <c r="H297" s="181" t="str">
        <f>IF(Dorchester!J45=0,"",Dorchester!J45)</f>
        <v/>
      </c>
      <c r="I297" s="250" t="str">
        <f>IF(Dorchester!K45=0,"",Dorchester!K45)</f>
        <v/>
      </c>
      <c r="J297" s="163" t="str">
        <f>IF(Dorchester!M45="","",Dorchester!M45)</f>
        <v/>
      </c>
      <c r="K297" s="41" t="str">
        <f>IF(Dorchester!N45="","",Dorchester!N45)</f>
        <v/>
      </c>
      <c r="L297" s="41" t="str">
        <f>IF(Dorchester!O45="","",Dorchester!O45)</f>
        <v/>
      </c>
      <c r="M297" s="41" t="str">
        <f>IF(Dorchester!P45="","",Dorchester!P45)</f>
        <v/>
      </c>
      <c r="N297" s="41" t="str">
        <f>IF(Dorchester!Q45="","",Dorchester!Q45)</f>
        <v/>
      </c>
      <c r="O297" s="41" t="str">
        <f>IF(Dorchester!R45="","",Dorchester!R45)</f>
        <v/>
      </c>
      <c r="P297" s="41" t="str">
        <f>IF(Dorchester!S45="","",Dorchester!S45)</f>
        <v/>
      </c>
      <c r="Q297" s="41" t="str">
        <f>IF(Dorchester!T45="","",Dorchester!T45)</f>
        <v/>
      </c>
      <c r="R297" s="41" t="str">
        <f>IF(Dorchester!U45="","",Dorchester!U45)</f>
        <v/>
      </c>
      <c r="S297" s="41" t="str">
        <f>IF(Dorchester!V45="","",Dorchester!V45)</f>
        <v/>
      </c>
      <c r="T297" s="41" t="str">
        <f>IF(Dorchester!W45="","",Dorchester!W45)</f>
        <v/>
      </c>
      <c r="U297" s="41" t="str">
        <f>IF(Dorchester!X45="","",Dorchester!X45)</f>
        <v/>
      </c>
      <c r="V297" s="41" t="str">
        <f>IF(Dorchester!Y45="","",Dorchester!Y45)</f>
        <v/>
      </c>
      <c r="W297" s="249" t="str">
        <f>IF(Dorchester!AA45=0,"",Dorchester!AA45)</f>
        <v/>
      </c>
      <c r="X297" s="244" t="str">
        <f>IF(Dorchester!AB45=0,"",Dorchester!AB45)</f>
        <v/>
      </c>
      <c r="Y297" s="245" t="str">
        <f>IF(Dorchester!AC45=0,"",Dorchester!AC45)</f>
        <v/>
      </c>
      <c r="AA297" s="246" t="str">
        <f>Y297</f>
        <v/>
      </c>
      <c r="AB297" s="243" t="str">
        <f>X297</f>
        <v/>
      </c>
      <c r="AC297" s="185" t="str">
        <f>C297</f>
        <v/>
      </c>
      <c r="AD297" s="185" t="str">
        <f>LEFT($B$259,3)</f>
        <v>Dor</v>
      </c>
      <c r="AE297" s="185" t="str">
        <f t="shared" ref="AE297:AY297" si="145">E297</f>
        <v/>
      </c>
      <c r="AF297" s="185" t="str">
        <f t="shared" si="145"/>
        <v/>
      </c>
      <c r="AG297" s="185" t="str">
        <f t="shared" si="145"/>
        <v/>
      </c>
      <c r="AH297" s="185" t="str">
        <f t="shared" si="145"/>
        <v/>
      </c>
      <c r="AI297" s="185" t="str">
        <f t="shared" si="145"/>
        <v/>
      </c>
      <c r="AJ297" s="243" t="str">
        <f t="shared" si="145"/>
        <v/>
      </c>
      <c r="AK297" s="243" t="str">
        <f t="shared" si="145"/>
        <v/>
      </c>
      <c r="AL297" s="243" t="str">
        <f t="shared" si="145"/>
        <v/>
      </c>
      <c r="AM297" s="243" t="str">
        <f t="shared" si="145"/>
        <v/>
      </c>
      <c r="AN297" s="243" t="str">
        <f t="shared" si="145"/>
        <v/>
      </c>
      <c r="AO297" s="243" t="str">
        <f t="shared" si="145"/>
        <v/>
      </c>
      <c r="AP297" s="243" t="str">
        <f t="shared" si="145"/>
        <v/>
      </c>
      <c r="AQ297" s="243" t="str">
        <f t="shared" si="145"/>
        <v/>
      </c>
      <c r="AR297" s="243" t="str">
        <f t="shared" si="145"/>
        <v/>
      </c>
      <c r="AS297" s="243" t="str">
        <f t="shared" si="145"/>
        <v/>
      </c>
      <c r="AT297" s="243" t="str">
        <f t="shared" si="145"/>
        <v/>
      </c>
      <c r="AU297" s="243" t="str">
        <f t="shared" si="145"/>
        <v/>
      </c>
      <c r="AV297" s="243" t="str">
        <f t="shared" si="145"/>
        <v/>
      </c>
      <c r="AW297" s="247" t="str">
        <f t="shared" si="145"/>
        <v/>
      </c>
      <c r="AX297" s="243" t="str">
        <f t="shared" si="145"/>
        <v/>
      </c>
      <c r="AY297" s="248" t="str">
        <f t="shared" si="145"/>
        <v/>
      </c>
    </row>
    <row r="298" spans="2:51" ht="12" customHeight="1" x14ac:dyDescent="0.2">
      <c r="B298" s="266"/>
      <c r="C298" s="235"/>
      <c r="D298" s="235"/>
      <c r="E298" s="239"/>
      <c r="F298" s="182"/>
      <c r="G298" s="182"/>
      <c r="H298" s="182"/>
      <c r="I298" s="233"/>
      <c r="J298" s="163" t="str">
        <f>IF(Dorchester!M46="","",Dorchester!M46)</f>
        <v/>
      </c>
      <c r="K298" s="41" t="str">
        <f>IF(Dorchester!N46="","",Dorchester!N46)</f>
        <v/>
      </c>
      <c r="L298" s="41" t="str">
        <f>IF(Dorchester!O46="","",Dorchester!O46)</f>
        <v/>
      </c>
      <c r="M298" s="41" t="str">
        <f>IF(Dorchester!P46="","",Dorchester!P46)</f>
        <v/>
      </c>
      <c r="N298" s="41" t="str">
        <f>IF(Dorchester!Q46="","",Dorchester!Q46)</f>
        <v/>
      </c>
      <c r="O298" s="41" t="str">
        <f>IF(Dorchester!R46="","",Dorchester!R46)</f>
        <v/>
      </c>
      <c r="P298" s="41" t="str">
        <f>IF(Dorchester!S46="","",Dorchester!S46)</f>
        <v/>
      </c>
      <c r="Q298" s="41" t="str">
        <f>IF(Dorchester!T46="","",Dorchester!T46)</f>
        <v/>
      </c>
      <c r="R298" s="41" t="str">
        <f>IF(Dorchester!U46="","",Dorchester!U46)</f>
        <v/>
      </c>
      <c r="S298" s="41" t="str">
        <f>IF(Dorchester!V46="","",Dorchester!V46)</f>
        <v/>
      </c>
      <c r="T298" s="41" t="str">
        <f>IF(Dorchester!W46="","",Dorchester!W46)</f>
        <v/>
      </c>
      <c r="U298" s="41" t="str">
        <f>IF(Dorchester!X46="","",Dorchester!X46)</f>
        <v/>
      </c>
      <c r="V298" s="41" t="str">
        <f>IF(Dorchester!Y46="","",Dorchester!Y46)</f>
        <v/>
      </c>
      <c r="W298" s="201"/>
      <c r="X298" s="182"/>
      <c r="Y298" s="233"/>
      <c r="AA298" s="239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233"/>
    </row>
    <row r="299" spans="2:51" ht="12" customHeight="1" x14ac:dyDescent="0.2">
      <c r="B299" s="266"/>
      <c r="C299" s="263" t="str">
        <f>IF(Dorchester!E47="","",Dorchester!E47)</f>
        <v/>
      </c>
      <c r="D299" s="259" t="str">
        <f>LEFT($B$259,3)</f>
        <v>Dor</v>
      </c>
      <c r="E299" s="251" t="str">
        <f>IF(Dorchester!G47="","",Dorchester!G47)</f>
        <v/>
      </c>
      <c r="F299" s="181" t="str">
        <f>IF(Dorchester!H47=0,"",Dorchester!H47)</f>
        <v/>
      </c>
      <c r="G299" s="181" t="str">
        <f>IF(Dorchester!I47=0,"",Dorchester!I47)</f>
        <v/>
      </c>
      <c r="H299" s="181" t="str">
        <f>IF(Dorchester!J47=0,"",Dorchester!J47)</f>
        <v/>
      </c>
      <c r="I299" s="250" t="str">
        <f>IF(Dorchester!K47=0,"",Dorchester!K47)</f>
        <v/>
      </c>
      <c r="J299" s="163" t="str">
        <f>IF(Dorchester!M47="","",Dorchester!M47)</f>
        <v/>
      </c>
      <c r="K299" s="41" t="str">
        <f>IF(Dorchester!N47="","",Dorchester!N47)</f>
        <v/>
      </c>
      <c r="L299" s="41" t="str">
        <f>IF(Dorchester!O47="","",Dorchester!O47)</f>
        <v/>
      </c>
      <c r="M299" s="41" t="str">
        <f>IF(Dorchester!P47="","",Dorchester!P47)</f>
        <v/>
      </c>
      <c r="N299" s="41" t="str">
        <f>IF(Dorchester!Q47="","",Dorchester!Q47)</f>
        <v/>
      </c>
      <c r="O299" s="41" t="str">
        <f>IF(Dorchester!R47="","",Dorchester!R47)</f>
        <v/>
      </c>
      <c r="P299" s="41" t="str">
        <f>IF(Dorchester!S47="","",Dorchester!S47)</f>
        <v/>
      </c>
      <c r="Q299" s="41" t="str">
        <f>IF(Dorchester!T47="","",Dorchester!T47)</f>
        <v/>
      </c>
      <c r="R299" s="41" t="str">
        <f>IF(Dorchester!U47="","",Dorchester!U47)</f>
        <v/>
      </c>
      <c r="S299" s="41" t="str">
        <f>IF(Dorchester!V47="","",Dorchester!V47)</f>
        <v/>
      </c>
      <c r="T299" s="41" t="str">
        <f>IF(Dorchester!W47="","",Dorchester!W47)</f>
        <v/>
      </c>
      <c r="U299" s="41" t="str">
        <f>IF(Dorchester!X47="","",Dorchester!X47)</f>
        <v/>
      </c>
      <c r="V299" s="41" t="str">
        <f>IF(Dorchester!Y47="","",Dorchester!Y47)</f>
        <v/>
      </c>
      <c r="W299" s="249" t="str">
        <f>IF(Dorchester!AA47=0,"",Dorchester!AA47)</f>
        <v/>
      </c>
      <c r="X299" s="244" t="str">
        <f>IF(Dorchester!AB47=0,"",Dorchester!AB47)</f>
        <v/>
      </c>
      <c r="Y299" s="245" t="str">
        <f>IF(Dorchester!AC47=0,"",Dorchester!AC47)</f>
        <v/>
      </c>
      <c r="AA299" s="246" t="str">
        <f>Y299</f>
        <v/>
      </c>
      <c r="AB299" s="243" t="str">
        <f>X299</f>
        <v/>
      </c>
      <c r="AC299" s="185" t="str">
        <f>C299</f>
        <v/>
      </c>
      <c r="AD299" s="185" t="str">
        <f>LEFT($B$259,3)</f>
        <v>Dor</v>
      </c>
      <c r="AE299" s="185" t="str">
        <f t="shared" ref="AE299:AY299" si="146">E299</f>
        <v/>
      </c>
      <c r="AF299" s="185" t="str">
        <f t="shared" si="146"/>
        <v/>
      </c>
      <c r="AG299" s="185" t="str">
        <f t="shared" si="146"/>
        <v/>
      </c>
      <c r="AH299" s="185" t="str">
        <f t="shared" si="146"/>
        <v/>
      </c>
      <c r="AI299" s="185" t="str">
        <f t="shared" si="146"/>
        <v/>
      </c>
      <c r="AJ299" s="243" t="str">
        <f t="shared" si="146"/>
        <v/>
      </c>
      <c r="AK299" s="243" t="str">
        <f t="shared" si="146"/>
        <v/>
      </c>
      <c r="AL299" s="243" t="str">
        <f t="shared" si="146"/>
        <v/>
      </c>
      <c r="AM299" s="243" t="str">
        <f t="shared" si="146"/>
        <v/>
      </c>
      <c r="AN299" s="243" t="str">
        <f t="shared" si="146"/>
        <v/>
      </c>
      <c r="AO299" s="243" t="str">
        <f t="shared" si="146"/>
        <v/>
      </c>
      <c r="AP299" s="243" t="str">
        <f t="shared" si="146"/>
        <v/>
      </c>
      <c r="AQ299" s="243" t="str">
        <f t="shared" si="146"/>
        <v/>
      </c>
      <c r="AR299" s="243" t="str">
        <f t="shared" si="146"/>
        <v/>
      </c>
      <c r="AS299" s="243" t="str">
        <f t="shared" si="146"/>
        <v/>
      </c>
      <c r="AT299" s="243" t="str">
        <f t="shared" si="146"/>
        <v/>
      </c>
      <c r="AU299" s="243" t="str">
        <f t="shared" si="146"/>
        <v/>
      </c>
      <c r="AV299" s="243" t="str">
        <f t="shared" si="146"/>
        <v/>
      </c>
      <c r="AW299" s="247" t="str">
        <f t="shared" si="146"/>
        <v/>
      </c>
      <c r="AX299" s="243" t="str">
        <f t="shared" si="146"/>
        <v/>
      </c>
      <c r="AY299" s="248" t="str">
        <f t="shared" si="146"/>
        <v/>
      </c>
    </row>
    <row r="300" spans="2:51" ht="12.75" customHeight="1" x14ac:dyDescent="0.2">
      <c r="B300" s="211"/>
      <c r="C300" s="211"/>
      <c r="D300" s="211"/>
      <c r="E300" s="223"/>
      <c r="F300" s="225"/>
      <c r="G300" s="225"/>
      <c r="H300" s="225"/>
      <c r="I300" s="228"/>
      <c r="J300" s="164" t="str">
        <f>IF(Dorchester!M48="","",Dorchester!M48)</f>
        <v/>
      </c>
      <c r="K300" s="165" t="str">
        <f>IF(Dorchester!N48="","",Dorchester!N48)</f>
        <v/>
      </c>
      <c r="L300" s="165" t="str">
        <f>IF(Dorchester!O48="","",Dorchester!O48)</f>
        <v/>
      </c>
      <c r="M300" s="165" t="str">
        <f>IF(Dorchester!P48="","",Dorchester!P48)</f>
        <v/>
      </c>
      <c r="N300" s="165" t="str">
        <f>IF(Dorchester!Q48="","",Dorchester!Q48)</f>
        <v/>
      </c>
      <c r="O300" s="165" t="str">
        <f>IF(Dorchester!R48="","",Dorchester!R48)</f>
        <v/>
      </c>
      <c r="P300" s="165" t="str">
        <f>IF(Dorchester!S48="","",Dorchester!S48)</f>
        <v/>
      </c>
      <c r="Q300" s="165" t="str">
        <f>IF(Dorchester!T48="","",Dorchester!T48)</f>
        <v/>
      </c>
      <c r="R300" s="165" t="str">
        <f>IF(Dorchester!U48="","",Dorchester!U48)</f>
        <v/>
      </c>
      <c r="S300" s="165" t="str">
        <f>IF(Dorchester!V48="","",Dorchester!V48)</f>
        <v/>
      </c>
      <c r="T300" s="165" t="str">
        <f>IF(Dorchester!W48="","",Dorchester!W48)</f>
        <v/>
      </c>
      <c r="U300" s="165" t="str">
        <f>IF(Dorchester!X48="","",Dorchester!X48)</f>
        <v/>
      </c>
      <c r="V300" s="165" t="str">
        <f>IF(Dorchester!Y48="","",Dorchester!Y48)</f>
        <v/>
      </c>
      <c r="W300" s="261"/>
      <c r="X300" s="225"/>
      <c r="Y300" s="228"/>
      <c r="AA300" s="239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233"/>
    </row>
    <row r="301" spans="2:51" ht="12.75" customHeight="1" x14ac:dyDescent="0.2">
      <c r="B301" s="265" t="s">
        <v>24</v>
      </c>
      <c r="C301" s="264" t="str">
        <f>IF(Lytchett!E7="","",Lytchett!E7)</f>
        <v>Richard Perry</v>
      </c>
      <c r="D301" s="260" t="str">
        <f>LEFT($B$301,3)</f>
        <v>Lyt</v>
      </c>
      <c r="E301" s="256">
        <f>IF(Lytchett!G7="","",Lytchett!G7)</f>
        <v>9</v>
      </c>
      <c r="F301" s="257">
        <f>IF(Lytchett!H7=0,"",Lytchett!H7)</f>
        <v>5</v>
      </c>
      <c r="G301" s="253">
        <f>IF(Lytchett!I7=0,"",Lytchett!I7)</f>
        <v>4</v>
      </c>
      <c r="H301" s="253">
        <f>IF(Lytchett!J7=0,"",Lytchett!J7)</f>
        <v>28</v>
      </c>
      <c r="I301" s="258">
        <f>IF(Lytchett!K7=0,"",Lytchett!K7)</f>
        <v>23</v>
      </c>
      <c r="J301" s="161">
        <f>IF(Lytchett!M7="","",Lytchett!M7)</f>
        <v>19.920000000000002</v>
      </c>
      <c r="K301" s="162">
        <f>IF(Lytchett!N7="","",Lytchett!N7)</f>
        <v>20.69</v>
      </c>
      <c r="L301" s="162">
        <f>IF(Lytchett!O7="","",Lytchett!O7)</f>
        <v>21.02</v>
      </c>
      <c r="M301" s="162" t="str">
        <f>IF(Lytchett!P7="","",Lytchett!P7)</f>
        <v/>
      </c>
      <c r="N301" s="162">
        <f>IF(Lytchett!Q7="","",Lytchett!Q7)</f>
        <v>24.99</v>
      </c>
      <c r="O301" s="162" t="str">
        <f>IF(Lytchett!R7="","",Lytchett!R7)</f>
        <v/>
      </c>
      <c r="P301" s="162" t="str">
        <f>IF(Lytchett!S7="","",Lytchett!S7)</f>
        <v/>
      </c>
      <c r="Q301" s="162">
        <f>IF(Lytchett!T7="","",Lytchett!T7)</f>
        <v>21.4</v>
      </c>
      <c r="R301" s="162">
        <f>IF(Lytchett!U7="","",Lytchett!U7)</f>
        <v>21.91</v>
      </c>
      <c r="S301" s="162">
        <f>IF(Lytchett!V7="","",Lytchett!V7)</f>
        <v>19.95</v>
      </c>
      <c r="T301" s="162">
        <f>IF(Lytchett!W7="","",Lytchett!W7)</f>
        <v>23.1</v>
      </c>
      <c r="U301" s="162" t="str">
        <f>IF(Lytchett!X7="","",Lytchett!X7)</f>
        <v/>
      </c>
      <c r="V301" s="162">
        <f>IF(Lytchett!Y7="","",Lytchett!Y7)</f>
        <v>20.69</v>
      </c>
      <c r="W301" s="262">
        <f>IF(Lytchett!AA7=0,"",Lytchett!AA7)</f>
        <v>1</v>
      </c>
      <c r="X301" s="254">
        <f>IF(Lytchett!AB7=0,"",Lytchett!AB7)</f>
        <v>21.518888888888885</v>
      </c>
      <c r="Y301" s="255">
        <f>IF(Lytchett!AC7=0,"",Lytchett!AC7)</f>
        <v>26.518888888888885</v>
      </c>
      <c r="AA301" s="246">
        <f>Y301</f>
        <v>26.518888888888885</v>
      </c>
      <c r="AB301" s="243">
        <f>X301</f>
        <v>21.518888888888885</v>
      </c>
      <c r="AC301" s="185" t="str">
        <f>C301</f>
        <v>Richard Perry</v>
      </c>
      <c r="AD301" s="185" t="str">
        <f>LEFT($B$301,3)</f>
        <v>Lyt</v>
      </c>
      <c r="AE301" s="185">
        <f t="shared" ref="AE301:AY301" si="147">E301</f>
        <v>9</v>
      </c>
      <c r="AF301" s="185">
        <f t="shared" si="147"/>
        <v>5</v>
      </c>
      <c r="AG301" s="247">
        <f t="shared" si="147"/>
        <v>4</v>
      </c>
      <c r="AH301" s="247">
        <f t="shared" si="147"/>
        <v>28</v>
      </c>
      <c r="AI301" s="247">
        <f t="shared" si="147"/>
        <v>23</v>
      </c>
      <c r="AJ301" s="243">
        <f t="shared" si="147"/>
        <v>19.920000000000002</v>
      </c>
      <c r="AK301" s="243">
        <f t="shared" si="147"/>
        <v>20.69</v>
      </c>
      <c r="AL301" s="243">
        <f t="shared" si="147"/>
        <v>21.02</v>
      </c>
      <c r="AM301" s="243" t="str">
        <f t="shared" si="147"/>
        <v/>
      </c>
      <c r="AN301" s="243">
        <f t="shared" si="147"/>
        <v>24.99</v>
      </c>
      <c r="AO301" s="243" t="str">
        <f t="shared" si="147"/>
        <v/>
      </c>
      <c r="AP301" s="243" t="str">
        <f t="shared" si="147"/>
        <v/>
      </c>
      <c r="AQ301" s="243">
        <f t="shared" si="147"/>
        <v>21.4</v>
      </c>
      <c r="AR301" s="243">
        <f t="shared" si="147"/>
        <v>21.91</v>
      </c>
      <c r="AS301" s="243">
        <f t="shared" si="147"/>
        <v>19.95</v>
      </c>
      <c r="AT301" s="243">
        <f t="shared" si="147"/>
        <v>23.1</v>
      </c>
      <c r="AU301" s="243" t="str">
        <f t="shared" si="147"/>
        <v/>
      </c>
      <c r="AV301" s="243">
        <f t="shared" si="147"/>
        <v>20.69</v>
      </c>
      <c r="AW301" s="247">
        <f t="shared" si="147"/>
        <v>1</v>
      </c>
      <c r="AX301" s="243">
        <f t="shared" si="147"/>
        <v>21.518888888888885</v>
      </c>
      <c r="AY301" s="248">
        <f t="shared" si="147"/>
        <v>26.518888888888885</v>
      </c>
    </row>
    <row r="302" spans="2:51" ht="12" customHeight="1" x14ac:dyDescent="0.2">
      <c r="B302" s="266"/>
      <c r="C302" s="235"/>
      <c r="D302" s="235"/>
      <c r="E302" s="239"/>
      <c r="F302" s="182"/>
      <c r="G302" s="182"/>
      <c r="H302" s="182"/>
      <c r="I302" s="233"/>
      <c r="J302" s="163" t="str">
        <f>IF(Lytchett!M8="","",Lytchett!M8)</f>
        <v>4*2</v>
      </c>
      <c r="K302" s="41" t="str">
        <f>IF(Lytchett!N8="","",Lytchett!N8)</f>
        <v>4*2</v>
      </c>
      <c r="L302" s="41" t="str">
        <f>IF(Lytchett!O8="","",Lytchett!O8)</f>
        <v>4*1</v>
      </c>
      <c r="M302" s="41" t="str">
        <f>IF(Lytchett!P8="","",Lytchett!P8)</f>
        <v/>
      </c>
      <c r="N302" s="41" t="str">
        <f>IF(Lytchett!Q8="","",Lytchett!Q8)</f>
        <v>1*4</v>
      </c>
      <c r="O302" s="41" t="str">
        <f>IF(Lytchett!R8="","",Lytchett!R8)</f>
        <v/>
      </c>
      <c r="P302" s="41" t="str">
        <f>IF(Lytchett!S8="","",Lytchett!S8)</f>
        <v/>
      </c>
      <c r="Q302" s="41" t="str">
        <f>IF(Lytchett!T8="","",Lytchett!T8)</f>
        <v>1*4</v>
      </c>
      <c r="R302" s="41" t="str">
        <f>IF(Lytchett!U8="","",Lytchett!U8)</f>
        <v>4*1</v>
      </c>
      <c r="S302" s="41" t="str">
        <f>IF(Lytchett!V8="","",Lytchett!V8)</f>
        <v>3*4(1)</v>
      </c>
      <c r="T302" s="41" t="str">
        <f>IF(Lytchett!W8="","",Lytchett!W8)</f>
        <v>4*1</v>
      </c>
      <c r="U302" s="41" t="str">
        <f>IF(Lytchett!X8="","",Lytchett!X8)</f>
        <v/>
      </c>
      <c r="V302" s="41" t="str">
        <f>IF(Lytchett!Y8="","",Lytchett!Y8)</f>
        <v>3*4</v>
      </c>
      <c r="W302" s="201"/>
      <c r="X302" s="182"/>
      <c r="Y302" s="233"/>
      <c r="AA302" s="239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233"/>
    </row>
    <row r="303" spans="2:51" ht="12" customHeight="1" x14ac:dyDescent="0.2">
      <c r="B303" s="266"/>
      <c r="C303" s="263" t="str">
        <f>IF(Lytchett!E9="","",Lytchett!E9)</f>
        <v>Daniel Perry</v>
      </c>
      <c r="D303" s="259" t="str">
        <f>LEFT($B$301,3)</f>
        <v>Lyt</v>
      </c>
      <c r="E303" s="251">
        <f>IF(Lytchett!G9="","",Lytchett!G9)</f>
        <v>11</v>
      </c>
      <c r="F303" s="181">
        <f>IF(Lytchett!H9=0,"",Lytchett!H9)</f>
        <v>10</v>
      </c>
      <c r="G303" s="186">
        <f>IF(Lytchett!I9=0,"",Lytchett!I9)</f>
        <v>1</v>
      </c>
      <c r="H303" s="186">
        <f>IF(Lytchett!J9=0,"",Lytchett!J9)</f>
        <v>42</v>
      </c>
      <c r="I303" s="252">
        <f>IF(Lytchett!K9=0,"",Lytchett!K9)</f>
        <v>10</v>
      </c>
      <c r="J303" s="163">
        <f>IF(Lytchett!M9="","",Lytchett!M9)</f>
        <v>24.44</v>
      </c>
      <c r="K303" s="41">
        <f>IF(Lytchett!N9="","",Lytchett!N9)</f>
        <v>23.03</v>
      </c>
      <c r="L303" s="41">
        <f>IF(Lytchett!O9="","",Lytchett!O9)</f>
        <v>27.26</v>
      </c>
      <c r="M303" s="41">
        <f>IF(Lytchett!P9="","",Lytchett!P9)</f>
        <v>27.08</v>
      </c>
      <c r="N303" s="41">
        <f>IF(Lytchett!Q9="","",Lytchett!Q9)</f>
        <v>24.68</v>
      </c>
      <c r="O303" s="41">
        <f>IF(Lytchett!R9="","",Lytchett!R9)</f>
        <v>22.59</v>
      </c>
      <c r="P303" s="41">
        <f>IF(Lytchett!S9="","",Lytchett!S9)</f>
        <v>23.86</v>
      </c>
      <c r="Q303" s="41">
        <f>IF(Lytchett!T9="","",Lytchett!T9)</f>
        <v>25.18</v>
      </c>
      <c r="R303" s="41" t="str">
        <f>IF(Lytchett!U9="","",Lytchett!U9)</f>
        <v/>
      </c>
      <c r="S303" s="41">
        <f>IF(Lytchett!V9="","",Lytchett!V9)</f>
        <v>29.47</v>
      </c>
      <c r="T303" s="41">
        <f>IF(Lytchett!W9="","",Lytchett!W9)</f>
        <v>22.77</v>
      </c>
      <c r="U303" s="41">
        <f>IF(Lytchett!X9="","",Lytchett!X9)</f>
        <v>28.23</v>
      </c>
      <c r="V303" s="41" t="str">
        <f>IF(Lytchett!Y9="","",Lytchett!Y9)</f>
        <v/>
      </c>
      <c r="W303" s="249">
        <f>IF(Lytchett!AA9=0,"",Lytchett!AA9)</f>
        <v>7</v>
      </c>
      <c r="X303" s="244">
        <f>IF(Lytchett!AB9=0,"",Lytchett!AB9)</f>
        <v>25.326363636363638</v>
      </c>
      <c r="Y303" s="245">
        <f>IF(Lytchett!AC9=0,"",Lytchett!AC9)</f>
        <v>35.326363636363638</v>
      </c>
      <c r="AA303" s="246">
        <f>Y303</f>
        <v>35.326363636363638</v>
      </c>
      <c r="AB303" s="243">
        <f>X303</f>
        <v>25.326363636363638</v>
      </c>
      <c r="AC303" s="185" t="str">
        <f>C303</f>
        <v>Daniel Perry</v>
      </c>
      <c r="AD303" s="185" t="str">
        <f>LEFT($B$301,3)</f>
        <v>Lyt</v>
      </c>
      <c r="AE303" s="185">
        <f t="shared" ref="AE303:AY303" si="148">E303</f>
        <v>11</v>
      </c>
      <c r="AF303" s="185">
        <f t="shared" si="148"/>
        <v>10</v>
      </c>
      <c r="AG303" s="247">
        <f t="shared" si="148"/>
        <v>1</v>
      </c>
      <c r="AH303" s="247">
        <f t="shared" si="148"/>
        <v>42</v>
      </c>
      <c r="AI303" s="247">
        <f t="shared" si="148"/>
        <v>10</v>
      </c>
      <c r="AJ303" s="243">
        <f t="shared" si="148"/>
        <v>24.44</v>
      </c>
      <c r="AK303" s="243">
        <f t="shared" si="148"/>
        <v>23.03</v>
      </c>
      <c r="AL303" s="243">
        <f t="shared" si="148"/>
        <v>27.26</v>
      </c>
      <c r="AM303" s="243">
        <f t="shared" si="148"/>
        <v>27.08</v>
      </c>
      <c r="AN303" s="243">
        <f t="shared" si="148"/>
        <v>24.68</v>
      </c>
      <c r="AO303" s="243">
        <f t="shared" si="148"/>
        <v>22.59</v>
      </c>
      <c r="AP303" s="243">
        <f t="shared" si="148"/>
        <v>23.86</v>
      </c>
      <c r="AQ303" s="243">
        <f t="shared" si="148"/>
        <v>25.18</v>
      </c>
      <c r="AR303" s="243" t="str">
        <f t="shared" si="148"/>
        <v/>
      </c>
      <c r="AS303" s="243">
        <f t="shared" si="148"/>
        <v>29.47</v>
      </c>
      <c r="AT303" s="243">
        <f t="shared" si="148"/>
        <v>22.77</v>
      </c>
      <c r="AU303" s="243">
        <f t="shared" si="148"/>
        <v>28.23</v>
      </c>
      <c r="AV303" s="243" t="str">
        <f t="shared" si="148"/>
        <v/>
      </c>
      <c r="AW303" s="247">
        <f t="shared" si="148"/>
        <v>7</v>
      </c>
      <c r="AX303" s="243">
        <f t="shared" si="148"/>
        <v>25.326363636363638</v>
      </c>
      <c r="AY303" s="248">
        <f t="shared" si="148"/>
        <v>35.326363636363638</v>
      </c>
    </row>
    <row r="304" spans="2:51" ht="12" customHeight="1" x14ac:dyDescent="0.2">
      <c r="B304" s="266"/>
      <c r="C304" s="235"/>
      <c r="D304" s="235"/>
      <c r="E304" s="239"/>
      <c r="F304" s="182"/>
      <c r="G304" s="182"/>
      <c r="H304" s="182"/>
      <c r="I304" s="233"/>
      <c r="J304" s="163" t="str">
        <f>IF(Lytchett!M10="","",Lytchett!M10)</f>
        <v>4*0</v>
      </c>
      <c r="K304" s="41" t="str">
        <f>IF(Lytchett!N10="","",Lytchett!N10)</f>
        <v>4*0</v>
      </c>
      <c r="L304" s="41" t="str">
        <f>IF(Lytchett!O10="","",Lytchett!O10)</f>
        <v>4*3(3)</v>
      </c>
      <c r="M304" s="41" t="str">
        <f>IF(Lytchett!P10="","",Lytchett!P10)</f>
        <v>4*0</v>
      </c>
      <c r="N304" s="41" t="str">
        <f>IF(Lytchett!Q10="","",Lytchett!Q10)</f>
        <v>2*4(1)</v>
      </c>
      <c r="O304" s="41" t="str">
        <f>IF(Lytchett!R10="","",Lytchett!R10)</f>
        <v>4*1(1)</v>
      </c>
      <c r="P304" s="41" t="str">
        <f>IF(Lytchett!S10="","",Lytchett!S10)</f>
        <v>4*0</v>
      </c>
      <c r="Q304" s="41" t="str">
        <f>IF(Lytchett!T10="","",Lytchett!T10)</f>
        <v>4*2</v>
      </c>
      <c r="R304" s="41" t="str">
        <f>IF(Lytchett!U10="","",Lytchett!U10)</f>
        <v/>
      </c>
      <c r="S304" s="41" t="str">
        <f>IF(Lytchett!V10="","",Lytchett!V10)</f>
        <v>4*0(2)</v>
      </c>
      <c r="T304" s="41" t="str">
        <f>IF(Lytchett!W10="","",Lytchett!W10)</f>
        <v>4*0</v>
      </c>
      <c r="U304" s="41" t="str">
        <f>IF(Lytchett!X10="","",Lytchett!X10)</f>
        <v>4*0</v>
      </c>
      <c r="V304" s="41" t="str">
        <f>IF(Lytchett!Y10="","",Lytchett!Y10)</f>
        <v/>
      </c>
      <c r="W304" s="201"/>
      <c r="X304" s="182"/>
      <c r="Y304" s="233"/>
      <c r="AA304" s="239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233"/>
    </row>
    <row r="305" spans="2:51" ht="12" customHeight="1" x14ac:dyDescent="0.2">
      <c r="B305" s="266"/>
      <c r="C305" s="263" t="str">
        <f>IF(Lytchett!E11="","",Lytchett!E11)</f>
        <v>Derek Legg</v>
      </c>
      <c r="D305" s="259" t="str">
        <f>LEFT($B$301,3)</f>
        <v>Lyt</v>
      </c>
      <c r="E305" s="251">
        <f>IF(Lytchett!G11="","",Lytchett!G11)</f>
        <v>2</v>
      </c>
      <c r="F305" s="181">
        <f>IF(Lytchett!H11=0,"",Lytchett!H11)</f>
        <v>2</v>
      </c>
      <c r="G305" s="181" t="str">
        <f>IF(Lytchett!I11=0,"",Lytchett!I11)</f>
        <v/>
      </c>
      <c r="H305" s="186">
        <f>IF(Lytchett!J11=0,"",Lytchett!J11)</f>
        <v>8</v>
      </c>
      <c r="I305" s="252">
        <f>IF(Lytchett!K11=0,"",Lytchett!K11)</f>
        <v>4</v>
      </c>
      <c r="J305" s="163" t="str">
        <f>IF(Lytchett!M11="","",Lytchett!M11)</f>
        <v/>
      </c>
      <c r="K305" s="41">
        <f>IF(Lytchett!N11="","",Lytchett!N11)</f>
        <v>20.420000000000002</v>
      </c>
      <c r="L305" s="41">
        <f>IF(Lytchett!O11="","",Lytchett!O11)</f>
        <v>21.3</v>
      </c>
      <c r="M305" s="41" t="str">
        <f>IF(Lytchett!P11="","",Lytchett!P11)</f>
        <v/>
      </c>
      <c r="N305" s="41" t="str">
        <f>IF(Lytchett!Q11="","",Lytchett!Q11)</f>
        <v/>
      </c>
      <c r="O305" s="41" t="str">
        <f>IF(Lytchett!R11="","",Lytchett!R11)</f>
        <v/>
      </c>
      <c r="P305" s="41" t="str">
        <f>IF(Lytchett!S11="","",Lytchett!S11)</f>
        <v/>
      </c>
      <c r="Q305" s="41" t="str">
        <f>IF(Lytchett!T11="","",Lytchett!T11)</f>
        <v/>
      </c>
      <c r="R305" s="41" t="str">
        <f>IF(Lytchett!U11="","",Lytchett!U11)</f>
        <v/>
      </c>
      <c r="S305" s="41" t="str">
        <f>IF(Lytchett!V11="","",Lytchett!V11)</f>
        <v/>
      </c>
      <c r="T305" s="41" t="str">
        <f>IF(Lytchett!W11="","",Lytchett!W11)</f>
        <v/>
      </c>
      <c r="U305" s="41" t="str">
        <f>IF(Lytchett!X11="","",Lytchett!X11)</f>
        <v/>
      </c>
      <c r="V305" s="41" t="str">
        <f>IF(Lytchett!Y11="","",Lytchett!Y11)</f>
        <v/>
      </c>
      <c r="W305" s="249" t="str">
        <f>IF(Lytchett!AA11=0,"",Lytchett!AA11)</f>
        <v/>
      </c>
      <c r="X305" s="244">
        <f>IF(Lytchett!AB11=0,"",Lytchett!AB11)</f>
        <v>20.86</v>
      </c>
      <c r="Y305" s="245">
        <f>IF(Lytchett!AC11=0,"",Lytchett!AC11)</f>
        <v>22.86</v>
      </c>
      <c r="AA305" s="246">
        <f>Y305</f>
        <v>22.86</v>
      </c>
      <c r="AB305" s="243">
        <f>X305</f>
        <v>20.86</v>
      </c>
      <c r="AC305" s="185" t="str">
        <f>C305</f>
        <v>Derek Legg</v>
      </c>
      <c r="AD305" s="185" t="str">
        <f>LEFT($B$301,3)</f>
        <v>Lyt</v>
      </c>
      <c r="AE305" s="185">
        <f t="shared" ref="AE305:AY305" si="149">E305</f>
        <v>2</v>
      </c>
      <c r="AF305" s="185">
        <f t="shared" si="149"/>
        <v>2</v>
      </c>
      <c r="AG305" s="185" t="str">
        <f t="shared" si="149"/>
        <v/>
      </c>
      <c r="AH305" s="247">
        <f t="shared" si="149"/>
        <v>8</v>
      </c>
      <c r="AI305" s="247">
        <f t="shared" si="149"/>
        <v>4</v>
      </c>
      <c r="AJ305" s="243" t="str">
        <f t="shared" si="149"/>
        <v/>
      </c>
      <c r="AK305" s="243">
        <f t="shared" si="149"/>
        <v>20.420000000000002</v>
      </c>
      <c r="AL305" s="243">
        <f t="shared" si="149"/>
        <v>21.3</v>
      </c>
      <c r="AM305" s="243" t="str">
        <f t="shared" si="149"/>
        <v/>
      </c>
      <c r="AN305" s="243" t="str">
        <f t="shared" si="149"/>
        <v/>
      </c>
      <c r="AO305" s="243" t="str">
        <f t="shared" si="149"/>
        <v/>
      </c>
      <c r="AP305" s="243" t="str">
        <f t="shared" si="149"/>
        <v/>
      </c>
      <c r="AQ305" s="243" t="str">
        <f t="shared" si="149"/>
        <v/>
      </c>
      <c r="AR305" s="243" t="str">
        <f t="shared" si="149"/>
        <v/>
      </c>
      <c r="AS305" s="243" t="str">
        <f t="shared" si="149"/>
        <v/>
      </c>
      <c r="AT305" s="243" t="str">
        <f t="shared" si="149"/>
        <v/>
      </c>
      <c r="AU305" s="243" t="str">
        <f t="shared" si="149"/>
        <v/>
      </c>
      <c r="AV305" s="243" t="str">
        <f t="shared" si="149"/>
        <v/>
      </c>
      <c r="AW305" s="247" t="str">
        <f t="shared" si="149"/>
        <v/>
      </c>
      <c r="AX305" s="243">
        <f t="shared" si="149"/>
        <v>20.86</v>
      </c>
      <c r="AY305" s="248">
        <f t="shared" si="149"/>
        <v>22.86</v>
      </c>
    </row>
    <row r="306" spans="2:51" ht="12" customHeight="1" x14ac:dyDescent="0.2">
      <c r="B306" s="266"/>
      <c r="C306" s="235"/>
      <c r="D306" s="235"/>
      <c r="E306" s="239"/>
      <c r="F306" s="182"/>
      <c r="G306" s="182"/>
      <c r="H306" s="182"/>
      <c r="I306" s="233"/>
      <c r="J306" s="163" t="str">
        <f>IF(Lytchett!M12="","",Lytchett!M12)</f>
        <v/>
      </c>
      <c r="K306" s="41" t="str">
        <f>IF(Lytchett!N12="","",Lytchett!N12)</f>
        <v>4*3</v>
      </c>
      <c r="L306" s="41" t="str">
        <f>IF(Lytchett!O12="","",Lytchett!O12)</f>
        <v>4*1</v>
      </c>
      <c r="M306" s="41" t="str">
        <f>IF(Lytchett!P12="","",Lytchett!P12)</f>
        <v/>
      </c>
      <c r="N306" s="41" t="str">
        <f>IF(Lytchett!Q12="","",Lytchett!Q12)</f>
        <v/>
      </c>
      <c r="O306" s="41" t="str">
        <f>IF(Lytchett!R12="","",Lytchett!R12)</f>
        <v/>
      </c>
      <c r="P306" s="41" t="str">
        <f>IF(Lytchett!S12="","",Lytchett!S12)</f>
        <v/>
      </c>
      <c r="Q306" s="41" t="str">
        <f>IF(Lytchett!T12="","",Lytchett!T12)</f>
        <v/>
      </c>
      <c r="R306" s="41" t="str">
        <f>IF(Lytchett!U12="","",Lytchett!U12)</f>
        <v/>
      </c>
      <c r="S306" s="41" t="str">
        <f>IF(Lytchett!V12="","",Lytchett!V12)</f>
        <v/>
      </c>
      <c r="T306" s="41" t="str">
        <f>IF(Lytchett!W12="","",Lytchett!W12)</f>
        <v/>
      </c>
      <c r="U306" s="41" t="str">
        <f>IF(Lytchett!X12="","",Lytchett!X12)</f>
        <v/>
      </c>
      <c r="V306" s="41" t="str">
        <f>IF(Lytchett!Y12="","",Lytchett!Y12)</f>
        <v/>
      </c>
      <c r="W306" s="201"/>
      <c r="X306" s="182"/>
      <c r="Y306" s="233"/>
      <c r="AA306" s="239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233"/>
    </row>
    <row r="307" spans="2:51" ht="12" customHeight="1" x14ac:dyDescent="0.2">
      <c r="B307" s="266"/>
      <c r="C307" s="263" t="str">
        <f>IF(Lytchett!E13="","",Lytchett!E13)</f>
        <v>Scott Mitchell</v>
      </c>
      <c r="D307" s="259" t="str">
        <f>LEFT($B$301,3)</f>
        <v>Lyt</v>
      </c>
      <c r="E307" s="251">
        <f>IF(Lytchett!G13="","",Lytchett!G13)</f>
        <v>13</v>
      </c>
      <c r="F307" s="181">
        <f>IF(Lytchett!H13=0,"",Lytchett!H13)</f>
        <v>12</v>
      </c>
      <c r="G307" s="186">
        <f>IF(Lytchett!I13=0,"",Lytchett!I13)</f>
        <v>1</v>
      </c>
      <c r="H307" s="186">
        <f>IF(Lytchett!J13=0,"",Lytchett!J13)</f>
        <v>50</v>
      </c>
      <c r="I307" s="252">
        <f>IF(Lytchett!K13=0,"",Lytchett!K13)</f>
        <v>9</v>
      </c>
      <c r="J307" s="163">
        <f>IF(Lytchett!M13="","",Lytchett!M13)</f>
        <v>23.58</v>
      </c>
      <c r="K307" s="41">
        <f>IF(Lytchett!N13="","",Lytchett!N13)</f>
        <v>30.67</v>
      </c>
      <c r="L307" s="41">
        <f>IF(Lytchett!O13="","",Lytchett!O13)</f>
        <v>27.45</v>
      </c>
      <c r="M307" s="41">
        <f>IF(Lytchett!P13="","",Lytchett!P13)</f>
        <v>30.36</v>
      </c>
      <c r="N307" s="41">
        <f>IF(Lytchett!Q13="","",Lytchett!Q13)</f>
        <v>27.72</v>
      </c>
      <c r="O307" s="41">
        <f>IF(Lytchett!R13="","",Lytchett!R13)</f>
        <v>28.23</v>
      </c>
      <c r="P307" s="41">
        <f>IF(Lytchett!S13="","",Lytchett!S13)</f>
        <v>24.25</v>
      </c>
      <c r="Q307" s="41">
        <f>IF(Lytchett!T13="","",Lytchett!T13)</f>
        <v>28.23</v>
      </c>
      <c r="R307" s="41">
        <f>IF(Lytchett!U13="","",Lytchett!U13)</f>
        <v>30.83</v>
      </c>
      <c r="S307" s="41">
        <f>IF(Lytchett!V13="","",Lytchett!V13)</f>
        <v>32.200000000000003</v>
      </c>
      <c r="T307" s="41">
        <f>IF(Lytchett!W13="","",Lytchett!W13)</f>
        <v>28.63</v>
      </c>
      <c r="U307" s="41">
        <f>IF(Lytchett!X13="","",Lytchett!X13)</f>
        <v>28.63</v>
      </c>
      <c r="V307" s="41">
        <f>IF(Lytchett!Y13="","",Lytchett!Y13)</f>
        <v>28.03</v>
      </c>
      <c r="W307" s="249">
        <f>IF(Lytchett!AA13=0,"",Lytchett!AA13)</f>
        <v>17</v>
      </c>
      <c r="X307" s="244">
        <f>IF(Lytchett!AB13=0,"",Lytchett!AB13)</f>
        <v>28.369999999999997</v>
      </c>
      <c r="Y307" s="245">
        <f>IF(Lytchett!AC13=0,"",Lytchett!AC13)</f>
        <v>40.369999999999997</v>
      </c>
      <c r="AA307" s="246">
        <f>Y307</f>
        <v>40.369999999999997</v>
      </c>
      <c r="AB307" s="243">
        <f>X307</f>
        <v>28.369999999999997</v>
      </c>
      <c r="AC307" s="185" t="str">
        <f>C307</f>
        <v>Scott Mitchell</v>
      </c>
      <c r="AD307" s="185" t="str">
        <f>LEFT($B$301,3)</f>
        <v>Lyt</v>
      </c>
      <c r="AE307" s="185">
        <f t="shared" ref="AE307:AY307" si="150">E307</f>
        <v>13</v>
      </c>
      <c r="AF307" s="185">
        <f t="shared" si="150"/>
        <v>12</v>
      </c>
      <c r="AG307" s="247">
        <f t="shared" si="150"/>
        <v>1</v>
      </c>
      <c r="AH307" s="247">
        <f t="shared" si="150"/>
        <v>50</v>
      </c>
      <c r="AI307" s="247">
        <f t="shared" si="150"/>
        <v>9</v>
      </c>
      <c r="AJ307" s="243">
        <f t="shared" si="150"/>
        <v>23.58</v>
      </c>
      <c r="AK307" s="243">
        <f t="shared" si="150"/>
        <v>30.67</v>
      </c>
      <c r="AL307" s="243">
        <f t="shared" si="150"/>
        <v>27.45</v>
      </c>
      <c r="AM307" s="243">
        <f t="shared" si="150"/>
        <v>30.36</v>
      </c>
      <c r="AN307" s="243">
        <f t="shared" si="150"/>
        <v>27.72</v>
      </c>
      <c r="AO307" s="243">
        <f t="shared" si="150"/>
        <v>28.23</v>
      </c>
      <c r="AP307" s="243">
        <f t="shared" si="150"/>
        <v>24.25</v>
      </c>
      <c r="AQ307" s="243">
        <f t="shared" si="150"/>
        <v>28.23</v>
      </c>
      <c r="AR307" s="243">
        <f t="shared" si="150"/>
        <v>30.83</v>
      </c>
      <c r="AS307" s="243">
        <f t="shared" si="150"/>
        <v>32.200000000000003</v>
      </c>
      <c r="AT307" s="243">
        <f t="shared" si="150"/>
        <v>28.63</v>
      </c>
      <c r="AU307" s="243">
        <f t="shared" si="150"/>
        <v>28.63</v>
      </c>
      <c r="AV307" s="243">
        <f t="shared" si="150"/>
        <v>28.03</v>
      </c>
      <c r="AW307" s="247">
        <f t="shared" si="150"/>
        <v>17</v>
      </c>
      <c r="AX307" s="243">
        <f t="shared" si="150"/>
        <v>28.369999999999997</v>
      </c>
      <c r="AY307" s="248">
        <f t="shared" si="150"/>
        <v>40.369999999999997</v>
      </c>
    </row>
    <row r="308" spans="2:51" ht="12" customHeight="1" x14ac:dyDescent="0.2">
      <c r="B308" s="266"/>
      <c r="C308" s="235"/>
      <c r="D308" s="235"/>
      <c r="E308" s="239"/>
      <c r="F308" s="182"/>
      <c r="G308" s="182"/>
      <c r="H308" s="182"/>
      <c r="I308" s="233"/>
      <c r="J308" s="163" t="str">
        <f>IF(Lytchett!M14="","",Lytchett!M14)</f>
        <v>4*0(2)</v>
      </c>
      <c r="K308" s="41" t="str">
        <f>IF(Lytchett!N14="","",Lytchett!N14)</f>
        <v>4*2(2)</v>
      </c>
      <c r="L308" s="41" t="str">
        <f>IF(Lytchett!O14="","",Lytchett!O14)</f>
        <v>4*0(2)</v>
      </c>
      <c r="M308" s="41" t="str">
        <f>IF(Lytchett!P14="","",Lytchett!P14)</f>
        <v>4*0(1)</v>
      </c>
      <c r="N308" s="41" t="str">
        <f>IF(Lytchett!Q14="","",Lytchett!Q14)</f>
        <v>4*1(1)</v>
      </c>
      <c r="O308" s="41" t="str">
        <f>IF(Lytchett!R14="","",Lytchett!R14)</f>
        <v>4*0(1)</v>
      </c>
      <c r="P308" s="41" t="str">
        <f>IF(Lytchett!S14="","",Lytchett!S14)</f>
        <v>2*4(1)</v>
      </c>
      <c r="Q308" s="41" t="str">
        <f>IF(Lytchett!T14="","",Lytchett!T14)</f>
        <v>4*0(1)</v>
      </c>
      <c r="R308" s="41" t="str">
        <f>IF(Lytchett!U14="","",Lytchett!U14)</f>
        <v>4*0(3)</v>
      </c>
      <c r="S308" s="41" t="str">
        <f>IF(Lytchett!V14="","",Lytchett!V14)</f>
        <v>4*1(2)</v>
      </c>
      <c r="T308" s="41" t="str">
        <f>IF(Lytchett!W14="","",Lytchett!W14)</f>
        <v>4*0</v>
      </c>
      <c r="U308" s="41" t="str">
        <f>IF(Lytchett!X14="","",Lytchett!X14)</f>
        <v>4*0</v>
      </c>
      <c r="V308" s="41" t="str">
        <f>IF(Lytchett!Y14="","",Lytchett!Y14)</f>
        <v>4*1(1)</v>
      </c>
      <c r="W308" s="201"/>
      <c r="X308" s="182"/>
      <c r="Y308" s="233"/>
      <c r="AA308" s="239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233"/>
    </row>
    <row r="309" spans="2:51" ht="12" customHeight="1" x14ac:dyDescent="0.2">
      <c r="B309" s="266"/>
      <c r="C309" s="263" t="str">
        <f>IF(Lytchett!E15="","",Lytchett!E15)</f>
        <v>John Clark</v>
      </c>
      <c r="D309" s="259" t="str">
        <f>LEFT($B$301,3)</f>
        <v>Lyt</v>
      </c>
      <c r="E309" s="251">
        <f>IF(Lytchett!G15="","",Lytchett!G15)</f>
        <v>5</v>
      </c>
      <c r="F309" s="181">
        <f>IF(Lytchett!H15=0,"",Lytchett!H15)</f>
        <v>3</v>
      </c>
      <c r="G309" s="186">
        <f>IF(Lytchett!I15=0,"",Lytchett!I15)</f>
        <v>2</v>
      </c>
      <c r="H309" s="186">
        <f>IF(Lytchett!J15=0,"",Lytchett!J15)</f>
        <v>15</v>
      </c>
      <c r="I309" s="252">
        <f>IF(Lytchett!K15=0,"",Lytchett!K15)</f>
        <v>13</v>
      </c>
      <c r="J309" s="163" t="str">
        <f>IF(Lytchett!M15="","",Lytchett!M15)</f>
        <v/>
      </c>
      <c r="K309" s="41" t="str">
        <f>IF(Lytchett!N15="","",Lytchett!N15)</f>
        <v/>
      </c>
      <c r="L309" s="41" t="str">
        <f>IF(Lytchett!O15="","",Lytchett!O15)</f>
        <v/>
      </c>
      <c r="M309" s="41" t="str">
        <f>IF(Lytchett!P15="","",Lytchett!P15)</f>
        <v/>
      </c>
      <c r="N309" s="41" t="str">
        <f>IF(Lytchett!Q15="","",Lytchett!Q15)</f>
        <v/>
      </c>
      <c r="O309" s="41">
        <f>IF(Lytchett!R15="","",Lytchett!R15)</f>
        <v>19.920000000000002</v>
      </c>
      <c r="P309" s="41">
        <f>IF(Lytchett!S15="","",Lytchett!S15)</f>
        <v>20.91</v>
      </c>
      <c r="Q309" s="41" t="str">
        <f>IF(Lytchett!T15="","",Lytchett!T15)</f>
        <v/>
      </c>
      <c r="R309" s="41">
        <f>IF(Lytchett!U15="","",Lytchett!U15)</f>
        <v>21.55</v>
      </c>
      <c r="S309" s="41" t="str">
        <f>IF(Lytchett!V15="","",Lytchett!V15)</f>
        <v/>
      </c>
      <c r="T309" s="41" t="str">
        <f>IF(Lytchett!W15="","",Lytchett!W15)</f>
        <v/>
      </c>
      <c r="U309" s="41">
        <f>IF(Lytchett!X15="","",Lytchett!X15)</f>
        <v>18.18</v>
      </c>
      <c r="V309" s="41">
        <f>IF(Lytchett!Y15="","",Lytchett!Y15)</f>
        <v>20.059999999999999</v>
      </c>
      <c r="W309" s="249" t="str">
        <f>IF(Lytchett!AA15=0,"",Lytchett!AA15)</f>
        <v/>
      </c>
      <c r="X309" s="244">
        <f>IF(Lytchett!AB15=0,"",Lytchett!AB15)</f>
        <v>20.124000000000002</v>
      </c>
      <c r="Y309" s="245">
        <f>IF(Lytchett!AC15=0,"",Lytchett!AC15)</f>
        <v>23.124000000000002</v>
      </c>
      <c r="AA309" s="246">
        <f>Y309</f>
        <v>23.124000000000002</v>
      </c>
      <c r="AB309" s="243">
        <f>X309</f>
        <v>20.124000000000002</v>
      </c>
      <c r="AC309" s="185" t="str">
        <f>C309</f>
        <v>John Clark</v>
      </c>
      <c r="AD309" s="185" t="str">
        <f>LEFT($B$301,3)</f>
        <v>Lyt</v>
      </c>
      <c r="AE309" s="185">
        <f t="shared" ref="AE309:AY309" si="151">E309</f>
        <v>5</v>
      </c>
      <c r="AF309" s="185">
        <f t="shared" si="151"/>
        <v>3</v>
      </c>
      <c r="AG309" s="247">
        <f t="shared" si="151"/>
        <v>2</v>
      </c>
      <c r="AH309" s="247">
        <f t="shared" si="151"/>
        <v>15</v>
      </c>
      <c r="AI309" s="247">
        <f t="shared" si="151"/>
        <v>13</v>
      </c>
      <c r="AJ309" s="243" t="str">
        <f t="shared" si="151"/>
        <v/>
      </c>
      <c r="AK309" s="243" t="str">
        <f t="shared" si="151"/>
        <v/>
      </c>
      <c r="AL309" s="243" t="str">
        <f t="shared" si="151"/>
        <v/>
      </c>
      <c r="AM309" s="243" t="str">
        <f t="shared" si="151"/>
        <v/>
      </c>
      <c r="AN309" s="243" t="str">
        <f t="shared" si="151"/>
        <v/>
      </c>
      <c r="AO309" s="243">
        <f t="shared" si="151"/>
        <v>19.920000000000002</v>
      </c>
      <c r="AP309" s="243">
        <f t="shared" si="151"/>
        <v>20.91</v>
      </c>
      <c r="AQ309" s="243" t="str">
        <f t="shared" si="151"/>
        <v/>
      </c>
      <c r="AR309" s="243">
        <f t="shared" si="151"/>
        <v>21.55</v>
      </c>
      <c r="AS309" s="243" t="str">
        <f t="shared" si="151"/>
        <v/>
      </c>
      <c r="AT309" s="243" t="str">
        <f t="shared" si="151"/>
        <v/>
      </c>
      <c r="AU309" s="243">
        <f t="shared" si="151"/>
        <v>18.18</v>
      </c>
      <c r="AV309" s="243">
        <f t="shared" si="151"/>
        <v>20.059999999999999</v>
      </c>
      <c r="AW309" s="247" t="str">
        <f t="shared" si="151"/>
        <v/>
      </c>
      <c r="AX309" s="243">
        <f t="shared" si="151"/>
        <v>20.124000000000002</v>
      </c>
      <c r="AY309" s="248">
        <f t="shared" si="151"/>
        <v>23.124000000000002</v>
      </c>
    </row>
    <row r="310" spans="2:51" ht="12" customHeight="1" x14ac:dyDescent="0.2">
      <c r="B310" s="266"/>
      <c r="C310" s="235"/>
      <c r="D310" s="235"/>
      <c r="E310" s="239"/>
      <c r="F310" s="182"/>
      <c r="G310" s="182"/>
      <c r="H310" s="182"/>
      <c r="I310" s="233"/>
      <c r="J310" s="163" t="str">
        <f>IF(Lytchett!M16="","",Lytchett!M16)</f>
        <v/>
      </c>
      <c r="K310" s="41" t="str">
        <f>IF(Lytchett!N16="","",Lytchett!N16)</f>
        <v/>
      </c>
      <c r="L310" s="41" t="str">
        <f>IF(Lytchett!O16="","",Lytchett!O16)</f>
        <v/>
      </c>
      <c r="M310" s="41" t="str">
        <f>IF(Lytchett!P16="","",Lytchett!P16)</f>
        <v/>
      </c>
      <c r="N310" s="41" t="str">
        <f>IF(Lytchett!Q16="","",Lytchett!Q16)</f>
        <v/>
      </c>
      <c r="O310" s="41" t="str">
        <f>IF(Lytchett!R16="","",Lytchett!R16)</f>
        <v>2*4</v>
      </c>
      <c r="P310" s="41" t="str">
        <f>IF(Lytchett!S16="","",Lytchett!S16)</f>
        <v>4*3</v>
      </c>
      <c r="Q310" s="41" t="str">
        <f>IF(Lytchett!T16="","",Lytchett!T16)</f>
        <v/>
      </c>
      <c r="R310" s="41" t="str">
        <f>IF(Lytchett!U16="","",Lytchett!U16)</f>
        <v>4*0</v>
      </c>
      <c r="S310" s="41" t="str">
        <f>IF(Lytchett!V16="","",Lytchett!V16)</f>
        <v/>
      </c>
      <c r="T310" s="41" t="str">
        <f>IF(Lytchett!W16="","",Lytchett!W16)</f>
        <v/>
      </c>
      <c r="U310" s="41" t="str">
        <f>IF(Lytchett!X16="","",Lytchett!X16)</f>
        <v>4*2</v>
      </c>
      <c r="V310" s="41" t="str">
        <f>IF(Lytchett!Y16="","",Lytchett!Y16)</f>
        <v>1*4</v>
      </c>
      <c r="W310" s="201"/>
      <c r="X310" s="182"/>
      <c r="Y310" s="233"/>
      <c r="AA310" s="239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233"/>
    </row>
    <row r="311" spans="2:51" ht="12" customHeight="1" x14ac:dyDescent="0.2">
      <c r="B311" s="266"/>
      <c r="C311" s="263" t="str">
        <f>IF(Lytchett!E17="","",Lytchett!E17)</f>
        <v>Ryan Mabey</v>
      </c>
      <c r="D311" s="259" t="str">
        <f>LEFT($B$301,3)</f>
        <v>Lyt</v>
      </c>
      <c r="E311" s="251">
        <f>IF(Lytchett!G17="","",Lytchett!G17)</f>
        <v>11</v>
      </c>
      <c r="F311" s="181">
        <f>IF(Lytchett!H17=0,"",Lytchett!H17)</f>
        <v>10</v>
      </c>
      <c r="G311" s="186">
        <f>IF(Lytchett!I17=0,"",Lytchett!I17)</f>
        <v>1</v>
      </c>
      <c r="H311" s="186">
        <f>IF(Lytchett!J17=0,"",Lytchett!J17)</f>
        <v>40</v>
      </c>
      <c r="I311" s="252">
        <f>IF(Lytchett!K17=0,"",Lytchett!K17)</f>
        <v>21</v>
      </c>
      <c r="J311" s="163">
        <f>IF(Lytchett!M17="","",Lytchett!M17)</f>
        <v>24.77</v>
      </c>
      <c r="K311" s="41" t="str">
        <f>IF(Lytchett!N17="","",Lytchett!N17)</f>
        <v/>
      </c>
      <c r="L311" s="41">
        <f>IF(Lytchett!O17="","",Lytchett!O17)</f>
        <v>23.44</v>
      </c>
      <c r="M311" s="41">
        <f>IF(Lytchett!P17="","",Lytchett!P17)</f>
        <v>23.21</v>
      </c>
      <c r="N311" s="41">
        <f>IF(Lytchett!Q17="","",Lytchett!Q17)</f>
        <v>24.67</v>
      </c>
      <c r="O311" s="41">
        <f>IF(Lytchett!R17="","",Lytchett!R17)</f>
        <v>22.24</v>
      </c>
      <c r="P311" s="41">
        <f>IF(Lytchett!S17="","",Lytchett!S17)</f>
        <v>22.34</v>
      </c>
      <c r="Q311" s="41">
        <f>IF(Lytchett!T17="","",Lytchett!T17)</f>
        <v>23.08</v>
      </c>
      <c r="R311" s="41">
        <f>IF(Lytchett!U17="","",Lytchett!U17)</f>
        <v>25.49</v>
      </c>
      <c r="S311" s="41">
        <f>IF(Lytchett!V17="","",Lytchett!V17)</f>
        <v>20.72</v>
      </c>
      <c r="T311" s="41">
        <f>IF(Lytchett!W17="","",Lytchett!W17)</f>
        <v>24.44</v>
      </c>
      <c r="U311" s="41">
        <f>IF(Lytchett!X17="","",Lytchett!X17)</f>
        <v>24.94</v>
      </c>
      <c r="V311" s="41" t="str">
        <f>IF(Lytchett!Y17="","",Lytchett!Y17)</f>
        <v/>
      </c>
      <c r="W311" s="249">
        <f>IF(Lytchett!AA17=0,"",Lytchett!AA17)</f>
        <v>3</v>
      </c>
      <c r="X311" s="244">
        <f>IF(Lytchett!AB17=0,"",Lytchett!AB17)</f>
        <v>23.576363636363638</v>
      </c>
      <c r="Y311" s="245">
        <f>IF(Lytchett!AC17=0,"",Lytchett!AC17)</f>
        <v>33.576363636363638</v>
      </c>
      <c r="AA311" s="246">
        <f>Y311</f>
        <v>33.576363636363638</v>
      </c>
      <c r="AB311" s="243">
        <f>X311</f>
        <v>23.576363636363638</v>
      </c>
      <c r="AC311" s="185" t="str">
        <f>C311</f>
        <v>Ryan Mabey</v>
      </c>
      <c r="AD311" s="185" t="str">
        <f>LEFT($B$301,3)</f>
        <v>Lyt</v>
      </c>
      <c r="AE311" s="185">
        <f t="shared" ref="AE311:AY311" si="152">E311</f>
        <v>11</v>
      </c>
      <c r="AF311" s="185">
        <f t="shared" si="152"/>
        <v>10</v>
      </c>
      <c r="AG311" s="247">
        <f t="shared" si="152"/>
        <v>1</v>
      </c>
      <c r="AH311" s="247">
        <f t="shared" si="152"/>
        <v>40</v>
      </c>
      <c r="AI311" s="247">
        <f t="shared" si="152"/>
        <v>21</v>
      </c>
      <c r="AJ311" s="243">
        <f t="shared" si="152"/>
        <v>24.77</v>
      </c>
      <c r="AK311" s="243" t="str">
        <f t="shared" si="152"/>
        <v/>
      </c>
      <c r="AL311" s="243">
        <f t="shared" si="152"/>
        <v>23.44</v>
      </c>
      <c r="AM311" s="243">
        <f t="shared" si="152"/>
        <v>23.21</v>
      </c>
      <c r="AN311" s="243">
        <f t="shared" si="152"/>
        <v>24.67</v>
      </c>
      <c r="AO311" s="243">
        <f t="shared" si="152"/>
        <v>22.24</v>
      </c>
      <c r="AP311" s="243">
        <f t="shared" si="152"/>
        <v>22.34</v>
      </c>
      <c r="AQ311" s="243">
        <f t="shared" si="152"/>
        <v>23.08</v>
      </c>
      <c r="AR311" s="243">
        <f t="shared" si="152"/>
        <v>25.49</v>
      </c>
      <c r="AS311" s="243">
        <f t="shared" si="152"/>
        <v>20.72</v>
      </c>
      <c r="AT311" s="243">
        <f t="shared" si="152"/>
        <v>24.44</v>
      </c>
      <c r="AU311" s="243">
        <f t="shared" si="152"/>
        <v>24.94</v>
      </c>
      <c r="AV311" s="243" t="str">
        <f t="shared" si="152"/>
        <v/>
      </c>
      <c r="AW311" s="247">
        <f t="shared" si="152"/>
        <v>3</v>
      </c>
      <c r="AX311" s="243">
        <f t="shared" si="152"/>
        <v>23.576363636363638</v>
      </c>
      <c r="AY311" s="248">
        <f t="shared" si="152"/>
        <v>33.576363636363638</v>
      </c>
    </row>
    <row r="312" spans="2:51" ht="12" customHeight="1" x14ac:dyDescent="0.2">
      <c r="B312" s="266"/>
      <c r="C312" s="235"/>
      <c r="D312" s="235"/>
      <c r="E312" s="239"/>
      <c r="F312" s="182"/>
      <c r="G312" s="182"/>
      <c r="H312" s="182"/>
      <c r="I312" s="233"/>
      <c r="J312" s="163" t="str">
        <f>IF(Lytchett!M18="","",Lytchett!M18)</f>
        <v>4*3(1)</v>
      </c>
      <c r="K312" s="41" t="str">
        <f>IF(Lytchett!N18="","",Lytchett!N18)</f>
        <v/>
      </c>
      <c r="L312" s="41" t="str">
        <f>IF(Lytchett!O18="","",Lytchett!O18)</f>
        <v>4*1</v>
      </c>
      <c r="M312" s="41" t="str">
        <f>IF(Lytchett!P18="","",Lytchett!P18)</f>
        <v>4*1</v>
      </c>
      <c r="N312" s="41" t="str">
        <f>IF(Lytchett!Q18="","",Lytchett!Q18)</f>
        <v>4*3</v>
      </c>
      <c r="O312" s="41" t="str">
        <f>IF(Lytchett!R18="","",Lytchett!R18)</f>
        <v>0*4</v>
      </c>
      <c r="P312" s="41" t="str">
        <f>IF(Lytchett!S18="","",Lytchett!S18)</f>
        <v>4*1</v>
      </c>
      <c r="Q312" s="41" t="str">
        <f>IF(Lytchett!T18="","",Lytchett!T18)</f>
        <v>4*3(2)</v>
      </c>
      <c r="R312" s="41" t="str">
        <f>IF(Lytchett!U18="","",Lytchett!U18)</f>
        <v>4*1</v>
      </c>
      <c r="S312" s="41" t="str">
        <f>IF(Lytchett!V18="","",Lytchett!V18)</f>
        <v>4*2</v>
      </c>
      <c r="T312" s="41" t="str">
        <f>IF(Lytchett!W18="","",Lytchett!W18)</f>
        <v>4*0</v>
      </c>
      <c r="U312" s="41" t="str">
        <f>IF(Lytchett!X18="","",Lytchett!X18)</f>
        <v>4*2</v>
      </c>
      <c r="V312" s="41" t="str">
        <f>IF(Lytchett!Y18="","",Lytchett!Y18)</f>
        <v/>
      </c>
      <c r="W312" s="201"/>
      <c r="X312" s="182"/>
      <c r="Y312" s="233"/>
      <c r="AA312" s="239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233"/>
    </row>
    <row r="313" spans="2:51" ht="12" customHeight="1" x14ac:dyDescent="0.2">
      <c r="B313" s="266"/>
      <c r="C313" s="263" t="str">
        <f>IF(Lytchett!E19="","",Lytchett!E19)</f>
        <v>Steve Penney</v>
      </c>
      <c r="D313" s="259" t="str">
        <f>LEFT($B$301,3)</f>
        <v>Lyt</v>
      </c>
      <c r="E313" s="251">
        <f>IF(Lytchett!G19="","",Lytchett!G19)</f>
        <v>4</v>
      </c>
      <c r="F313" s="181">
        <f>IF(Lytchett!H19=0,"",Lytchett!H19)</f>
        <v>3</v>
      </c>
      <c r="G313" s="181">
        <f>IF(Lytchett!I19=0,"",Lytchett!I19)</f>
        <v>1</v>
      </c>
      <c r="H313" s="186">
        <f>IF(Lytchett!J19=0,"",Lytchett!J19)</f>
        <v>15</v>
      </c>
      <c r="I313" s="252">
        <f>IF(Lytchett!K19=0,"",Lytchett!K19)</f>
        <v>6</v>
      </c>
      <c r="J313" s="163">
        <f>IF(Lytchett!M19="","",Lytchett!M19)</f>
        <v>22.02</v>
      </c>
      <c r="K313" s="41">
        <f>IF(Lytchett!N19="","",Lytchett!N19)</f>
        <v>25.14</v>
      </c>
      <c r="L313" s="41">
        <f>IF(Lytchett!O19="","",Lytchett!O19)</f>
        <v>25.72</v>
      </c>
      <c r="M313" s="41" t="str">
        <f>IF(Lytchett!P19="","",Lytchett!P19)</f>
        <v/>
      </c>
      <c r="N313" s="41" t="str">
        <f>IF(Lytchett!Q19="","",Lytchett!Q19)</f>
        <v/>
      </c>
      <c r="O313" s="41" t="str">
        <f>IF(Lytchett!R19="","",Lytchett!R19)</f>
        <v/>
      </c>
      <c r="P313" s="41" t="str">
        <f>IF(Lytchett!S19="","",Lytchett!S19)</f>
        <v/>
      </c>
      <c r="Q313" s="41" t="str">
        <f>IF(Lytchett!T19="","",Lytchett!T19)</f>
        <v/>
      </c>
      <c r="R313" s="41" t="str">
        <f>IF(Lytchett!U19="","",Lytchett!U19)</f>
        <v/>
      </c>
      <c r="S313" s="41" t="str">
        <f>IF(Lytchett!V19="","",Lytchett!V19)</f>
        <v/>
      </c>
      <c r="T313" s="41" t="str">
        <f>IF(Lytchett!W19="","",Lytchett!W19)</f>
        <v/>
      </c>
      <c r="U313" s="41" t="str">
        <f>IF(Lytchett!X19="","",Lytchett!X19)</f>
        <v/>
      </c>
      <c r="V313" s="41">
        <f>IF(Lytchett!Y19="","",Lytchett!Y19)</f>
        <v>21.93</v>
      </c>
      <c r="W313" s="249">
        <f>IF(Lytchett!AA19=0,"",Lytchett!AA19)</f>
        <v>2</v>
      </c>
      <c r="X313" s="244">
        <f>IF(Lytchett!AB19=0,"",Lytchett!AB19)</f>
        <v>23.702500000000001</v>
      </c>
      <c r="Y313" s="245">
        <f>IF(Lytchett!AC19=0,"",Lytchett!AC19)</f>
        <v>26.702500000000001</v>
      </c>
      <c r="AA313" s="246">
        <f>Y313</f>
        <v>26.702500000000001</v>
      </c>
      <c r="AB313" s="243">
        <f>X313</f>
        <v>23.702500000000001</v>
      </c>
      <c r="AC313" s="185" t="str">
        <f>C313</f>
        <v>Steve Penney</v>
      </c>
      <c r="AD313" s="185" t="str">
        <f>LEFT($B$301,3)</f>
        <v>Lyt</v>
      </c>
      <c r="AE313" s="185">
        <f t="shared" ref="AE313:AY313" si="153">E313</f>
        <v>4</v>
      </c>
      <c r="AF313" s="185">
        <f t="shared" si="153"/>
        <v>3</v>
      </c>
      <c r="AG313" s="185">
        <f t="shared" si="153"/>
        <v>1</v>
      </c>
      <c r="AH313" s="247">
        <f t="shared" si="153"/>
        <v>15</v>
      </c>
      <c r="AI313" s="247">
        <f t="shared" si="153"/>
        <v>6</v>
      </c>
      <c r="AJ313" s="243">
        <f t="shared" si="153"/>
        <v>22.02</v>
      </c>
      <c r="AK313" s="243">
        <f t="shared" si="153"/>
        <v>25.14</v>
      </c>
      <c r="AL313" s="243">
        <f t="shared" si="153"/>
        <v>25.72</v>
      </c>
      <c r="AM313" s="243" t="str">
        <f t="shared" si="153"/>
        <v/>
      </c>
      <c r="AN313" s="243" t="str">
        <f t="shared" si="153"/>
        <v/>
      </c>
      <c r="AO313" s="243" t="str">
        <f t="shared" si="153"/>
        <v/>
      </c>
      <c r="AP313" s="243" t="str">
        <f t="shared" si="153"/>
        <v/>
      </c>
      <c r="AQ313" s="243" t="str">
        <f t="shared" si="153"/>
        <v/>
      </c>
      <c r="AR313" s="243" t="str">
        <f t="shared" si="153"/>
        <v/>
      </c>
      <c r="AS313" s="243" t="str">
        <f t="shared" si="153"/>
        <v/>
      </c>
      <c r="AT313" s="243" t="str">
        <f t="shared" si="153"/>
        <v/>
      </c>
      <c r="AU313" s="243" t="str">
        <f t="shared" si="153"/>
        <v/>
      </c>
      <c r="AV313" s="243">
        <f t="shared" si="153"/>
        <v>21.93</v>
      </c>
      <c r="AW313" s="247">
        <f t="shared" si="153"/>
        <v>2</v>
      </c>
      <c r="AX313" s="243">
        <f t="shared" si="153"/>
        <v>23.702500000000001</v>
      </c>
      <c r="AY313" s="248">
        <f t="shared" si="153"/>
        <v>26.702500000000001</v>
      </c>
    </row>
    <row r="314" spans="2:51" ht="12" customHeight="1" x14ac:dyDescent="0.2">
      <c r="B314" s="266"/>
      <c r="C314" s="235"/>
      <c r="D314" s="235"/>
      <c r="E314" s="239"/>
      <c r="F314" s="182"/>
      <c r="G314" s="182"/>
      <c r="H314" s="182"/>
      <c r="I314" s="233"/>
      <c r="J314" s="163" t="str">
        <f>IF(Lytchett!M20="","",Lytchett!M20)</f>
        <v>4*0</v>
      </c>
      <c r="K314" s="41" t="str">
        <f>IF(Lytchett!N20="","",Lytchett!N20)</f>
        <v>4*1(1)</v>
      </c>
      <c r="L314" s="41" t="str">
        <f>IF(Lytchett!O20="","",Lytchett!O20)</f>
        <v>4*1(1)</v>
      </c>
      <c r="M314" s="41" t="str">
        <f>IF(Lytchett!P20="","",Lytchett!P20)</f>
        <v/>
      </c>
      <c r="N314" s="41" t="str">
        <f>IF(Lytchett!Q20="","",Lytchett!Q20)</f>
        <v/>
      </c>
      <c r="O314" s="41" t="str">
        <f>IF(Lytchett!R20="","",Lytchett!R20)</f>
        <v/>
      </c>
      <c r="P314" s="41" t="str">
        <f>IF(Lytchett!S20="","",Lytchett!S20)</f>
        <v/>
      </c>
      <c r="Q314" s="41" t="str">
        <f>IF(Lytchett!T20="","",Lytchett!T20)</f>
        <v/>
      </c>
      <c r="R314" s="41" t="str">
        <f>IF(Lytchett!U20="","",Lytchett!U20)</f>
        <v/>
      </c>
      <c r="S314" s="41" t="str">
        <f>IF(Lytchett!V20="","",Lytchett!V20)</f>
        <v/>
      </c>
      <c r="T314" s="41" t="str">
        <f>IF(Lytchett!W20="","",Lytchett!W20)</f>
        <v/>
      </c>
      <c r="U314" s="41" t="str">
        <f>IF(Lytchett!X20="","",Lytchett!X20)</f>
        <v/>
      </c>
      <c r="V314" s="41" t="str">
        <f>IF(Lytchett!Y20="","",Lytchett!Y20)</f>
        <v>3*4</v>
      </c>
      <c r="W314" s="201"/>
      <c r="X314" s="182"/>
      <c r="Y314" s="233"/>
      <c r="AA314" s="239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233"/>
    </row>
    <row r="315" spans="2:51" ht="12" customHeight="1" x14ac:dyDescent="0.2">
      <c r="B315" s="266"/>
      <c r="C315" s="263" t="str">
        <f>IF(Lytchett!E21="","",Lytchett!E21)</f>
        <v>Mark Porter</v>
      </c>
      <c r="D315" s="259" t="str">
        <f>LEFT($B$301,3)</f>
        <v>Lyt</v>
      </c>
      <c r="E315" s="251">
        <f>IF(Lytchett!G21="","",Lytchett!G21)</f>
        <v>9</v>
      </c>
      <c r="F315" s="181">
        <f>IF(Lytchett!H21=0,"",Lytchett!H21)</f>
        <v>6</v>
      </c>
      <c r="G315" s="186">
        <f>IF(Lytchett!I21=0,"",Lytchett!I21)</f>
        <v>3</v>
      </c>
      <c r="H315" s="186">
        <f>IF(Lytchett!J21=0,"",Lytchett!J21)</f>
        <v>28</v>
      </c>
      <c r="I315" s="252">
        <f>IF(Lytchett!K21=0,"",Lytchett!K21)</f>
        <v>21</v>
      </c>
      <c r="J315" s="163">
        <f>IF(Lytchett!M21="","",Lytchett!M21)</f>
        <v>24.33</v>
      </c>
      <c r="K315" s="41">
        <f>IF(Lytchett!N21="","",Lytchett!N21)</f>
        <v>20.47</v>
      </c>
      <c r="L315" s="41">
        <f>IF(Lytchett!O21="","",Lytchett!O21)</f>
        <v>19.09</v>
      </c>
      <c r="M315" s="41" t="str">
        <f>IF(Lytchett!P21="","",Lytchett!P21)</f>
        <v/>
      </c>
      <c r="N315" s="41">
        <f>IF(Lytchett!Q21="","",Lytchett!Q21)</f>
        <v>22.91</v>
      </c>
      <c r="O315" s="41" t="str">
        <f>IF(Lytchett!R21="","",Lytchett!R21)</f>
        <v/>
      </c>
      <c r="P315" s="41" t="str">
        <f>IF(Lytchett!S21="","",Lytchett!S21)</f>
        <v/>
      </c>
      <c r="Q315" s="41" t="str">
        <f>IF(Lytchett!T21="","",Lytchett!T21)</f>
        <v/>
      </c>
      <c r="R315" s="41">
        <f>IF(Lytchett!U21="","",Lytchett!U21)</f>
        <v>21.96</v>
      </c>
      <c r="S315" s="41">
        <f>IF(Lytchett!V21="","",Lytchett!V21)</f>
        <v>24.55</v>
      </c>
      <c r="T315" s="41">
        <f>IF(Lytchett!W21="","",Lytchett!W21)</f>
        <v>25.62</v>
      </c>
      <c r="U315" s="41">
        <f>IF(Lytchett!X21="","",Lytchett!X21)</f>
        <v>24.69</v>
      </c>
      <c r="V315" s="41">
        <f>IF(Lytchett!Y21="","",Lytchett!Y21)</f>
        <v>24.14</v>
      </c>
      <c r="W315" s="249">
        <f>IF(Lytchett!AA21=0,"",Lytchett!AA21)</f>
        <v>4</v>
      </c>
      <c r="X315" s="244">
        <f>IF(Lytchett!AB21=0,"",Lytchett!AB21)</f>
        <v>23.084444444444443</v>
      </c>
      <c r="Y315" s="245">
        <f>IF(Lytchett!AC21=0,"",Lytchett!AC21)</f>
        <v>29.084444444444443</v>
      </c>
      <c r="AA315" s="246">
        <f>Y315</f>
        <v>29.084444444444443</v>
      </c>
      <c r="AB315" s="243">
        <f>X315</f>
        <v>23.084444444444443</v>
      </c>
      <c r="AC315" s="185" t="str">
        <f>C315</f>
        <v>Mark Porter</v>
      </c>
      <c r="AD315" s="185" t="str">
        <f>LEFT($B$301,3)</f>
        <v>Lyt</v>
      </c>
      <c r="AE315" s="185">
        <f t="shared" ref="AE315:AY315" si="154">E315</f>
        <v>9</v>
      </c>
      <c r="AF315" s="185">
        <f t="shared" si="154"/>
        <v>6</v>
      </c>
      <c r="AG315" s="247">
        <f t="shared" si="154"/>
        <v>3</v>
      </c>
      <c r="AH315" s="247">
        <f t="shared" si="154"/>
        <v>28</v>
      </c>
      <c r="AI315" s="247">
        <f t="shared" si="154"/>
        <v>21</v>
      </c>
      <c r="AJ315" s="243">
        <f t="shared" si="154"/>
        <v>24.33</v>
      </c>
      <c r="AK315" s="243">
        <f t="shared" si="154"/>
        <v>20.47</v>
      </c>
      <c r="AL315" s="243">
        <f t="shared" si="154"/>
        <v>19.09</v>
      </c>
      <c r="AM315" s="243" t="str">
        <f t="shared" si="154"/>
        <v/>
      </c>
      <c r="AN315" s="243">
        <f t="shared" si="154"/>
        <v>22.91</v>
      </c>
      <c r="AO315" s="243" t="str">
        <f t="shared" si="154"/>
        <v/>
      </c>
      <c r="AP315" s="243" t="str">
        <f t="shared" si="154"/>
        <v/>
      </c>
      <c r="AQ315" s="243" t="str">
        <f t="shared" si="154"/>
        <v/>
      </c>
      <c r="AR315" s="243">
        <f t="shared" si="154"/>
        <v>21.96</v>
      </c>
      <c r="AS315" s="243">
        <f t="shared" si="154"/>
        <v>24.55</v>
      </c>
      <c r="AT315" s="243">
        <f t="shared" si="154"/>
        <v>25.62</v>
      </c>
      <c r="AU315" s="243">
        <f t="shared" si="154"/>
        <v>24.69</v>
      </c>
      <c r="AV315" s="243">
        <f t="shared" si="154"/>
        <v>24.14</v>
      </c>
      <c r="AW315" s="247">
        <f t="shared" si="154"/>
        <v>4</v>
      </c>
      <c r="AX315" s="243">
        <f t="shared" si="154"/>
        <v>23.084444444444443</v>
      </c>
      <c r="AY315" s="248">
        <f t="shared" si="154"/>
        <v>29.084444444444443</v>
      </c>
    </row>
    <row r="316" spans="2:51" ht="12" customHeight="1" x14ac:dyDescent="0.2">
      <c r="B316" s="266"/>
      <c r="C316" s="235"/>
      <c r="D316" s="235"/>
      <c r="E316" s="239"/>
      <c r="F316" s="182"/>
      <c r="G316" s="182"/>
      <c r="H316" s="182"/>
      <c r="I316" s="233"/>
      <c r="J316" s="163" t="str">
        <f>IF(Lytchett!M22="","",Lytchett!M22)</f>
        <v>4*3</v>
      </c>
      <c r="K316" s="41" t="str">
        <f>IF(Lytchett!N22="","",Lytchett!N22)</f>
        <v>1*4</v>
      </c>
      <c r="L316" s="41" t="str">
        <f>IF(Lytchett!O22="","",Lytchett!O22)</f>
        <v>4*0</v>
      </c>
      <c r="M316" s="41" t="str">
        <f>IF(Lytchett!P22="","",Lytchett!P22)</f>
        <v/>
      </c>
      <c r="N316" s="41" t="str">
        <f>IF(Lytchett!Q22="","",Lytchett!Q22)</f>
        <v>2*4</v>
      </c>
      <c r="O316" s="41" t="str">
        <f>IF(Lytchett!R22="","",Lytchett!R22)</f>
        <v/>
      </c>
      <c r="P316" s="41" t="str">
        <f>IF(Lytchett!S22="","",Lytchett!S22)</f>
        <v/>
      </c>
      <c r="Q316" s="41" t="str">
        <f>IF(Lytchett!T22="","",Lytchett!T22)</f>
        <v/>
      </c>
      <c r="R316" s="41" t="str">
        <f>IF(Lytchett!U22="","",Lytchett!U22)</f>
        <v>4*2(1)</v>
      </c>
      <c r="S316" s="41" t="str">
        <f>IF(Lytchett!V22="","",Lytchett!V22)</f>
        <v>4*1(1)</v>
      </c>
      <c r="T316" s="41" t="str">
        <f>IF(Lytchett!W22="","",Lytchett!W22)</f>
        <v>4*3</v>
      </c>
      <c r="U316" s="41" t="str">
        <f>IF(Lytchett!X22="","",Lytchett!X22)</f>
        <v>1*4</v>
      </c>
      <c r="V316" s="41" t="str">
        <f>IF(Lytchett!Y22="","",Lytchett!Y22)</f>
        <v>4*0(2)</v>
      </c>
      <c r="W316" s="201"/>
      <c r="X316" s="182"/>
      <c r="Y316" s="233"/>
      <c r="AA316" s="239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233"/>
    </row>
    <row r="317" spans="2:51" ht="12" customHeight="1" x14ac:dyDescent="0.2">
      <c r="B317" s="266"/>
      <c r="C317" s="263" t="str">
        <f>IF(Lytchett!E23="","",Lytchett!E23)</f>
        <v>Dale Masterman</v>
      </c>
      <c r="D317" s="259" t="str">
        <f>LEFT($B$301,3)</f>
        <v>Lyt</v>
      </c>
      <c r="E317" s="251">
        <f>IF(Lytchett!G23="","",Lytchett!G23)</f>
        <v>10</v>
      </c>
      <c r="F317" s="181">
        <f>IF(Lytchett!H23=0,"",Lytchett!H23)</f>
        <v>9</v>
      </c>
      <c r="G317" s="181">
        <f>IF(Lytchett!I23=0,"",Lytchett!I23)</f>
        <v>1</v>
      </c>
      <c r="H317" s="186">
        <f>IF(Lytchett!J23=0,"",Lytchett!J23)</f>
        <v>36</v>
      </c>
      <c r="I317" s="252">
        <f>IF(Lytchett!K23=0,"",Lytchett!K23)</f>
        <v>15</v>
      </c>
      <c r="J317" s="163">
        <f>IF(Lytchett!M23="","",Lytchett!M23)</f>
        <v>26.72</v>
      </c>
      <c r="K317" s="41" t="str">
        <f>IF(Lytchett!N23="","",Lytchett!N23)</f>
        <v/>
      </c>
      <c r="L317" s="41" t="str">
        <f>IF(Lytchett!O23="","",Lytchett!O23)</f>
        <v/>
      </c>
      <c r="M317" s="41">
        <f>IF(Lytchett!P23="","",Lytchett!P23)</f>
        <v>24.09</v>
      </c>
      <c r="N317" s="41">
        <f>IF(Lytchett!Q23="","",Lytchett!Q23)</f>
        <v>26.24</v>
      </c>
      <c r="O317" s="41">
        <f>IF(Lytchett!R23="","",Lytchett!R23)</f>
        <v>23.8</v>
      </c>
      <c r="P317" s="41">
        <f>IF(Lytchett!S23="","",Lytchett!S23)</f>
        <v>27.97</v>
      </c>
      <c r="Q317" s="41">
        <f>IF(Lytchett!T23="","",Lytchett!T23)</f>
        <v>28.57</v>
      </c>
      <c r="R317" s="41" t="str">
        <f>IF(Lytchett!U23="","",Lytchett!U23)</f>
        <v/>
      </c>
      <c r="S317" s="41">
        <f>IF(Lytchett!V23="","",Lytchett!V23)</f>
        <v>22.47</v>
      </c>
      <c r="T317" s="41">
        <f>IF(Lytchett!W23="","",Lytchett!W23)</f>
        <v>23.03</v>
      </c>
      <c r="U317" s="41">
        <f>IF(Lytchett!X23="","",Lytchett!X23)</f>
        <v>23.41</v>
      </c>
      <c r="V317" s="41">
        <f>IF(Lytchett!Y23="","",Lytchett!Y23)</f>
        <v>28.74</v>
      </c>
      <c r="W317" s="249">
        <f>IF(Lytchett!AA23=0,"",Lytchett!AA23)</f>
        <v>8</v>
      </c>
      <c r="X317" s="244">
        <f>IF(Lytchett!AB23=0,"",Lytchett!AB23)</f>
        <v>25.503999999999998</v>
      </c>
      <c r="Y317" s="245">
        <f>IF(Lytchett!AC23=0,"",Lytchett!AC23)</f>
        <v>34.503999999999998</v>
      </c>
      <c r="AA317" s="246">
        <f>Y317</f>
        <v>34.503999999999998</v>
      </c>
      <c r="AB317" s="243">
        <f>X317</f>
        <v>25.503999999999998</v>
      </c>
      <c r="AC317" s="185" t="str">
        <f>C317</f>
        <v>Dale Masterman</v>
      </c>
      <c r="AD317" s="185" t="str">
        <f>LEFT($B$301,3)</f>
        <v>Lyt</v>
      </c>
      <c r="AE317" s="185">
        <f t="shared" ref="AE317:AY317" si="155">E317</f>
        <v>10</v>
      </c>
      <c r="AF317" s="185">
        <f t="shared" si="155"/>
        <v>9</v>
      </c>
      <c r="AG317" s="185">
        <f t="shared" si="155"/>
        <v>1</v>
      </c>
      <c r="AH317" s="247">
        <f t="shared" si="155"/>
        <v>36</v>
      </c>
      <c r="AI317" s="247">
        <f t="shared" si="155"/>
        <v>15</v>
      </c>
      <c r="AJ317" s="243">
        <f t="shared" si="155"/>
        <v>26.72</v>
      </c>
      <c r="AK317" s="243" t="str">
        <f t="shared" si="155"/>
        <v/>
      </c>
      <c r="AL317" s="243" t="str">
        <f t="shared" si="155"/>
        <v/>
      </c>
      <c r="AM317" s="243">
        <f t="shared" si="155"/>
        <v>24.09</v>
      </c>
      <c r="AN317" s="243">
        <f t="shared" si="155"/>
        <v>26.24</v>
      </c>
      <c r="AO317" s="243">
        <f t="shared" si="155"/>
        <v>23.8</v>
      </c>
      <c r="AP317" s="243">
        <f t="shared" si="155"/>
        <v>27.97</v>
      </c>
      <c r="AQ317" s="243">
        <f t="shared" si="155"/>
        <v>28.57</v>
      </c>
      <c r="AR317" s="243" t="str">
        <f t="shared" si="155"/>
        <v/>
      </c>
      <c r="AS317" s="243">
        <f t="shared" si="155"/>
        <v>22.47</v>
      </c>
      <c r="AT317" s="243">
        <f t="shared" si="155"/>
        <v>23.03</v>
      </c>
      <c r="AU317" s="243">
        <f t="shared" si="155"/>
        <v>23.41</v>
      </c>
      <c r="AV317" s="243">
        <f t="shared" si="155"/>
        <v>28.74</v>
      </c>
      <c r="AW317" s="247">
        <f t="shared" si="155"/>
        <v>8</v>
      </c>
      <c r="AX317" s="243">
        <f t="shared" si="155"/>
        <v>25.503999999999998</v>
      </c>
      <c r="AY317" s="248">
        <f t="shared" si="155"/>
        <v>34.503999999999998</v>
      </c>
    </row>
    <row r="318" spans="2:51" ht="12" customHeight="1" x14ac:dyDescent="0.2">
      <c r="B318" s="266"/>
      <c r="C318" s="235"/>
      <c r="D318" s="235"/>
      <c r="E318" s="239"/>
      <c r="F318" s="182"/>
      <c r="G318" s="182"/>
      <c r="H318" s="182"/>
      <c r="I318" s="233"/>
      <c r="J318" s="163" t="str">
        <f>IF(Lytchett!M24="","",Lytchett!M24)</f>
        <v>4*0</v>
      </c>
      <c r="K318" s="41" t="str">
        <f>IF(Lytchett!N24="","",Lytchett!N24)</f>
        <v/>
      </c>
      <c r="L318" s="41" t="str">
        <f>IF(Lytchett!O24="","",Lytchett!O24)</f>
        <v/>
      </c>
      <c r="M318" s="41" t="str">
        <f>IF(Lytchett!P24="","",Lytchett!P24)</f>
        <v>4*3</v>
      </c>
      <c r="N318" s="41" t="str">
        <f>IF(Lytchett!Q24="","",Lytchett!Q24)</f>
        <v>4*1</v>
      </c>
      <c r="O318" s="41" t="str">
        <f>IF(Lytchett!R24="","",Lytchett!R24)</f>
        <v>4*1</v>
      </c>
      <c r="P318" s="41" t="str">
        <f>IF(Lytchett!S24="","",Lytchett!S24)</f>
        <v>4*1(4)</v>
      </c>
      <c r="Q318" s="41" t="str">
        <f>IF(Lytchett!T24="","",Lytchett!T24)</f>
        <v>4*2(2)</v>
      </c>
      <c r="R318" s="41" t="str">
        <f>IF(Lytchett!U24="","",Lytchett!U24)</f>
        <v/>
      </c>
      <c r="S318" s="41" t="str">
        <f>IF(Lytchett!V24="","",Lytchett!V24)</f>
        <v>4*2</v>
      </c>
      <c r="T318" s="41" t="str">
        <f>IF(Lytchett!W24="","",Lytchett!W24)</f>
        <v>4*0</v>
      </c>
      <c r="U318" s="41" t="str">
        <f>IF(Lytchett!X24="","",Lytchett!X24)</f>
        <v>0*4</v>
      </c>
      <c r="V318" s="41" t="str">
        <f>IF(Lytchett!Y24="","",Lytchett!Y24)</f>
        <v>4*1(2)</v>
      </c>
      <c r="W318" s="201"/>
      <c r="X318" s="182"/>
      <c r="Y318" s="233"/>
      <c r="AA318" s="239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233"/>
    </row>
    <row r="319" spans="2:51" ht="12" customHeight="1" x14ac:dyDescent="0.2">
      <c r="B319" s="266"/>
      <c r="C319" s="263" t="str">
        <f>IF(Lytchett!E25="","",Lytchett!E25)</f>
        <v>Bryan Pearson</v>
      </c>
      <c r="D319" s="259" t="str">
        <f>LEFT($B$301,3)</f>
        <v>Lyt</v>
      </c>
      <c r="E319" s="251">
        <f>IF(Lytchett!G25="","",Lytchett!G25)</f>
        <v>7</v>
      </c>
      <c r="F319" s="181">
        <f>IF(Lytchett!H25=0,"",Lytchett!H25)</f>
        <v>3</v>
      </c>
      <c r="G319" s="186">
        <f>IF(Lytchett!I25=0,"",Lytchett!I25)</f>
        <v>4</v>
      </c>
      <c r="H319" s="186">
        <f>IF(Lytchett!J25=0,"",Lytchett!J25)</f>
        <v>18</v>
      </c>
      <c r="I319" s="252">
        <f>IF(Lytchett!K25=0,"",Lytchett!K25)</f>
        <v>24</v>
      </c>
      <c r="J319" s="163" t="str">
        <f>IF(Lytchett!M25="","",Lytchett!M25)</f>
        <v/>
      </c>
      <c r="K319" s="41" t="str">
        <f>IF(Lytchett!N25="","",Lytchett!N25)</f>
        <v/>
      </c>
      <c r="L319" s="41" t="str">
        <f>IF(Lytchett!O25="","",Lytchett!O25)</f>
        <v/>
      </c>
      <c r="M319" s="41" t="str">
        <f>IF(Lytchett!P25="","",Lytchett!P25)</f>
        <v/>
      </c>
      <c r="N319" s="41" t="str">
        <f>IF(Lytchett!Q25="","",Lytchett!Q25)</f>
        <v/>
      </c>
      <c r="O319" s="41">
        <f>IF(Lytchett!R25="","",Lytchett!R25)</f>
        <v>22.01</v>
      </c>
      <c r="P319" s="41">
        <f>IF(Lytchett!S25="","",Lytchett!S25)</f>
        <v>21.72</v>
      </c>
      <c r="Q319" s="41">
        <f>IF(Lytchett!T25="","",Lytchett!T25)</f>
        <v>21.77</v>
      </c>
      <c r="R319" s="41">
        <f>IF(Lytchett!U25="","",Lytchett!U25)</f>
        <v>20</v>
      </c>
      <c r="S319" s="41">
        <f>IF(Lytchett!V25="","",Lytchett!V25)</f>
        <v>21.51</v>
      </c>
      <c r="T319" s="41">
        <f>IF(Lytchett!W25="","",Lytchett!W25)</f>
        <v>19.850000000000001</v>
      </c>
      <c r="U319" s="41" t="str">
        <f>IF(Lytchett!X25="","",Lytchett!X25)</f>
        <v/>
      </c>
      <c r="V319" s="41">
        <f>IF(Lytchett!Y25="","",Lytchett!Y25)</f>
        <v>19.39</v>
      </c>
      <c r="W319" s="249" t="str">
        <f>IF(Lytchett!AA25=0,"",Lytchett!AA25)</f>
        <v/>
      </c>
      <c r="X319" s="244">
        <f>IF(Lytchett!AB25=0,"",Lytchett!AB25)</f>
        <v>20.892857142857142</v>
      </c>
      <c r="Y319" s="245">
        <f>IF(Lytchett!AC25=0,"",Lytchett!AC25)</f>
        <v>23.892857142857142</v>
      </c>
      <c r="AA319" s="246">
        <f>Y319</f>
        <v>23.892857142857142</v>
      </c>
      <c r="AB319" s="243">
        <f>X319</f>
        <v>20.892857142857142</v>
      </c>
      <c r="AC319" s="185" t="str">
        <f>C319</f>
        <v>Bryan Pearson</v>
      </c>
      <c r="AD319" s="185" t="str">
        <f>LEFT($B$301,3)</f>
        <v>Lyt</v>
      </c>
      <c r="AE319" s="185">
        <f t="shared" ref="AE319:AY319" si="156">E319</f>
        <v>7</v>
      </c>
      <c r="AF319" s="185">
        <f t="shared" si="156"/>
        <v>3</v>
      </c>
      <c r="AG319" s="247">
        <f t="shared" si="156"/>
        <v>4</v>
      </c>
      <c r="AH319" s="247">
        <f t="shared" si="156"/>
        <v>18</v>
      </c>
      <c r="AI319" s="247">
        <f t="shared" si="156"/>
        <v>24</v>
      </c>
      <c r="AJ319" s="243" t="str">
        <f t="shared" si="156"/>
        <v/>
      </c>
      <c r="AK319" s="243" t="str">
        <f t="shared" si="156"/>
        <v/>
      </c>
      <c r="AL319" s="243" t="str">
        <f t="shared" si="156"/>
        <v/>
      </c>
      <c r="AM319" s="243" t="str">
        <f t="shared" si="156"/>
        <v/>
      </c>
      <c r="AN319" s="243" t="str">
        <f t="shared" si="156"/>
        <v/>
      </c>
      <c r="AO319" s="243">
        <f t="shared" si="156"/>
        <v>22.01</v>
      </c>
      <c r="AP319" s="243">
        <f t="shared" si="156"/>
        <v>21.72</v>
      </c>
      <c r="AQ319" s="243">
        <f t="shared" si="156"/>
        <v>21.77</v>
      </c>
      <c r="AR319" s="243">
        <f t="shared" si="156"/>
        <v>20</v>
      </c>
      <c r="AS319" s="243">
        <f t="shared" si="156"/>
        <v>21.51</v>
      </c>
      <c r="AT319" s="243">
        <f t="shared" si="156"/>
        <v>19.850000000000001</v>
      </c>
      <c r="AU319" s="243" t="str">
        <f t="shared" si="156"/>
        <v/>
      </c>
      <c r="AV319" s="243">
        <f t="shared" si="156"/>
        <v>19.39</v>
      </c>
      <c r="AW319" s="247" t="str">
        <f t="shared" si="156"/>
        <v/>
      </c>
      <c r="AX319" s="243">
        <f t="shared" si="156"/>
        <v>20.892857142857142</v>
      </c>
      <c r="AY319" s="248">
        <f t="shared" si="156"/>
        <v>23.892857142857142</v>
      </c>
    </row>
    <row r="320" spans="2:51" ht="12" customHeight="1" x14ac:dyDescent="0.2">
      <c r="B320" s="266"/>
      <c r="C320" s="235"/>
      <c r="D320" s="235"/>
      <c r="E320" s="239"/>
      <c r="F320" s="182"/>
      <c r="G320" s="182"/>
      <c r="H320" s="182"/>
      <c r="I320" s="233"/>
      <c r="J320" s="163" t="str">
        <f>IF(Lytchett!M26="","",Lytchett!M26)</f>
        <v/>
      </c>
      <c r="K320" s="41" t="str">
        <f>IF(Lytchett!N26="","",Lytchett!N26)</f>
        <v/>
      </c>
      <c r="L320" s="41" t="str">
        <f>IF(Lytchett!O26="","",Lytchett!O26)</f>
        <v/>
      </c>
      <c r="M320" s="41" t="str">
        <f>IF(Lytchett!P26="","",Lytchett!P26)</f>
        <v/>
      </c>
      <c r="N320" s="41" t="str">
        <f>IF(Lytchett!Q26="","",Lytchett!Q26)</f>
        <v/>
      </c>
      <c r="O320" s="41" t="str">
        <f>IF(Lytchett!R26="","",Lytchett!R26)</f>
        <v>3*4</v>
      </c>
      <c r="P320" s="41" t="str">
        <f>IF(Lytchett!S26="","",Lytchett!S26)</f>
        <v>4*2</v>
      </c>
      <c r="Q320" s="41" t="str">
        <f>IF(Lytchett!T26="","",Lytchett!T26)</f>
        <v>1*4</v>
      </c>
      <c r="R320" s="41" t="str">
        <f>IF(Lytchett!U26="","",Lytchett!U26)</f>
        <v>1*4</v>
      </c>
      <c r="S320" s="41" t="str">
        <f>IF(Lytchett!V26="","",Lytchett!V26)</f>
        <v>4*3</v>
      </c>
      <c r="T320" s="41" t="str">
        <f>IF(Lytchett!W26="","",Lytchett!W26)</f>
        <v>4*3</v>
      </c>
      <c r="U320" s="41" t="str">
        <f>IF(Lytchett!X26="","",Lytchett!X26)</f>
        <v/>
      </c>
      <c r="V320" s="41" t="str">
        <f>IF(Lytchett!Y26="","",Lytchett!Y26)</f>
        <v>1*4</v>
      </c>
      <c r="W320" s="201"/>
      <c r="X320" s="182"/>
      <c r="Y320" s="233"/>
      <c r="AA320" s="239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233"/>
    </row>
    <row r="321" spans="2:51" ht="12" customHeight="1" x14ac:dyDescent="0.2">
      <c r="B321" s="266"/>
      <c r="C321" s="263" t="str">
        <f>IF(Lytchett!E27="","",Lytchett!E27)</f>
        <v>Danny Pearce</v>
      </c>
      <c r="D321" s="259" t="str">
        <f>LEFT($B$301,3)</f>
        <v>Lyt</v>
      </c>
      <c r="E321" s="251">
        <f>IF(Lytchett!G27="","",Lytchett!G27)</f>
        <v>12</v>
      </c>
      <c r="F321" s="181">
        <f>IF(Lytchett!H27=0,"",Lytchett!H27)</f>
        <v>10</v>
      </c>
      <c r="G321" s="186">
        <f>IF(Lytchett!I27=0,"",Lytchett!I27)</f>
        <v>2</v>
      </c>
      <c r="H321" s="186">
        <f>IF(Lytchett!J27=0,"",Lytchett!J27)</f>
        <v>42</v>
      </c>
      <c r="I321" s="252">
        <f>IF(Lytchett!K27=0,"",Lytchett!K27)</f>
        <v>19</v>
      </c>
      <c r="J321" s="163">
        <f>IF(Lytchett!M27="","",Lytchett!M27)</f>
        <v>22.09</v>
      </c>
      <c r="K321" s="41">
        <f>IF(Lytchett!N27="","",Lytchett!N27)</f>
        <v>24.71</v>
      </c>
      <c r="L321" s="41">
        <f>IF(Lytchett!O27="","",Lytchett!O27)</f>
        <v>27.7</v>
      </c>
      <c r="M321" s="41">
        <f>IF(Lytchett!P27="","",Lytchett!P27)</f>
        <v>23.75</v>
      </c>
      <c r="N321" s="41">
        <f>IF(Lytchett!Q27="","",Lytchett!Q27)</f>
        <v>23.86</v>
      </c>
      <c r="O321" s="41">
        <f>IF(Lytchett!R27="","",Lytchett!R27)</f>
        <v>23.87</v>
      </c>
      <c r="P321" s="41">
        <f>IF(Lytchett!S27="","",Lytchett!S27)</f>
        <v>29.91</v>
      </c>
      <c r="Q321" s="41">
        <f>IF(Lytchett!T27="","",Lytchett!T27)</f>
        <v>19.809999999999999</v>
      </c>
      <c r="R321" s="41">
        <f>IF(Lytchett!U27="","",Lytchett!U27)</f>
        <v>26.03</v>
      </c>
      <c r="S321" s="41" t="str">
        <f>IF(Lytchett!V27="","",Lytchett!V27)</f>
        <v/>
      </c>
      <c r="T321" s="41">
        <f>IF(Lytchett!W27="","",Lytchett!W27)</f>
        <v>21.09</v>
      </c>
      <c r="U321" s="41">
        <f>IF(Lytchett!X27="","",Lytchett!X27)</f>
        <v>19.66</v>
      </c>
      <c r="V321" s="41">
        <f>IF(Lytchett!Y27="","",Lytchett!Y27)</f>
        <v>25.46</v>
      </c>
      <c r="W321" s="249">
        <f>IF(Lytchett!AA27=0,"",Lytchett!AA27)</f>
        <v>7</v>
      </c>
      <c r="X321" s="244">
        <f>IF(Lytchett!AB27=0,"",Lytchett!AB27)</f>
        <v>23.995000000000001</v>
      </c>
      <c r="Y321" s="245">
        <f>IF(Lytchett!AC27=0,"",Lytchett!AC27)</f>
        <v>33.995000000000005</v>
      </c>
      <c r="AA321" s="246">
        <f>Y321</f>
        <v>33.995000000000005</v>
      </c>
      <c r="AB321" s="243">
        <f>X321</f>
        <v>23.995000000000001</v>
      </c>
      <c r="AC321" s="185" t="str">
        <f>C321</f>
        <v>Danny Pearce</v>
      </c>
      <c r="AD321" s="185" t="str">
        <f>LEFT($B$301,3)</f>
        <v>Lyt</v>
      </c>
      <c r="AE321" s="185">
        <f t="shared" ref="AE321:AY321" si="157">E321</f>
        <v>12</v>
      </c>
      <c r="AF321" s="185">
        <f t="shared" si="157"/>
        <v>10</v>
      </c>
      <c r="AG321" s="247">
        <f t="shared" si="157"/>
        <v>2</v>
      </c>
      <c r="AH321" s="247">
        <f t="shared" si="157"/>
        <v>42</v>
      </c>
      <c r="AI321" s="247">
        <f t="shared" si="157"/>
        <v>19</v>
      </c>
      <c r="AJ321" s="243">
        <f t="shared" si="157"/>
        <v>22.09</v>
      </c>
      <c r="AK321" s="243">
        <f t="shared" si="157"/>
        <v>24.71</v>
      </c>
      <c r="AL321" s="243">
        <f t="shared" si="157"/>
        <v>27.7</v>
      </c>
      <c r="AM321" s="243">
        <f t="shared" si="157"/>
        <v>23.75</v>
      </c>
      <c r="AN321" s="243">
        <f t="shared" si="157"/>
        <v>23.86</v>
      </c>
      <c r="AO321" s="243">
        <f t="shared" si="157"/>
        <v>23.87</v>
      </c>
      <c r="AP321" s="243">
        <f t="shared" si="157"/>
        <v>29.91</v>
      </c>
      <c r="AQ321" s="243">
        <f t="shared" si="157"/>
        <v>19.809999999999999</v>
      </c>
      <c r="AR321" s="243">
        <f t="shared" si="157"/>
        <v>26.03</v>
      </c>
      <c r="AS321" s="243" t="str">
        <f t="shared" si="157"/>
        <v/>
      </c>
      <c r="AT321" s="243">
        <f t="shared" si="157"/>
        <v>21.09</v>
      </c>
      <c r="AU321" s="243">
        <f t="shared" si="157"/>
        <v>19.66</v>
      </c>
      <c r="AV321" s="243">
        <f t="shared" si="157"/>
        <v>25.46</v>
      </c>
      <c r="AW321" s="247">
        <f t="shared" si="157"/>
        <v>7</v>
      </c>
      <c r="AX321" s="243">
        <f t="shared" si="157"/>
        <v>23.995000000000001</v>
      </c>
      <c r="AY321" s="248">
        <f t="shared" si="157"/>
        <v>33.995000000000005</v>
      </c>
    </row>
    <row r="322" spans="2:51" ht="12" customHeight="1" x14ac:dyDescent="0.2">
      <c r="B322" s="266"/>
      <c r="C322" s="235"/>
      <c r="D322" s="235"/>
      <c r="E322" s="239"/>
      <c r="F322" s="182"/>
      <c r="G322" s="182"/>
      <c r="H322" s="182"/>
      <c r="I322" s="233"/>
      <c r="J322" s="163" t="str">
        <f>IF(Lytchett!M28="","",Lytchett!M28)</f>
        <v>4*2(1)</v>
      </c>
      <c r="K322" s="41" t="str">
        <f>IF(Lytchett!N28="","",Lytchett!N28)</f>
        <v>4*1(2)</v>
      </c>
      <c r="L322" s="41" t="str">
        <f>IF(Lytchett!O28="","",Lytchett!O28)</f>
        <v>4*1</v>
      </c>
      <c r="M322" s="41" t="str">
        <f>IF(Lytchett!P28="","",Lytchett!P28)</f>
        <v>4*2(1)</v>
      </c>
      <c r="N322" s="41" t="str">
        <f>IF(Lytchett!Q28="","",Lytchett!Q28)</f>
        <v>4*3</v>
      </c>
      <c r="O322" s="41" t="str">
        <f>IF(Lytchett!R28="","",Lytchett!R28)</f>
        <v>4*1</v>
      </c>
      <c r="P322" s="41" t="str">
        <f>IF(Lytchett!S28="","",Lytchett!S28)</f>
        <v>4*0(1)</v>
      </c>
      <c r="Q322" s="41" t="str">
        <f>IF(Lytchett!T28="","",Lytchett!T28)</f>
        <v>1*4</v>
      </c>
      <c r="R322" s="41" t="str">
        <f>IF(Lytchett!U28="","",Lytchett!U28)</f>
        <v>4*0(1)</v>
      </c>
      <c r="S322" s="41" t="str">
        <f>IF(Lytchett!V28="","",Lytchett!V28)</f>
        <v/>
      </c>
      <c r="T322" s="41" t="str">
        <f>IF(Lytchett!W28="","",Lytchett!W28)</f>
        <v>4*0</v>
      </c>
      <c r="U322" s="41" t="str">
        <f>IF(Lytchett!X28="","",Lytchett!X28)</f>
        <v>1*4</v>
      </c>
      <c r="V322" s="41" t="str">
        <f>IF(Lytchett!Y28="","",Lytchett!Y28)</f>
        <v>4*1(1)</v>
      </c>
      <c r="W322" s="201"/>
      <c r="X322" s="182"/>
      <c r="Y322" s="233"/>
      <c r="AA322" s="239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233"/>
    </row>
    <row r="323" spans="2:51" ht="12" customHeight="1" x14ac:dyDescent="0.2">
      <c r="B323" s="266"/>
      <c r="C323" s="263" t="str">
        <f>IF(Lytchett!E29="","",Lytchett!E29)</f>
        <v>Mike Warren</v>
      </c>
      <c r="D323" s="259" t="str">
        <f>LEFT($B$301,3)</f>
        <v>Lyt</v>
      </c>
      <c r="E323" s="251" t="str">
        <f>IF(Lytchett!G29="","",Lytchett!G29)</f>
        <v/>
      </c>
      <c r="F323" s="181" t="str">
        <f>IF(Lytchett!H29=0,"",Lytchett!H29)</f>
        <v/>
      </c>
      <c r="G323" s="181" t="str">
        <f>IF(Lytchett!I29=0,"",Lytchett!I29)</f>
        <v/>
      </c>
      <c r="H323" s="181" t="str">
        <f>IF(Lytchett!J29=0,"",Lytchett!J29)</f>
        <v/>
      </c>
      <c r="I323" s="250" t="str">
        <f>IF(Lytchett!K29=0,"",Lytchett!K29)</f>
        <v/>
      </c>
      <c r="J323" s="163" t="str">
        <f>IF(Lytchett!M29="","",Lytchett!M29)</f>
        <v/>
      </c>
      <c r="K323" s="41" t="str">
        <f>IF(Lytchett!N29="","",Lytchett!N29)</f>
        <v/>
      </c>
      <c r="L323" s="41" t="str">
        <f>IF(Lytchett!O29="","",Lytchett!O29)</f>
        <v/>
      </c>
      <c r="M323" s="41" t="str">
        <f>IF(Lytchett!P29="","",Lytchett!P29)</f>
        <v/>
      </c>
      <c r="N323" s="41" t="str">
        <f>IF(Lytchett!Q29="","",Lytchett!Q29)</f>
        <v/>
      </c>
      <c r="O323" s="41" t="str">
        <f>IF(Lytchett!R29="","",Lytchett!R29)</f>
        <v/>
      </c>
      <c r="P323" s="41" t="str">
        <f>IF(Lytchett!S29="","",Lytchett!S29)</f>
        <v/>
      </c>
      <c r="Q323" s="41" t="str">
        <f>IF(Lytchett!T29="","",Lytchett!T29)</f>
        <v/>
      </c>
      <c r="R323" s="41" t="str">
        <f>IF(Lytchett!U29="","",Lytchett!U29)</f>
        <v/>
      </c>
      <c r="S323" s="41" t="str">
        <f>IF(Lytchett!V29="","",Lytchett!V29)</f>
        <v/>
      </c>
      <c r="T323" s="41" t="str">
        <f>IF(Lytchett!W29="","",Lytchett!W29)</f>
        <v/>
      </c>
      <c r="U323" s="41" t="str">
        <f>IF(Lytchett!X29="","",Lytchett!X29)</f>
        <v/>
      </c>
      <c r="V323" s="41" t="str">
        <f>IF(Lytchett!Y29="","",Lytchett!Y29)</f>
        <v/>
      </c>
      <c r="W323" s="249" t="str">
        <f>IF(Lytchett!AA29=0,"",Lytchett!AA29)</f>
        <v/>
      </c>
      <c r="X323" s="244" t="str">
        <f>IF(Lytchett!AB29=0,"",Lytchett!AB29)</f>
        <v/>
      </c>
      <c r="Y323" s="245" t="str">
        <f>IF(Lytchett!AC29=0,"",Lytchett!AC29)</f>
        <v/>
      </c>
      <c r="AA323" s="246" t="str">
        <f>Y323</f>
        <v/>
      </c>
      <c r="AB323" s="243" t="str">
        <f>X323</f>
        <v/>
      </c>
      <c r="AC323" s="185" t="str">
        <f>C323</f>
        <v>Mike Warren</v>
      </c>
      <c r="AD323" s="185" t="str">
        <f>LEFT($B$301,3)</f>
        <v>Lyt</v>
      </c>
      <c r="AE323" s="185" t="str">
        <f t="shared" ref="AE323:AY323" si="158">E323</f>
        <v/>
      </c>
      <c r="AF323" s="185" t="str">
        <f t="shared" si="158"/>
        <v/>
      </c>
      <c r="AG323" s="185" t="str">
        <f t="shared" si="158"/>
        <v/>
      </c>
      <c r="AH323" s="185" t="str">
        <f t="shared" si="158"/>
        <v/>
      </c>
      <c r="AI323" s="185" t="str">
        <f t="shared" si="158"/>
        <v/>
      </c>
      <c r="AJ323" s="243" t="str">
        <f t="shared" si="158"/>
        <v/>
      </c>
      <c r="AK323" s="243" t="str">
        <f t="shared" si="158"/>
        <v/>
      </c>
      <c r="AL323" s="243" t="str">
        <f t="shared" si="158"/>
        <v/>
      </c>
      <c r="AM323" s="243" t="str">
        <f t="shared" si="158"/>
        <v/>
      </c>
      <c r="AN323" s="243" t="str">
        <f t="shared" si="158"/>
        <v/>
      </c>
      <c r="AO323" s="243" t="str">
        <f t="shared" si="158"/>
        <v/>
      </c>
      <c r="AP323" s="243" t="str">
        <f t="shared" si="158"/>
        <v/>
      </c>
      <c r="AQ323" s="243" t="str">
        <f t="shared" si="158"/>
        <v/>
      </c>
      <c r="AR323" s="243" t="str">
        <f t="shared" si="158"/>
        <v/>
      </c>
      <c r="AS323" s="243" t="str">
        <f t="shared" si="158"/>
        <v/>
      </c>
      <c r="AT323" s="243" t="str">
        <f t="shared" si="158"/>
        <v/>
      </c>
      <c r="AU323" s="243" t="str">
        <f t="shared" si="158"/>
        <v/>
      </c>
      <c r="AV323" s="243" t="str">
        <f t="shared" si="158"/>
        <v/>
      </c>
      <c r="AW323" s="247" t="str">
        <f t="shared" si="158"/>
        <v/>
      </c>
      <c r="AX323" s="243" t="str">
        <f t="shared" si="158"/>
        <v/>
      </c>
      <c r="AY323" s="248" t="str">
        <f t="shared" si="158"/>
        <v/>
      </c>
    </row>
    <row r="324" spans="2:51" ht="12" customHeight="1" x14ac:dyDescent="0.2">
      <c r="B324" s="266"/>
      <c r="C324" s="235"/>
      <c r="D324" s="235"/>
      <c r="E324" s="239"/>
      <c r="F324" s="182"/>
      <c r="G324" s="182"/>
      <c r="H324" s="182"/>
      <c r="I324" s="233"/>
      <c r="J324" s="163" t="str">
        <f>IF(Lytchett!M30="","",Lytchett!M30)</f>
        <v/>
      </c>
      <c r="K324" s="41" t="str">
        <f>IF(Lytchett!N30="","",Lytchett!N30)</f>
        <v/>
      </c>
      <c r="L324" s="41" t="str">
        <f>IF(Lytchett!O30="","",Lytchett!O30)</f>
        <v/>
      </c>
      <c r="M324" s="41" t="str">
        <f>IF(Lytchett!P30="","",Lytchett!P30)</f>
        <v/>
      </c>
      <c r="N324" s="41" t="str">
        <f>IF(Lytchett!Q30="","",Lytchett!Q30)</f>
        <v/>
      </c>
      <c r="O324" s="41" t="str">
        <f>IF(Lytchett!R30="","",Lytchett!R30)</f>
        <v/>
      </c>
      <c r="P324" s="41" t="str">
        <f>IF(Lytchett!S30="","",Lytchett!S30)</f>
        <v/>
      </c>
      <c r="Q324" s="41" t="str">
        <f>IF(Lytchett!T30="","",Lytchett!T30)</f>
        <v/>
      </c>
      <c r="R324" s="41" t="str">
        <f>IF(Lytchett!U30="","",Lytchett!U30)</f>
        <v/>
      </c>
      <c r="S324" s="41" t="str">
        <f>IF(Lytchett!V30="","",Lytchett!V30)</f>
        <v/>
      </c>
      <c r="T324" s="41" t="str">
        <f>IF(Lytchett!W30="","",Lytchett!W30)</f>
        <v/>
      </c>
      <c r="U324" s="41" t="str">
        <f>IF(Lytchett!X30="","",Lytchett!X30)</f>
        <v/>
      </c>
      <c r="V324" s="41" t="str">
        <f>IF(Lytchett!Y30="","",Lytchett!Y30)</f>
        <v/>
      </c>
      <c r="W324" s="201"/>
      <c r="X324" s="182"/>
      <c r="Y324" s="233"/>
      <c r="AA324" s="239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233"/>
    </row>
    <row r="325" spans="2:51" ht="12" customHeight="1" x14ac:dyDescent="0.2">
      <c r="B325" s="266"/>
      <c r="C325" s="263" t="str">
        <f>IF(Lytchett!E31="","",Lytchett!E31)</f>
        <v>Lee Matthews</v>
      </c>
      <c r="D325" s="259" t="str">
        <f>LEFT($B$301,3)</f>
        <v>Lyt</v>
      </c>
      <c r="E325" s="251">
        <f>IF(Lytchett!G31="","",Lytchett!G31)</f>
        <v>7</v>
      </c>
      <c r="F325" s="181">
        <f>IF(Lytchett!H31=0,"",Lytchett!H31)</f>
        <v>7</v>
      </c>
      <c r="G325" s="181" t="str">
        <f>IF(Lytchett!I31=0,"",Lytchett!I31)</f>
        <v/>
      </c>
      <c r="H325" s="186">
        <f>IF(Lytchett!J31=0,"",Lytchett!J31)</f>
        <v>28</v>
      </c>
      <c r="I325" s="252">
        <f>IF(Lytchett!K31=0,"",Lytchett!K31)</f>
        <v>9</v>
      </c>
      <c r="J325" s="163" t="str">
        <f>IF(Lytchett!M31="","",Lytchett!M31)</f>
        <v/>
      </c>
      <c r="K325" s="41">
        <f>IF(Lytchett!N31="","",Lytchett!N31)</f>
        <v>25.05</v>
      </c>
      <c r="L325" s="41" t="str">
        <f>IF(Lytchett!O31="","",Lytchett!O31)</f>
        <v/>
      </c>
      <c r="M325" s="41">
        <f>IF(Lytchett!P31="","",Lytchett!P31)</f>
        <v>24.84</v>
      </c>
      <c r="N325" s="41">
        <f>IF(Lytchett!Q31="","",Lytchett!Q31)</f>
        <v>26.59</v>
      </c>
      <c r="O325" s="41">
        <f>IF(Lytchett!R31="","",Lytchett!R31)</f>
        <v>26.03</v>
      </c>
      <c r="P325" s="41">
        <f>IF(Lytchett!S31="","",Lytchett!S31)</f>
        <v>26.37</v>
      </c>
      <c r="Q325" s="41">
        <f>IF(Lytchett!T31="","",Lytchett!T31)</f>
        <v>24.85</v>
      </c>
      <c r="R325" s="41" t="str">
        <f>IF(Lytchett!U31="","",Lytchett!U31)</f>
        <v/>
      </c>
      <c r="S325" s="41" t="str">
        <f>IF(Lytchett!V31="","",Lytchett!V31)</f>
        <v/>
      </c>
      <c r="T325" s="41" t="str">
        <f>IF(Lytchett!W31="","",Lytchett!W31)</f>
        <v/>
      </c>
      <c r="U325" s="41">
        <f>IF(Lytchett!X31="","",Lytchett!X31)</f>
        <v>24.32</v>
      </c>
      <c r="V325" s="41" t="str">
        <f>IF(Lytchett!Y31="","",Lytchett!Y31)</f>
        <v/>
      </c>
      <c r="W325" s="249">
        <f>IF(Lytchett!AA31=0,"",Lytchett!AA31)</f>
        <v>2</v>
      </c>
      <c r="X325" s="244">
        <f>IF(Lytchett!AB31=0,"",Lytchett!AB31)</f>
        <v>25.435714285714283</v>
      </c>
      <c r="Y325" s="245">
        <f>IF(Lytchett!AC31=0,"",Lytchett!AC31)</f>
        <v>32.435714285714283</v>
      </c>
      <c r="AA325" s="246">
        <f>Y325</f>
        <v>32.435714285714283</v>
      </c>
      <c r="AB325" s="243">
        <f>X325</f>
        <v>25.435714285714283</v>
      </c>
      <c r="AC325" s="185" t="str">
        <f>C325</f>
        <v>Lee Matthews</v>
      </c>
      <c r="AD325" s="185" t="str">
        <f>LEFT($B$301,3)</f>
        <v>Lyt</v>
      </c>
      <c r="AE325" s="185">
        <f t="shared" ref="AE325:AY325" si="159">E325</f>
        <v>7</v>
      </c>
      <c r="AF325" s="185">
        <f t="shared" si="159"/>
        <v>7</v>
      </c>
      <c r="AG325" s="185" t="str">
        <f t="shared" si="159"/>
        <v/>
      </c>
      <c r="AH325" s="247">
        <f t="shared" si="159"/>
        <v>28</v>
      </c>
      <c r="AI325" s="247">
        <f t="shared" si="159"/>
        <v>9</v>
      </c>
      <c r="AJ325" s="243" t="str">
        <f t="shared" si="159"/>
        <v/>
      </c>
      <c r="AK325" s="243">
        <f t="shared" si="159"/>
        <v>25.05</v>
      </c>
      <c r="AL325" s="243" t="str">
        <f t="shared" si="159"/>
        <v/>
      </c>
      <c r="AM325" s="243">
        <f t="shared" si="159"/>
        <v>24.84</v>
      </c>
      <c r="AN325" s="243">
        <f t="shared" si="159"/>
        <v>26.59</v>
      </c>
      <c r="AO325" s="243">
        <f t="shared" si="159"/>
        <v>26.03</v>
      </c>
      <c r="AP325" s="243">
        <f t="shared" si="159"/>
        <v>26.37</v>
      </c>
      <c r="AQ325" s="243">
        <f t="shared" si="159"/>
        <v>24.85</v>
      </c>
      <c r="AR325" s="243" t="str">
        <f t="shared" si="159"/>
        <v/>
      </c>
      <c r="AS325" s="243" t="str">
        <f t="shared" si="159"/>
        <v/>
      </c>
      <c r="AT325" s="243" t="str">
        <f t="shared" si="159"/>
        <v/>
      </c>
      <c r="AU325" s="243">
        <f t="shared" si="159"/>
        <v>24.32</v>
      </c>
      <c r="AV325" s="243" t="str">
        <f t="shared" si="159"/>
        <v/>
      </c>
      <c r="AW325" s="247">
        <f t="shared" si="159"/>
        <v>2</v>
      </c>
      <c r="AX325" s="243">
        <f t="shared" si="159"/>
        <v>25.435714285714283</v>
      </c>
      <c r="AY325" s="248">
        <f t="shared" si="159"/>
        <v>32.435714285714283</v>
      </c>
    </row>
    <row r="326" spans="2:51" ht="12" customHeight="1" x14ac:dyDescent="0.2">
      <c r="B326" s="266"/>
      <c r="C326" s="235"/>
      <c r="D326" s="235"/>
      <c r="E326" s="239"/>
      <c r="F326" s="182"/>
      <c r="G326" s="182"/>
      <c r="H326" s="182"/>
      <c r="I326" s="233"/>
      <c r="J326" s="163" t="str">
        <f>IF(Lytchett!M32="","",Lytchett!M32)</f>
        <v/>
      </c>
      <c r="K326" s="41" t="str">
        <f>IF(Lytchett!N32="","",Lytchett!N32)</f>
        <v>4*0</v>
      </c>
      <c r="L326" s="41" t="str">
        <f>IF(Lytchett!O32="","",Lytchett!O32)</f>
        <v/>
      </c>
      <c r="M326" s="41" t="str">
        <f>IF(Lytchett!P32="","",Lytchett!P32)</f>
        <v>4*1</v>
      </c>
      <c r="N326" s="41" t="str">
        <f>IF(Lytchett!Q32="","",Lytchett!Q32)</f>
        <v>4*3</v>
      </c>
      <c r="O326" s="41" t="str">
        <f>IF(Lytchett!R32="","",Lytchett!R32)</f>
        <v>4*0</v>
      </c>
      <c r="P326" s="41" t="str">
        <f>IF(Lytchett!S32="","",Lytchett!S32)</f>
        <v>4*0</v>
      </c>
      <c r="Q326" s="41" t="str">
        <f>IF(Lytchett!T32="","",Lytchett!T32)</f>
        <v>4*3(1)</v>
      </c>
      <c r="R326" s="41" t="str">
        <f>IF(Lytchett!U32="","",Lytchett!U32)</f>
        <v/>
      </c>
      <c r="S326" s="41" t="str">
        <f>IF(Lytchett!V32="","",Lytchett!V32)</f>
        <v/>
      </c>
      <c r="T326" s="41" t="str">
        <f>IF(Lytchett!W32="","",Lytchett!W32)</f>
        <v/>
      </c>
      <c r="U326" s="41" t="str">
        <f>IF(Lytchett!X32="","",Lytchett!X32)</f>
        <v>4*2(1)</v>
      </c>
      <c r="V326" s="41" t="str">
        <f>IF(Lytchett!Y32="","",Lytchett!Y32)</f>
        <v/>
      </c>
      <c r="W326" s="201"/>
      <c r="X326" s="182"/>
      <c r="Y326" s="233"/>
      <c r="AA326" s="239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233"/>
    </row>
    <row r="327" spans="2:51" ht="12" customHeight="1" x14ac:dyDescent="0.2">
      <c r="B327" s="266"/>
      <c r="C327" s="263" t="str">
        <f>IF(Lytchett!E33="","",Lytchett!E33)</f>
        <v>Danny Aplin</v>
      </c>
      <c r="D327" s="259" t="str">
        <f>LEFT($B$301,3)</f>
        <v>Lyt</v>
      </c>
      <c r="E327" s="251">
        <f>IF(Lytchett!G33="","",Lytchett!G33)</f>
        <v>1</v>
      </c>
      <c r="F327" s="181">
        <f>IF(Lytchett!H33=0,"",Lytchett!H33)</f>
        <v>1</v>
      </c>
      <c r="G327" s="181" t="str">
        <f>IF(Lytchett!I33=0,"",Lytchett!I33)</f>
        <v/>
      </c>
      <c r="H327" s="186">
        <f>IF(Lytchett!J33=0,"",Lytchett!J33)</f>
        <v>4</v>
      </c>
      <c r="I327" s="250" t="str">
        <f>IF(Lytchett!K33=0,"",Lytchett!K33)</f>
        <v/>
      </c>
      <c r="J327" s="163" t="str">
        <f>IF(Lytchett!M33="","",Lytchett!M33)</f>
        <v/>
      </c>
      <c r="K327" s="41" t="str">
        <f>IF(Lytchett!N33="","",Lytchett!N33)</f>
        <v/>
      </c>
      <c r="L327" s="41" t="str">
        <f>IF(Lytchett!O33="","",Lytchett!O33)</f>
        <v/>
      </c>
      <c r="M327" s="41" t="str">
        <f>IF(Lytchett!P33="","",Lytchett!P33)</f>
        <v/>
      </c>
      <c r="N327" s="41" t="str">
        <f>IF(Lytchett!Q33="","",Lytchett!Q33)</f>
        <v/>
      </c>
      <c r="O327" s="41" t="str">
        <f>IF(Lytchett!R33="","",Lytchett!R33)</f>
        <v/>
      </c>
      <c r="P327" s="41" t="str">
        <f>IF(Lytchett!S33="","",Lytchett!S33)</f>
        <v/>
      </c>
      <c r="Q327" s="41" t="str">
        <f>IF(Lytchett!T33="","",Lytchett!T33)</f>
        <v/>
      </c>
      <c r="R327" s="41">
        <f>IF(Lytchett!U33="","",Lytchett!U33)</f>
        <v>22.52</v>
      </c>
      <c r="S327" s="41" t="str">
        <f>IF(Lytchett!V33="","",Lytchett!V33)</f>
        <v/>
      </c>
      <c r="T327" s="41" t="str">
        <f>IF(Lytchett!W33="","",Lytchett!W33)</f>
        <v/>
      </c>
      <c r="U327" s="41" t="str">
        <f>IF(Lytchett!X33="","",Lytchett!X33)</f>
        <v/>
      </c>
      <c r="V327" s="41" t="str">
        <f>IF(Lytchett!Y33="","",Lytchett!Y33)</f>
        <v/>
      </c>
      <c r="W327" s="249">
        <f>IF(Lytchett!AA33=0,"",Lytchett!AA33)</f>
        <v>1</v>
      </c>
      <c r="X327" s="244">
        <f>IF(Lytchett!AB33=0,"",Lytchett!AB33)</f>
        <v>22.52</v>
      </c>
      <c r="Y327" s="245">
        <f>IF(Lytchett!AC33=0,"",Lytchett!AC33)</f>
        <v>23.52</v>
      </c>
      <c r="AA327" s="246">
        <f>Y327</f>
        <v>23.52</v>
      </c>
      <c r="AB327" s="243">
        <f>X327</f>
        <v>22.52</v>
      </c>
      <c r="AC327" s="185" t="str">
        <f>C327</f>
        <v>Danny Aplin</v>
      </c>
      <c r="AD327" s="185" t="str">
        <f>LEFT($B$301,3)</f>
        <v>Lyt</v>
      </c>
      <c r="AE327" s="185">
        <f t="shared" ref="AE327:AY327" si="160">E327</f>
        <v>1</v>
      </c>
      <c r="AF327" s="185">
        <f t="shared" si="160"/>
        <v>1</v>
      </c>
      <c r="AG327" s="185" t="str">
        <f t="shared" si="160"/>
        <v/>
      </c>
      <c r="AH327" s="247">
        <f t="shared" si="160"/>
        <v>4</v>
      </c>
      <c r="AI327" s="185" t="str">
        <f t="shared" si="160"/>
        <v/>
      </c>
      <c r="AJ327" s="243" t="str">
        <f t="shared" si="160"/>
        <v/>
      </c>
      <c r="AK327" s="243" t="str">
        <f t="shared" si="160"/>
        <v/>
      </c>
      <c r="AL327" s="243" t="str">
        <f t="shared" si="160"/>
        <v/>
      </c>
      <c r="AM327" s="243" t="str">
        <f t="shared" si="160"/>
        <v/>
      </c>
      <c r="AN327" s="243" t="str">
        <f t="shared" si="160"/>
        <v/>
      </c>
      <c r="AO327" s="243" t="str">
        <f t="shared" si="160"/>
        <v/>
      </c>
      <c r="AP327" s="243" t="str">
        <f t="shared" si="160"/>
        <v/>
      </c>
      <c r="AQ327" s="243" t="str">
        <f t="shared" si="160"/>
        <v/>
      </c>
      <c r="AR327" s="243">
        <f t="shared" si="160"/>
        <v>22.52</v>
      </c>
      <c r="AS327" s="243" t="str">
        <f t="shared" si="160"/>
        <v/>
      </c>
      <c r="AT327" s="243" t="str">
        <f t="shared" si="160"/>
        <v/>
      </c>
      <c r="AU327" s="243" t="str">
        <f t="shared" si="160"/>
        <v/>
      </c>
      <c r="AV327" s="243" t="str">
        <f t="shared" si="160"/>
        <v/>
      </c>
      <c r="AW327" s="247">
        <f t="shared" si="160"/>
        <v>1</v>
      </c>
      <c r="AX327" s="243">
        <f t="shared" si="160"/>
        <v>22.52</v>
      </c>
      <c r="AY327" s="248">
        <f t="shared" si="160"/>
        <v>23.52</v>
      </c>
    </row>
    <row r="328" spans="2:51" ht="12" customHeight="1" x14ac:dyDescent="0.2">
      <c r="B328" s="266"/>
      <c r="C328" s="235"/>
      <c r="D328" s="235"/>
      <c r="E328" s="239"/>
      <c r="F328" s="182"/>
      <c r="G328" s="182"/>
      <c r="H328" s="182"/>
      <c r="I328" s="233"/>
      <c r="J328" s="163" t="str">
        <f>IF(Lytchett!M34="","",Lytchett!M34)</f>
        <v/>
      </c>
      <c r="K328" s="41" t="str">
        <f>IF(Lytchett!N34="","",Lytchett!N34)</f>
        <v/>
      </c>
      <c r="L328" s="41" t="str">
        <f>IF(Lytchett!O34="","",Lytchett!O34)</f>
        <v/>
      </c>
      <c r="M328" s="41" t="str">
        <f>IF(Lytchett!P34="","",Lytchett!P34)</f>
        <v/>
      </c>
      <c r="N328" s="41" t="str">
        <f>IF(Lytchett!Q34="","",Lytchett!Q34)</f>
        <v/>
      </c>
      <c r="O328" s="41" t="str">
        <f>IF(Lytchett!R34="","",Lytchett!R34)</f>
        <v/>
      </c>
      <c r="P328" s="41" t="str">
        <f>IF(Lytchett!S34="","",Lytchett!S34)</f>
        <v/>
      </c>
      <c r="Q328" s="41" t="str">
        <f>IF(Lytchett!T34="","",Lytchett!T34)</f>
        <v/>
      </c>
      <c r="R328" s="41" t="str">
        <f>IF(Lytchett!U34="","",Lytchett!U34)</f>
        <v>4*0(1)</v>
      </c>
      <c r="S328" s="41" t="str">
        <f>IF(Lytchett!V34="","",Lytchett!V34)</f>
        <v/>
      </c>
      <c r="T328" s="41" t="str">
        <f>IF(Lytchett!W34="","",Lytchett!W34)</f>
        <v/>
      </c>
      <c r="U328" s="41" t="str">
        <f>IF(Lytchett!X34="","",Lytchett!X34)</f>
        <v/>
      </c>
      <c r="V328" s="41" t="str">
        <f>IF(Lytchett!Y34="","",Lytchett!Y34)</f>
        <v/>
      </c>
      <c r="W328" s="201"/>
      <c r="X328" s="182"/>
      <c r="Y328" s="233"/>
      <c r="AA328" s="239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233"/>
    </row>
    <row r="329" spans="2:51" ht="12" customHeight="1" x14ac:dyDescent="0.2">
      <c r="B329" s="266"/>
      <c r="C329" s="263" t="str">
        <f>IF(Lytchett!E35="","",Lytchett!E35)</f>
        <v>Jamie Marten</v>
      </c>
      <c r="D329" s="259" t="str">
        <f>LEFT($B$301,3)</f>
        <v>Lyt</v>
      </c>
      <c r="E329" s="251">
        <f>IF(Lytchett!G35="","",Lytchett!G35)</f>
        <v>1</v>
      </c>
      <c r="F329" s="181">
        <f>IF(Lytchett!H35=0,"",Lytchett!H35)</f>
        <v>1</v>
      </c>
      <c r="G329" s="186" t="str">
        <f>IF(Lytchett!I35=0,"",Lytchett!I35)</f>
        <v/>
      </c>
      <c r="H329" s="186">
        <f>IF(Lytchett!J35=0,"",Lytchett!J35)</f>
        <v>4</v>
      </c>
      <c r="I329" s="252">
        <f>IF(Lytchett!K35=0,"",Lytchett!K35)</f>
        <v>2</v>
      </c>
      <c r="J329" s="163" t="str">
        <f>IF(Lytchett!M35="","",Lytchett!M35)</f>
        <v/>
      </c>
      <c r="K329" s="41" t="str">
        <f>IF(Lytchett!N35="","",Lytchett!N35)</f>
        <v/>
      </c>
      <c r="L329" s="41" t="str">
        <f>IF(Lytchett!O35="","",Lytchett!O35)</f>
        <v/>
      </c>
      <c r="M329" s="41" t="str">
        <f>IF(Lytchett!P35="","",Lytchett!P35)</f>
        <v/>
      </c>
      <c r="N329" s="41" t="str">
        <f>IF(Lytchett!Q35="","",Lytchett!Q35)</f>
        <v/>
      </c>
      <c r="O329" s="41" t="str">
        <f>IF(Lytchett!R35="","",Lytchett!R35)</f>
        <v/>
      </c>
      <c r="P329" s="41" t="str">
        <f>IF(Lytchett!S35="","",Lytchett!S35)</f>
        <v/>
      </c>
      <c r="Q329" s="41" t="str">
        <f>IF(Lytchett!T35="","",Lytchett!T35)</f>
        <v/>
      </c>
      <c r="R329" s="41" t="str">
        <f>IF(Lytchett!U35="","",Lytchett!U35)</f>
        <v/>
      </c>
      <c r="S329" s="41">
        <f>IF(Lytchett!V35="","",Lytchett!V35)</f>
        <v>19.899999999999999</v>
      </c>
      <c r="T329" s="41" t="str">
        <f>IF(Lytchett!W35="","",Lytchett!W35)</f>
        <v/>
      </c>
      <c r="U329" s="41" t="str">
        <f>IF(Lytchett!X35="","",Lytchett!X35)</f>
        <v/>
      </c>
      <c r="V329" s="41" t="str">
        <f>IF(Lytchett!Y35="","",Lytchett!Y35)</f>
        <v/>
      </c>
      <c r="W329" s="249" t="str">
        <f>IF(Lytchett!AA35=0,"",Lytchett!AA35)</f>
        <v/>
      </c>
      <c r="X329" s="244">
        <f>IF(Lytchett!AB35=0,"",Lytchett!AB35)</f>
        <v>19.899999999999999</v>
      </c>
      <c r="Y329" s="245">
        <f>IF(Lytchett!AC35=0,"",Lytchett!AC35)</f>
        <v>20.9</v>
      </c>
      <c r="AA329" s="246">
        <f>Y329</f>
        <v>20.9</v>
      </c>
      <c r="AB329" s="243">
        <f>X329</f>
        <v>19.899999999999999</v>
      </c>
      <c r="AC329" s="185" t="str">
        <f>C329</f>
        <v>Jamie Marten</v>
      </c>
      <c r="AD329" s="185" t="str">
        <f>LEFT($B$301,3)</f>
        <v>Lyt</v>
      </c>
      <c r="AE329" s="185">
        <f t="shared" ref="AE329:AY329" si="161">E329</f>
        <v>1</v>
      </c>
      <c r="AF329" s="185">
        <f t="shared" si="161"/>
        <v>1</v>
      </c>
      <c r="AG329" s="247" t="str">
        <f t="shared" si="161"/>
        <v/>
      </c>
      <c r="AH329" s="247">
        <f t="shared" si="161"/>
        <v>4</v>
      </c>
      <c r="AI329" s="247">
        <f t="shared" si="161"/>
        <v>2</v>
      </c>
      <c r="AJ329" s="243" t="str">
        <f t="shared" si="161"/>
        <v/>
      </c>
      <c r="AK329" s="243" t="str">
        <f t="shared" si="161"/>
        <v/>
      </c>
      <c r="AL329" s="243" t="str">
        <f t="shared" si="161"/>
        <v/>
      </c>
      <c r="AM329" s="243" t="str">
        <f t="shared" si="161"/>
        <v/>
      </c>
      <c r="AN329" s="243" t="str">
        <f t="shared" si="161"/>
        <v/>
      </c>
      <c r="AO329" s="243" t="str">
        <f t="shared" si="161"/>
        <v/>
      </c>
      <c r="AP329" s="243" t="str">
        <f t="shared" si="161"/>
        <v/>
      </c>
      <c r="AQ329" s="243" t="str">
        <f t="shared" si="161"/>
        <v/>
      </c>
      <c r="AR329" s="243" t="str">
        <f t="shared" si="161"/>
        <v/>
      </c>
      <c r="AS329" s="243">
        <f t="shared" si="161"/>
        <v>19.899999999999999</v>
      </c>
      <c r="AT329" s="243" t="str">
        <f t="shared" si="161"/>
        <v/>
      </c>
      <c r="AU329" s="243" t="str">
        <f t="shared" si="161"/>
        <v/>
      </c>
      <c r="AV329" s="243" t="str">
        <f t="shared" si="161"/>
        <v/>
      </c>
      <c r="AW329" s="247" t="str">
        <f t="shared" si="161"/>
        <v/>
      </c>
      <c r="AX329" s="243">
        <f t="shared" si="161"/>
        <v>19.899999999999999</v>
      </c>
      <c r="AY329" s="248">
        <f t="shared" si="161"/>
        <v>20.9</v>
      </c>
    </row>
    <row r="330" spans="2:51" ht="12" customHeight="1" x14ac:dyDescent="0.2">
      <c r="B330" s="266"/>
      <c r="C330" s="235"/>
      <c r="D330" s="235"/>
      <c r="E330" s="239"/>
      <c r="F330" s="182"/>
      <c r="G330" s="182"/>
      <c r="H330" s="182"/>
      <c r="I330" s="233"/>
      <c r="J330" s="163" t="str">
        <f>IF(Lytchett!M36="","",Lytchett!M36)</f>
        <v/>
      </c>
      <c r="K330" s="41" t="str">
        <f>IF(Lytchett!N36="","",Lytchett!N36)</f>
        <v/>
      </c>
      <c r="L330" s="41" t="str">
        <f>IF(Lytchett!O36="","",Lytchett!O36)</f>
        <v/>
      </c>
      <c r="M330" s="41" t="str">
        <f>IF(Lytchett!P36="","",Lytchett!P36)</f>
        <v/>
      </c>
      <c r="N330" s="41" t="str">
        <f>IF(Lytchett!Q36="","",Lytchett!Q36)</f>
        <v/>
      </c>
      <c r="O330" s="41" t="str">
        <f>IF(Lytchett!R36="","",Lytchett!R36)</f>
        <v/>
      </c>
      <c r="P330" s="41" t="str">
        <f>IF(Lytchett!S36="","",Lytchett!S36)</f>
        <v/>
      </c>
      <c r="Q330" s="41" t="str">
        <f>IF(Lytchett!T36="","",Lytchett!T36)</f>
        <v/>
      </c>
      <c r="R330" s="41" t="str">
        <f>IF(Lytchett!U36="","",Lytchett!U36)</f>
        <v/>
      </c>
      <c r="S330" s="41" t="str">
        <f>IF(Lytchett!V36="","",Lytchett!V36)</f>
        <v>4*2</v>
      </c>
      <c r="T330" s="41" t="str">
        <f>IF(Lytchett!W36="","",Lytchett!W36)</f>
        <v/>
      </c>
      <c r="U330" s="41" t="str">
        <f>IF(Lytchett!X36="","",Lytchett!X36)</f>
        <v/>
      </c>
      <c r="V330" s="41" t="str">
        <f>IF(Lytchett!Y36="","",Lytchett!Y36)</f>
        <v/>
      </c>
      <c r="W330" s="201"/>
      <c r="X330" s="182"/>
      <c r="Y330" s="233"/>
      <c r="AA330" s="239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233"/>
    </row>
    <row r="331" spans="2:51" ht="12" customHeight="1" x14ac:dyDescent="0.2">
      <c r="B331" s="266"/>
      <c r="C331" s="263" t="str">
        <f>IF(Lytchett!E37="","",Lytchett!E37)</f>
        <v>No Player so forfeit</v>
      </c>
      <c r="D331" s="259" t="str">
        <f>LEFT($B$301,3)</f>
        <v>Lyt</v>
      </c>
      <c r="E331" s="251" t="str">
        <f>IF(Lytchett!G37="","",Lytchett!G37)</f>
        <v/>
      </c>
      <c r="F331" s="181">
        <f>IF(Lytchett!H37=0,"",Lytchett!H37)</f>
        <v>1</v>
      </c>
      <c r="G331" s="186" t="str">
        <f>IF(Lytchett!I37=0,"",Lytchett!I37)</f>
        <v/>
      </c>
      <c r="H331" s="186">
        <f>IF(Lytchett!J37=0,"",Lytchett!J37)</f>
        <v>4</v>
      </c>
      <c r="I331" s="250" t="str">
        <f>IF(Lytchett!K37=0,"",Lytchett!K37)</f>
        <v/>
      </c>
      <c r="J331" s="163" t="str">
        <f>IF(Lytchett!M37="","",Lytchett!M37)</f>
        <v/>
      </c>
      <c r="K331" s="41" t="str">
        <f>IF(Lytchett!N37="","",Lytchett!N37)</f>
        <v/>
      </c>
      <c r="L331" s="41" t="str">
        <f>IF(Lytchett!O37="","",Lytchett!O37)</f>
        <v/>
      </c>
      <c r="M331" s="41" t="str">
        <f>IF(Lytchett!P37="","",Lytchett!P37)</f>
        <v/>
      </c>
      <c r="N331" s="41" t="str">
        <f>IF(Lytchett!Q37="","",Lytchett!Q37)</f>
        <v/>
      </c>
      <c r="O331" s="41" t="str">
        <f>IF(Lytchett!R37="","",Lytchett!R37)</f>
        <v/>
      </c>
      <c r="P331" s="41" t="str">
        <f>IF(Lytchett!S37="","",Lytchett!S37)</f>
        <v/>
      </c>
      <c r="Q331" s="41" t="str">
        <f>IF(Lytchett!T37="","",Lytchett!T37)</f>
        <v/>
      </c>
      <c r="R331" s="41" t="str">
        <f>IF(Lytchett!U37="","",Lytchett!U37)</f>
        <v/>
      </c>
      <c r="S331" s="41" t="str">
        <f>IF(Lytchett!V37="","",Lytchett!V37)</f>
        <v/>
      </c>
      <c r="T331" s="41" t="str">
        <f>IF(Lytchett!W37="","",Lytchett!W37)</f>
        <v/>
      </c>
      <c r="U331" s="41" t="str">
        <f>IF(Lytchett!X37="","",Lytchett!X37)</f>
        <v/>
      </c>
      <c r="V331" s="41" t="str">
        <f>IF(Lytchett!Y37="","",Lytchett!Y37)</f>
        <v/>
      </c>
      <c r="W331" s="249" t="str">
        <f>IF(Lytchett!AA37=0,"",Lytchett!AA37)</f>
        <v/>
      </c>
      <c r="X331" s="244" t="str">
        <f>IF(Lytchett!AB37=0,"",Lytchett!AB37)</f>
        <v/>
      </c>
      <c r="Y331" s="245" t="str">
        <f>IF(Lytchett!AC37=0,"",Lytchett!AC37)</f>
        <v/>
      </c>
      <c r="AA331" s="246" t="str">
        <f>Y331</f>
        <v/>
      </c>
      <c r="AB331" s="243" t="str">
        <f>X331</f>
        <v/>
      </c>
      <c r="AC331" s="185" t="str">
        <f>C331</f>
        <v>No Player so forfeit</v>
      </c>
      <c r="AD331" s="185" t="str">
        <f>LEFT($B$301,3)</f>
        <v>Lyt</v>
      </c>
      <c r="AE331" s="185" t="str">
        <f t="shared" ref="AE331:AY331" si="162">E331</f>
        <v/>
      </c>
      <c r="AF331" s="185">
        <f t="shared" si="162"/>
        <v>1</v>
      </c>
      <c r="AG331" s="247" t="str">
        <f t="shared" si="162"/>
        <v/>
      </c>
      <c r="AH331" s="247">
        <f t="shared" si="162"/>
        <v>4</v>
      </c>
      <c r="AI331" s="185" t="str">
        <f t="shared" si="162"/>
        <v/>
      </c>
      <c r="AJ331" s="243" t="str">
        <f t="shared" si="162"/>
        <v/>
      </c>
      <c r="AK331" s="243" t="str">
        <f t="shared" si="162"/>
        <v/>
      </c>
      <c r="AL331" s="243" t="str">
        <f t="shared" si="162"/>
        <v/>
      </c>
      <c r="AM331" s="243" t="str">
        <f t="shared" si="162"/>
        <v/>
      </c>
      <c r="AN331" s="243" t="str">
        <f t="shared" si="162"/>
        <v/>
      </c>
      <c r="AO331" s="243" t="str">
        <f t="shared" si="162"/>
        <v/>
      </c>
      <c r="AP331" s="243" t="str">
        <f t="shared" si="162"/>
        <v/>
      </c>
      <c r="AQ331" s="243" t="str">
        <f t="shared" si="162"/>
        <v/>
      </c>
      <c r="AR331" s="243" t="str">
        <f t="shared" si="162"/>
        <v/>
      </c>
      <c r="AS331" s="243" t="str">
        <f t="shared" si="162"/>
        <v/>
      </c>
      <c r="AT331" s="243" t="str">
        <f t="shared" si="162"/>
        <v/>
      </c>
      <c r="AU331" s="243" t="str">
        <f t="shared" si="162"/>
        <v/>
      </c>
      <c r="AV331" s="243" t="str">
        <f t="shared" si="162"/>
        <v/>
      </c>
      <c r="AW331" s="247" t="str">
        <f t="shared" si="162"/>
        <v/>
      </c>
      <c r="AX331" s="243" t="str">
        <f t="shared" si="162"/>
        <v/>
      </c>
      <c r="AY331" s="248" t="str">
        <f t="shared" si="162"/>
        <v/>
      </c>
    </row>
    <row r="332" spans="2:51" ht="12" customHeight="1" x14ac:dyDescent="0.2">
      <c r="B332" s="266"/>
      <c r="C332" s="235"/>
      <c r="D332" s="235"/>
      <c r="E332" s="239"/>
      <c r="F332" s="182"/>
      <c r="G332" s="182"/>
      <c r="H332" s="182"/>
      <c r="I332" s="233"/>
      <c r="J332" s="163" t="str">
        <f>IF(Lytchett!M38="","",Lytchett!M38)</f>
        <v/>
      </c>
      <c r="K332" s="41" t="str">
        <f>IF(Lytchett!N38="","",Lytchett!N38)</f>
        <v/>
      </c>
      <c r="L332" s="41" t="str">
        <f>IF(Lytchett!O38="","",Lytchett!O38)</f>
        <v/>
      </c>
      <c r="M332" s="41" t="str">
        <f>IF(Lytchett!P38="","",Lytchett!P38)</f>
        <v>4*0</v>
      </c>
      <c r="N332" s="41" t="str">
        <f>IF(Lytchett!Q38="","",Lytchett!Q38)</f>
        <v/>
      </c>
      <c r="O332" s="41" t="str">
        <f>IF(Lytchett!R38="","",Lytchett!R38)</f>
        <v/>
      </c>
      <c r="P332" s="41" t="str">
        <f>IF(Lytchett!S38="","",Lytchett!S38)</f>
        <v/>
      </c>
      <c r="Q332" s="41" t="str">
        <f>IF(Lytchett!T38="","",Lytchett!T38)</f>
        <v/>
      </c>
      <c r="R332" s="41" t="str">
        <f>IF(Lytchett!U38="","",Lytchett!U38)</f>
        <v/>
      </c>
      <c r="S332" s="41" t="str">
        <f>IF(Lytchett!V38="","",Lytchett!V38)</f>
        <v/>
      </c>
      <c r="T332" s="41" t="str">
        <f>IF(Lytchett!W38="","",Lytchett!W38)</f>
        <v/>
      </c>
      <c r="U332" s="41" t="str">
        <f>IF(Lytchett!X38="","",Lytchett!X38)</f>
        <v/>
      </c>
      <c r="V332" s="41" t="str">
        <f>IF(Lytchett!Y38="","",Lytchett!Y38)</f>
        <v/>
      </c>
      <c r="W332" s="201"/>
      <c r="X332" s="182"/>
      <c r="Y332" s="233"/>
      <c r="AA332" s="239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233"/>
    </row>
    <row r="333" spans="2:51" ht="12" customHeight="1" x14ac:dyDescent="0.2">
      <c r="B333" s="266"/>
      <c r="C333" s="263" t="str">
        <f>IF(Lytchett!E39="","",Lytchett!E39)</f>
        <v>No Player so forfeit</v>
      </c>
      <c r="D333" s="259" t="str">
        <f>LEFT($B$301,3)</f>
        <v>Lyt</v>
      </c>
      <c r="E333" s="251" t="str">
        <f>IF(Lytchett!G39="","",Lytchett!G39)</f>
        <v/>
      </c>
      <c r="F333" s="181">
        <f>IF(Lytchett!H39=0,"",Lytchett!H39)</f>
        <v>1</v>
      </c>
      <c r="G333" s="186" t="str">
        <f>IF(Lytchett!I39=0,"",Lytchett!I39)</f>
        <v/>
      </c>
      <c r="H333" s="186">
        <f>IF(Lytchett!J39=0,"",Lytchett!J39)</f>
        <v>4</v>
      </c>
      <c r="I333" s="250" t="str">
        <f>IF(Lytchett!K39=0,"",Lytchett!K39)</f>
        <v/>
      </c>
      <c r="J333" s="163" t="str">
        <f>IF(Lytchett!M39="","",Lytchett!M39)</f>
        <v/>
      </c>
      <c r="K333" s="41" t="str">
        <f>IF(Lytchett!N39="","",Lytchett!N39)</f>
        <v/>
      </c>
      <c r="L333" s="41" t="str">
        <f>IF(Lytchett!O39="","",Lytchett!O39)</f>
        <v/>
      </c>
      <c r="M333" s="41" t="str">
        <f>IF(Lytchett!P39="","",Lytchett!P39)</f>
        <v/>
      </c>
      <c r="N333" s="41" t="str">
        <f>IF(Lytchett!Q39="","",Lytchett!Q39)</f>
        <v/>
      </c>
      <c r="O333" s="41" t="str">
        <f>IF(Lytchett!R39="","",Lytchett!R39)</f>
        <v/>
      </c>
      <c r="P333" s="41" t="str">
        <f>IF(Lytchett!S39="","",Lytchett!S39)</f>
        <v/>
      </c>
      <c r="Q333" s="41" t="str">
        <f>IF(Lytchett!T39="","",Lytchett!T39)</f>
        <v/>
      </c>
      <c r="R333" s="41" t="str">
        <f>IF(Lytchett!U39="","",Lytchett!U39)</f>
        <v/>
      </c>
      <c r="S333" s="41" t="str">
        <f>IF(Lytchett!V39="","",Lytchett!V39)</f>
        <v/>
      </c>
      <c r="T333" s="41" t="str">
        <f>IF(Lytchett!W39="","",Lytchett!W39)</f>
        <v/>
      </c>
      <c r="U333" s="41" t="str">
        <f>IF(Lytchett!X39="","",Lytchett!X39)</f>
        <v/>
      </c>
      <c r="V333" s="41" t="str">
        <f>IF(Lytchett!Y39="","",Lytchett!Y39)</f>
        <v/>
      </c>
      <c r="W333" s="249" t="str">
        <f>IF(Lytchett!AA39=0,"",Lytchett!AA39)</f>
        <v/>
      </c>
      <c r="X333" s="244" t="str">
        <f>IF(Lytchett!AB39=0,"",Lytchett!AB39)</f>
        <v/>
      </c>
      <c r="Y333" s="245" t="str">
        <f>IF(Lytchett!AC39=0,"",Lytchett!AC39)</f>
        <v/>
      </c>
      <c r="AA333" s="246" t="str">
        <f>Y333</f>
        <v/>
      </c>
      <c r="AB333" s="243" t="str">
        <f>X333</f>
        <v/>
      </c>
      <c r="AC333" s="185" t="str">
        <f>C333</f>
        <v>No Player so forfeit</v>
      </c>
      <c r="AD333" s="185" t="str">
        <f>LEFT($B$301,3)</f>
        <v>Lyt</v>
      </c>
      <c r="AE333" s="185" t="str">
        <f t="shared" ref="AE333:AY333" si="163">E333</f>
        <v/>
      </c>
      <c r="AF333" s="185">
        <f t="shared" si="163"/>
        <v>1</v>
      </c>
      <c r="AG333" s="247" t="str">
        <f t="shared" si="163"/>
        <v/>
      </c>
      <c r="AH333" s="247">
        <f t="shared" si="163"/>
        <v>4</v>
      </c>
      <c r="AI333" s="185" t="str">
        <f t="shared" si="163"/>
        <v/>
      </c>
      <c r="AJ333" s="243" t="str">
        <f t="shared" si="163"/>
        <v/>
      </c>
      <c r="AK333" s="243" t="str">
        <f t="shared" si="163"/>
        <v/>
      </c>
      <c r="AL333" s="243" t="str">
        <f t="shared" si="163"/>
        <v/>
      </c>
      <c r="AM333" s="243" t="str">
        <f t="shared" si="163"/>
        <v/>
      </c>
      <c r="AN333" s="243" t="str">
        <f t="shared" si="163"/>
        <v/>
      </c>
      <c r="AO333" s="243" t="str">
        <f t="shared" si="163"/>
        <v/>
      </c>
      <c r="AP333" s="243" t="str">
        <f t="shared" si="163"/>
        <v/>
      </c>
      <c r="AQ333" s="243" t="str">
        <f t="shared" si="163"/>
        <v/>
      </c>
      <c r="AR333" s="243" t="str">
        <f t="shared" si="163"/>
        <v/>
      </c>
      <c r="AS333" s="243" t="str">
        <f t="shared" si="163"/>
        <v/>
      </c>
      <c r="AT333" s="243" t="str">
        <f t="shared" si="163"/>
        <v/>
      </c>
      <c r="AU333" s="243" t="str">
        <f t="shared" si="163"/>
        <v/>
      </c>
      <c r="AV333" s="243" t="str">
        <f t="shared" si="163"/>
        <v/>
      </c>
      <c r="AW333" s="247" t="str">
        <f t="shared" si="163"/>
        <v/>
      </c>
      <c r="AX333" s="243" t="str">
        <f t="shared" si="163"/>
        <v/>
      </c>
      <c r="AY333" s="248" t="str">
        <f t="shared" si="163"/>
        <v/>
      </c>
    </row>
    <row r="334" spans="2:51" ht="12" customHeight="1" x14ac:dyDescent="0.2">
      <c r="B334" s="266"/>
      <c r="C334" s="235"/>
      <c r="D334" s="235"/>
      <c r="E334" s="239"/>
      <c r="F334" s="182"/>
      <c r="G334" s="182"/>
      <c r="H334" s="182"/>
      <c r="I334" s="233"/>
      <c r="J334" s="163" t="str">
        <f>IF(Lytchett!M40="","",Lytchett!M40)</f>
        <v/>
      </c>
      <c r="K334" s="41" t="str">
        <f>IF(Lytchett!N40="","",Lytchett!N40)</f>
        <v/>
      </c>
      <c r="L334" s="41" t="str">
        <f>IF(Lytchett!O40="","",Lytchett!O40)</f>
        <v/>
      </c>
      <c r="M334" s="41" t="str">
        <f>IF(Lytchett!P40="","",Lytchett!P40)</f>
        <v>4*0</v>
      </c>
      <c r="N334" s="41" t="str">
        <f>IF(Lytchett!Q40="","",Lytchett!Q40)</f>
        <v/>
      </c>
      <c r="O334" s="41" t="str">
        <f>IF(Lytchett!R40="","",Lytchett!R40)</f>
        <v/>
      </c>
      <c r="P334" s="41" t="str">
        <f>IF(Lytchett!S40="","",Lytchett!S40)</f>
        <v/>
      </c>
      <c r="Q334" s="41" t="str">
        <f>IF(Lytchett!T40="","",Lytchett!T40)</f>
        <v/>
      </c>
      <c r="R334" s="41" t="str">
        <f>IF(Lytchett!U40="","",Lytchett!U40)</f>
        <v/>
      </c>
      <c r="S334" s="41" t="str">
        <f>IF(Lytchett!V40="","",Lytchett!V40)</f>
        <v/>
      </c>
      <c r="T334" s="41" t="str">
        <f>IF(Lytchett!W40="","",Lytchett!W40)</f>
        <v/>
      </c>
      <c r="U334" s="41" t="str">
        <f>IF(Lytchett!X40="","",Lytchett!X40)</f>
        <v/>
      </c>
      <c r="V334" s="41" t="str">
        <f>IF(Lytchett!Y40="","",Lytchett!Y40)</f>
        <v/>
      </c>
      <c r="W334" s="201"/>
      <c r="X334" s="182"/>
      <c r="Y334" s="233"/>
      <c r="AA334" s="239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233"/>
    </row>
    <row r="335" spans="2:51" ht="12" customHeight="1" x14ac:dyDescent="0.2">
      <c r="B335" s="266"/>
      <c r="C335" s="263" t="str">
        <f>IF(Lytchett!E41="","",Lytchett!E41)</f>
        <v/>
      </c>
      <c r="D335" s="259" t="str">
        <f>LEFT($B$301,3)</f>
        <v>Lyt</v>
      </c>
      <c r="E335" s="251" t="str">
        <f>IF(Lytchett!G41="","",Lytchett!G41)</f>
        <v/>
      </c>
      <c r="F335" s="181" t="str">
        <f>IF(Lytchett!H41=0,"",Lytchett!H41)</f>
        <v/>
      </c>
      <c r="G335" s="181" t="str">
        <f>IF(Lytchett!I41=0,"",Lytchett!I41)</f>
        <v/>
      </c>
      <c r="H335" s="181" t="str">
        <f>IF(Lytchett!J41=0,"",Lytchett!J41)</f>
        <v/>
      </c>
      <c r="I335" s="250" t="str">
        <f>IF(Lytchett!K41=0,"",Lytchett!K41)</f>
        <v/>
      </c>
      <c r="J335" s="163" t="str">
        <f>IF(Lytchett!M41="","",Lytchett!M41)</f>
        <v/>
      </c>
      <c r="K335" s="41" t="str">
        <f>IF(Lytchett!N41="","",Lytchett!N41)</f>
        <v/>
      </c>
      <c r="L335" s="41" t="str">
        <f>IF(Lytchett!O41="","",Lytchett!O41)</f>
        <v/>
      </c>
      <c r="M335" s="41" t="str">
        <f>IF(Lytchett!P41="","",Lytchett!P41)</f>
        <v/>
      </c>
      <c r="N335" s="41" t="str">
        <f>IF(Lytchett!Q41="","",Lytchett!Q41)</f>
        <v/>
      </c>
      <c r="O335" s="41" t="str">
        <f>IF(Lytchett!R41="","",Lytchett!R41)</f>
        <v/>
      </c>
      <c r="P335" s="41" t="str">
        <f>IF(Lytchett!S41="","",Lytchett!S41)</f>
        <v/>
      </c>
      <c r="Q335" s="41" t="str">
        <f>IF(Lytchett!T41="","",Lytchett!T41)</f>
        <v/>
      </c>
      <c r="R335" s="41" t="str">
        <f>IF(Lytchett!U41="","",Lytchett!U41)</f>
        <v/>
      </c>
      <c r="S335" s="41" t="str">
        <f>IF(Lytchett!V41="","",Lytchett!V41)</f>
        <v/>
      </c>
      <c r="T335" s="41" t="str">
        <f>IF(Lytchett!W41="","",Lytchett!W41)</f>
        <v/>
      </c>
      <c r="U335" s="41" t="str">
        <f>IF(Lytchett!X41="","",Lytchett!X41)</f>
        <v/>
      </c>
      <c r="V335" s="41" t="str">
        <f>IF(Lytchett!Y41="","",Lytchett!Y41)</f>
        <v/>
      </c>
      <c r="W335" s="249" t="str">
        <f>IF(Lytchett!AA41=0,"",Lytchett!AA41)</f>
        <v/>
      </c>
      <c r="X335" s="244" t="str">
        <f>IF(Lytchett!AB41=0,"",Lytchett!AB41)</f>
        <v/>
      </c>
      <c r="Y335" s="245" t="str">
        <f>IF(Lytchett!AC41=0,"",Lytchett!AC41)</f>
        <v/>
      </c>
      <c r="AA335" s="246" t="str">
        <f>Y335</f>
        <v/>
      </c>
      <c r="AB335" s="243" t="str">
        <f>X335</f>
        <v/>
      </c>
      <c r="AC335" s="185" t="str">
        <f>C335</f>
        <v/>
      </c>
      <c r="AD335" s="185" t="str">
        <f>LEFT($B$301,3)</f>
        <v>Lyt</v>
      </c>
      <c r="AE335" s="185" t="str">
        <f t="shared" ref="AE335:AY335" si="164">E335</f>
        <v/>
      </c>
      <c r="AF335" s="185" t="str">
        <f t="shared" si="164"/>
        <v/>
      </c>
      <c r="AG335" s="185" t="str">
        <f t="shared" si="164"/>
        <v/>
      </c>
      <c r="AH335" s="185" t="str">
        <f t="shared" si="164"/>
        <v/>
      </c>
      <c r="AI335" s="185" t="str">
        <f t="shared" si="164"/>
        <v/>
      </c>
      <c r="AJ335" s="243" t="str">
        <f t="shared" si="164"/>
        <v/>
      </c>
      <c r="AK335" s="243" t="str">
        <f t="shared" si="164"/>
        <v/>
      </c>
      <c r="AL335" s="243" t="str">
        <f t="shared" si="164"/>
        <v/>
      </c>
      <c r="AM335" s="243" t="str">
        <f t="shared" si="164"/>
        <v/>
      </c>
      <c r="AN335" s="243" t="str">
        <f t="shared" si="164"/>
        <v/>
      </c>
      <c r="AO335" s="243" t="str">
        <f t="shared" si="164"/>
        <v/>
      </c>
      <c r="AP335" s="243" t="str">
        <f t="shared" si="164"/>
        <v/>
      </c>
      <c r="AQ335" s="243" t="str">
        <f t="shared" si="164"/>
        <v/>
      </c>
      <c r="AR335" s="243" t="str">
        <f t="shared" si="164"/>
        <v/>
      </c>
      <c r="AS335" s="243" t="str">
        <f t="shared" si="164"/>
        <v/>
      </c>
      <c r="AT335" s="243" t="str">
        <f t="shared" si="164"/>
        <v/>
      </c>
      <c r="AU335" s="243" t="str">
        <f t="shared" si="164"/>
        <v/>
      </c>
      <c r="AV335" s="243" t="str">
        <f t="shared" si="164"/>
        <v/>
      </c>
      <c r="AW335" s="247" t="str">
        <f t="shared" si="164"/>
        <v/>
      </c>
      <c r="AX335" s="243" t="str">
        <f t="shared" si="164"/>
        <v/>
      </c>
      <c r="AY335" s="248" t="str">
        <f t="shared" si="164"/>
        <v/>
      </c>
    </row>
    <row r="336" spans="2:51" ht="12" customHeight="1" x14ac:dyDescent="0.2">
      <c r="B336" s="266"/>
      <c r="C336" s="235"/>
      <c r="D336" s="235"/>
      <c r="E336" s="239"/>
      <c r="F336" s="182"/>
      <c r="G336" s="182"/>
      <c r="H336" s="182"/>
      <c r="I336" s="233"/>
      <c r="J336" s="163" t="str">
        <f>IF(Lytchett!M42="","",Lytchett!M42)</f>
        <v/>
      </c>
      <c r="K336" s="41" t="str">
        <f>IF(Lytchett!N42="","",Lytchett!N42)</f>
        <v/>
      </c>
      <c r="L336" s="41" t="str">
        <f>IF(Lytchett!O42="","",Lytchett!O42)</f>
        <v/>
      </c>
      <c r="M336" s="41" t="str">
        <f>IF(Lytchett!P42="","",Lytchett!P42)</f>
        <v/>
      </c>
      <c r="N336" s="41" t="str">
        <f>IF(Lytchett!Q42="","",Lytchett!Q42)</f>
        <v/>
      </c>
      <c r="O336" s="41" t="str">
        <f>IF(Lytchett!R42="","",Lytchett!R42)</f>
        <v/>
      </c>
      <c r="P336" s="41" t="str">
        <f>IF(Lytchett!S42="","",Lytchett!S42)</f>
        <v/>
      </c>
      <c r="Q336" s="41" t="str">
        <f>IF(Lytchett!T42="","",Lytchett!T42)</f>
        <v/>
      </c>
      <c r="R336" s="41" t="str">
        <f>IF(Lytchett!U42="","",Lytchett!U42)</f>
        <v/>
      </c>
      <c r="S336" s="41" t="str">
        <f>IF(Lytchett!V42="","",Lytchett!V42)</f>
        <v/>
      </c>
      <c r="T336" s="41" t="str">
        <f>IF(Lytchett!W42="","",Lytchett!W42)</f>
        <v/>
      </c>
      <c r="U336" s="41" t="str">
        <f>IF(Lytchett!X42="","",Lytchett!X42)</f>
        <v/>
      </c>
      <c r="V336" s="41" t="str">
        <f>IF(Lytchett!Y42="","",Lytchett!Y42)</f>
        <v/>
      </c>
      <c r="W336" s="201"/>
      <c r="X336" s="182"/>
      <c r="Y336" s="233"/>
      <c r="AA336" s="239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233"/>
    </row>
    <row r="337" spans="2:51" ht="12" customHeight="1" x14ac:dyDescent="0.2">
      <c r="B337" s="266"/>
      <c r="C337" s="263" t="str">
        <f>IF(Lytchett!E43="","",Lytchett!E43)</f>
        <v/>
      </c>
      <c r="D337" s="259" t="str">
        <f>LEFT($B$301,3)</f>
        <v>Lyt</v>
      </c>
      <c r="E337" s="251" t="str">
        <f>IF(Lytchett!G43="","",Lytchett!G43)</f>
        <v/>
      </c>
      <c r="F337" s="181" t="str">
        <f>IF(Lytchett!H43=0,"",Lytchett!H43)</f>
        <v/>
      </c>
      <c r="G337" s="181" t="str">
        <f>IF(Lytchett!I43=0,"",Lytchett!I43)</f>
        <v/>
      </c>
      <c r="H337" s="181" t="str">
        <f>IF(Lytchett!J43=0,"",Lytchett!J43)</f>
        <v/>
      </c>
      <c r="I337" s="250" t="str">
        <f>IF(Lytchett!K43=0,"",Lytchett!K43)</f>
        <v/>
      </c>
      <c r="J337" s="163" t="str">
        <f>IF(Lytchett!M43="","",Lytchett!M43)</f>
        <v/>
      </c>
      <c r="K337" s="41" t="str">
        <f>IF(Lytchett!N43="","",Lytchett!N43)</f>
        <v/>
      </c>
      <c r="L337" s="41" t="str">
        <f>IF(Lytchett!O43="","",Lytchett!O43)</f>
        <v/>
      </c>
      <c r="M337" s="41" t="str">
        <f>IF(Lytchett!P43="","",Lytchett!P43)</f>
        <v/>
      </c>
      <c r="N337" s="41" t="str">
        <f>IF(Lytchett!Q43="","",Lytchett!Q43)</f>
        <v/>
      </c>
      <c r="O337" s="41" t="str">
        <f>IF(Lytchett!R43="","",Lytchett!R43)</f>
        <v/>
      </c>
      <c r="P337" s="41" t="str">
        <f>IF(Lytchett!S43="","",Lytchett!S43)</f>
        <v/>
      </c>
      <c r="Q337" s="41" t="str">
        <f>IF(Lytchett!T43="","",Lytchett!T43)</f>
        <v/>
      </c>
      <c r="R337" s="41" t="str">
        <f>IF(Lytchett!U43="","",Lytchett!U43)</f>
        <v/>
      </c>
      <c r="S337" s="41" t="str">
        <f>IF(Lytchett!V43="","",Lytchett!V43)</f>
        <v/>
      </c>
      <c r="T337" s="41" t="str">
        <f>IF(Lytchett!W43="","",Lytchett!W43)</f>
        <v/>
      </c>
      <c r="U337" s="41" t="str">
        <f>IF(Lytchett!X43="","",Lytchett!X43)</f>
        <v/>
      </c>
      <c r="V337" s="41" t="str">
        <f>IF(Lytchett!Y43="","",Lytchett!Y43)</f>
        <v/>
      </c>
      <c r="W337" s="249" t="str">
        <f>IF(Lytchett!AA43=0,"",Lytchett!AA43)</f>
        <v/>
      </c>
      <c r="X337" s="244" t="str">
        <f>IF(Lytchett!AB43=0,"",Lytchett!AB43)</f>
        <v/>
      </c>
      <c r="Y337" s="245" t="str">
        <f>IF(Lytchett!AC43=0,"",Lytchett!AC43)</f>
        <v/>
      </c>
      <c r="AA337" s="246" t="str">
        <f>Y337</f>
        <v/>
      </c>
      <c r="AB337" s="243" t="str">
        <f>X337</f>
        <v/>
      </c>
      <c r="AC337" s="185" t="str">
        <f>C337</f>
        <v/>
      </c>
      <c r="AD337" s="185" t="str">
        <f>LEFT($B$301,3)</f>
        <v>Lyt</v>
      </c>
      <c r="AE337" s="185" t="str">
        <f t="shared" ref="AE337:AY337" si="165">E337</f>
        <v/>
      </c>
      <c r="AF337" s="185" t="str">
        <f t="shared" si="165"/>
        <v/>
      </c>
      <c r="AG337" s="185" t="str">
        <f t="shared" si="165"/>
        <v/>
      </c>
      <c r="AH337" s="185" t="str">
        <f t="shared" si="165"/>
        <v/>
      </c>
      <c r="AI337" s="185" t="str">
        <f t="shared" si="165"/>
        <v/>
      </c>
      <c r="AJ337" s="243" t="str">
        <f t="shared" si="165"/>
        <v/>
      </c>
      <c r="AK337" s="243" t="str">
        <f t="shared" si="165"/>
        <v/>
      </c>
      <c r="AL337" s="243" t="str">
        <f t="shared" si="165"/>
        <v/>
      </c>
      <c r="AM337" s="243" t="str">
        <f t="shared" si="165"/>
        <v/>
      </c>
      <c r="AN337" s="243" t="str">
        <f t="shared" si="165"/>
        <v/>
      </c>
      <c r="AO337" s="243" t="str">
        <f t="shared" si="165"/>
        <v/>
      </c>
      <c r="AP337" s="243" t="str">
        <f t="shared" si="165"/>
        <v/>
      </c>
      <c r="AQ337" s="243" t="str">
        <f t="shared" si="165"/>
        <v/>
      </c>
      <c r="AR337" s="243" t="str">
        <f t="shared" si="165"/>
        <v/>
      </c>
      <c r="AS337" s="243" t="str">
        <f t="shared" si="165"/>
        <v/>
      </c>
      <c r="AT337" s="243" t="str">
        <f t="shared" si="165"/>
        <v/>
      </c>
      <c r="AU337" s="243" t="str">
        <f t="shared" si="165"/>
        <v/>
      </c>
      <c r="AV337" s="243" t="str">
        <f t="shared" si="165"/>
        <v/>
      </c>
      <c r="AW337" s="247" t="str">
        <f t="shared" si="165"/>
        <v/>
      </c>
      <c r="AX337" s="243" t="str">
        <f t="shared" si="165"/>
        <v/>
      </c>
      <c r="AY337" s="248" t="str">
        <f t="shared" si="165"/>
        <v/>
      </c>
    </row>
    <row r="338" spans="2:51" ht="12" customHeight="1" x14ac:dyDescent="0.2">
      <c r="B338" s="266"/>
      <c r="C338" s="235"/>
      <c r="D338" s="235"/>
      <c r="E338" s="239"/>
      <c r="F338" s="182"/>
      <c r="G338" s="182"/>
      <c r="H338" s="182"/>
      <c r="I338" s="233"/>
      <c r="J338" s="163" t="str">
        <f>IF(Lytchett!M44="","",Lytchett!M44)</f>
        <v/>
      </c>
      <c r="K338" s="41" t="str">
        <f>IF(Lytchett!N44="","",Lytchett!N44)</f>
        <v/>
      </c>
      <c r="L338" s="41" t="str">
        <f>IF(Lytchett!O44="","",Lytchett!O44)</f>
        <v/>
      </c>
      <c r="M338" s="41" t="str">
        <f>IF(Lytchett!P44="","",Lytchett!P44)</f>
        <v/>
      </c>
      <c r="N338" s="41" t="str">
        <f>IF(Lytchett!Q44="","",Lytchett!Q44)</f>
        <v/>
      </c>
      <c r="O338" s="41" t="str">
        <f>IF(Lytchett!R44="","",Lytchett!R44)</f>
        <v/>
      </c>
      <c r="P338" s="41" t="str">
        <f>IF(Lytchett!S44="","",Lytchett!S44)</f>
        <v/>
      </c>
      <c r="Q338" s="41" t="str">
        <f>IF(Lytchett!T44="","",Lytchett!T44)</f>
        <v/>
      </c>
      <c r="R338" s="41" t="str">
        <f>IF(Lytchett!U44="","",Lytchett!U44)</f>
        <v/>
      </c>
      <c r="S338" s="41" t="str">
        <f>IF(Lytchett!V44="","",Lytchett!V44)</f>
        <v/>
      </c>
      <c r="T338" s="41" t="str">
        <f>IF(Lytchett!W44="","",Lytchett!W44)</f>
        <v/>
      </c>
      <c r="U338" s="41" t="str">
        <f>IF(Lytchett!X44="","",Lytchett!X44)</f>
        <v/>
      </c>
      <c r="V338" s="41" t="str">
        <f>IF(Lytchett!Y44="","",Lytchett!Y44)</f>
        <v/>
      </c>
      <c r="W338" s="201"/>
      <c r="X338" s="182"/>
      <c r="Y338" s="233"/>
      <c r="AA338" s="239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233"/>
    </row>
    <row r="339" spans="2:51" ht="12" customHeight="1" x14ac:dyDescent="0.2">
      <c r="B339" s="266"/>
      <c r="C339" s="263" t="str">
        <f>IF(Lytchett!E45="","",Lytchett!E45)</f>
        <v/>
      </c>
      <c r="D339" s="259" t="str">
        <f>LEFT($B$301,3)</f>
        <v>Lyt</v>
      </c>
      <c r="E339" s="251" t="str">
        <f>IF(Lytchett!G45="","",Lytchett!G45)</f>
        <v/>
      </c>
      <c r="F339" s="181" t="str">
        <f>IF(Lytchett!H45=0,"",Lytchett!H45)</f>
        <v/>
      </c>
      <c r="G339" s="181" t="str">
        <f>IF(Lytchett!I45=0,"",Lytchett!I45)</f>
        <v/>
      </c>
      <c r="H339" s="181" t="str">
        <f>IF(Lytchett!J45=0,"",Lytchett!J45)</f>
        <v/>
      </c>
      <c r="I339" s="250" t="str">
        <f>IF(Lytchett!K45=0,"",Lytchett!K45)</f>
        <v/>
      </c>
      <c r="J339" s="163" t="str">
        <f>IF(Lytchett!M45="","",Lytchett!M45)</f>
        <v/>
      </c>
      <c r="K339" s="41" t="str">
        <f>IF(Lytchett!N45="","",Lytchett!N45)</f>
        <v/>
      </c>
      <c r="L339" s="41" t="str">
        <f>IF(Lytchett!O45="","",Lytchett!O45)</f>
        <v/>
      </c>
      <c r="M339" s="41" t="str">
        <f>IF(Lytchett!P45="","",Lytchett!P45)</f>
        <v/>
      </c>
      <c r="N339" s="41" t="str">
        <f>IF(Lytchett!Q45="","",Lytchett!Q45)</f>
        <v/>
      </c>
      <c r="O339" s="41" t="str">
        <f>IF(Lytchett!R45="","",Lytchett!R45)</f>
        <v/>
      </c>
      <c r="P339" s="41" t="str">
        <f>IF(Lytchett!S45="","",Lytchett!S45)</f>
        <v/>
      </c>
      <c r="Q339" s="41" t="str">
        <f>IF(Lytchett!T45="","",Lytchett!T45)</f>
        <v/>
      </c>
      <c r="R339" s="41" t="str">
        <f>IF(Lytchett!U45="","",Lytchett!U45)</f>
        <v/>
      </c>
      <c r="S339" s="41" t="str">
        <f>IF(Lytchett!V45="","",Lytchett!V45)</f>
        <v/>
      </c>
      <c r="T339" s="41" t="str">
        <f>IF(Lytchett!W45="","",Lytchett!W45)</f>
        <v/>
      </c>
      <c r="U339" s="41" t="str">
        <f>IF(Lytchett!X45="","",Lytchett!X45)</f>
        <v/>
      </c>
      <c r="V339" s="41" t="str">
        <f>IF(Lytchett!Y45="","",Lytchett!Y45)</f>
        <v/>
      </c>
      <c r="W339" s="249" t="str">
        <f>IF(Lytchett!AA45=0,"",Lytchett!AA45)</f>
        <v/>
      </c>
      <c r="X339" s="244" t="str">
        <f>IF(Lytchett!AB45=0,"",Lytchett!AB45)</f>
        <v/>
      </c>
      <c r="Y339" s="245" t="str">
        <f>IF(Lytchett!AC45=0,"",Lytchett!AC45)</f>
        <v/>
      </c>
      <c r="AA339" s="246" t="str">
        <f>Y339</f>
        <v/>
      </c>
      <c r="AB339" s="243" t="str">
        <f>X339</f>
        <v/>
      </c>
      <c r="AC339" s="185" t="str">
        <f>C339</f>
        <v/>
      </c>
      <c r="AD339" s="185" t="str">
        <f>LEFT($B$301,3)</f>
        <v>Lyt</v>
      </c>
      <c r="AE339" s="185" t="str">
        <f t="shared" ref="AE339:AY339" si="166">E339</f>
        <v/>
      </c>
      <c r="AF339" s="185" t="str">
        <f t="shared" si="166"/>
        <v/>
      </c>
      <c r="AG339" s="185" t="str">
        <f t="shared" si="166"/>
        <v/>
      </c>
      <c r="AH339" s="185" t="str">
        <f t="shared" si="166"/>
        <v/>
      </c>
      <c r="AI339" s="185" t="str">
        <f t="shared" si="166"/>
        <v/>
      </c>
      <c r="AJ339" s="243" t="str">
        <f t="shared" si="166"/>
        <v/>
      </c>
      <c r="AK339" s="243" t="str">
        <f t="shared" si="166"/>
        <v/>
      </c>
      <c r="AL339" s="243" t="str">
        <f t="shared" si="166"/>
        <v/>
      </c>
      <c r="AM339" s="243" t="str">
        <f t="shared" si="166"/>
        <v/>
      </c>
      <c r="AN339" s="243" t="str">
        <f t="shared" si="166"/>
        <v/>
      </c>
      <c r="AO339" s="243" t="str">
        <f t="shared" si="166"/>
        <v/>
      </c>
      <c r="AP339" s="243" t="str">
        <f t="shared" si="166"/>
        <v/>
      </c>
      <c r="AQ339" s="243" t="str">
        <f t="shared" si="166"/>
        <v/>
      </c>
      <c r="AR339" s="243" t="str">
        <f t="shared" si="166"/>
        <v/>
      </c>
      <c r="AS339" s="243" t="str">
        <f t="shared" si="166"/>
        <v/>
      </c>
      <c r="AT339" s="243" t="str">
        <f t="shared" si="166"/>
        <v/>
      </c>
      <c r="AU339" s="243" t="str">
        <f t="shared" si="166"/>
        <v/>
      </c>
      <c r="AV339" s="243" t="str">
        <f t="shared" si="166"/>
        <v/>
      </c>
      <c r="AW339" s="247" t="str">
        <f t="shared" si="166"/>
        <v/>
      </c>
      <c r="AX339" s="243" t="str">
        <f t="shared" si="166"/>
        <v/>
      </c>
      <c r="AY339" s="248" t="str">
        <f t="shared" si="166"/>
        <v/>
      </c>
    </row>
    <row r="340" spans="2:51" ht="12" customHeight="1" x14ac:dyDescent="0.2">
      <c r="B340" s="266"/>
      <c r="C340" s="235"/>
      <c r="D340" s="235"/>
      <c r="E340" s="239"/>
      <c r="F340" s="182"/>
      <c r="G340" s="182"/>
      <c r="H340" s="182"/>
      <c r="I340" s="233"/>
      <c r="J340" s="163" t="str">
        <f>IF(Lytchett!M46="","",Lytchett!M46)</f>
        <v/>
      </c>
      <c r="K340" s="41" t="str">
        <f>IF(Lytchett!N46="","",Lytchett!N46)</f>
        <v/>
      </c>
      <c r="L340" s="41" t="str">
        <f>IF(Lytchett!O46="","",Lytchett!O46)</f>
        <v/>
      </c>
      <c r="M340" s="41" t="str">
        <f>IF(Lytchett!P46="","",Lytchett!P46)</f>
        <v/>
      </c>
      <c r="N340" s="41" t="str">
        <f>IF(Lytchett!Q46="","",Lytchett!Q46)</f>
        <v/>
      </c>
      <c r="O340" s="41" t="str">
        <f>IF(Lytchett!R46="","",Lytchett!R46)</f>
        <v/>
      </c>
      <c r="P340" s="41" t="str">
        <f>IF(Lytchett!S46="","",Lytchett!S46)</f>
        <v/>
      </c>
      <c r="Q340" s="41" t="str">
        <f>IF(Lytchett!T46="","",Lytchett!T46)</f>
        <v/>
      </c>
      <c r="R340" s="41" t="str">
        <f>IF(Lytchett!U46="","",Lytchett!U46)</f>
        <v/>
      </c>
      <c r="S340" s="41" t="str">
        <f>IF(Lytchett!V46="","",Lytchett!V46)</f>
        <v/>
      </c>
      <c r="T340" s="41" t="str">
        <f>IF(Lytchett!W46="","",Lytchett!W46)</f>
        <v/>
      </c>
      <c r="U340" s="41" t="str">
        <f>IF(Lytchett!X46="","",Lytchett!X46)</f>
        <v/>
      </c>
      <c r="V340" s="41" t="str">
        <f>IF(Lytchett!Y46="","",Lytchett!Y46)</f>
        <v/>
      </c>
      <c r="W340" s="201"/>
      <c r="X340" s="182"/>
      <c r="Y340" s="233"/>
      <c r="AA340" s="239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233"/>
    </row>
    <row r="341" spans="2:51" ht="12" customHeight="1" x14ac:dyDescent="0.2">
      <c r="B341" s="266"/>
      <c r="C341" s="263" t="str">
        <f>IF(Lytchett!E47="","",Lytchett!E47)</f>
        <v/>
      </c>
      <c r="D341" s="259" t="str">
        <f>LEFT($B$301,3)</f>
        <v>Lyt</v>
      </c>
      <c r="E341" s="251" t="str">
        <f>IF(Lytchett!G47="","",Lytchett!G47)</f>
        <v/>
      </c>
      <c r="F341" s="181" t="str">
        <f>IF(Lytchett!H47=0,"",Lytchett!H47)</f>
        <v/>
      </c>
      <c r="G341" s="181" t="str">
        <f>IF(Lytchett!I47=0,"",Lytchett!I47)</f>
        <v/>
      </c>
      <c r="H341" s="181" t="str">
        <f>IF(Lytchett!J47=0,"",Lytchett!J47)</f>
        <v/>
      </c>
      <c r="I341" s="250" t="str">
        <f>IF(Lytchett!K47=0,"",Lytchett!K47)</f>
        <v/>
      </c>
      <c r="J341" s="163" t="str">
        <f>IF(Lytchett!M47="","",Lytchett!M47)</f>
        <v/>
      </c>
      <c r="K341" s="41" t="str">
        <f>IF(Lytchett!N47="","",Lytchett!N47)</f>
        <v/>
      </c>
      <c r="L341" s="41" t="str">
        <f>IF(Lytchett!O47="","",Lytchett!O47)</f>
        <v/>
      </c>
      <c r="M341" s="41" t="str">
        <f>IF(Lytchett!P47="","",Lytchett!P47)</f>
        <v/>
      </c>
      <c r="N341" s="41" t="str">
        <f>IF(Lytchett!Q47="","",Lytchett!Q47)</f>
        <v/>
      </c>
      <c r="O341" s="41" t="str">
        <f>IF(Lytchett!R47="","",Lytchett!R47)</f>
        <v/>
      </c>
      <c r="P341" s="41" t="str">
        <f>IF(Lytchett!S47="","",Lytchett!S47)</f>
        <v/>
      </c>
      <c r="Q341" s="41" t="str">
        <f>IF(Lytchett!T47="","",Lytchett!T47)</f>
        <v/>
      </c>
      <c r="R341" s="41" t="str">
        <f>IF(Lytchett!U47="","",Lytchett!U47)</f>
        <v/>
      </c>
      <c r="S341" s="41" t="str">
        <f>IF(Lytchett!V47="","",Lytchett!V47)</f>
        <v/>
      </c>
      <c r="T341" s="41" t="str">
        <f>IF(Lytchett!W47="","",Lytchett!W47)</f>
        <v/>
      </c>
      <c r="U341" s="41" t="str">
        <f>IF(Lytchett!X47="","",Lytchett!X47)</f>
        <v/>
      </c>
      <c r="V341" s="41" t="str">
        <f>IF(Lytchett!Y47="","",Lytchett!Y47)</f>
        <v/>
      </c>
      <c r="W341" s="249" t="str">
        <f>IF(Lytchett!AA47=0,"",Lytchett!AA47)</f>
        <v/>
      </c>
      <c r="X341" s="244" t="str">
        <f>IF(Lytchett!AB47=0,"",Lytchett!AB47)</f>
        <v/>
      </c>
      <c r="Y341" s="245" t="str">
        <f>IF(Lytchett!AC47=0,"",Lytchett!AC47)</f>
        <v/>
      </c>
      <c r="AA341" s="246" t="str">
        <f>Y341</f>
        <v/>
      </c>
      <c r="AB341" s="243" t="str">
        <f>X341</f>
        <v/>
      </c>
      <c r="AC341" s="185" t="str">
        <f>C341</f>
        <v/>
      </c>
      <c r="AD341" s="185" t="str">
        <f>LEFT($B$301,3)</f>
        <v>Lyt</v>
      </c>
      <c r="AE341" s="185" t="str">
        <f t="shared" ref="AE341:AY341" si="167">E341</f>
        <v/>
      </c>
      <c r="AF341" s="185" t="str">
        <f t="shared" si="167"/>
        <v/>
      </c>
      <c r="AG341" s="185" t="str">
        <f t="shared" si="167"/>
        <v/>
      </c>
      <c r="AH341" s="185" t="str">
        <f t="shared" si="167"/>
        <v/>
      </c>
      <c r="AI341" s="185" t="str">
        <f t="shared" si="167"/>
        <v/>
      </c>
      <c r="AJ341" s="243" t="str">
        <f t="shared" si="167"/>
        <v/>
      </c>
      <c r="AK341" s="243" t="str">
        <f t="shared" si="167"/>
        <v/>
      </c>
      <c r="AL341" s="243" t="str">
        <f t="shared" si="167"/>
        <v/>
      </c>
      <c r="AM341" s="243" t="str">
        <f t="shared" si="167"/>
        <v/>
      </c>
      <c r="AN341" s="243" t="str">
        <f t="shared" si="167"/>
        <v/>
      </c>
      <c r="AO341" s="243" t="str">
        <f t="shared" si="167"/>
        <v/>
      </c>
      <c r="AP341" s="243" t="str">
        <f t="shared" si="167"/>
        <v/>
      </c>
      <c r="AQ341" s="243" t="str">
        <f t="shared" si="167"/>
        <v/>
      </c>
      <c r="AR341" s="243" t="str">
        <f t="shared" si="167"/>
        <v/>
      </c>
      <c r="AS341" s="243" t="str">
        <f t="shared" si="167"/>
        <v/>
      </c>
      <c r="AT341" s="243" t="str">
        <f t="shared" si="167"/>
        <v/>
      </c>
      <c r="AU341" s="243" t="str">
        <f t="shared" si="167"/>
        <v/>
      </c>
      <c r="AV341" s="243" t="str">
        <f t="shared" si="167"/>
        <v/>
      </c>
      <c r="AW341" s="247" t="str">
        <f t="shared" si="167"/>
        <v/>
      </c>
      <c r="AX341" s="243" t="str">
        <f t="shared" si="167"/>
        <v/>
      </c>
      <c r="AY341" s="248" t="str">
        <f t="shared" si="167"/>
        <v/>
      </c>
    </row>
    <row r="342" spans="2:51" ht="12.75" customHeight="1" x14ac:dyDescent="0.2">
      <c r="B342" s="211"/>
      <c r="C342" s="211"/>
      <c r="D342" s="211"/>
      <c r="E342" s="223"/>
      <c r="F342" s="225"/>
      <c r="G342" s="225"/>
      <c r="H342" s="225"/>
      <c r="I342" s="228"/>
      <c r="J342" s="164" t="str">
        <f>IF(Lytchett!M48="","",Lytchett!M48)</f>
        <v/>
      </c>
      <c r="K342" s="165" t="str">
        <f>IF(Lytchett!N48="","",Lytchett!N48)</f>
        <v/>
      </c>
      <c r="L342" s="165" t="str">
        <f>IF(Lytchett!O48="","",Lytchett!O48)</f>
        <v/>
      </c>
      <c r="M342" s="165" t="str">
        <f>IF(Lytchett!P48="","",Lytchett!P48)</f>
        <v/>
      </c>
      <c r="N342" s="165" t="str">
        <f>IF(Lytchett!Q48="","",Lytchett!Q48)</f>
        <v/>
      </c>
      <c r="O342" s="165" t="str">
        <f>IF(Lytchett!R48="","",Lytchett!R48)</f>
        <v/>
      </c>
      <c r="P342" s="165" t="str">
        <f>IF(Lytchett!S48="","",Lytchett!S48)</f>
        <v/>
      </c>
      <c r="Q342" s="165" t="str">
        <f>IF(Lytchett!T48="","",Lytchett!T48)</f>
        <v/>
      </c>
      <c r="R342" s="165" t="str">
        <f>IF(Lytchett!U48="","",Lytchett!U48)</f>
        <v/>
      </c>
      <c r="S342" s="165" t="str">
        <f>IF(Lytchett!V48="","",Lytchett!V48)</f>
        <v/>
      </c>
      <c r="T342" s="165" t="str">
        <f>IF(Lytchett!W48="","",Lytchett!W48)</f>
        <v/>
      </c>
      <c r="U342" s="165" t="str">
        <f>IF(Lytchett!X48="","",Lytchett!X48)</f>
        <v/>
      </c>
      <c r="V342" s="165" t="str">
        <f>IF(Lytchett!Y48="","",Lytchett!Y48)</f>
        <v/>
      </c>
      <c r="W342" s="261"/>
      <c r="X342" s="225"/>
      <c r="Y342" s="228"/>
      <c r="AA342" s="239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233"/>
    </row>
    <row r="343" spans="2:51" ht="12.75" customHeight="1" x14ac:dyDescent="0.2">
      <c r="B343" s="265" t="s">
        <v>15</v>
      </c>
      <c r="C343" s="264" t="str">
        <f>IF(Parkstone!E7="","",Parkstone!E7)</f>
        <v>Andy Willis</v>
      </c>
      <c r="D343" s="260" t="str">
        <f>LEFT($B$343,3)</f>
        <v>Par</v>
      </c>
      <c r="E343" s="256">
        <f>IF(Parkstone!G7="","",Parkstone!G7)</f>
        <v>10</v>
      </c>
      <c r="F343" s="257">
        <f>IF(Parkstone!H7=0,"",Parkstone!H7)</f>
        <v>2</v>
      </c>
      <c r="G343" s="253">
        <f>IF(Parkstone!I7=0,"",Parkstone!I7)</f>
        <v>8</v>
      </c>
      <c r="H343" s="253">
        <f>IF(Parkstone!J7=0,"",Parkstone!J7)</f>
        <v>17</v>
      </c>
      <c r="I343" s="258">
        <f>IF(Parkstone!K7=0,"",Parkstone!K7)</f>
        <v>37</v>
      </c>
      <c r="J343" s="161">
        <f>IF(Parkstone!M7="","",Parkstone!M7)</f>
        <v>20.010000000000002</v>
      </c>
      <c r="K343" s="162" t="str">
        <f>IF(Parkstone!N7="","",Parkstone!N7)</f>
        <v/>
      </c>
      <c r="L343" s="162">
        <f>IF(Parkstone!O7="","",Parkstone!O7)</f>
        <v>17.39</v>
      </c>
      <c r="M343" s="162">
        <f>IF(Parkstone!P7="","",Parkstone!P7)</f>
        <v>20.11</v>
      </c>
      <c r="N343" s="162">
        <f>IF(Parkstone!Q7="","",Parkstone!Q7)</f>
        <v>19.77</v>
      </c>
      <c r="O343" s="162" t="str">
        <f>IF(Parkstone!R7="","",Parkstone!R7)</f>
        <v/>
      </c>
      <c r="P343" s="162">
        <f>IF(Parkstone!S7="","",Parkstone!S7)</f>
        <v>23.01</v>
      </c>
      <c r="Q343" s="162">
        <f>IF(Parkstone!T7="","",Parkstone!T7)</f>
        <v>18.61</v>
      </c>
      <c r="R343" s="162">
        <f>IF(Parkstone!U7="","",Parkstone!U7)</f>
        <v>20.95</v>
      </c>
      <c r="S343" s="162">
        <f>IF(Parkstone!V7="","",Parkstone!V7)</f>
        <v>16.989999999999998</v>
      </c>
      <c r="T343" s="162">
        <f>IF(Parkstone!W7="","",Parkstone!W7)</f>
        <v>16.920000000000002</v>
      </c>
      <c r="U343" s="162">
        <f>IF(Parkstone!X7="","",Parkstone!X7)</f>
        <v>19.34</v>
      </c>
      <c r="V343" s="162" t="str">
        <f>IF(Parkstone!Y7="","",Parkstone!Y7)</f>
        <v/>
      </c>
      <c r="W343" s="262">
        <f>IF(Parkstone!AA7=0,"",Parkstone!AA7)</f>
        <v>3</v>
      </c>
      <c r="X343" s="254">
        <f>IF(Parkstone!AB7=0,"",Parkstone!AB7)</f>
        <v>19.309999999999999</v>
      </c>
      <c r="Y343" s="255">
        <f>IF(Parkstone!AC7=0,"",Parkstone!AC7)</f>
        <v>21.31</v>
      </c>
      <c r="AA343" s="246">
        <f>Y343</f>
        <v>21.31</v>
      </c>
      <c r="AB343" s="243">
        <f>X343</f>
        <v>19.309999999999999</v>
      </c>
      <c r="AC343" s="185" t="str">
        <f>C343</f>
        <v>Andy Willis</v>
      </c>
      <c r="AD343" s="185" t="str">
        <f>LEFT($B$343,3)</f>
        <v>Par</v>
      </c>
      <c r="AE343" s="185">
        <f t="shared" ref="AE343:AY343" si="168">E343</f>
        <v>10</v>
      </c>
      <c r="AF343" s="185">
        <f t="shared" si="168"/>
        <v>2</v>
      </c>
      <c r="AG343" s="247">
        <f t="shared" si="168"/>
        <v>8</v>
      </c>
      <c r="AH343" s="247">
        <f t="shared" si="168"/>
        <v>17</v>
      </c>
      <c r="AI343" s="247">
        <f t="shared" si="168"/>
        <v>37</v>
      </c>
      <c r="AJ343" s="243">
        <f t="shared" si="168"/>
        <v>20.010000000000002</v>
      </c>
      <c r="AK343" s="243" t="str">
        <f t="shared" si="168"/>
        <v/>
      </c>
      <c r="AL343" s="243">
        <f t="shared" si="168"/>
        <v>17.39</v>
      </c>
      <c r="AM343" s="243">
        <f t="shared" si="168"/>
        <v>20.11</v>
      </c>
      <c r="AN343" s="243">
        <f t="shared" si="168"/>
        <v>19.77</v>
      </c>
      <c r="AO343" s="243" t="str">
        <f t="shared" si="168"/>
        <v/>
      </c>
      <c r="AP343" s="243">
        <f t="shared" si="168"/>
        <v>23.01</v>
      </c>
      <c r="AQ343" s="243">
        <f t="shared" si="168"/>
        <v>18.61</v>
      </c>
      <c r="AR343" s="243">
        <f t="shared" si="168"/>
        <v>20.95</v>
      </c>
      <c r="AS343" s="243">
        <f t="shared" si="168"/>
        <v>16.989999999999998</v>
      </c>
      <c r="AT343" s="243">
        <f t="shared" si="168"/>
        <v>16.920000000000002</v>
      </c>
      <c r="AU343" s="243">
        <f t="shared" si="168"/>
        <v>19.34</v>
      </c>
      <c r="AV343" s="243" t="str">
        <f t="shared" si="168"/>
        <v/>
      </c>
      <c r="AW343" s="247">
        <f t="shared" si="168"/>
        <v>3</v>
      </c>
      <c r="AX343" s="243">
        <f t="shared" si="168"/>
        <v>19.309999999999999</v>
      </c>
      <c r="AY343" s="248">
        <f t="shared" si="168"/>
        <v>21.31</v>
      </c>
    </row>
    <row r="344" spans="2:51" ht="12" customHeight="1" x14ac:dyDescent="0.2">
      <c r="B344" s="266"/>
      <c r="C344" s="235"/>
      <c r="D344" s="235"/>
      <c r="E344" s="239"/>
      <c r="F344" s="182"/>
      <c r="G344" s="182"/>
      <c r="H344" s="182"/>
      <c r="I344" s="233"/>
      <c r="J344" s="163" t="str">
        <f>IF(Parkstone!M8="","",Parkstone!M8)</f>
        <v>0*4(1)</v>
      </c>
      <c r="K344" s="41" t="str">
        <f>IF(Parkstone!N8="","",Parkstone!N8)</f>
        <v/>
      </c>
      <c r="L344" s="41" t="str">
        <f>IF(Parkstone!O8="","",Parkstone!O8)</f>
        <v>2*4</v>
      </c>
      <c r="M344" s="41" t="str">
        <f>IF(Parkstone!P8="","",Parkstone!P8)</f>
        <v>2*4</v>
      </c>
      <c r="N344" s="41" t="str">
        <f>IF(Parkstone!Q8="","",Parkstone!Q8)</f>
        <v>1*4</v>
      </c>
      <c r="O344" s="41" t="str">
        <f>IF(Parkstone!R8="","",Parkstone!R8)</f>
        <v/>
      </c>
      <c r="P344" s="41" t="str">
        <f>IF(Parkstone!S8="","",Parkstone!S8)</f>
        <v>4*2</v>
      </c>
      <c r="Q344" s="41" t="str">
        <f>IF(Parkstone!T8="","",Parkstone!T8)</f>
        <v>0*4</v>
      </c>
      <c r="R344" s="41" t="str">
        <f>IF(Parkstone!U8="","",Parkstone!U8)</f>
        <v>1*4(1)</v>
      </c>
      <c r="S344" s="41" t="str">
        <f>IF(Parkstone!V8="","",Parkstone!V8)</f>
        <v>2*4</v>
      </c>
      <c r="T344" s="41" t="str">
        <f>IF(Parkstone!W8="","",Parkstone!W8)</f>
        <v>1*4</v>
      </c>
      <c r="U344" s="41" t="str">
        <f>IF(Parkstone!X8="","",Parkstone!X8)</f>
        <v>4*3(1)</v>
      </c>
      <c r="V344" s="41" t="str">
        <f>IF(Parkstone!Y8="","",Parkstone!Y8)</f>
        <v/>
      </c>
      <c r="W344" s="201"/>
      <c r="X344" s="182"/>
      <c r="Y344" s="233"/>
      <c r="AA344" s="239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233"/>
    </row>
    <row r="345" spans="2:51" ht="12" customHeight="1" x14ac:dyDescent="0.2">
      <c r="B345" s="266"/>
      <c r="C345" s="263" t="str">
        <f>IF(Parkstone!E9="","",Parkstone!E9)</f>
        <v>Andy Barnes</v>
      </c>
      <c r="D345" s="259" t="str">
        <f>LEFT($B$343,3)</f>
        <v>Par</v>
      </c>
      <c r="E345" s="251">
        <f>IF(Parkstone!G9="","",Parkstone!G9)</f>
        <v>8</v>
      </c>
      <c r="F345" s="181">
        <f>IF(Parkstone!H9=0,"",Parkstone!H9)</f>
        <v>3</v>
      </c>
      <c r="G345" s="186">
        <f>IF(Parkstone!I9=0,"",Parkstone!I9)</f>
        <v>5</v>
      </c>
      <c r="H345" s="186">
        <f>IF(Parkstone!J9=0,"",Parkstone!J9)</f>
        <v>19</v>
      </c>
      <c r="I345" s="252">
        <f>IF(Parkstone!K9=0,"",Parkstone!K9)</f>
        <v>23</v>
      </c>
      <c r="J345" s="163" t="str">
        <f>IF(Parkstone!M9="","",Parkstone!M9)</f>
        <v/>
      </c>
      <c r="K345" s="41" t="str">
        <f>IF(Parkstone!N9="","",Parkstone!N9)</f>
        <v/>
      </c>
      <c r="L345" s="41">
        <f>IF(Parkstone!O9="","",Parkstone!O9)</f>
        <v>19.11</v>
      </c>
      <c r="M345" s="41" t="str">
        <f>IF(Parkstone!P9="","",Parkstone!P9)</f>
        <v/>
      </c>
      <c r="N345" s="41">
        <f>IF(Parkstone!Q9="","",Parkstone!Q9)</f>
        <v>21.03</v>
      </c>
      <c r="O345" s="41" t="str">
        <f>IF(Parkstone!R9="","",Parkstone!R9)</f>
        <v/>
      </c>
      <c r="P345" s="41" t="str">
        <f>IF(Parkstone!S9="","",Parkstone!S9)</f>
        <v/>
      </c>
      <c r="Q345" s="41">
        <f>IF(Parkstone!T9="","",Parkstone!T9)</f>
        <v>21.11</v>
      </c>
      <c r="R345" s="41">
        <f>IF(Parkstone!U9="","",Parkstone!U9)</f>
        <v>20.25</v>
      </c>
      <c r="S345" s="41">
        <f>IF(Parkstone!V9="","",Parkstone!V9)</f>
        <v>19.079999999999998</v>
      </c>
      <c r="T345" s="41">
        <f>IF(Parkstone!W9="","",Parkstone!W9)</f>
        <v>20.03</v>
      </c>
      <c r="U345" s="41">
        <f>IF(Parkstone!X9="","",Parkstone!X9)</f>
        <v>21.09</v>
      </c>
      <c r="V345" s="41">
        <f>IF(Parkstone!Y9="","",Parkstone!Y9)</f>
        <v>16.78</v>
      </c>
      <c r="W345" s="249">
        <f>IF(Parkstone!AA9=0,"",Parkstone!AA9)</f>
        <v>2</v>
      </c>
      <c r="X345" s="244">
        <f>IF(Parkstone!AB9=0,"",Parkstone!AB9)</f>
        <v>19.809999999999999</v>
      </c>
      <c r="Y345" s="245">
        <f>IF(Parkstone!AC9=0,"",Parkstone!AC9)</f>
        <v>22.81</v>
      </c>
      <c r="AA345" s="246">
        <f>Y345</f>
        <v>22.81</v>
      </c>
      <c r="AB345" s="243">
        <f>X345</f>
        <v>19.809999999999999</v>
      </c>
      <c r="AC345" s="185" t="str">
        <f>C345</f>
        <v>Andy Barnes</v>
      </c>
      <c r="AD345" s="185" t="str">
        <f>LEFT($B$343,3)</f>
        <v>Par</v>
      </c>
      <c r="AE345" s="185">
        <f t="shared" ref="AE345:AY345" si="169">E345</f>
        <v>8</v>
      </c>
      <c r="AF345" s="185">
        <f t="shared" si="169"/>
        <v>3</v>
      </c>
      <c r="AG345" s="247">
        <f t="shared" si="169"/>
        <v>5</v>
      </c>
      <c r="AH345" s="247">
        <f t="shared" si="169"/>
        <v>19</v>
      </c>
      <c r="AI345" s="247">
        <f t="shared" si="169"/>
        <v>23</v>
      </c>
      <c r="AJ345" s="243" t="str">
        <f t="shared" si="169"/>
        <v/>
      </c>
      <c r="AK345" s="243" t="str">
        <f t="shared" si="169"/>
        <v/>
      </c>
      <c r="AL345" s="243">
        <f t="shared" si="169"/>
        <v>19.11</v>
      </c>
      <c r="AM345" s="243" t="str">
        <f t="shared" si="169"/>
        <v/>
      </c>
      <c r="AN345" s="243">
        <f t="shared" si="169"/>
        <v>21.03</v>
      </c>
      <c r="AO345" s="243" t="str">
        <f t="shared" si="169"/>
        <v/>
      </c>
      <c r="AP345" s="243" t="str">
        <f t="shared" si="169"/>
        <v/>
      </c>
      <c r="AQ345" s="243">
        <f t="shared" si="169"/>
        <v>21.11</v>
      </c>
      <c r="AR345" s="243">
        <f t="shared" si="169"/>
        <v>20.25</v>
      </c>
      <c r="AS345" s="243">
        <f t="shared" si="169"/>
        <v>19.079999999999998</v>
      </c>
      <c r="AT345" s="243">
        <f t="shared" si="169"/>
        <v>20.03</v>
      </c>
      <c r="AU345" s="243">
        <f t="shared" si="169"/>
        <v>21.09</v>
      </c>
      <c r="AV345" s="243">
        <f t="shared" si="169"/>
        <v>16.78</v>
      </c>
      <c r="AW345" s="247">
        <f t="shared" si="169"/>
        <v>2</v>
      </c>
      <c r="AX345" s="243">
        <f t="shared" si="169"/>
        <v>19.809999999999999</v>
      </c>
      <c r="AY345" s="248">
        <f t="shared" si="169"/>
        <v>22.81</v>
      </c>
    </row>
    <row r="346" spans="2:51" ht="12" customHeight="1" x14ac:dyDescent="0.2">
      <c r="B346" s="266"/>
      <c r="C346" s="235"/>
      <c r="D346" s="235"/>
      <c r="E346" s="239"/>
      <c r="F346" s="182"/>
      <c r="G346" s="182"/>
      <c r="H346" s="182"/>
      <c r="I346" s="233"/>
      <c r="J346" s="163" t="str">
        <f>IF(Parkstone!M10="","",Parkstone!M10)</f>
        <v/>
      </c>
      <c r="K346" s="41" t="str">
        <f>IF(Parkstone!N10="","",Parkstone!N10)</f>
        <v/>
      </c>
      <c r="L346" s="41" t="str">
        <f>IF(Parkstone!O10="","",Parkstone!O10)</f>
        <v>3*4</v>
      </c>
      <c r="M346" s="41" t="str">
        <f>IF(Parkstone!P10="","",Parkstone!P10)</f>
        <v/>
      </c>
      <c r="N346" s="41" t="str">
        <f>IF(Parkstone!Q10="","",Parkstone!Q10)</f>
        <v>4*1(1)</v>
      </c>
      <c r="O346" s="41" t="str">
        <f>IF(Parkstone!R10="","",Parkstone!R10)</f>
        <v/>
      </c>
      <c r="P346" s="41" t="str">
        <f>IF(Parkstone!S10="","",Parkstone!S10)</f>
        <v/>
      </c>
      <c r="Q346" s="41" t="str">
        <f>IF(Parkstone!T10="","",Parkstone!T10)</f>
        <v>4*2</v>
      </c>
      <c r="R346" s="41" t="str">
        <f>IF(Parkstone!U10="","",Parkstone!U10)</f>
        <v>1*4</v>
      </c>
      <c r="S346" s="41" t="str">
        <f>IF(Parkstone!V10="","",Parkstone!V10)</f>
        <v>2*4</v>
      </c>
      <c r="T346" s="41" t="str">
        <f>IF(Parkstone!W10="","",Parkstone!W10)</f>
        <v>1*4</v>
      </c>
      <c r="U346" s="41" t="str">
        <f>IF(Parkstone!X10="","",Parkstone!X10)</f>
        <v>4*0(1)</v>
      </c>
      <c r="V346" s="41" t="str">
        <f>IF(Parkstone!Y10="","",Parkstone!Y10)</f>
        <v>0*4</v>
      </c>
      <c r="W346" s="201"/>
      <c r="X346" s="182"/>
      <c r="Y346" s="233"/>
      <c r="AA346" s="239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233"/>
    </row>
    <row r="347" spans="2:51" ht="12" customHeight="1" x14ac:dyDescent="0.2">
      <c r="B347" s="266"/>
      <c r="C347" s="263" t="str">
        <f>IF(Parkstone!E11="","",Parkstone!E11)</f>
        <v>Nick Turner</v>
      </c>
      <c r="D347" s="259" t="str">
        <f>LEFT($B$343,3)</f>
        <v>Par</v>
      </c>
      <c r="E347" s="251">
        <f>IF(Parkstone!G11="","",Parkstone!G11)</f>
        <v>9</v>
      </c>
      <c r="F347" s="181">
        <f>IF(Parkstone!H11=0,"",Parkstone!H11)</f>
        <v>7</v>
      </c>
      <c r="G347" s="186">
        <f>IF(Parkstone!I11=0,"",Parkstone!I11)</f>
        <v>2</v>
      </c>
      <c r="H347" s="186">
        <f>IF(Parkstone!J11=0,"",Parkstone!J11)</f>
        <v>34</v>
      </c>
      <c r="I347" s="252">
        <f>IF(Parkstone!K11=0,"",Parkstone!K11)</f>
        <v>21</v>
      </c>
      <c r="J347" s="163">
        <f>IF(Parkstone!M11="","",Parkstone!M11)</f>
        <v>24.84</v>
      </c>
      <c r="K347" s="41">
        <f>IF(Parkstone!N11="","",Parkstone!N11)</f>
        <v>26.03</v>
      </c>
      <c r="L347" s="41">
        <f>IF(Parkstone!O11="","",Parkstone!O11)</f>
        <v>21.77</v>
      </c>
      <c r="M347" s="41" t="str">
        <f>IF(Parkstone!P11="","",Parkstone!P11)</f>
        <v/>
      </c>
      <c r="N347" s="41">
        <f>IF(Parkstone!Q11="","",Parkstone!Q11)</f>
        <v>23.56</v>
      </c>
      <c r="O347" s="41">
        <f>IF(Parkstone!R11="","",Parkstone!R11)</f>
        <v>20.77</v>
      </c>
      <c r="P347" s="41">
        <f>IF(Parkstone!S11="","",Parkstone!S11)</f>
        <v>21.26</v>
      </c>
      <c r="Q347" s="41">
        <f>IF(Parkstone!T11="","",Parkstone!T11)</f>
        <v>20.74</v>
      </c>
      <c r="R347" s="41">
        <f>IF(Parkstone!U11="","",Parkstone!U11)</f>
        <v>23.55</v>
      </c>
      <c r="S347" s="41">
        <f>IF(Parkstone!V11="","",Parkstone!V11)</f>
        <v>20.73</v>
      </c>
      <c r="T347" s="41" t="str">
        <f>IF(Parkstone!W11="","",Parkstone!W11)</f>
        <v/>
      </c>
      <c r="U347" s="41" t="str">
        <f>IF(Parkstone!X11="","",Parkstone!X11)</f>
        <v/>
      </c>
      <c r="V347" s="41" t="str">
        <f>IF(Parkstone!Y11="","",Parkstone!Y11)</f>
        <v/>
      </c>
      <c r="W347" s="249">
        <f>IF(Parkstone!AA11=0,"",Parkstone!AA11)</f>
        <v>3</v>
      </c>
      <c r="X347" s="244">
        <f>IF(Parkstone!AB11=0,"",Parkstone!AB11)</f>
        <v>22.583333333333332</v>
      </c>
      <c r="Y347" s="245">
        <f>IF(Parkstone!AC11=0,"",Parkstone!AC11)</f>
        <v>29.583333333333332</v>
      </c>
      <c r="AA347" s="246">
        <f>Y347</f>
        <v>29.583333333333332</v>
      </c>
      <c r="AB347" s="243">
        <f>X347</f>
        <v>22.583333333333332</v>
      </c>
      <c r="AC347" s="185" t="str">
        <f>C347</f>
        <v>Nick Turner</v>
      </c>
      <c r="AD347" s="185" t="str">
        <f>LEFT($B$343,3)</f>
        <v>Par</v>
      </c>
      <c r="AE347" s="185">
        <f t="shared" ref="AE347:AY347" si="170">E347</f>
        <v>9</v>
      </c>
      <c r="AF347" s="185">
        <f t="shared" si="170"/>
        <v>7</v>
      </c>
      <c r="AG347" s="247">
        <f t="shared" si="170"/>
        <v>2</v>
      </c>
      <c r="AH347" s="247">
        <f t="shared" si="170"/>
        <v>34</v>
      </c>
      <c r="AI347" s="247">
        <f t="shared" si="170"/>
        <v>21</v>
      </c>
      <c r="AJ347" s="243">
        <f t="shared" si="170"/>
        <v>24.84</v>
      </c>
      <c r="AK347" s="243">
        <f t="shared" si="170"/>
        <v>26.03</v>
      </c>
      <c r="AL347" s="243">
        <f t="shared" si="170"/>
        <v>21.77</v>
      </c>
      <c r="AM347" s="243" t="str">
        <f t="shared" si="170"/>
        <v/>
      </c>
      <c r="AN347" s="243">
        <f t="shared" si="170"/>
        <v>23.56</v>
      </c>
      <c r="AO347" s="243">
        <f t="shared" si="170"/>
        <v>20.77</v>
      </c>
      <c r="AP347" s="243">
        <f t="shared" si="170"/>
        <v>21.26</v>
      </c>
      <c r="AQ347" s="243">
        <f t="shared" si="170"/>
        <v>20.74</v>
      </c>
      <c r="AR347" s="243">
        <f t="shared" si="170"/>
        <v>23.55</v>
      </c>
      <c r="AS347" s="243">
        <f t="shared" si="170"/>
        <v>20.73</v>
      </c>
      <c r="AT347" s="243" t="str">
        <f t="shared" si="170"/>
        <v/>
      </c>
      <c r="AU347" s="243" t="str">
        <f t="shared" si="170"/>
        <v/>
      </c>
      <c r="AV347" s="243" t="str">
        <f t="shared" si="170"/>
        <v/>
      </c>
      <c r="AW347" s="247">
        <f t="shared" si="170"/>
        <v>3</v>
      </c>
      <c r="AX347" s="243">
        <f t="shared" si="170"/>
        <v>22.583333333333332</v>
      </c>
      <c r="AY347" s="248">
        <f t="shared" si="170"/>
        <v>29.583333333333332</v>
      </c>
    </row>
    <row r="348" spans="2:51" ht="12" customHeight="1" x14ac:dyDescent="0.2">
      <c r="B348" s="266"/>
      <c r="C348" s="235"/>
      <c r="D348" s="235"/>
      <c r="E348" s="239"/>
      <c r="F348" s="182"/>
      <c r="G348" s="182"/>
      <c r="H348" s="182"/>
      <c r="I348" s="233"/>
      <c r="J348" s="163" t="str">
        <f>IF(Parkstone!M12="","",Parkstone!M12)</f>
        <v>4*2</v>
      </c>
      <c r="K348" s="41" t="str">
        <f>IF(Parkstone!N12="","",Parkstone!N12)</f>
        <v>4*0</v>
      </c>
      <c r="L348" s="41" t="str">
        <f>IF(Parkstone!O12="","",Parkstone!O12)</f>
        <v>4*1</v>
      </c>
      <c r="M348" s="41" t="str">
        <f>IF(Parkstone!P12="","",Parkstone!P12)</f>
        <v/>
      </c>
      <c r="N348" s="41" t="str">
        <f>IF(Parkstone!Q12="","",Parkstone!Q12)</f>
        <v>3*4(1)</v>
      </c>
      <c r="O348" s="41" t="str">
        <f>IF(Parkstone!R12="","",Parkstone!R12)</f>
        <v>4*3</v>
      </c>
      <c r="P348" s="41" t="str">
        <f>IF(Parkstone!S12="","",Parkstone!S12)</f>
        <v>4*2</v>
      </c>
      <c r="Q348" s="41" t="str">
        <f>IF(Parkstone!T12="","",Parkstone!T12)</f>
        <v>4*3(1)</v>
      </c>
      <c r="R348" s="41" t="str">
        <f>IF(Parkstone!U12="","",Parkstone!U12)</f>
        <v>4*2</v>
      </c>
      <c r="S348" s="41" t="str">
        <f>IF(Parkstone!V12="","",Parkstone!V12)</f>
        <v>3*4(1)</v>
      </c>
      <c r="T348" s="41" t="str">
        <f>IF(Parkstone!W12="","",Parkstone!W12)</f>
        <v/>
      </c>
      <c r="U348" s="41" t="str">
        <f>IF(Parkstone!X12="","",Parkstone!X12)</f>
        <v/>
      </c>
      <c r="V348" s="41" t="str">
        <f>IF(Parkstone!Y12="","",Parkstone!Y12)</f>
        <v/>
      </c>
      <c r="W348" s="201"/>
      <c r="X348" s="182"/>
      <c r="Y348" s="233"/>
      <c r="AA348" s="239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233"/>
    </row>
    <row r="349" spans="2:51" ht="12" customHeight="1" x14ac:dyDescent="0.2">
      <c r="B349" s="266"/>
      <c r="C349" s="263" t="str">
        <f>IF(Parkstone!E13="","",Parkstone!E13)</f>
        <v>Simon Cross</v>
      </c>
      <c r="D349" s="259" t="str">
        <f>LEFT($B$343,3)</f>
        <v>Par</v>
      </c>
      <c r="E349" s="251">
        <f>IF(Parkstone!G13="","",Parkstone!G13)</f>
        <v>12</v>
      </c>
      <c r="F349" s="181">
        <f>IF(Parkstone!H13=0,"",Parkstone!H13)</f>
        <v>5</v>
      </c>
      <c r="G349" s="186">
        <f>IF(Parkstone!I13=0,"",Parkstone!I13)</f>
        <v>7</v>
      </c>
      <c r="H349" s="186">
        <f>IF(Parkstone!J13=0,"",Parkstone!J13)</f>
        <v>29</v>
      </c>
      <c r="I349" s="252">
        <f>IF(Parkstone!K13=0,"",Parkstone!K13)</f>
        <v>39</v>
      </c>
      <c r="J349" s="163">
        <f>IF(Parkstone!M13="","",Parkstone!M13)</f>
        <v>18.260000000000002</v>
      </c>
      <c r="K349" s="41">
        <f>IF(Parkstone!N13="","",Parkstone!N13)</f>
        <v>20.92</v>
      </c>
      <c r="L349" s="41">
        <f>IF(Parkstone!O13="","",Parkstone!O13)</f>
        <v>20.88</v>
      </c>
      <c r="M349" s="41">
        <f>IF(Parkstone!P13="","",Parkstone!P13)</f>
        <v>20.55</v>
      </c>
      <c r="N349" s="41">
        <f>IF(Parkstone!Q13="","",Parkstone!Q13)</f>
        <v>20.04</v>
      </c>
      <c r="O349" s="41">
        <f>IF(Parkstone!R13="","",Parkstone!R13)</f>
        <v>22.02</v>
      </c>
      <c r="P349" s="41">
        <f>IF(Parkstone!S13="","",Parkstone!S13)</f>
        <v>23.2</v>
      </c>
      <c r="Q349" s="41">
        <f>IF(Parkstone!T13="","",Parkstone!T13)</f>
        <v>18.75</v>
      </c>
      <c r="R349" s="41" t="str">
        <f>IF(Parkstone!U13="","",Parkstone!U13)</f>
        <v/>
      </c>
      <c r="S349" s="41">
        <f>IF(Parkstone!V13="","",Parkstone!V13)</f>
        <v>21.35</v>
      </c>
      <c r="T349" s="41">
        <f>IF(Parkstone!W13="","",Parkstone!W13)</f>
        <v>18.760000000000002</v>
      </c>
      <c r="U349" s="41">
        <f>IF(Parkstone!X13="","",Parkstone!X13)</f>
        <v>23.12</v>
      </c>
      <c r="V349" s="41">
        <f>IF(Parkstone!Y13="","",Parkstone!Y13)</f>
        <v>19.190000000000001</v>
      </c>
      <c r="W349" s="249">
        <f>IF(Parkstone!AA13=0,"",Parkstone!AA13)</f>
        <v>6</v>
      </c>
      <c r="X349" s="244">
        <f>IF(Parkstone!AB13=0,"",Parkstone!AB13)</f>
        <v>20.586666666666666</v>
      </c>
      <c r="Y349" s="245">
        <f>IF(Parkstone!AC13=0,"",Parkstone!AC13)</f>
        <v>25.586666666666666</v>
      </c>
      <c r="AA349" s="246">
        <f>Y349</f>
        <v>25.586666666666666</v>
      </c>
      <c r="AB349" s="243">
        <f>X349</f>
        <v>20.586666666666666</v>
      </c>
      <c r="AC349" s="185" t="str">
        <f>C349</f>
        <v>Simon Cross</v>
      </c>
      <c r="AD349" s="185" t="str">
        <f>LEFT($B$343,3)</f>
        <v>Par</v>
      </c>
      <c r="AE349" s="185">
        <f t="shared" ref="AE349:AY349" si="171">E349</f>
        <v>12</v>
      </c>
      <c r="AF349" s="185">
        <f t="shared" si="171"/>
        <v>5</v>
      </c>
      <c r="AG349" s="247">
        <f t="shared" si="171"/>
        <v>7</v>
      </c>
      <c r="AH349" s="247">
        <f t="shared" si="171"/>
        <v>29</v>
      </c>
      <c r="AI349" s="247">
        <f t="shared" si="171"/>
        <v>39</v>
      </c>
      <c r="AJ349" s="243">
        <f t="shared" si="171"/>
        <v>18.260000000000002</v>
      </c>
      <c r="AK349" s="243">
        <f t="shared" si="171"/>
        <v>20.92</v>
      </c>
      <c r="AL349" s="243">
        <f t="shared" si="171"/>
        <v>20.88</v>
      </c>
      <c r="AM349" s="243">
        <f t="shared" si="171"/>
        <v>20.55</v>
      </c>
      <c r="AN349" s="243">
        <f t="shared" si="171"/>
        <v>20.04</v>
      </c>
      <c r="AO349" s="243">
        <f t="shared" si="171"/>
        <v>22.02</v>
      </c>
      <c r="AP349" s="243">
        <f t="shared" si="171"/>
        <v>23.2</v>
      </c>
      <c r="AQ349" s="243">
        <f t="shared" si="171"/>
        <v>18.75</v>
      </c>
      <c r="AR349" s="243" t="str">
        <f t="shared" si="171"/>
        <v/>
      </c>
      <c r="AS349" s="243">
        <f t="shared" si="171"/>
        <v>21.35</v>
      </c>
      <c r="AT349" s="243">
        <f t="shared" si="171"/>
        <v>18.760000000000002</v>
      </c>
      <c r="AU349" s="243">
        <f t="shared" si="171"/>
        <v>23.12</v>
      </c>
      <c r="AV349" s="243">
        <f t="shared" si="171"/>
        <v>19.190000000000001</v>
      </c>
      <c r="AW349" s="247">
        <f t="shared" si="171"/>
        <v>6</v>
      </c>
      <c r="AX349" s="243">
        <f t="shared" si="171"/>
        <v>20.586666666666666</v>
      </c>
      <c r="AY349" s="248">
        <f t="shared" si="171"/>
        <v>25.586666666666666</v>
      </c>
    </row>
    <row r="350" spans="2:51" ht="12" customHeight="1" x14ac:dyDescent="0.2">
      <c r="B350" s="266"/>
      <c r="C350" s="235"/>
      <c r="D350" s="235"/>
      <c r="E350" s="239"/>
      <c r="F350" s="182"/>
      <c r="G350" s="182"/>
      <c r="H350" s="182"/>
      <c r="I350" s="233"/>
      <c r="J350" s="163" t="str">
        <f>IF(Parkstone!M14="","",Parkstone!M14)</f>
        <v>4*3</v>
      </c>
      <c r="K350" s="41" t="str">
        <f>IF(Parkstone!N14="","",Parkstone!N14)</f>
        <v>4*2</v>
      </c>
      <c r="L350" s="41" t="str">
        <f>IF(Parkstone!O14="","",Parkstone!O14)</f>
        <v>1*4(1)</v>
      </c>
      <c r="M350" s="41" t="str">
        <f>IF(Parkstone!P14="","",Parkstone!P14)</f>
        <v>2*4</v>
      </c>
      <c r="N350" s="41" t="str">
        <f>IF(Parkstone!Q14="","",Parkstone!Q14)</f>
        <v>4*3</v>
      </c>
      <c r="O350" s="41" t="str">
        <f>IF(Parkstone!R14="","",Parkstone!R14)</f>
        <v>4*0</v>
      </c>
      <c r="P350" s="41" t="str">
        <f>IF(Parkstone!S14="","",Parkstone!S14)</f>
        <v>2*4</v>
      </c>
      <c r="Q350" s="41" t="str">
        <f>IF(Parkstone!T14="","",Parkstone!T14)</f>
        <v>2*4</v>
      </c>
      <c r="R350" s="41" t="str">
        <f>IF(Parkstone!U14="","",Parkstone!U14)</f>
        <v/>
      </c>
      <c r="S350" s="41" t="str">
        <f>IF(Parkstone!V14="","",Parkstone!V14)</f>
        <v>0*4</v>
      </c>
      <c r="T350" s="41" t="str">
        <f>IF(Parkstone!W14="","",Parkstone!W14)</f>
        <v>2*4(1)</v>
      </c>
      <c r="U350" s="41" t="str">
        <f>IF(Parkstone!X14="","",Parkstone!X14)</f>
        <v>4*3(3)</v>
      </c>
      <c r="V350" s="41" t="str">
        <f>IF(Parkstone!Y14="","",Parkstone!Y14)</f>
        <v>0*4(1)</v>
      </c>
      <c r="W350" s="201"/>
      <c r="X350" s="182"/>
      <c r="Y350" s="233"/>
      <c r="AA350" s="239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233"/>
    </row>
    <row r="351" spans="2:51" ht="12" customHeight="1" x14ac:dyDescent="0.2">
      <c r="B351" s="266"/>
      <c r="C351" s="263" t="str">
        <f>IF(Parkstone!E15="","",Parkstone!E15)</f>
        <v>Jason James</v>
      </c>
      <c r="D351" s="259" t="str">
        <f>LEFT($B$343,3)</f>
        <v>Par</v>
      </c>
      <c r="E351" s="251">
        <f>IF(Parkstone!G15="","",Parkstone!G15)</f>
        <v>3</v>
      </c>
      <c r="F351" s="181">
        <f>IF(Parkstone!H15=0,"",Parkstone!H15)</f>
        <v>3</v>
      </c>
      <c r="G351" s="181" t="str">
        <f>IF(Parkstone!I15=0,"",Parkstone!I15)</f>
        <v/>
      </c>
      <c r="H351" s="186">
        <f>IF(Parkstone!J15=0,"",Parkstone!J15)</f>
        <v>12</v>
      </c>
      <c r="I351" s="252">
        <f>IF(Parkstone!K15=0,"",Parkstone!K15)</f>
        <v>6</v>
      </c>
      <c r="J351" s="163" t="str">
        <f>IF(Parkstone!M15="","",Parkstone!M15)</f>
        <v/>
      </c>
      <c r="K351" s="41" t="str">
        <f>IF(Parkstone!N15="","",Parkstone!N15)</f>
        <v/>
      </c>
      <c r="L351" s="41" t="str">
        <f>IF(Parkstone!O15="","",Parkstone!O15)</f>
        <v/>
      </c>
      <c r="M351" s="41" t="str">
        <f>IF(Parkstone!P15="","",Parkstone!P15)</f>
        <v/>
      </c>
      <c r="N351" s="41">
        <f>IF(Parkstone!Q15="","",Parkstone!Q15)</f>
        <v>18.37</v>
      </c>
      <c r="O351" s="41" t="str">
        <f>IF(Parkstone!R15="","",Parkstone!R15)</f>
        <v/>
      </c>
      <c r="P351" s="41" t="str">
        <f>IF(Parkstone!S15="","",Parkstone!S15)</f>
        <v/>
      </c>
      <c r="Q351" s="41" t="str">
        <f>IF(Parkstone!T15="","",Parkstone!T15)</f>
        <v/>
      </c>
      <c r="R351" s="41" t="str">
        <f>IF(Parkstone!U15="","",Parkstone!U15)</f>
        <v/>
      </c>
      <c r="S351" s="41" t="str">
        <f>IF(Parkstone!V15="","",Parkstone!V15)</f>
        <v/>
      </c>
      <c r="T351" s="41">
        <f>IF(Parkstone!W15="","",Parkstone!W15)</f>
        <v>21.41</v>
      </c>
      <c r="U351" s="41" t="str">
        <f>IF(Parkstone!X15="","",Parkstone!X15)</f>
        <v/>
      </c>
      <c r="V351" s="41">
        <f>IF(Parkstone!Y15="","",Parkstone!Y15)</f>
        <v>21.18</v>
      </c>
      <c r="W351" s="249" t="str">
        <f>IF(Parkstone!AA15=0,"",Parkstone!AA15)</f>
        <v/>
      </c>
      <c r="X351" s="244">
        <f>IF(Parkstone!AB15=0,"",Parkstone!AB15)</f>
        <v>20.32</v>
      </c>
      <c r="Y351" s="245">
        <f>IF(Parkstone!AC15=0,"",Parkstone!AC15)</f>
        <v>23.32</v>
      </c>
      <c r="AA351" s="246">
        <f>Y351</f>
        <v>23.32</v>
      </c>
      <c r="AB351" s="243">
        <f>X351</f>
        <v>20.32</v>
      </c>
      <c r="AC351" s="185" t="str">
        <f>C351</f>
        <v>Jason James</v>
      </c>
      <c r="AD351" s="185" t="str">
        <f>LEFT($B$343,3)</f>
        <v>Par</v>
      </c>
      <c r="AE351" s="185">
        <f t="shared" ref="AE351:AY351" si="172">E351</f>
        <v>3</v>
      </c>
      <c r="AF351" s="185">
        <f t="shared" si="172"/>
        <v>3</v>
      </c>
      <c r="AG351" s="185" t="str">
        <f t="shared" si="172"/>
        <v/>
      </c>
      <c r="AH351" s="247">
        <f t="shared" si="172"/>
        <v>12</v>
      </c>
      <c r="AI351" s="247">
        <f t="shared" si="172"/>
        <v>6</v>
      </c>
      <c r="AJ351" s="243" t="str">
        <f t="shared" si="172"/>
        <v/>
      </c>
      <c r="AK351" s="243" t="str">
        <f t="shared" si="172"/>
        <v/>
      </c>
      <c r="AL351" s="243" t="str">
        <f t="shared" si="172"/>
        <v/>
      </c>
      <c r="AM351" s="243" t="str">
        <f t="shared" si="172"/>
        <v/>
      </c>
      <c r="AN351" s="243">
        <f t="shared" si="172"/>
        <v>18.37</v>
      </c>
      <c r="AO351" s="243" t="str">
        <f t="shared" si="172"/>
        <v/>
      </c>
      <c r="AP351" s="243" t="str">
        <f t="shared" si="172"/>
        <v/>
      </c>
      <c r="AQ351" s="243" t="str">
        <f t="shared" si="172"/>
        <v/>
      </c>
      <c r="AR351" s="243" t="str">
        <f t="shared" si="172"/>
        <v/>
      </c>
      <c r="AS351" s="243" t="str">
        <f t="shared" si="172"/>
        <v/>
      </c>
      <c r="AT351" s="243">
        <f t="shared" si="172"/>
        <v>21.41</v>
      </c>
      <c r="AU351" s="243" t="str">
        <f t="shared" si="172"/>
        <v/>
      </c>
      <c r="AV351" s="243">
        <f t="shared" si="172"/>
        <v>21.18</v>
      </c>
      <c r="AW351" s="247" t="str">
        <f t="shared" si="172"/>
        <v/>
      </c>
      <c r="AX351" s="243">
        <f t="shared" si="172"/>
        <v>20.32</v>
      </c>
      <c r="AY351" s="248">
        <f t="shared" si="172"/>
        <v>23.32</v>
      </c>
    </row>
    <row r="352" spans="2:51" ht="12" customHeight="1" x14ac:dyDescent="0.2">
      <c r="B352" s="266"/>
      <c r="C352" s="235"/>
      <c r="D352" s="235"/>
      <c r="E352" s="239"/>
      <c r="F352" s="182"/>
      <c r="G352" s="182"/>
      <c r="H352" s="182"/>
      <c r="I352" s="233"/>
      <c r="J352" s="163" t="str">
        <f>IF(Parkstone!M16="","",Parkstone!M16)</f>
        <v/>
      </c>
      <c r="K352" s="41" t="str">
        <f>IF(Parkstone!N16="","",Parkstone!N16)</f>
        <v/>
      </c>
      <c r="L352" s="41" t="str">
        <f>IF(Parkstone!O16="","",Parkstone!O16)</f>
        <v/>
      </c>
      <c r="M352" s="41" t="str">
        <f>IF(Parkstone!P16="","",Parkstone!P16)</f>
        <v/>
      </c>
      <c r="N352" s="41" t="str">
        <f>IF(Parkstone!Q16="","",Parkstone!Q16)</f>
        <v>4*1</v>
      </c>
      <c r="O352" s="41" t="str">
        <f>IF(Parkstone!R16="","",Parkstone!R16)</f>
        <v/>
      </c>
      <c r="P352" s="41" t="str">
        <f>IF(Parkstone!S16="","",Parkstone!S16)</f>
        <v/>
      </c>
      <c r="Q352" s="41" t="str">
        <f>IF(Parkstone!T16="","",Parkstone!T16)</f>
        <v/>
      </c>
      <c r="R352" s="41" t="str">
        <f>IF(Parkstone!U16="","",Parkstone!U16)</f>
        <v/>
      </c>
      <c r="S352" s="41" t="str">
        <f>IF(Parkstone!V16="","",Parkstone!V16)</f>
        <v/>
      </c>
      <c r="T352" s="41" t="str">
        <f>IF(Parkstone!W16="","",Parkstone!W16)</f>
        <v>4*3</v>
      </c>
      <c r="U352" s="41" t="str">
        <f>IF(Parkstone!X16="","",Parkstone!X16)</f>
        <v/>
      </c>
      <c r="V352" s="41" t="str">
        <f>IF(Parkstone!Y16="","",Parkstone!Y16)</f>
        <v>4*2</v>
      </c>
      <c r="W352" s="201"/>
      <c r="X352" s="182"/>
      <c r="Y352" s="233"/>
      <c r="AA352" s="239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233"/>
    </row>
    <row r="353" spans="2:51" ht="12" customHeight="1" x14ac:dyDescent="0.2">
      <c r="B353" s="266"/>
      <c r="C353" s="263" t="str">
        <f>IF(Parkstone!E17="","",Parkstone!E17)</f>
        <v>Lawrence Prodger</v>
      </c>
      <c r="D353" s="259" t="str">
        <f>LEFT($B$343,3)</f>
        <v>Par</v>
      </c>
      <c r="E353" s="251">
        <f>IF(Parkstone!G17="","",Parkstone!G17)</f>
        <v>11</v>
      </c>
      <c r="F353" s="181">
        <f>IF(Parkstone!H17=0,"",Parkstone!H17)</f>
        <v>6</v>
      </c>
      <c r="G353" s="186">
        <f>IF(Parkstone!I17=0,"",Parkstone!I17)</f>
        <v>5</v>
      </c>
      <c r="H353" s="186">
        <f>IF(Parkstone!J17=0,"",Parkstone!J17)</f>
        <v>34</v>
      </c>
      <c r="I353" s="252">
        <f>IF(Parkstone!K17=0,"",Parkstone!K17)</f>
        <v>32</v>
      </c>
      <c r="J353" s="163">
        <f>IF(Parkstone!M17="","",Parkstone!M17)</f>
        <v>22.76</v>
      </c>
      <c r="K353" s="41">
        <f>IF(Parkstone!N17="","",Parkstone!N17)</f>
        <v>20.25</v>
      </c>
      <c r="L353" s="41" t="str">
        <f>IF(Parkstone!O17="","",Parkstone!O17)</f>
        <v/>
      </c>
      <c r="M353" s="41">
        <f>IF(Parkstone!P17="","",Parkstone!P17)</f>
        <v>21.84</v>
      </c>
      <c r="N353" s="41">
        <f>IF(Parkstone!Q17="","",Parkstone!Q17)</f>
        <v>23.48</v>
      </c>
      <c r="O353" s="41">
        <f>IF(Parkstone!R17="","",Parkstone!R17)</f>
        <v>25.12</v>
      </c>
      <c r="P353" s="41">
        <f>IF(Parkstone!S17="","",Parkstone!S17)</f>
        <v>21.57</v>
      </c>
      <c r="Q353" s="41">
        <f>IF(Parkstone!T17="","",Parkstone!T17)</f>
        <v>20.71</v>
      </c>
      <c r="R353" s="41">
        <f>IF(Parkstone!U17="","",Parkstone!U17)</f>
        <v>23.58</v>
      </c>
      <c r="S353" s="41">
        <f>IF(Parkstone!V17="","",Parkstone!V17)</f>
        <v>23.15</v>
      </c>
      <c r="T353" s="41">
        <f>IF(Parkstone!W17="","",Parkstone!W17)</f>
        <v>24.51</v>
      </c>
      <c r="U353" s="41">
        <f>IF(Parkstone!X17="","",Parkstone!X17)</f>
        <v>25.19</v>
      </c>
      <c r="V353" s="41" t="str">
        <f>IF(Parkstone!Y17="","",Parkstone!Y17)</f>
        <v/>
      </c>
      <c r="W353" s="249">
        <f>IF(Parkstone!AA17=0,"",Parkstone!AA17)</f>
        <v>1</v>
      </c>
      <c r="X353" s="244">
        <f>IF(Parkstone!AB17=0,"",Parkstone!AB17)</f>
        <v>22.923636363636362</v>
      </c>
      <c r="Y353" s="245">
        <f>IF(Parkstone!AC17=0,"",Parkstone!AC17)</f>
        <v>28.923636363636362</v>
      </c>
      <c r="AA353" s="246">
        <f>Y353</f>
        <v>28.923636363636362</v>
      </c>
      <c r="AB353" s="243">
        <f>X353</f>
        <v>22.923636363636362</v>
      </c>
      <c r="AC353" s="185" t="str">
        <f>C353</f>
        <v>Lawrence Prodger</v>
      </c>
      <c r="AD353" s="185" t="str">
        <f>LEFT($B$343,3)</f>
        <v>Par</v>
      </c>
      <c r="AE353" s="185">
        <f t="shared" ref="AE353:AY353" si="173">E353</f>
        <v>11</v>
      </c>
      <c r="AF353" s="185">
        <f t="shared" si="173"/>
        <v>6</v>
      </c>
      <c r="AG353" s="247">
        <f t="shared" si="173"/>
        <v>5</v>
      </c>
      <c r="AH353" s="247">
        <f t="shared" si="173"/>
        <v>34</v>
      </c>
      <c r="AI353" s="247">
        <f t="shared" si="173"/>
        <v>32</v>
      </c>
      <c r="AJ353" s="243">
        <f t="shared" si="173"/>
        <v>22.76</v>
      </c>
      <c r="AK353" s="243">
        <f t="shared" si="173"/>
        <v>20.25</v>
      </c>
      <c r="AL353" s="243" t="str">
        <f t="shared" si="173"/>
        <v/>
      </c>
      <c r="AM353" s="243">
        <f t="shared" si="173"/>
        <v>21.84</v>
      </c>
      <c r="AN353" s="243">
        <f t="shared" si="173"/>
        <v>23.48</v>
      </c>
      <c r="AO353" s="243">
        <f t="shared" si="173"/>
        <v>25.12</v>
      </c>
      <c r="AP353" s="243">
        <f t="shared" si="173"/>
        <v>21.57</v>
      </c>
      <c r="AQ353" s="243">
        <f t="shared" si="173"/>
        <v>20.71</v>
      </c>
      <c r="AR353" s="243">
        <f t="shared" si="173"/>
        <v>23.58</v>
      </c>
      <c r="AS353" s="243">
        <f t="shared" si="173"/>
        <v>23.15</v>
      </c>
      <c r="AT353" s="243">
        <f t="shared" si="173"/>
        <v>24.51</v>
      </c>
      <c r="AU353" s="243">
        <f t="shared" si="173"/>
        <v>25.19</v>
      </c>
      <c r="AV353" s="243" t="str">
        <f t="shared" si="173"/>
        <v/>
      </c>
      <c r="AW353" s="247">
        <f t="shared" si="173"/>
        <v>1</v>
      </c>
      <c r="AX353" s="243">
        <f t="shared" si="173"/>
        <v>22.923636363636362</v>
      </c>
      <c r="AY353" s="248">
        <f t="shared" si="173"/>
        <v>28.923636363636362</v>
      </c>
    </row>
    <row r="354" spans="2:51" ht="12" customHeight="1" x14ac:dyDescent="0.2">
      <c r="B354" s="266"/>
      <c r="C354" s="235"/>
      <c r="D354" s="235"/>
      <c r="E354" s="239"/>
      <c r="F354" s="182"/>
      <c r="G354" s="182"/>
      <c r="H354" s="182"/>
      <c r="I354" s="233"/>
      <c r="J354" s="163" t="str">
        <f>IF(Parkstone!M18="","",Parkstone!M18)</f>
        <v>3*4</v>
      </c>
      <c r="K354" s="41" t="str">
        <f>IF(Parkstone!N18="","",Parkstone!N18)</f>
        <v>2*4</v>
      </c>
      <c r="L354" s="41" t="str">
        <f>IF(Parkstone!O18="","",Parkstone!O18)</f>
        <v/>
      </c>
      <c r="M354" s="41" t="str">
        <f>IF(Parkstone!P18="","",Parkstone!P18)</f>
        <v>4*2</v>
      </c>
      <c r="N354" s="41" t="str">
        <f>IF(Parkstone!Q18="","",Parkstone!Q18)</f>
        <v>4*3</v>
      </c>
      <c r="O354" s="41" t="str">
        <f>IF(Parkstone!R18="","",Parkstone!R18)</f>
        <v>4*2</v>
      </c>
      <c r="P354" s="41" t="str">
        <f>IF(Parkstone!S18="","",Parkstone!S18)</f>
        <v>4*3</v>
      </c>
      <c r="Q354" s="41" t="str">
        <f>IF(Parkstone!T18="","",Parkstone!T18)</f>
        <v>2*4</v>
      </c>
      <c r="R354" s="41" t="str">
        <f>IF(Parkstone!U18="","",Parkstone!U18)</f>
        <v>4*0</v>
      </c>
      <c r="S354" s="41" t="str">
        <f>IF(Parkstone!V18="","",Parkstone!V18)</f>
        <v>1*4</v>
      </c>
      <c r="T354" s="41" t="str">
        <f>IF(Parkstone!W18="","",Parkstone!W18)</f>
        <v>4*2</v>
      </c>
      <c r="U354" s="41" t="str">
        <f>IF(Parkstone!X18="","",Parkstone!X18)</f>
        <v>2*4(1)</v>
      </c>
      <c r="V354" s="41" t="str">
        <f>IF(Parkstone!Y18="","",Parkstone!Y18)</f>
        <v/>
      </c>
      <c r="W354" s="201"/>
      <c r="X354" s="182"/>
      <c r="Y354" s="233"/>
      <c r="AA354" s="239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233"/>
    </row>
    <row r="355" spans="2:51" ht="12" customHeight="1" x14ac:dyDescent="0.2">
      <c r="B355" s="266"/>
      <c r="C355" s="263" t="str">
        <f>IF(Parkstone!E19="","",Parkstone!E19)</f>
        <v>Brian Quilter</v>
      </c>
      <c r="D355" s="259" t="str">
        <f>LEFT($B$343,3)</f>
        <v>Par</v>
      </c>
      <c r="E355" s="251">
        <f>IF(Parkstone!G19="","",Parkstone!G19)</f>
        <v>4</v>
      </c>
      <c r="F355" s="181">
        <f>IF(Parkstone!H19=0,"",Parkstone!H19)</f>
        <v>2</v>
      </c>
      <c r="G355" s="186">
        <f>IF(Parkstone!I19=0,"",Parkstone!I19)</f>
        <v>2</v>
      </c>
      <c r="H355" s="186">
        <f>IF(Parkstone!J19=0,"",Parkstone!J19)</f>
        <v>8</v>
      </c>
      <c r="I355" s="252">
        <f>IF(Parkstone!K19=0,"",Parkstone!K19)</f>
        <v>14</v>
      </c>
      <c r="J355" s="163">
        <f>IF(Parkstone!M19="","",Parkstone!M19)</f>
        <v>19.649999999999999</v>
      </c>
      <c r="K355" s="41">
        <f>IF(Parkstone!N19="","",Parkstone!N19)</f>
        <v>20.64</v>
      </c>
      <c r="L355" s="41" t="str">
        <f>IF(Parkstone!O19="","",Parkstone!O19)</f>
        <v/>
      </c>
      <c r="M355" s="41">
        <f>IF(Parkstone!P19="","",Parkstone!P19)</f>
        <v>24.18</v>
      </c>
      <c r="N355" s="41" t="str">
        <f>IF(Parkstone!Q19="","",Parkstone!Q19)</f>
        <v/>
      </c>
      <c r="O355" s="41">
        <f>IF(Parkstone!R19="","",Parkstone!R19)</f>
        <v>16.54</v>
      </c>
      <c r="P355" s="41" t="str">
        <f>IF(Parkstone!S19="","",Parkstone!S19)</f>
        <v/>
      </c>
      <c r="Q355" s="41" t="str">
        <f>IF(Parkstone!T19="","",Parkstone!T19)</f>
        <v/>
      </c>
      <c r="R355" s="41" t="str">
        <f>IF(Parkstone!U19="","",Parkstone!U19)</f>
        <v/>
      </c>
      <c r="S355" s="41" t="str">
        <f>IF(Parkstone!V19="","",Parkstone!V19)</f>
        <v/>
      </c>
      <c r="T355" s="41" t="str">
        <f>IF(Parkstone!W19="","",Parkstone!W19)</f>
        <v/>
      </c>
      <c r="U355" s="41" t="str">
        <f>IF(Parkstone!X19="","",Parkstone!X19)</f>
        <v/>
      </c>
      <c r="V355" s="41" t="str">
        <f>IF(Parkstone!Y19="","",Parkstone!Y19)</f>
        <v/>
      </c>
      <c r="W355" s="249">
        <f>IF(Parkstone!AA19=0,"",Parkstone!AA19)</f>
        <v>1</v>
      </c>
      <c r="X355" s="244">
        <f>IF(Parkstone!AB19=0,"",Parkstone!AB19)</f>
        <v>20.252499999999998</v>
      </c>
      <c r="Y355" s="245">
        <f>IF(Parkstone!AC19=0,"",Parkstone!AC19)</f>
        <v>22.252499999999998</v>
      </c>
      <c r="AA355" s="246">
        <f>Y355</f>
        <v>22.252499999999998</v>
      </c>
      <c r="AB355" s="243">
        <f>X355</f>
        <v>20.252499999999998</v>
      </c>
      <c r="AC355" s="185" t="str">
        <f>C355</f>
        <v>Brian Quilter</v>
      </c>
      <c r="AD355" s="185" t="str">
        <f>LEFT($B$343,3)</f>
        <v>Par</v>
      </c>
      <c r="AE355" s="185">
        <f t="shared" ref="AE355:AY355" si="174">E355</f>
        <v>4</v>
      </c>
      <c r="AF355" s="185">
        <f t="shared" si="174"/>
        <v>2</v>
      </c>
      <c r="AG355" s="247">
        <f t="shared" si="174"/>
        <v>2</v>
      </c>
      <c r="AH355" s="247">
        <f t="shared" si="174"/>
        <v>8</v>
      </c>
      <c r="AI355" s="247">
        <f t="shared" si="174"/>
        <v>14</v>
      </c>
      <c r="AJ355" s="243">
        <f t="shared" si="174"/>
        <v>19.649999999999999</v>
      </c>
      <c r="AK355" s="243">
        <f t="shared" si="174"/>
        <v>20.64</v>
      </c>
      <c r="AL355" s="243" t="str">
        <f t="shared" si="174"/>
        <v/>
      </c>
      <c r="AM355" s="243">
        <f t="shared" si="174"/>
        <v>24.18</v>
      </c>
      <c r="AN355" s="243" t="str">
        <f t="shared" si="174"/>
        <v/>
      </c>
      <c r="AO355" s="243">
        <f t="shared" si="174"/>
        <v>16.54</v>
      </c>
      <c r="AP355" s="243" t="str">
        <f t="shared" si="174"/>
        <v/>
      </c>
      <c r="AQ355" s="243" t="str">
        <f t="shared" si="174"/>
        <v/>
      </c>
      <c r="AR355" s="243" t="str">
        <f t="shared" si="174"/>
        <v/>
      </c>
      <c r="AS355" s="243" t="str">
        <f t="shared" si="174"/>
        <v/>
      </c>
      <c r="AT355" s="243" t="str">
        <f t="shared" si="174"/>
        <v/>
      </c>
      <c r="AU355" s="243" t="str">
        <f t="shared" si="174"/>
        <v/>
      </c>
      <c r="AV355" s="243" t="str">
        <f t="shared" si="174"/>
        <v/>
      </c>
      <c r="AW355" s="247">
        <f t="shared" si="174"/>
        <v>1</v>
      </c>
      <c r="AX355" s="243">
        <f t="shared" si="174"/>
        <v>20.252499999999998</v>
      </c>
      <c r="AY355" s="248">
        <f t="shared" si="174"/>
        <v>22.252499999999998</v>
      </c>
    </row>
    <row r="356" spans="2:51" ht="12" customHeight="1" x14ac:dyDescent="0.2">
      <c r="B356" s="266"/>
      <c r="C356" s="235"/>
      <c r="D356" s="235"/>
      <c r="E356" s="239"/>
      <c r="F356" s="182"/>
      <c r="G356" s="182"/>
      <c r="H356" s="182"/>
      <c r="I356" s="233"/>
      <c r="J356" s="163" t="str">
        <f>IF(Parkstone!M20="","",Parkstone!M20)</f>
        <v>0*4</v>
      </c>
      <c r="K356" s="41" t="str">
        <f>IF(Parkstone!N20="","",Parkstone!N20)</f>
        <v>4*3</v>
      </c>
      <c r="L356" s="41" t="str">
        <f>IF(Parkstone!O20="","",Parkstone!O20)</f>
        <v/>
      </c>
      <c r="M356" s="41" t="str">
        <f>IF(Parkstone!P20="","",Parkstone!P20)</f>
        <v>0*4(1)</v>
      </c>
      <c r="N356" s="41" t="str">
        <f>IF(Parkstone!Q20="","",Parkstone!Q20)</f>
        <v/>
      </c>
      <c r="O356" s="41" t="str">
        <f>IF(Parkstone!R20="","",Parkstone!R20)</f>
        <v>4*3</v>
      </c>
      <c r="P356" s="41" t="str">
        <f>IF(Parkstone!S20="","",Parkstone!S20)</f>
        <v/>
      </c>
      <c r="Q356" s="41" t="str">
        <f>IF(Parkstone!T20="","",Parkstone!T20)</f>
        <v/>
      </c>
      <c r="R356" s="41" t="str">
        <f>IF(Parkstone!U20="","",Parkstone!U20)</f>
        <v/>
      </c>
      <c r="S356" s="41" t="str">
        <f>IF(Parkstone!V20="","",Parkstone!V20)</f>
        <v/>
      </c>
      <c r="T356" s="41" t="str">
        <f>IF(Parkstone!W20="","",Parkstone!W20)</f>
        <v/>
      </c>
      <c r="U356" s="41" t="str">
        <f>IF(Parkstone!X20="","",Parkstone!X20)</f>
        <v/>
      </c>
      <c r="V356" s="41" t="str">
        <f>IF(Parkstone!Y20="","",Parkstone!Y20)</f>
        <v/>
      </c>
      <c r="W356" s="201"/>
      <c r="X356" s="182"/>
      <c r="Y356" s="233"/>
      <c r="AA356" s="239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233"/>
    </row>
    <row r="357" spans="2:51" ht="12" customHeight="1" x14ac:dyDescent="0.2">
      <c r="B357" s="266"/>
      <c r="C357" s="263" t="str">
        <f>IF(Parkstone!E21="","",Parkstone!E21)</f>
        <v>Marc Bayliss</v>
      </c>
      <c r="D357" s="259" t="str">
        <f>LEFT($B$343,3)</f>
        <v>Par</v>
      </c>
      <c r="E357" s="251">
        <f>IF(Parkstone!G21="","",Parkstone!G21)</f>
        <v>13</v>
      </c>
      <c r="F357" s="181">
        <f>IF(Parkstone!H21=0,"",Parkstone!H21)</f>
        <v>2</v>
      </c>
      <c r="G357" s="186">
        <f>IF(Parkstone!I21=0,"",Parkstone!I21)</f>
        <v>11</v>
      </c>
      <c r="H357" s="186">
        <f>IF(Parkstone!J21=0,"",Parkstone!J21)</f>
        <v>29</v>
      </c>
      <c r="I357" s="252">
        <f>IF(Parkstone!K21=0,"",Parkstone!K21)</f>
        <v>48</v>
      </c>
      <c r="J357" s="163">
        <f>IF(Parkstone!M21="","",Parkstone!M21)</f>
        <v>18.72</v>
      </c>
      <c r="K357" s="41">
        <f>IF(Parkstone!N21="","",Parkstone!N21)</f>
        <v>18.510000000000002</v>
      </c>
      <c r="L357" s="41">
        <f>IF(Parkstone!O21="","",Parkstone!O21)</f>
        <v>20.99</v>
      </c>
      <c r="M357" s="41">
        <f>IF(Parkstone!P21="","",Parkstone!P21)</f>
        <v>20.79</v>
      </c>
      <c r="N357" s="41">
        <f>IF(Parkstone!Q21="","",Parkstone!Q21)</f>
        <v>19.34</v>
      </c>
      <c r="O357" s="41">
        <f>IF(Parkstone!R21="","",Parkstone!R21)</f>
        <v>22.43</v>
      </c>
      <c r="P357" s="41">
        <f>IF(Parkstone!S21="","",Parkstone!S21)</f>
        <v>22.3</v>
      </c>
      <c r="Q357" s="41">
        <f>IF(Parkstone!T21="","",Parkstone!T21)</f>
        <v>19.989999999999998</v>
      </c>
      <c r="R357" s="41">
        <f>IF(Parkstone!U21="","",Parkstone!U21)</f>
        <v>19.47</v>
      </c>
      <c r="S357" s="41">
        <f>IF(Parkstone!V21="","",Parkstone!V21)</f>
        <v>21.08</v>
      </c>
      <c r="T357" s="41">
        <f>IF(Parkstone!W21="","",Parkstone!W21)</f>
        <v>17.45</v>
      </c>
      <c r="U357" s="41">
        <f>IF(Parkstone!X21="","",Parkstone!X21)</f>
        <v>23.7</v>
      </c>
      <c r="V357" s="41">
        <f>IF(Parkstone!Y21="","",Parkstone!Y21)</f>
        <v>19.18</v>
      </c>
      <c r="W357" s="249" t="str">
        <f>IF(Parkstone!AA21=0,"",Parkstone!AA21)</f>
        <v/>
      </c>
      <c r="X357" s="244">
        <f>IF(Parkstone!AB21=0,"",Parkstone!AB21)</f>
        <v>20.303846153846152</v>
      </c>
      <c r="Y357" s="245">
        <f>IF(Parkstone!AC21=0,"",Parkstone!AC21)</f>
        <v>22.303846153846152</v>
      </c>
      <c r="AA357" s="246">
        <f>Y357</f>
        <v>22.303846153846152</v>
      </c>
      <c r="AB357" s="243">
        <f>X357</f>
        <v>20.303846153846152</v>
      </c>
      <c r="AC357" s="185" t="str">
        <f>C357</f>
        <v>Marc Bayliss</v>
      </c>
      <c r="AD357" s="185" t="str">
        <f>LEFT($B$343,3)</f>
        <v>Par</v>
      </c>
      <c r="AE357" s="185">
        <f t="shared" ref="AE357:AY357" si="175">E357</f>
        <v>13</v>
      </c>
      <c r="AF357" s="185">
        <f t="shared" si="175"/>
        <v>2</v>
      </c>
      <c r="AG357" s="247">
        <f t="shared" si="175"/>
        <v>11</v>
      </c>
      <c r="AH357" s="247">
        <f t="shared" si="175"/>
        <v>29</v>
      </c>
      <c r="AI357" s="247">
        <f t="shared" si="175"/>
        <v>48</v>
      </c>
      <c r="AJ357" s="243">
        <f t="shared" si="175"/>
        <v>18.72</v>
      </c>
      <c r="AK357" s="243">
        <f t="shared" si="175"/>
        <v>18.510000000000002</v>
      </c>
      <c r="AL357" s="243">
        <f t="shared" si="175"/>
        <v>20.99</v>
      </c>
      <c r="AM357" s="243">
        <f t="shared" si="175"/>
        <v>20.79</v>
      </c>
      <c r="AN357" s="243">
        <f t="shared" si="175"/>
        <v>19.34</v>
      </c>
      <c r="AO357" s="243">
        <f t="shared" si="175"/>
        <v>22.43</v>
      </c>
      <c r="AP357" s="243">
        <f t="shared" si="175"/>
        <v>22.3</v>
      </c>
      <c r="AQ357" s="243">
        <f t="shared" si="175"/>
        <v>19.989999999999998</v>
      </c>
      <c r="AR357" s="243">
        <f t="shared" si="175"/>
        <v>19.47</v>
      </c>
      <c r="AS357" s="243">
        <f t="shared" si="175"/>
        <v>21.08</v>
      </c>
      <c r="AT357" s="243">
        <f t="shared" si="175"/>
        <v>17.45</v>
      </c>
      <c r="AU357" s="243">
        <f t="shared" si="175"/>
        <v>23.7</v>
      </c>
      <c r="AV357" s="243">
        <f t="shared" si="175"/>
        <v>19.18</v>
      </c>
      <c r="AW357" s="247" t="str">
        <f t="shared" si="175"/>
        <v/>
      </c>
      <c r="AX357" s="243">
        <f t="shared" si="175"/>
        <v>20.303846153846152</v>
      </c>
      <c r="AY357" s="248">
        <f t="shared" si="175"/>
        <v>22.303846153846152</v>
      </c>
    </row>
    <row r="358" spans="2:51" ht="12" customHeight="1" x14ac:dyDescent="0.2">
      <c r="B358" s="266"/>
      <c r="C358" s="235"/>
      <c r="D358" s="235"/>
      <c r="E358" s="239"/>
      <c r="F358" s="182"/>
      <c r="G358" s="182"/>
      <c r="H358" s="182"/>
      <c r="I358" s="233"/>
      <c r="J358" s="163" t="str">
        <f>IF(Parkstone!M22="","",Parkstone!M22)</f>
        <v>3*4</v>
      </c>
      <c r="K358" s="41" t="str">
        <f>IF(Parkstone!N22="","",Parkstone!N22)</f>
        <v>3*4</v>
      </c>
      <c r="L358" s="41" t="str">
        <f>IF(Parkstone!O22="","",Parkstone!O22)</f>
        <v>3*4</v>
      </c>
      <c r="M358" s="41" t="str">
        <f>IF(Parkstone!P22="","",Parkstone!P22)</f>
        <v>4*1</v>
      </c>
      <c r="N358" s="41" t="str">
        <f>IF(Parkstone!Q22="","",Parkstone!Q22)</f>
        <v>1*4</v>
      </c>
      <c r="O358" s="41" t="str">
        <f>IF(Parkstone!R22="","",Parkstone!R22)</f>
        <v>1*4</v>
      </c>
      <c r="P358" s="41" t="str">
        <f>IF(Parkstone!S22="","",Parkstone!S22)</f>
        <v>2*4</v>
      </c>
      <c r="Q358" s="41" t="str">
        <f>IF(Parkstone!T22="","",Parkstone!T22)</f>
        <v>2*4</v>
      </c>
      <c r="R358" s="41" t="str">
        <f>IF(Parkstone!U22="","",Parkstone!U22)</f>
        <v>0*4</v>
      </c>
      <c r="S358" s="41" t="str">
        <f>IF(Parkstone!V22="","",Parkstone!V22)</f>
        <v>2*4</v>
      </c>
      <c r="T358" s="41" t="str">
        <f>IF(Parkstone!W22="","",Parkstone!W22)</f>
        <v>2*4</v>
      </c>
      <c r="U358" s="41" t="str">
        <f>IF(Parkstone!X22="","",Parkstone!X22)</f>
        <v>4*3</v>
      </c>
      <c r="V358" s="41" t="str">
        <f>IF(Parkstone!Y22="","",Parkstone!Y22)</f>
        <v>2*4</v>
      </c>
      <c r="W358" s="201"/>
      <c r="X358" s="182"/>
      <c r="Y358" s="233"/>
      <c r="AA358" s="239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233"/>
    </row>
    <row r="359" spans="2:51" ht="12" customHeight="1" x14ac:dyDescent="0.2">
      <c r="B359" s="266"/>
      <c r="C359" s="263" t="str">
        <f>IF(Parkstone!E23="","",Parkstone!E23)</f>
        <v>Dan Adams</v>
      </c>
      <c r="D359" s="259" t="str">
        <f>LEFT($B$343,3)</f>
        <v>Par</v>
      </c>
      <c r="E359" s="251">
        <f>IF(Parkstone!G23="","",Parkstone!G23)</f>
        <v>12</v>
      </c>
      <c r="F359" s="181">
        <f>IF(Parkstone!H23=0,"",Parkstone!H23)</f>
        <v>3</v>
      </c>
      <c r="G359" s="186">
        <f>IF(Parkstone!I23=0,"",Parkstone!I23)</f>
        <v>9</v>
      </c>
      <c r="H359" s="186">
        <f>IF(Parkstone!J23=0,"",Parkstone!J23)</f>
        <v>27</v>
      </c>
      <c r="I359" s="252">
        <f>IF(Parkstone!K23=0,"",Parkstone!K23)</f>
        <v>37</v>
      </c>
      <c r="J359" s="163">
        <f>IF(Parkstone!M23="","",Parkstone!M23)</f>
        <v>19.68</v>
      </c>
      <c r="K359" s="41">
        <f>IF(Parkstone!N23="","",Parkstone!N23)</f>
        <v>18.22</v>
      </c>
      <c r="L359" s="41">
        <f>IF(Parkstone!O23="","",Parkstone!O23)</f>
        <v>18.95</v>
      </c>
      <c r="M359" s="41">
        <f>IF(Parkstone!P23="","",Parkstone!P23)</f>
        <v>16.7</v>
      </c>
      <c r="N359" s="41">
        <f>IF(Parkstone!Q23="","",Parkstone!Q23)</f>
        <v>23.78</v>
      </c>
      <c r="O359" s="41">
        <f>IF(Parkstone!R23="","",Parkstone!R23)</f>
        <v>20.74</v>
      </c>
      <c r="P359" s="41">
        <f>IF(Parkstone!S23="","",Parkstone!S23)</f>
        <v>18.170000000000002</v>
      </c>
      <c r="Q359" s="41" t="str">
        <f>IF(Parkstone!T23="","",Parkstone!T23)</f>
        <v/>
      </c>
      <c r="R359" s="41">
        <f>IF(Parkstone!U23="","",Parkstone!U23)</f>
        <v>20.04</v>
      </c>
      <c r="S359" s="41">
        <f>IF(Parkstone!V23="","",Parkstone!V23)</f>
        <v>22.13</v>
      </c>
      <c r="T359" s="41">
        <f>IF(Parkstone!W23="","",Parkstone!W23)</f>
        <v>18.45</v>
      </c>
      <c r="U359" s="41">
        <f>IF(Parkstone!X23="","",Parkstone!X23)</f>
        <v>23.12</v>
      </c>
      <c r="V359" s="41">
        <f>IF(Parkstone!Y23="","",Parkstone!Y23)</f>
        <v>20.82</v>
      </c>
      <c r="W359" s="249" t="str">
        <f>IF(Parkstone!AA23=0,"",Parkstone!AA23)</f>
        <v/>
      </c>
      <c r="X359" s="244">
        <f>IF(Parkstone!AB23=0,"",Parkstone!AB23)</f>
        <v>20.066666666666666</v>
      </c>
      <c r="Y359" s="245">
        <f>IF(Parkstone!AC23=0,"",Parkstone!AC23)</f>
        <v>23.066666666666666</v>
      </c>
      <c r="AA359" s="246">
        <f>Y359</f>
        <v>23.066666666666666</v>
      </c>
      <c r="AB359" s="243">
        <f>X359</f>
        <v>20.066666666666666</v>
      </c>
      <c r="AC359" s="185" t="str">
        <f>C359</f>
        <v>Dan Adams</v>
      </c>
      <c r="AD359" s="185" t="str">
        <f>LEFT($B$343,3)</f>
        <v>Par</v>
      </c>
      <c r="AE359" s="185">
        <f t="shared" ref="AE359:AY359" si="176">E359</f>
        <v>12</v>
      </c>
      <c r="AF359" s="185">
        <f t="shared" si="176"/>
        <v>3</v>
      </c>
      <c r="AG359" s="247">
        <f t="shared" si="176"/>
        <v>9</v>
      </c>
      <c r="AH359" s="247">
        <f t="shared" si="176"/>
        <v>27</v>
      </c>
      <c r="AI359" s="247">
        <f t="shared" si="176"/>
        <v>37</v>
      </c>
      <c r="AJ359" s="243">
        <f t="shared" si="176"/>
        <v>19.68</v>
      </c>
      <c r="AK359" s="243">
        <f t="shared" si="176"/>
        <v>18.22</v>
      </c>
      <c r="AL359" s="243">
        <f t="shared" si="176"/>
        <v>18.95</v>
      </c>
      <c r="AM359" s="243">
        <f t="shared" si="176"/>
        <v>16.7</v>
      </c>
      <c r="AN359" s="243">
        <f t="shared" si="176"/>
        <v>23.78</v>
      </c>
      <c r="AO359" s="243">
        <f t="shared" si="176"/>
        <v>20.74</v>
      </c>
      <c r="AP359" s="243">
        <f t="shared" si="176"/>
        <v>18.170000000000002</v>
      </c>
      <c r="AQ359" s="243" t="str">
        <f t="shared" si="176"/>
        <v/>
      </c>
      <c r="AR359" s="243">
        <f t="shared" si="176"/>
        <v>20.04</v>
      </c>
      <c r="AS359" s="243">
        <f t="shared" si="176"/>
        <v>22.13</v>
      </c>
      <c r="AT359" s="243">
        <f t="shared" si="176"/>
        <v>18.45</v>
      </c>
      <c r="AU359" s="243">
        <f t="shared" si="176"/>
        <v>23.12</v>
      </c>
      <c r="AV359" s="243">
        <f t="shared" si="176"/>
        <v>20.82</v>
      </c>
      <c r="AW359" s="247" t="str">
        <f t="shared" si="176"/>
        <v/>
      </c>
      <c r="AX359" s="243">
        <f t="shared" si="176"/>
        <v>20.066666666666666</v>
      </c>
      <c r="AY359" s="248">
        <f t="shared" si="176"/>
        <v>23.066666666666666</v>
      </c>
    </row>
    <row r="360" spans="2:51" ht="12" customHeight="1" x14ac:dyDescent="0.2">
      <c r="B360" s="266"/>
      <c r="C360" s="235"/>
      <c r="D360" s="235"/>
      <c r="E360" s="239"/>
      <c r="F360" s="182"/>
      <c r="G360" s="182"/>
      <c r="H360" s="182"/>
      <c r="I360" s="233"/>
      <c r="J360" s="163" t="str">
        <f>IF(Parkstone!M24="","",Parkstone!M24)</f>
        <v>2*4</v>
      </c>
      <c r="K360" s="41" t="str">
        <f>IF(Parkstone!N24="","",Parkstone!N24)</f>
        <v>4*0</v>
      </c>
      <c r="L360" s="41" t="str">
        <f>IF(Parkstone!O24="","",Parkstone!O24)</f>
        <v>3*4</v>
      </c>
      <c r="M360" s="41" t="str">
        <f>IF(Parkstone!P24="","",Parkstone!P24)</f>
        <v>0*4</v>
      </c>
      <c r="N360" s="41" t="str">
        <f>IF(Parkstone!Q24="","",Parkstone!Q24)</f>
        <v>4*1</v>
      </c>
      <c r="O360" s="41" t="str">
        <f>IF(Parkstone!R24="","",Parkstone!R24)</f>
        <v>1*4</v>
      </c>
      <c r="P360" s="41" t="str">
        <f>IF(Parkstone!S24="","",Parkstone!S24)</f>
        <v>3*4</v>
      </c>
      <c r="Q360" s="41" t="str">
        <f>IF(Parkstone!T24="","",Parkstone!T24)</f>
        <v/>
      </c>
      <c r="R360" s="41" t="str">
        <f>IF(Parkstone!U24="","",Parkstone!U24)</f>
        <v>4*0</v>
      </c>
      <c r="S360" s="41" t="str">
        <f>IF(Parkstone!V24="","",Parkstone!V24)</f>
        <v>1*4</v>
      </c>
      <c r="T360" s="41" t="str">
        <f>IF(Parkstone!W24="","",Parkstone!W24)</f>
        <v>3*4</v>
      </c>
      <c r="U360" s="41" t="str">
        <f>IF(Parkstone!X24="","",Parkstone!X24)</f>
        <v>1*4</v>
      </c>
      <c r="V360" s="41" t="str">
        <f>IF(Parkstone!Y24="","",Parkstone!Y24)</f>
        <v>1*4</v>
      </c>
      <c r="W360" s="201"/>
      <c r="X360" s="182"/>
      <c r="Y360" s="233"/>
      <c r="AA360" s="239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233"/>
    </row>
    <row r="361" spans="2:51" ht="12" customHeight="1" x14ac:dyDescent="0.2">
      <c r="B361" s="266"/>
      <c r="C361" s="263" t="str">
        <f>IF(Parkstone!E25="","",Parkstone!E25)</f>
        <v>Craig Morris</v>
      </c>
      <c r="D361" s="259" t="str">
        <f>LEFT($B$343,3)</f>
        <v>Par</v>
      </c>
      <c r="E361" s="251">
        <f>IF(Parkstone!G25="","",Parkstone!G25)</f>
        <v>10</v>
      </c>
      <c r="F361" s="181">
        <f>IF(Parkstone!H25=0,"",Parkstone!H25)</f>
        <v>6</v>
      </c>
      <c r="G361" s="186">
        <f>IF(Parkstone!I25=0,"",Parkstone!I25)</f>
        <v>4</v>
      </c>
      <c r="H361" s="186">
        <f>IF(Parkstone!J25=0,"",Parkstone!J25)</f>
        <v>26</v>
      </c>
      <c r="I361" s="252">
        <f>IF(Parkstone!K25=0,"",Parkstone!K25)</f>
        <v>25</v>
      </c>
      <c r="J361" s="163">
        <f>IF(Parkstone!M25="","",Parkstone!M25)</f>
        <v>21.48</v>
      </c>
      <c r="K361" s="41">
        <f>IF(Parkstone!N25="","",Parkstone!N25)</f>
        <v>19.39</v>
      </c>
      <c r="L361" s="41">
        <f>IF(Parkstone!O25="","",Parkstone!O25)</f>
        <v>19.170000000000002</v>
      </c>
      <c r="M361" s="41">
        <f>IF(Parkstone!P25="","",Parkstone!P25)</f>
        <v>23.95</v>
      </c>
      <c r="N361" s="41" t="str">
        <f>IF(Parkstone!Q25="","",Parkstone!Q25)</f>
        <v/>
      </c>
      <c r="O361" s="41">
        <f>IF(Parkstone!R25="","",Parkstone!R25)</f>
        <v>20.05</v>
      </c>
      <c r="P361" s="41">
        <f>IF(Parkstone!S25="","",Parkstone!S25)</f>
        <v>21.09</v>
      </c>
      <c r="Q361" s="41">
        <f>IF(Parkstone!T25="","",Parkstone!T25)</f>
        <v>20.62</v>
      </c>
      <c r="R361" s="41" t="str">
        <f>IF(Parkstone!U25="","",Parkstone!U25)</f>
        <v/>
      </c>
      <c r="S361" s="41" t="str">
        <f>IF(Parkstone!V25="","",Parkstone!V25)</f>
        <v/>
      </c>
      <c r="T361" s="41">
        <f>IF(Parkstone!W25="","",Parkstone!W25)</f>
        <v>23.44</v>
      </c>
      <c r="U361" s="41">
        <f>IF(Parkstone!X25="","",Parkstone!X25)</f>
        <v>16.91</v>
      </c>
      <c r="V361" s="41">
        <f>IF(Parkstone!Y25="","",Parkstone!Y25)</f>
        <v>20.170000000000002</v>
      </c>
      <c r="W361" s="249">
        <f>IF(Parkstone!AA25=0,"",Parkstone!AA25)</f>
        <v>1</v>
      </c>
      <c r="X361" s="244">
        <f>IF(Parkstone!AB25=0,"",Parkstone!AB25)</f>
        <v>20.626999999999999</v>
      </c>
      <c r="Y361" s="245">
        <f>IF(Parkstone!AC25=0,"",Parkstone!AC25)</f>
        <v>26.626999999999999</v>
      </c>
      <c r="AA361" s="246">
        <f>Y361</f>
        <v>26.626999999999999</v>
      </c>
      <c r="AB361" s="243">
        <f>X361</f>
        <v>20.626999999999999</v>
      </c>
      <c r="AC361" s="185" t="str">
        <f>C361</f>
        <v>Craig Morris</v>
      </c>
      <c r="AD361" s="185" t="str">
        <f>LEFT($B$343,3)</f>
        <v>Par</v>
      </c>
      <c r="AE361" s="185">
        <f t="shared" ref="AE361:AY361" si="177">E361</f>
        <v>10</v>
      </c>
      <c r="AF361" s="185">
        <f t="shared" si="177"/>
        <v>6</v>
      </c>
      <c r="AG361" s="247">
        <f t="shared" si="177"/>
        <v>4</v>
      </c>
      <c r="AH361" s="247">
        <f t="shared" si="177"/>
        <v>26</v>
      </c>
      <c r="AI361" s="247">
        <f t="shared" si="177"/>
        <v>25</v>
      </c>
      <c r="AJ361" s="243">
        <f t="shared" si="177"/>
        <v>21.48</v>
      </c>
      <c r="AK361" s="243">
        <f t="shared" si="177"/>
        <v>19.39</v>
      </c>
      <c r="AL361" s="243">
        <f t="shared" si="177"/>
        <v>19.170000000000002</v>
      </c>
      <c r="AM361" s="243">
        <f t="shared" si="177"/>
        <v>23.95</v>
      </c>
      <c r="AN361" s="243" t="str">
        <f t="shared" si="177"/>
        <v/>
      </c>
      <c r="AO361" s="243">
        <f t="shared" si="177"/>
        <v>20.05</v>
      </c>
      <c r="AP361" s="243">
        <f t="shared" si="177"/>
        <v>21.09</v>
      </c>
      <c r="AQ361" s="243">
        <f t="shared" si="177"/>
        <v>20.62</v>
      </c>
      <c r="AR361" s="243" t="str">
        <f t="shared" si="177"/>
        <v/>
      </c>
      <c r="AS361" s="243" t="str">
        <f t="shared" si="177"/>
        <v/>
      </c>
      <c r="AT361" s="243">
        <f t="shared" si="177"/>
        <v>23.44</v>
      </c>
      <c r="AU361" s="243">
        <f t="shared" si="177"/>
        <v>16.91</v>
      </c>
      <c r="AV361" s="243">
        <f t="shared" si="177"/>
        <v>20.170000000000002</v>
      </c>
      <c r="AW361" s="247">
        <f t="shared" si="177"/>
        <v>1</v>
      </c>
      <c r="AX361" s="243">
        <f t="shared" si="177"/>
        <v>20.626999999999999</v>
      </c>
      <c r="AY361" s="248">
        <f t="shared" si="177"/>
        <v>26.626999999999999</v>
      </c>
    </row>
    <row r="362" spans="2:51" ht="12" customHeight="1" x14ac:dyDescent="0.2">
      <c r="B362" s="266"/>
      <c r="C362" s="235"/>
      <c r="D362" s="235"/>
      <c r="E362" s="239"/>
      <c r="F362" s="182"/>
      <c r="G362" s="182"/>
      <c r="H362" s="182"/>
      <c r="I362" s="233"/>
      <c r="J362" s="163" t="str">
        <f>IF(Parkstone!M26="","",Parkstone!M26)</f>
        <v>0*4</v>
      </c>
      <c r="K362" s="41" t="str">
        <f>IF(Parkstone!N26="","",Parkstone!N26)</f>
        <v>4*1</v>
      </c>
      <c r="L362" s="41" t="str">
        <f>IF(Parkstone!O26="","",Parkstone!O26)</f>
        <v>4*2</v>
      </c>
      <c r="M362" s="41" t="str">
        <f>IF(Parkstone!P26="","",Parkstone!P26)</f>
        <v>1*4</v>
      </c>
      <c r="N362" s="41" t="str">
        <f>IF(Parkstone!Q26="","",Parkstone!Q26)</f>
        <v/>
      </c>
      <c r="O362" s="41" t="str">
        <f>IF(Parkstone!R26="","",Parkstone!R26)</f>
        <v>4*2</v>
      </c>
      <c r="P362" s="41" t="str">
        <f>IF(Parkstone!S26="","",Parkstone!S26)</f>
        <v>4*2</v>
      </c>
      <c r="Q362" s="41" t="str">
        <f>IF(Parkstone!T26="","",Parkstone!T26)</f>
        <v>1*4(1)</v>
      </c>
      <c r="R362" s="41" t="str">
        <f>IF(Parkstone!U26="","",Parkstone!U26)</f>
        <v/>
      </c>
      <c r="S362" s="41" t="str">
        <f>IF(Parkstone!V26="","",Parkstone!V26)</f>
        <v/>
      </c>
      <c r="T362" s="41" t="str">
        <f>IF(Parkstone!W26="","",Parkstone!W26)</f>
        <v>4*1</v>
      </c>
      <c r="U362" s="41" t="str">
        <f>IF(Parkstone!X26="","",Parkstone!X26)</f>
        <v>0*4</v>
      </c>
      <c r="V362" s="41" t="str">
        <f>IF(Parkstone!Y26="","",Parkstone!Y26)</f>
        <v>4*1</v>
      </c>
      <c r="W362" s="201"/>
      <c r="X362" s="182"/>
      <c r="Y362" s="233"/>
      <c r="AA362" s="239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233"/>
    </row>
    <row r="363" spans="2:51" ht="12" customHeight="1" x14ac:dyDescent="0.2">
      <c r="B363" s="266"/>
      <c r="C363" s="263" t="str">
        <f>IF(Parkstone!E27="","",Parkstone!E27)</f>
        <v>Ian Roff</v>
      </c>
      <c r="D363" s="259" t="str">
        <f>LEFT($B$343,3)</f>
        <v>Par</v>
      </c>
      <c r="E363" s="251">
        <f>IF(Parkstone!G27="","",Parkstone!G27)</f>
        <v>10</v>
      </c>
      <c r="F363" s="181">
        <f>IF(Parkstone!H27=0,"",Parkstone!H27)</f>
        <v>6</v>
      </c>
      <c r="G363" s="186">
        <f>IF(Parkstone!I27=0,"",Parkstone!I27)</f>
        <v>4</v>
      </c>
      <c r="H363" s="186">
        <f>IF(Parkstone!J27=0,"",Parkstone!J27)</f>
        <v>31</v>
      </c>
      <c r="I363" s="252">
        <f>IF(Parkstone!K27=0,"",Parkstone!K27)</f>
        <v>31</v>
      </c>
      <c r="J363" s="163" t="str">
        <f>IF(Parkstone!M27="","",Parkstone!M27)</f>
        <v/>
      </c>
      <c r="K363" s="41">
        <f>IF(Parkstone!N27="","",Parkstone!N27)</f>
        <v>17.32</v>
      </c>
      <c r="L363" s="41">
        <f>IF(Parkstone!O27="","",Parkstone!O27)</f>
        <v>19.03</v>
      </c>
      <c r="M363" s="41">
        <f>IF(Parkstone!P27="","",Parkstone!P27)</f>
        <v>18.22</v>
      </c>
      <c r="N363" s="41" t="str">
        <f>IF(Parkstone!Q27="","",Parkstone!Q27)</f>
        <v/>
      </c>
      <c r="O363" s="41">
        <f>IF(Parkstone!R27="","",Parkstone!R27)</f>
        <v>18.059999999999999</v>
      </c>
      <c r="P363" s="41">
        <f>IF(Parkstone!S27="","",Parkstone!S27)</f>
        <v>19.87</v>
      </c>
      <c r="Q363" s="41">
        <f>IF(Parkstone!T27="","",Parkstone!T27)</f>
        <v>19.899999999999999</v>
      </c>
      <c r="R363" s="41">
        <f>IF(Parkstone!U27="","",Parkstone!U27)</f>
        <v>17.41</v>
      </c>
      <c r="S363" s="41">
        <f>IF(Parkstone!V27="","",Parkstone!V27)</f>
        <v>19.2</v>
      </c>
      <c r="T363" s="41" t="str">
        <f>IF(Parkstone!W27="","",Parkstone!W27)</f>
        <v/>
      </c>
      <c r="U363" s="41">
        <f>IF(Parkstone!X27="","",Parkstone!X27)</f>
        <v>20.71</v>
      </c>
      <c r="V363" s="41">
        <f>IF(Parkstone!Y27="","",Parkstone!Y27)</f>
        <v>18.52</v>
      </c>
      <c r="W363" s="249">
        <f>IF(Parkstone!AA27=0,"",Parkstone!AA27)</f>
        <v>3</v>
      </c>
      <c r="X363" s="244">
        <f>IF(Parkstone!AB27=0,"",Parkstone!AB27)</f>
        <v>18.824000000000002</v>
      </c>
      <c r="Y363" s="245">
        <f>IF(Parkstone!AC27=0,"",Parkstone!AC27)</f>
        <v>24.824000000000002</v>
      </c>
      <c r="AA363" s="246">
        <f>Y363</f>
        <v>24.824000000000002</v>
      </c>
      <c r="AB363" s="243">
        <f>X363</f>
        <v>18.824000000000002</v>
      </c>
      <c r="AC363" s="185" t="str">
        <f>C363</f>
        <v>Ian Roff</v>
      </c>
      <c r="AD363" s="185" t="str">
        <f>LEFT($B$343,3)</f>
        <v>Par</v>
      </c>
      <c r="AE363" s="185">
        <f t="shared" ref="AE363:AY363" si="178">E363</f>
        <v>10</v>
      </c>
      <c r="AF363" s="185">
        <f t="shared" si="178"/>
        <v>6</v>
      </c>
      <c r="AG363" s="247">
        <f t="shared" si="178"/>
        <v>4</v>
      </c>
      <c r="AH363" s="247">
        <f t="shared" si="178"/>
        <v>31</v>
      </c>
      <c r="AI363" s="247">
        <f t="shared" si="178"/>
        <v>31</v>
      </c>
      <c r="AJ363" s="243" t="str">
        <f t="shared" si="178"/>
        <v/>
      </c>
      <c r="AK363" s="243">
        <f t="shared" si="178"/>
        <v>17.32</v>
      </c>
      <c r="AL363" s="243">
        <f t="shared" si="178"/>
        <v>19.03</v>
      </c>
      <c r="AM363" s="243">
        <f t="shared" si="178"/>
        <v>18.22</v>
      </c>
      <c r="AN363" s="243" t="str">
        <f t="shared" si="178"/>
        <v/>
      </c>
      <c r="AO363" s="243">
        <f t="shared" si="178"/>
        <v>18.059999999999999</v>
      </c>
      <c r="AP363" s="243">
        <f t="shared" si="178"/>
        <v>19.87</v>
      </c>
      <c r="AQ363" s="243">
        <f t="shared" si="178"/>
        <v>19.899999999999999</v>
      </c>
      <c r="AR363" s="243">
        <f t="shared" si="178"/>
        <v>17.41</v>
      </c>
      <c r="AS363" s="243">
        <f t="shared" si="178"/>
        <v>19.2</v>
      </c>
      <c r="AT363" s="243" t="str">
        <f t="shared" si="178"/>
        <v/>
      </c>
      <c r="AU363" s="243">
        <f t="shared" si="178"/>
        <v>20.71</v>
      </c>
      <c r="AV363" s="243">
        <f t="shared" si="178"/>
        <v>18.52</v>
      </c>
      <c r="AW363" s="247">
        <f t="shared" si="178"/>
        <v>3</v>
      </c>
      <c r="AX363" s="243">
        <f t="shared" si="178"/>
        <v>18.824000000000002</v>
      </c>
      <c r="AY363" s="248">
        <f t="shared" si="178"/>
        <v>24.824000000000002</v>
      </c>
    </row>
    <row r="364" spans="2:51" ht="12" customHeight="1" x14ac:dyDescent="0.2">
      <c r="B364" s="266"/>
      <c r="C364" s="235"/>
      <c r="D364" s="235"/>
      <c r="E364" s="239"/>
      <c r="F364" s="182"/>
      <c r="G364" s="182"/>
      <c r="H364" s="182"/>
      <c r="I364" s="233"/>
      <c r="J364" s="163" t="str">
        <f>IF(Parkstone!M28="","",Parkstone!M28)</f>
        <v/>
      </c>
      <c r="K364" s="41" t="str">
        <f>IF(Parkstone!N28="","",Parkstone!N28)</f>
        <v>4*1(1)</v>
      </c>
      <c r="L364" s="41" t="str">
        <f>IF(Parkstone!O28="","",Parkstone!O28)</f>
        <v>4*3</v>
      </c>
      <c r="M364" s="41" t="str">
        <f>IF(Parkstone!P28="","",Parkstone!P28)</f>
        <v>1*4</v>
      </c>
      <c r="N364" s="41" t="str">
        <f>IF(Parkstone!Q28="","",Parkstone!Q28)</f>
        <v/>
      </c>
      <c r="O364" s="41" t="str">
        <f>IF(Parkstone!R28="","",Parkstone!R28)</f>
        <v>2*4</v>
      </c>
      <c r="P364" s="41" t="str">
        <f>IF(Parkstone!S28="","",Parkstone!S28)</f>
        <v>4*3(1)</v>
      </c>
      <c r="Q364" s="41" t="str">
        <f>IF(Parkstone!T28="","",Parkstone!T28)</f>
        <v>1*4</v>
      </c>
      <c r="R364" s="41" t="str">
        <f>IF(Parkstone!U28="","",Parkstone!U28)</f>
        <v>4*2</v>
      </c>
      <c r="S364" s="41" t="str">
        <f>IF(Parkstone!V28="","",Parkstone!V28)</f>
        <v>4*3(1)</v>
      </c>
      <c r="T364" s="41" t="str">
        <f>IF(Parkstone!W28="","",Parkstone!W28)</f>
        <v/>
      </c>
      <c r="U364" s="41" t="str">
        <f>IF(Parkstone!X28="","",Parkstone!X28)</f>
        <v>4*3</v>
      </c>
      <c r="V364" s="41" t="str">
        <f>IF(Parkstone!Y28="","",Parkstone!Y28)</f>
        <v>3*4</v>
      </c>
      <c r="W364" s="201"/>
      <c r="X364" s="182"/>
      <c r="Y364" s="233"/>
      <c r="AA364" s="239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233"/>
    </row>
    <row r="365" spans="2:51" ht="12" customHeight="1" x14ac:dyDescent="0.2">
      <c r="B365" s="266"/>
      <c r="C365" s="263" t="str">
        <f>IF(Parkstone!E29="","",Parkstone!E29)</f>
        <v>Paul Allen</v>
      </c>
      <c r="D365" s="259" t="str">
        <f>LEFT($B$343,3)</f>
        <v>Par</v>
      </c>
      <c r="E365" s="251">
        <f>IF(Parkstone!G29="","",Parkstone!G29)</f>
        <v>1</v>
      </c>
      <c r="F365" s="181" t="str">
        <f>IF(Parkstone!H29=0,"",Parkstone!H29)</f>
        <v/>
      </c>
      <c r="G365" s="186">
        <f>IF(Parkstone!I29=0,"",Parkstone!I29)</f>
        <v>1</v>
      </c>
      <c r="H365" s="181" t="str">
        <f>IF(Parkstone!J29=0,"",Parkstone!J29)</f>
        <v/>
      </c>
      <c r="I365" s="252">
        <f>IF(Parkstone!K29=0,"",Parkstone!K29)</f>
        <v>4</v>
      </c>
      <c r="J365" s="163" t="str">
        <f>IF(Parkstone!M29="","",Parkstone!M29)</f>
        <v/>
      </c>
      <c r="K365" s="41" t="str">
        <f>IF(Parkstone!N29="","",Parkstone!N29)</f>
        <v/>
      </c>
      <c r="L365" s="41" t="str">
        <f>IF(Parkstone!O29="","",Parkstone!O29)</f>
        <v/>
      </c>
      <c r="M365" s="41" t="str">
        <f>IF(Parkstone!P29="","",Parkstone!P29)</f>
        <v/>
      </c>
      <c r="N365" s="41" t="str">
        <f>IF(Parkstone!Q29="","",Parkstone!Q29)</f>
        <v/>
      </c>
      <c r="O365" s="41" t="str">
        <f>IF(Parkstone!R29="","",Parkstone!R29)</f>
        <v/>
      </c>
      <c r="P365" s="41" t="str">
        <f>IF(Parkstone!S29="","",Parkstone!S29)</f>
        <v/>
      </c>
      <c r="Q365" s="41" t="str">
        <f>IF(Parkstone!T29="","",Parkstone!T29)</f>
        <v/>
      </c>
      <c r="R365" s="41">
        <f>IF(Parkstone!U29="","",Parkstone!U29)</f>
        <v>22.46</v>
      </c>
      <c r="S365" s="41" t="str">
        <f>IF(Parkstone!V29="","",Parkstone!V29)</f>
        <v/>
      </c>
      <c r="T365" s="41" t="str">
        <f>IF(Parkstone!W29="","",Parkstone!W29)</f>
        <v/>
      </c>
      <c r="U365" s="41" t="str">
        <f>IF(Parkstone!X29="","",Parkstone!X29)</f>
        <v/>
      </c>
      <c r="V365" s="41" t="str">
        <f>IF(Parkstone!Y29="","",Parkstone!Y29)</f>
        <v/>
      </c>
      <c r="W365" s="249" t="str">
        <f>IF(Parkstone!AA29=0,"",Parkstone!AA29)</f>
        <v/>
      </c>
      <c r="X365" s="244">
        <f>IF(Parkstone!AB29=0,"",Parkstone!AB29)</f>
        <v>22.46</v>
      </c>
      <c r="Y365" s="245">
        <f>IF(Parkstone!AC29=0,"",Parkstone!AC29)</f>
        <v>22.46</v>
      </c>
      <c r="AA365" s="246">
        <f>Y365</f>
        <v>22.46</v>
      </c>
      <c r="AB365" s="243">
        <f>X365</f>
        <v>22.46</v>
      </c>
      <c r="AC365" s="185" t="str">
        <f>C365</f>
        <v>Paul Allen</v>
      </c>
      <c r="AD365" s="185" t="str">
        <f>LEFT($B$343,3)</f>
        <v>Par</v>
      </c>
      <c r="AE365" s="185">
        <f t="shared" ref="AE365:AY365" si="179">E365</f>
        <v>1</v>
      </c>
      <c r="AF365" s="185" t="str">
        <f t="shared" si="179"/>
        <v/>
      </c>
      <c r="AG365" s="247">
        <f t="shared" si="179"/>
        <v>1</v>
      </c>
      <c r="AH365" s="185" t="str">
        <f t="shared" si="179"/>
        <v/>
      </c>
      <c r="AI365" s="247">
        <f t="shared" si="179"/>
        <v>4</v>
      </c>
      <c r="AJ365" s="243" t="str">
        <f t="shared" si="179"/>
        <v/>
      </c>
      <c r="AK365" s="243" t="str">
        <f t="shared" si="179"/>
        <v/>
      </c>
      <c r="AL365" s="243" t="str">
        <f t="shared" si="179"/>
        <v/>
      </c>
      <c r="AM365" s="243" t="str">
        <f t="shared" si="179"/>
        <v/>
      </c>
      <c r="AN365" s="243" t="str">
        <f t="shared" si="179"/>
        <v/>
      </c>
      <c r="AO365" s="243" t="str">
        <f t="shared" si="179"/>
        <v/>
      </c>
      <c r="AP365" s="243" t="str">
        <f t="shared" si="179"/>
        <v/>
      </c>
      <c r="AQ365" s="243" t="str">
        <f t="shared" si="179"/>
        <v/>
      </c>
      <c r="AR365" s="243">
        <f t="shared" si="179"/>
        <v>22.46</v>
      </c>
      <c r="AS365" s="243" t="str">
        <f t="shared" si="179"/>
        <v/>
      </c>
      <c r="AT365" s="243" t="str">
        <f t="shared" si="179"/>
        <v/>
      </c>
      <c r="AU365" s="243" t="str">
        <f t="shared" si="179"/>
        <v/>
      </c>
      <c r="AV365" s="243" t="str">
        <f t="shared" si="179"/>
        <v/>
      </c>
      <c r="AW365" s="247" t="str">
        <f t="shared" si="179"/>
        <v/>
      </c>
      <c r="AX365" s="243">
        <f t="shared" si="179"/>
        <v>22.46</v>
      </c>
      <c r="AY365" s="248">
        <f t="shared" si="179"/>
        <v>22.46</v>
      </c>
    </row>
    <row r="366" spans="2:51" ht="12" customHeight="1" x14ac:dyDescent="0.2">
      <c r="B366" s="266"/>
      <c r="C366" s="235"/>
      <c r="D366" s="235"/>
      <c r="E366" s="239"/>
      <c r="F366" s="182"/>
      <c r="G366" s="182"/>
      <c r="H366" s="182"/>
      <c r="I366" s="233"/>
      <c r="J366" s="163" t="str">
        <f>IF(Parkstone!M30="","",Parkstone!M30)</f>
        <v/>
      </c>
      <c r="K366" s="41" t="str">
        <f>IF(Parkstone!N30="","",Parkstone!N30)</f>
        <v/>
      </c>
      <c r="L366" s="41" t="str">
        <f>IF(Parkstone!O30="","",Parkstone!O30)</f>
        <v/>
      </c>
      <c r="M366" s="41" t="str">
        <f>IF(Parkstone!P30="","",Parkstone!P30)</f>
        <v/>
      </c>
      <c r="N366" s="41" t="str">
        <f>IF(Parkstone!Q30="","",Parkstone!Q30)</f>
        <v/>
      </c>
      <c r="O366" s="41" t="str">
        <f>IF(Parkstone!R30="","",Parkstone!R30)</f>
        <v/>
      </c>
      <c r="P366" s="41" t="str">
        <f>IF(Parkstone!S30="","",Parkstone!S30)</f>
        <v/>
      </c>
      <c r="Q366" s="41" t="str">
        <f>IF(Parkstone!T30="","",Parkstone!T30)</f>
        <v/>
      </c>
      <c r="R366" s="41" t="str">
        <f>IF(Parkstone!U30="","",Parkstone!U30)</f>
        <v>0*4</v>
      </c>
      <c r="S366" s="41" t="str">
        <f>IF(Parkstone!V30="","",Parkstone!V30)</f>
        <v/>
      </c>
      <c r="T366" s="41" t="str">
        <f>IF(Parkstone!W30="","",Parkstone!W30)</f>
        <v/>
      </c>
      <c r="U366" s="41" t="str">
        <f>IF(Parkstone!X30="","",Parkstone!X30)</f>
        <v/>
      </c>
      <c r="V366" s="41" t="str">
        <f>IF(Parkstone!Y30="","",Parkstone!Y30)</f>
        <v/>
      </c>
      <c r="W366" s="201"/>
      <c r="X366" s="182"/>
      <c r="Y366" s="233"/>
      <c r="AA366" s="239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233"/>
    </row>
    <row r="367" spans="2:51" ht="12" customHeight="1" x14ac:dyDescent="0.2">
      <c r="B367" s="266"/>
      <c r="C367" s="263" t="str">
        <f>IF(Parkstone!E31="","",Parkstone!E31)</f>
        <v>Dave Symes</v>
      </c>
      <c r="D367" s="259" t="str">
        <f>LEFT($B$343,3)</f>
        <v>Par</v>
      </c>
      <c r="E367" s="251">
        <f>IF(Parkstone!G31="","",Parkstone!G31)</f>
        <v>1</v>
      </c>
      <c r="F367" s="181" t="str">
        <f>IF(Parkstone!H31=0,"",Parkstone!H31)</f>
        <v/>
      </c>
      <c r="G367" s="181">
        <f>IF(Parkstone!I31=0,"",Parkstone!I31)</f>
        <v>1</v>
      </c>
      <c r="H367" s="181" t="str">
        <f>IF(Parkstone!J31=0,"",Parkstone!J31)</f>
        <v/>
      </c>
      <c r="I367" s="250">
        <f>IF(Parkstone!K31=0,"",Parkstone!K31)</f>
        <v>4</v>
      </c>
      <c r="J367" s="163" t="str">
        <f>IF(Parkstone!M31="","",Parkstone!M31)</f>
        <v/>
      </c>
      <c r="K367" s="41" t="str">
        <f>IF(Parkstone!N31="","",Parkstone!N31)</f>
        <v/>
      </c>
      <c r="L367" s="41" t="str">
        <f>IF(Parkstone!O31="","",Parkstone!O31)</f>
        <v/>
      </c>
      <c r="M367" s="41" t="str">
        <f>IF(Parkstone!P31="","",Parkstone!P31)</f>
        <v/>
      </c>
      <c r="N367" s="41" t="str">
        <f>IF(Parkstone!Q31="","",Parkstone!Q31)</f>
        <v/>
      </c>
      <c r="O367" s="41" t="str">
        <f>IF(Parkstone!R31="","",Parkstone!R31)</f>
        <v/>
      </c>
      <c r="P367" s="41" t="str">
        <f>IF(Parkstone!S31="","",Parkstone!S31)</f>
        <v/>
      </c>
      <c r="Q367" s="41" t="str">
        <f>IF(Parkstone!T31="","",Parkstone!T31)</f>
        <v/>
      </c>
      <c r="R367" s="41" t="str">
        <f>IF(Parkstone!U31="","",Parkstone!U31)</f>
        <v/>
      </c>
      <c r="S367" s="41" t="str">
        <f>IF(Parkstone!V31="","",Parkstone!V31)</f>
        <v/>
      </c>
      <c r="T367" s="41" t="str">
        <f>IF(Parkstone!W31="","",Parkstone!W31)</f>
        <v/>
      </c>
      <c r="U367" s="41" t="str">
        <f>IF(Parkstone!X31="","",Parkstone!X31)</f>
        <v/>
      </c>
      <c r="V367" s="41">
        <f>IF(Parkstone!Y31="","",Parkstone!Y31)</f>
        <v>16.940000000000001</v>
      </c>
      <c r="W367" s="249">
        <f>IF(Parkstone!AA31=0,"",Parkstone!AA31)</f>
        <v>1</v>
      </c>
      <c r="X367" s="244">
        <f>IF(Parkstone!AB31=0,"",Parkstone!AB31)</f>
        <v>16.940000000000001</v>
      </c>
      <c r="Y367" s="245">
        <f>IF(Parkstone!AC31=0,"",Parkstone!AC31)</f>
        <v>16.940000000000001</v>
      </c>
      <c r="AA367" s="246">
        <f>Y367</f>
        <v>16.940000000000001</v>
      </c>
      <c r="AB367" s="243">
        <f>X367</f>
        <v>16.940000000000001</v>
      </c>
      <c r="AC367" s="185" t="str">
        <f>C367</f>
        <v>Dave Symes</v>
      </c>
      <c r="AD367" s="185" t="str">
        <f>LEFT($B$343,3)</f>
        <v>Par</v>
      </c>
      <c r="AE367" s="185">
        <f t="shared" ref="AE367:AY367" si="180">E367</f>
        <v>1</v>
      </c>
      <c r="AF367" s="185" t="str">
        <f t="shared" si="180"/>
        <v/>
      </c>
      <c r="AG367" s="185">
        <f t="shared" si="180"/>
        <v>1</v>
      </c>
      <c r="AH367" s="185" t="str">
        <f t="shared" si="180"/>
        <v/>
      </c>
      <c r="AI367" s="185">
        <f t="shared" si="180"/>
        <v>4</v>
      </c>
      <c r="AJ367" s="243" t="str">
        <f t="shared" si="180"/>
        <v/>
      </c>
      <c r="AK367" s="243" t="str">
        <f t="shared" si="180"/>
        <v/>
      </c>
      <c r="AL367" s="243" t="str">
        <f t="shared" si="180"/>
        <v/>
      </c>
      <c r="AM367" s="243" t="str">
        <f t="shared" si="180"/>
        <v/>
      </c>
      <c r="AN367" s="243" t="str">
        <f t="shared" si="180"/>
        <v/>
      </c>
      <c r="AO367" s="243" t="str">
        <f t="shared" si="180"/>
        <v/>
      </c>
      <c r="AP367" s="243" t="str">
        <f t="shared" si="180"/>
        <v/>
      </c>
      <c r="AQ367" s="243" t="str">
        <f t="shared" si="180"/>
        <v/>
      </c>
      <c r="AR367" s="243" t="str">
        <f t="shared" si="180"/>
        <v/>
      </c>
      <c r="AS367" s="243" t="str">
        <f t="shared" si="180"/>
        <v/>
      </c>
      <c r="AT367" s="243" t="str">
        <f t="shared" si="180"/>
        <v/>
      </c>
      <c r="AU367" s="243" t="str">
        <f t="shared" si="180"/>
        <v/>
      </c>
      <c r="AV367" s="243">
        <f t="shared" si="180"/>
        <v>16.940000000000001</v>
      </c>
      <c r="AW367" s="247">
        <f t="shared" si="180"/>
        <v>1</v>
      </c>
      <c r="AX367" s="243">
        <f t="shared" si="180"/>
        <v>16.940000000000001</v>
      </c>
      <c r="AY367" s="248">
        <f t="shared" si="180"/>
        <v>16.940000000000001</v>
      </c>
    </row>
    <row r="368" spans="2:51" ht="12" customHeight="1" x14ac:dyDescent="0.2">
      <c r="B368" s="266"/>
      <c r="C368" s="235"/>
      <c r="D368" s="235"/>
      <c r="E368" s="239"/>
      <c r="F368" s="182"/>
      <c r="G368" s="182"/>
      <c r="H368" s="182"/>
      <c r="I368" s="233"/>
      <c r="J368" s="163" t="str">
        <f>IF(Parkstone!M32="","",Parkstone!M32)</f>
        <v/>
      </c>
      <c r="K368" s="41" t="str">
        <f>IF(Parkstone!N32="","",Parkstone!N32)</f>
        <v/>
      </c>
      <c r="L368" s="41" t="str">
        <f>IF(Parkstone!O32="","",Parkstone!O32)</f>
        <v/>
      </c>
      <c r="M368" s="41" t="str">
        <f>IF(Parkstone!P32="","",Parkstone!P32)</f>
        <v/>
      </c>
      <c r="N368" s="41" t="str">
        <f>IF(Parkstone!Q32="","",Parkstone!Q32)</f>
        <v/>
      </c>
      <c r="O368" s="41" t="str">
        <f>IF(Parkstone!R32="","",Parkstone!R32)</f>
        <v/>
      </c>
      <c r="P368" s="41" t="str">
        <f>IF(Parkstone!S32="","",Parkstone!S32)</f>
        <v/>
      </c>
      <c r="Q368" s="41" t="str">
        <f>IF(Parkstone!T32="","",Parkstone!T32)</f>
        <v/>
      </c>
      <c r="R368" s="41" t="str">
        <f>IF(Parkstone!U32="","",Parkstone!U32)</f>
        <v/>
      </c>
      <c r="S368" s="41" t="str">
        <f>IF(Parkstone!V32="","",Parkstone!V32)</f>
        <v/>
      </c>
      <c r="T368" s="41" t="str">
        <f>IF(Parkstone!W32="","",Parkstone!W32)</f>
        <v/>
      </c>
      <c r="U368" s="41" t="str">
        <f>IF(Parkstone!X32="","",Parkstone!X32)</f>
        <v/>
      </c>
      <c r="V368" s="41" t="str">
        <f>IF(Parkstone!Y32="","",Parkstone!Y32)</f>
        <v>0*4(1)</v>
      </c>
      <c r="W368" s="201"/>
      <c r="X368" s="182"/>
      <c r="Y368" s="233"/>
      <c r="AA368" s="239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233"/>
    </row>
    <row r="369" spans="2:51" ht="12" customHeight="1" x14ac:dyDescent="0.2">
      <c r="B369" s="266"/>
      <c r="C369" s="263" t="str">
        <f>IF(Parkstone!E33="","",Parkstone!E33)</f>
        <v/>
      </c>
      <c r="D369" s="259" t="str">
        <f>LEFT($B$343,3)</f>
        <v>Par</v>
      </c>
      <c r="E369" s="251" t="str">
        <f>IF(Parkstone!G33="","",Parkstone!G33)</f>
        <v/>
      </c>
      <c r="F369" s="181" t="str">
        <f>IF(Parkstone!H33=0,"",Parkstone!H33)</f>
        <v/>
      </c>
      <c r="G369" s="181" t="str">
        <f>IF(Parkstone!I33=0,"",Parkstone!I33)</f>
        <v/>
      </c>
      <c r="H369" s="181" t="str">
        <f>IF(Parkstone!J33=0,"",Parkstone!J33)</f>
        <v/>
      </c>
      <c r="I369" s="250" t="str">
        <f>IF(Parkstone!K33=0,"",Parkstone!K33)</f>
        <v/>
      </c>
      <c r="J369" s="163" t="str">
        <f>IF(Parkstone!M33="","",Parkstone!M33)</f>
        <v/>
      </c>
      <c r="K369" s="41" t="str">
        <f>IF(Parkstone!N33="","",Parkstone!N33)</f>
        <v/>
      </c>
      <c r="L369" s="41" t="str">
        <f>IF(Parkstone!O33="","",Parkstone!O33)</f>
        <v/>
      </c>
      <c r="M369" s="41" t="str">
        <f>IF(Parkstone!P33="","",Parkstone!P33)</f>
        <v/>
      </c>
      <c r="N369" s="41" t="str">
        <f>IF(Parkstone!Q33="","",Parkstone!Q33)</f>
        <v/>
      </c>
      <c r="O369" s="41" t="str">
        <f>IF(Parkstone!R33="","",Parkstone!R33)</f>
        <v/>
      </c>
      <c r="P369" s="41" t="str">
        <f>IF(Parkstone!S33="","",Parkstone!S33)</f>
        <v/>
      </c>
      <c r="Q369" s="41" t="str">
        <f>IF(Parkstone!T33="","",Parkstone!T33)</f>
        <v/>
      </c>
      <c r="R369" s="41" t="str">
        <f>IF(Parkstone!U33="","",Parkstone!U33)</f>
        <v/>
      </c>
      <c r="S369" s="41" t="str">
        <f>IF(Parkstone!V33="","",Parkstone!V33)</f>
        <v/>
      </c>
      <c r="T369" s="41" t="str">
        <f>IF(Parkstone!W33="","",Parkstone!W33)</f>
        <v/>
      </c>
      <c r="U369" s="41" t="str">
        <f>IF(Parkstone!X33="","",Parkstone!X33)</f>
        <v/>
      </c>
      <c r="V369" s="41" t="str">
        <f>IF(Parkstone!Y33="","",Parkstone!Y33)</f>
        <v/>
      </c>
      <c r="W369" s="249" t="str">
        <f>IF(Parkstone!AA33=0,"",Parkstone!AA33)</f>
        <v/>
      </c>
      <c r="X369" s="244" t="str">
        <f>IF(Parkstone!AB33=0,"",Parkstone!AB33)</f>
        <v/>
      </c>
      <c r="Y369" s="245" t="str">
        <f>IF(Parkstone!AC33=0,"",Parkstone!AC33)</f>
        <v/>
      </c>
      <c r="AA369" s="246" t="str">
        <f>Y369</f>
        <v/>
      </c>
      <c r="AB369" s="243" t="str">
        <f>X369</f>
        <v/>
      </c>
      <c r="AC369" s="185" t="str">
        <f>C369</f>
        <v/>
      </c>
      <c r="AD369" s="185" t="str">
        <f>LEFT($B$343,3)</f>
        <v>Par</v>
      </c>
      <c r="AE369" s="185" t="str">
        <f t="shared" ref="AE369:AY369" si="181">E369</f>
        <v/>
      </c>
      <c r="AF369" s="185" t="str">
        <f t="shared" si="181"/>
        <v/>
      </c>
      <c r="AG369" s="185" t="str">
        <f t="shared" si="181"/>
        <v/>
      </c>
      <c r="AH369" s="185" t="str">
        <f t="shared" si="181"/>
        <v/>
      </c>
      <c r="AI369" s="185" t="str">
        <f t="shared" si="181"/>
        <v/>
      </c>
      <c r="AJ369" s="243" t="str">
        <f t="shared" si="181"/>
        <v/>
      </c>
      <c r="AK369" s="243" t="str">
        <f t="shared" si="181"/>
        <v/>
      </c>
      <c r="AL369" s="243" t="str">
        <f t="shared" si="181"/>
        <v/>
      </c>
      <c r="AM369" s="243" t="str">
        <f t="shared" si="181"/>
        <v/>
      </c>
      <c r="AN369" s="243" t="str">
        <f t="shared" si="181"/>
        <v/>
      </c>
      <c r="AO369" s="243" t="str">
        <f t="shared" si="181"/>
        <v/>
      </c>
      <c r="AP369" s="243" t="str">
        <f t="shared" si="181"/>
        <v/>
      </c>
      <c r="AQ369" s="243" t="str">
        <f t="shared" si="181"/>
        <v/>
      </c>
      <c r="AR369" s="243" t="str">
        <f t="shared" si="181"/>
        <v/>
      </c>
      <c r="AS369" s="243" t="str">
        <f t="shared" si="181"/>
        <v/>
      </c>
      <c r="AT369" s="243" t="str">
        <f t="shared" si="181"/>
        <v/>
      </c>
      <c r="AU369" s="243" t="str">
        <f t="shared" si="181"/>
        <v/>
      </c>
      <c r="AV369" s="243" t="str">
        <f t="shared" si="181"/>
        <v/>
      </c>
      <c r="AW369" s="247" t="str">
        <f t="shared" si="181"/>
        <v/>
      </c>
      <c r="AX369" s="243" t="str">
        <f t="shared" si="181"/>
        <v/>
      </c>
      <c r="AY369" s="248" t="str">
        <f t="shared" si="181"/>
        <v/>
      </c>
    </row>
    <row r="370" spans="2:51" ht="12" customHeight="1" x14ac:dyDescent="0.2">
      <c r="B370" s="266"/>
      <c r="C370" s="235"/>
      <c r="D370" s="235"/>
      <c r="E370" s="239"/>
      <c r="F370" s="182"/>
      <c r="G370" s="182"/>
      <c r="H370" s="182"/>
      <c r="I370" s="233"/>
      <c r="J370" s="163" t="str">
        <f>IF(Parkstone!M34="","",Parkstone!M34)</f>
        <v/>
      </c>
      <c r="K370" s="41" t="str">
        <f>IF(Parkstone!N34="","",Parkstone!N34)</f>
        <v/>
      </c>
      <c r="L370" s="41" t="str">
        <f>IF(Parkstone!O34="","",Parkstone!O34)</f>
        <v/>
      </c>
      <c r="M370" s="41" t="str">
        <f>IF(Parkstone!P34="","",Parkstone!P34)</f>
        <v/>
      </c>
      <c r="N370" s="41" t="str">
        <f>IF(Parkstone!Q34="","",Parkstone!Q34)</f>
        <v/>
      </c>
      <c r="O370" s="41" t="str">
        <f>IF(Parkstone!R34="","",Parkstone!R34)</f>
        <v/>
      </c>
      <c r="P370" s="41" t="str">
        <f>IF(Parkstone!S34="","",Parkstone!S34)</f>
        <v/>
      </c>
      <c r="Q370" s="41" t="str">
        <f>IF(Parkstone!T34="","",Parkstone!T34)</f>
        <v/>
      </c>
      <c r="R370" s="41" t="str">
        <f>IF(Parkstone!U34="","",Parkstone!U34)</f>
        <v/>
      </c>
      <c r="S370" s="41" t="str">
        <f>IF(Parkstone!V34="","",Parkstone!V34)</f>
        <v/>
      </c>
      <c r="T370" s="41" t="str">
        <f>IF(Parkstone!W34="","",Parkstone!W34)</f>
        <v/>
      </c>
      <c r="U370" s="41" t="str">
        <f>IF(Parkstone!X34="","",Parkstone!X34)</f>
        <v/>
      </c>
      <c r="V370" s="41" t="str">
        <f>IF(Parkstone!Y34="","",Parkstone!Y34)</f>
        <v/>
      </c>
      <c r="W370" s="201"/>
      <c r="X370" s="182"/>
      <c r="Y370" s="233"/>
      <c r="AA370" s="239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233"/>
    </row>
    <row r="371" spans="2:51" ht="12" customHeight="1" x14ac:dyDescent="0.2">
      <c r="B371" s="266"/>
      <c r="C371" s="263" t="str">
        <f>IF(Parkstone!E35="","",Parkstone!E35)</f>
        <v/>
      </c>
      <c r="D371" s="259" t="str">
        <f>LEFT($B$343,3)</f>
        <v>Par</v>
      </c>
      <c r="E371" s="251" t="str">
        <f>IF(Parkstone!G35="","",Parkstone!G35)</f>
        <v/>
      </c>
      <c r="F371" s="181" t="str">
        <f>IF(Parkstone!H35=0,"",Parkstone!H35)</f>
        <v/>
      </c>
      <c r="G371" s="181" t="str">
        <f>IF(Parkstone!I35=0,"",Parkstone!I35)</f>
        <v/>
      </c>
      <c r="H371" s="181" t="str">
        <f>IF(Parkstone!J35=0,"",Parkstone!J35)</f>
        <v/>
      </c>
      <c r="I371" s="250" t="str">
        <f>IF(Parkstone!K35=0,"",Parkstone!K35)</f>
        <v/>
      </c>
      <c r="J371" s="163" t="str">
        <f>IF(Parkstone!M35="","",Parkstone!M35)</f>
        <v/>
      </c>
      <c r="K371" s="41" t="str">
        <f>IF(Parkstone!N35="","",Parkstone!N35)</f>
        <v/>
      </c>
      <c r="L371" s="41" t="str">
        <f>IF(Parkstone!O35="","",Parkstone!O35)</f>
        <v/>
      </c>
      <c r="M371" s="41" t="str">
        <f>IF(Parkstone!P35="","",Parkstone!P35)</f>
        <v/>
      </c>
      <c r="N371" s="41" t="str">
        <f>IF(Parkstone!Q35="","",Parkstone!Q35)</f>
        <v/>
      </c>
      <c r="O371" s="41" t="str">
        <f>IF(Parkstone!R35="","",Parkstone!R35)</f>
        <v/>
      </c>
      <c r="P371" s="41" t="str">
        <f>IF(Parkstone!S35="","",Parkstone!S35)</f>
        <v/>
      </c>
      <c r="Q371" s="41" t="str">
        <f>IF(Parkstone!T35="","",Parkstone!T35)</f>
        <v/>
      </c>
      <c r="R371" s="41" t="str">
        <f>IF(Parkstone!U35="","",Parkstone!U35)</f>
        <v/>
      </c>
      <c r="S371" s="41" t="str">
        <f>IF(Parkstone!V35="","",Parkstone!V35)</f>
        <v/>
      </c>
      <c r="T371" s="41" t="str">
        <f>IF(Parkstone!W35="","",Parkstone!W35)</f>
        <v/>
      </c>
      <c r="U371" s="41" t="str">
        <f>IF(Parkstone!X35="","",Parkstone!X35)</f>
        <v/>
      </c>
      <c r="V371" s="41" t="str">
        <f>IF(Parkstone!Y35="","",Parkstone!Y35)</f>
        <v/>
      </c>
      <c r="W371" s="249" t="str">
        <f>IF(Parkstone!AA35=0,"",Parkstone!AA35)</f>
        <v/>
      </c>
      <c r="X371" s="244" t="str">
        <f>IF(Parkstone!AB35=0,"",Parkstone!AB35)</f>
        <v/>
      </c>
      <c r="Y371" s="245" t="str">
        <f>IF(Parkstone!AC35=0,"",Parkstone!AC35)</f>
        <v/>
      </c>
      <c r="AA371" s="246" t="str">
        <f>Y371</f>
        <v/>
      </c>
      <c r="AB371" s="243" t="str">
        <f>X371</f>
        <v/>
      </c>
      <c r="AC371" s="185" t="str">
        <f>C371</f>
        <v/>
      </c>
      <c r="AD371" s="185" t="str">
        <f>LEFT($B$343,3)</f>
        <v>Par</v>
      </c>
      <c r="AE371" s="185" t="str">
        <f t="shared" ref="AE371:AY371" si="182">E371</f>
        <v/>
      </c>
      <c r="AF371" s="185" t="str">
        <f t="shared" si="182"/>
        <v/>
      </c>
      <c r="AG371" s="185" t="str">
        <f t="shared" si="182"/>
        <v/>
      </c>
      <c r="AH371" s="185" t="str">
        <f t="shared" si="182"/>
        <v/>
      </c>
      <c r="AI371" s="185" t="str">
        <f t="shared" si="182"/>
        <v/>
      </c>
      <c r="AJ371" s="243" t="str">
        <f t="shared" si="182"/>
        <v/>
      </c>
      <c r="AK371" s="243" t="str">
        <f t="shared" si="182"/>
        <v/>
      </c>
      <c r="AL371" s="243" t="str">
        <f t="shared" si="182"/>
        <v/>
      </c>
      <c r="AM371" s="243" t="str">
        <f t="shared" si="182"/>
        <v/>
      </c>
      <c r="AN371" s="243" t="str">
        <f t="shared" si="182"/>
        <v/>
      </c>
      <c r="AO371" s="243" t="str">
        <f t="shared" si="182"/>
        <v/>
      </c>
      <c r="AP371" s="243" t="str">
        <f t="shared" si="182"/>
        <v/>
      </c>
      <c r="AQ371" s="243" t="str">
        <f t="shared" si="182"/>
        <v/>
      </c>
      <c r="AR371" s="243" t="str">
        <f t="shared" si="182"/>
        <v/>
      </c>
      <c r="AS371" s="243" t="str">
        <f t="shared" si="182"/>
        <v/>
      </c>
      <c r="AT371" s="243" t="str">
        <f t="shared" si="182"/>
        <v/>
      </c>
      <c r="AU371" s="243" t="str">
        <f t="shared" si="182"/>
        <v/>
      </c>
      <c r="AV371" s="243" t="str">
        <f t="shared" si="182"/>
        <v/>
      </c>
      <c r="AW371" s="247" t="str">
        <f t="shared" si="182"/>
        <v/>
      </c>
      <c r="AX371" s="243" t="str">
        <f t="shared" si="182"/>
        <v/>
      </c>
      <c r="AY371" s="248" t="str">
        <f t="shared" si="182"/>
        <v/>
      </c>
    </row>
    <row r="372" spans="2:51" ht="12" customHeight="1" x14ac:dyDescent="0.2">
      <c r="B372" s="266"/>
      <c r="C372" s="235"/>
      <c r="D372" s="235"/>
      <c r="E372" s="239"/>
      <c r="F372" s="182"/>
      <c r="G372" s="182"/>
      <c r="H372" s="182"/>
      <c r="I372" s="233"/>
      <c r="J372" s="163" t="str">
        <f>IF(Parkstone!M36="","",Parkstone!M36)</f>
        <v/>
      </c>
      <c r="K372" s="41" t="str">
        <f>IF(Parkstone!N36="","",Parkstone!N36)</f>
        <v/>
      </c>
      <c r="L372" s="41" t="str">
        <f>IF(Parkstone!O36="","",Parkstone!O36)</f>
        <v/>
      </c>
      <c r="M372" s="41" t="str">
        <f>IF(Parkstone!P36="","",Parkstone!P36)</f>
        <v/>
      </c>
      <c r="N372" s="41" t="str">
        <f>IF(Parkstone!Q36="","",Parkstone!Q36)</f>
        <v/>
      </c>
      <c r="O372" s="41" t="str">
        <f>IF(Parkstone!R36="","",Parkstone!R36)</f>
        <v/>
      </c>
      <c r="P372" s="41" t="str">
        <f>IF(Parkstone!S36="","",Parkstone!S36)</f>
        <v/>
      </c>
      <c r="Q372" s="41" t="str">
        <f>IF(Parkstone!T36="","",Parkstone!T36)</f>
        <v/>
      </c>
      <c r="R372" s="41" t="str">
        <f>IF(Parkstone!U36="","",Parkstone!U36)</f>
        <v/>
      </c>
      <c r="S372" s="41" t="str">
        <f>IF(Parkstone!V36="","",Parkstone!V36)</f>
        <v/>
      </c>
      <c r="T372" s="41" t="str">
        <f>IF(Parkstone!W36="","",Parkstone!W36)</f>
        <v/>
      </c>
      <c r="U372" s="41" t="str">
        <f>IF(Parkstone!X36="","",Parkstone!X36)</f>
        <v/>
      </c>
      <c r="V372" s="41" t="str">
        <f>IF(Parkstone!Y36="","",Parkstone!Y36)</f>
        <v/>
      </c>
      <c r="W372" s="201"/>
      <c r="X372" s="182"/>
      <c r="Y372" s="233"/>
      <c r="AA372" s="239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233"/>
    </row>
    <row r="373" spans="2:51" ht="12" customHeight="1" x14ac:dyDescent="0.2">
      <c r="B373" s="266"/>
      <c r="C373" s="263" t="str">
        <f>IF(Parkstone!E37="","",Parkstone!E37)</f>
        <v/>
      </c>
      <c r="D373" s="259" t="str">
        <f>LEFT($B$343,3)</f>
        <v>Par</v>
      </c>
      <c r="E373" s="251" t="str">
        <f>IF(Parkstone!G37="","",Parkstone!G37)</f>
        <v/>
      </c>
      <c r="F373" s="181" t="str">
        <f>IF(Parkstone!H37=0,"",Parkstone!H37)</f>
        <v/>
      </c>
      <c r="G373" s="181" t="str">
        <f>IF(Parkstone!I37=0,"",Parkstone!I37)</f>
        <v/>
      </c>
      <c r="H373" s="181" t="str">
        <f>IF(Parkstone!J37=0,"",Parkstone!J37)</f>
        <v/>
      </c>
      <c r="I373" s="250" t="str">
        <f>IF(Parkstone!K37=0,"",Parkstone!K37)</f>
        <v/>
      </c>
      <c r="J373" s="163" t="str">
        <f>IF(Parkstone!M37="","",Parkstone!M37)</f>
        <v/>
      </c>
      <c r="K373" s="41" t="str">
        <f>IF(Parkstone!N37="","",Parkstone!N37)</f>
        <v/>
      </c>
      <c r="L373" s="41" t="str">
        <f>IF(Parkstone!O37="","",Parkstone!O37)</f>
        <v/>
      </c>
      <c r="M373" s="41" t="str">
        <f>IF(Parkstone!P37="","",Parkstone!P37)</f>
        <v/>
      </c>
      <c r="N373" s="41" t="str">
        <f>IF(Parkstone!Q37="","",Parkstone!Q37)</f>
        <v/>
      </c>
      <c r="O373" s="41" t="str">
        <f>IF(Parkstone!R37="","",Parkstone!R37)</f>
        <v/>
      </c>
      <c r="P373" s="41" t="str">
        <f>IF(Parkstone!S37="","",Parkstone!S37)</f>
        <v/>
      </c>
      <c r="Q373" s="41" t="str">
        <f>IF(Parkstone!T37="","",Parkstone!T37)</f>
        <v/>
      </c>
      <c r="R373" s="41" t="str">
        <f>IF(Parkstone!U37="","",Parkstone!U37)</f>
        <v/>
      </c>
      <c r="S373" s="41" t="str">
        <f>IF(Parkstone!V37="","",Parkstone!V37)</f>
        <v/>
      </c>
      <c r="T373" s="41" t="str">
        <f>IF(Parkstone!W37="","",Parkstone!W37)</f>
        <v/>
      </c>
      <c r="U373" s="41" t="str">
        <f>IF(Parkstone!X37="","",Parkstone!X37)</f>
        <v/>
      </c>
      <c r="V373" s="41" t="str">
        <f>IF(Parkstone!Y37="","",Parkstone!Y37)</f>
        <v/>
      </c>
      <c r="W373" s="249" t="str">
        <f>IF(Parkstone!AA37=0,"",Parkstone!AA37)</f>
        <v/>
      </c>
      <c r="X373" s="244" t="str">
        <f>IF(Parkstone!AB37=0,"",Parkstone!AB37)</f>
        <v/>
      </c>
      <c r="Y373" s="245" t="str">
        <f>IF(Parkstone!AC37=0,"",Parkstone!AC37)</f>
        <v/>
      </c>
      <c r="AA373" s="246" t="str">
        <f>Y373</f>
        <v/>
      </c>
      <c r="AB373" s="243" t="str">
        <f>X373</f>
        <v/>
      </c>
      <c r="AC373" s="185" t="str">
        <f>C373</f>
        <v/>
      </c>
      <c r="AD373" s="185" t="str">
        <f>LEFT($B$343,3)</f>
        <v>Par</v>
      </c>
      <c r="AE373" s="185" t="str">
        <f t="shared" ref="AE373:AY373" si="183">E373</f>
        <v/>
      </c>
      <c r="AF373" s="185" t="str">
        <f t="shared" si="183"/>
        <v/>
      </c>
      <c r="AG373" s="185" t="str">
        <f t="shared" si="183"/>
        <v/>
      </c>
      <c r="AH373" s="185" t="str">
        <f t="shared" si="183"/>
        <v/>
      </c>
      <c r="AI373" s="185" t="str">
        <f t="shared" si="183"/>
        <v/>
      </c>
      <c r="AJ373" s="243" t="str">
        <f t="shared" si="183"/>
        <v/>
      </c>
      <c r="AK373" s="243" t="str">
        <f t="shared" si="183"/>
        <v/>
      </c>
      <c r="AL373" s="243" t="str">
        <f t="shared" si="183"/>
        <v/>
      </c>
      <c r="AM373" s="243" t="str">
        <f t="shared" si="183"/>
        <v/>
      </c>
      <c r="AN373" s="243" t="str">
        <f t="shared" si="183"/>
        <v/>
      </c>
      <c r="AO373" s="243" t="str">
        <f t="shared" si="183"/>
        <v/>
      </c>
      <c r="AP373" s="243" t="str">
        <f t="shared" si="183"/>
        <v/>
      </c>
      <c r="AQ373" s="243" t="str">
        <f t="shared" si="183"/>
        <v/>
      </c>
      <c r="AR373" s="243" t="str">
        <f t="shared" si="183"/>
        <v/>
      </c>
      <c r="AS373" s="243" t="str">
        <f t="shared" si="183"/>
        <v/>
      </c>
      <c r="AT373" s="243" t="str">
        <f t="shared" si="183"/>
        <v/>
      </c>
      <c r="AU373" s="243" t="str">
        <f t="shared" si="183"/>
        <v/>
      </c>
      <c r="AV373" s="243" t="str">
        <f t="shared" si="183"/>
        <v/>
      </c>
      <c r="AW373" s="247" t="str">
        <f t="shared" si="183"/>
        <v/>
      </c>
      <c r="AX373" s="243" t="str">
        <f t="shared" si="183"/>
        <v/>
      </c>
      <c r="AY373" s="248" t="str">
        <f t="shared" si="183"/>
        <v/>
      </c>
    </row>
    <row r="374" spans="2:51" ht="12" customHeight="1" x14ac:dyDescent="0.2">
      <c r="B374" s="266"/>
      <c r="C374" s="235"/>
      <c r="D374" s="235"/>
      <c r="E374" s="239"/>
      <c r="F374" s="182"/>
      <c r="G374" s="182"/>
      <c r="H374" s="182"/>
      <c r="I374" s="233"/>
      <c r="J374" s="163" t="str">
        <f>IF(Parkstone!M38="","",Parkstone!M38)</f>
        <v/>
      </c>
      <c r="K374" s="41" t="str">
        <f>IF(Parkstone!N38="","",Parkstone!N38)</f>
        <v/>
      </c>
      <c r="L374" s="41" t="str">
        <f>IF(Parkstone!O38="","",Parkstone!O38)</f>
        <v/>
      </c>
      <c r="M374" s="41" t="str">
        <f>IF(Parkstone!P38="","",Parkstone!P38)</f>
        <v/>
      </c>
      <c r="N374" s="41" t="str">
        <f>IF(Parkstone!Q38="","",Parkstone!Q38)</f>
        <v/>
      </c>
      <c r="O374" s="41" t="str">
        <f>IF(Parkstone!R38="","",Parkstone!R38)</f>
        <v/>
      </c>
      <c r="P374" s="41" t="str">
        <f>IF(Parkstone!S38="","",Parkstone!S38)</f>
        <v/>
      </c>
      <c r="Q374" s="41" t="str">
        <f>IF(Parkstone!T38="","",Parkstone!T38)</f>
        <v/>
      </c>
      <c r="R374" s="41" t="str">
        <f>IF(Parkstone!U38="","",Parkstone!U38)</f>
        <v/>
      </c>
      <c r="S374" s="41" t="str">
        <f>IF(Parkstone!V38="","",Parkstone!V38)</f>
        <v/>
      </c>
      <c r="T374" s="41" t="str">
        <f>IF(Parkstone!W38="","",Parkstone!W38)</f>
        <v/>
      </c>
      <c r="U374" s="41" t="str">
        <f>IF(Parkstone!X38="","",Parkstone!X38)</f>
        <v/>
      </c>
      <c r="V374" s="41" t="str">
        <f>IF(Parkstone!Y38="","",Parkstone!Y38)</f>
        <v/>
      </c>
      <c r="W374" s="201"/>
      <c r="X374" s="182"/>
      <c r="Y374" s="233"/>
      <c r="AA374" s="239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233"/>
    </row>
    <row r="375" spans="2:51" ht="12" customHeight="1" x14ac:dyDescent="0.2">
      <c r="B375" s="266"/>
      <c r="C375" s="263" t="str">
        <f>IF(Parkstone!E39="","",Parkstone!E39)</f>
        <v/>
      </c>
      <c r="D375" s="259" t="str">
        <f>LEFT($B$343,3)</f>
        <v>Par</v>
      </c>
      <c r="E375" s="251" t="str">
        <f>IF(Parkstone!G39="","",Parkstone!G39)</f>
        <v/>
      </c>
      <c r="F375" s="181" t="str">
        <f>IF(Parkstone!H39=0,"",Parkstone!H39)</f>
        <v/>
      </c>
      <c r="G375" s="181" t="str">
        <f>IF(Parkstone!I39=0,"",Parkstone!I39)</f>
        <v/>
      </c>
      <c r="H375" s="181" t="str">
        <f>IF(Parkstone!J39=0,"",Parkstone!J39)</f>
        <v/>
      </c>
      <c r="I375" s="250" t="str">
        <f>IF(Parkstone!K39=0,"",Parkstone!K39)</f>
        <v/>
      </c>
      <c r="J375" s="163" t="str">
        <f>IF(Parkstone!M39="","",Parkstone!M39)</f>
        <v/>
      </c>
      <c r="K375" s="41" t="str">
        <f>IF(Parkstone!N39="","",Parkstone!N39)</f>
        <v/>
      </c>
      <c r="L375" s="41" t="str">
        <f>IF(Parkstone!O39="","",Parkstone!O39)</f>
        <v/>
      </c>
      <c r="M375" s="41" t="str">
        <f>IF(Parkstone!P39="","",Parkstone!P39)</f>
        <v/>
      </c>
      <c r="N375" s="41" t="str">
        <f>IF(Parkstone!Q39="","",Parkstone!Q39)</f>
        <v/>
      </c>
      <c r="O375" s="41" t="str">
        <f>IF(Parkstone!R39="","",Parkstone!R39)</f>
        <v/>
      </c>
      <c r="P375" s="41" t="str">
        <f>IF(Parkstone!S39="","",Parkstone!S39)</f>
        <v/>
      </c>
      <c r="Q375" s="41" t="str">
        <f>IF(Parkstone!T39="","",Parkstone!T39)</f>
        <v/>
      </c>
      <c r="R375" s="41" t="str">
        <f>IF(Parkstone!U39="","",Parkstone!U39)</f>
        <v/>
      </c>
      <c r="S375" s="41" t="str">
        <f>IF(Parkstone!V39="","",Parkstone!V39)</f>
        <v/>
      </c>
      <c r="T375" s="41" t="str">
        <f>IF(Parkstone!W39="","",Parkstone!W39)</f>
        <v/>
      </c>
      <c r="U375" s="41" t="str">
        <f>IF(Parkstone!X39="","",Parkstone!X39)</f>
        <v/>
      </c>
      <c r="V375" s="41" t="str">
        <f>IF(Parkstone!Y39="","",Parkstone!Y39)</f>
        <v/>
      </c>
      <c r="W375" s="249" t="str">
        <f>IF(Parkstone!AA39=0,"",Parkstone!AA39)</f>
        <v/>
      </c>
      <c r="X375" s="244" t="str">
        <f>IF(Parkstone!AB39=0,"",Parkstone!AB39)</f>
        <v/>
      </c>
      <c r="Y375" s="245" t="str">
        <f>IF(Parkstone!AC39=0,"",Parkstone!AC39)</f>
        <v/>
      </c>
      <c r="AA375" s="246" t="str">
        <f>Y375</f>
        <v/>
      </c>
      <c r="AB375" s="243" t="str">
        <f>X375</f>
        <v/>
      </c>
      <c r="AC375" s="185" t="str">
        <f>C375</f>
        <v/>
      </c>
      <c r="AD375" s="185" t="str">
        <f>LEFT($B$343,3)</f>
        <v>Par</v>
      </c>
      <c r="AE375" s="185" t="str">
        <f t="shared" ref="AE375:AY375" si="184">E375</f>
        <v/>
      </c>
      <c r="AF375" s="185" t="str">
        <f t="shared" si="184"/>
        <v/>
      </c>
      <c r="AG375" s="185" t="str">
        <f t="shared" si="184"/>
        <v/>
      </c>
      <c r="AH375" s="185" t="str">
        <f t="shared" si="184"/>
        <v/>
      </c>
      <c r="AI375" s="185" t="str">
        <f t="shared" si="184"/>
        <v/>
      </c>
      <c r="AJ375" s="243" t="str">
        <f t="shared" si="184"/>
        <v/>
      </c>
      <c r="AK375" s="243" t="str">
        <f t="shared" si="184"/>
        <v/>
      </c>
      <c r="AL375" s="243" t="str">
        <f t="shared" si="184"/>
        <v/>
      </c>
      <c r="AM375" s="243" t="str">
        <f t="shared" si="184"/>
        <v/>
      </c>
      <c r="AN375" s="243" t="str">
        <f t="shared" si="184"/>
        <v/>
      </c>
      <c r="AO375" s="243" t="str">
        <f t="shared" si="184"/>
        <v/>
      </c>
      <c r="AP375" s="243" t="str">
        <f t="shared" si="184"/>
        <v/>
      </c>
      <c r="AQ375" s="243" t="str">
        <f t="shared" si="184"/>
        <v/>
      </c>
      <c r="AR375" s="243" t="str">
        <f t="shared" si="184"/>
        <v/>
      </c>
      <c r="AS375" s="243" t="str">
        <f t="shared" si="184"/>
        <v/>
      </c>
      <c r="AT375" s="243" t="str">
        <f t="shared" si="184"/>
        <v/>
      </c>
      <c r="AU375" s="243" t="str">
        <f t="shared" si="184"/>
        <v/>
      </c>
      <c r="AV375" s="243" t="str">
        <f t="shared" si="184"/>
        <v/>
      </c>
      <c r="AW375" s="247" t="str">
        <f t="shared" si="184"/>
        <v/>
      </c>
      <c r="AX375" s="243" t="str">
        <f t="shared" si="184"/>
        <v/>
      </c>
      <c r="AY375" s="248" t="str">
        <f t="shared" si="184"/>
        <v/>
      </c>
    </row>
    <row r="376" spans="2:51" ht="12" customHeight="1" x14ac:dyDescent="0.2">
      <c r="B376" s="266"/>
      <c r="C376" s="235"/>
      <c r="D376" s="235"/>
      <c r="E376" s="239"/>
      <c r="F376" s="182"/>
      <c r="G376" s="182"/>
      <c r="H376" s="182"/>
      <c r="I376" s="233"/>
      <c r="J376" s="163" t="str">
        <f>IF(Parkstone!M40="","",Parkstone!M40)</f>
        <v/>
      </c>
      <c r="K376" s="41" t="str">
        <f>IF(Parkstone!N40="","",Parkstone!N40)</f>
        <v/>
      </c>
      <c r="L376" s="41" t="str">
        <f>IF(Parkstone!O40="","",Parkstone!O40)</f>
        <v/>
      </c>
      <c r="M376" s="41" t="str">
        <f>IF(Parkstone!P40="","",Parkstone!P40)</f>
        <v/>
      </c>
      <c r="N376" s="41" t="str">
        <f>IF(Parkstone!Q40="","",Parkstone!Q40)</f>
        <v/>
      </c>
      <c r="O376" s="41" t="str">
        <f>IF(Parkstone!R40="","",Parkstone!R40)</f>
        <v/>
      </c>
      <c r="P376" s="41" t="str">
        <f>IF(Parkstone!S40="","",Parkstone!S40)</f>
        <v/>
      </c>
      <c r="Q376" s="41" t="str">
        <f>IF(Parkstone!T40="","",Parkstone!T40)</f>
        <v/>
      </c>
      <c r="R376" s="41" t="str">
        <f>IF(Parkstone!U40="","",Parkstone!U40)</f>
        <v/>
      </c>
      <c r="S376" s="41" t="str">
        <f>IF(Parkstone!V40="","",Parkstone!V40)</f>
        <v/>
      </c>
      <c r="T376" s="41" t="str">
        <f>IF(Parkstone!W40="","",Parkstone!W40)</f>
        <v/>
      </c>
      <c r="U376" s="41" t="str">
        <f>IF(Parkstone!X40="","",Parkstone!X40)</f>
        <v/>
      </c>
      <c r="V376" s="41" t="str">
        <f>IF(Parkstone!Y40="","",Parkstone!Y40)</f>
        <v/>
      </c>
      <c r="W376" s="201"/>
      <c r="X376" s="182"/>
      <c r="Y376" s="233"/>
      <c r="AA376" s="239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233"/>
    </row>
    <row r="377" spans="2:51" ht="12" customHeight="1" x14ac:dyDescent="0.2">
      <c r="B377" s="266"/>
      <c r="C377" s="263" t="str">
        <f>IF(Parkstone!E41="","",Parkstone!E41)</f>
        <v/>
      </c>
      <c r="D377" s="259" t="str">
        <f>LEFT($B$343,3)</f>
        <v>Par</v>
      </c>
      <c r="E377" s="251" t="str">
        <f>IF(Parkstone!G41="","",Parkstone!G41)</f>
        <v/>
      </c>
      <c r="F377" s="181" t="str">
        <f>IF(Parkstone!H41=0,"",Parkstone!H41)</f>
        <v/>
      </c>
      <c r="G377" s="181" t="str">
        <f>IF(Parkstone!I41=0,"",Parkstone!I41)</f>
        <v/>
      </c>
      <c r="H377" s="181" t="str">
        <f>IF(Parkstone!J41=0,"",Parkstone!J41)</f>
        <v/>
      </c>
      <c r="I377" s="250" t="str">
        <f>IF(Parkstone!K41=0,"",Parkstone!K41)</f>
        <v/>
      </c>
      <c r="J377" s="163" t="str">
        <f>IF(Parkstone!M41="","",Parkstone!M41)</f>
        <v/>
      </c>
      <c r="K377" s="41" t="str">
        <f>IF(Parkstone!N41="","",Parkstone!N41)</f>
        <v/>
      </c>
      <c r="L377" s="41" t="str">
        <f>IF(Parkstone!O41="","",Parkstone!O41)</f>
        <v/>
      </c>
      <c r="M377" s="41" t="str">
        <f>IF(Parkstone!P41="","",Parkstone!P41)</f>
        <v/>
      </c>
      <c r="N377" s="41" t="str">
        <f>IF(Parkstone!Q41="","",Parkstone!Q41)</f>
        <v/>
      </c>
      <c r="O377" s="41" t="str">
        <f>IF(Parkstone!R41="","",Parkstone!R41)</f>
        <v/>
      </c>
      <c r="P377" s="41" t="str">
        <f>IF(Parkstone!S41="","",Parkstone!S41)</f>
        <v/>
      </c>
      <c r="Q377" s="41" t="str">
        <f>IF(Parkstone!T41="","",Parkstone!T41)</f>
        <v/>
      </c>
      <c r="R377" s="41" t="str">
        <f>IF(Parkstone!U41="","",Parkstone!U41)</f>
        <v/>
      </c>
      <c r="S377" s="41" t="str">
        <f>IF(Parkstone!V41="","",Parkstone!V41)</f>
        <v/>
      </c>
      <c r="T377" s="41" t="str">
        <f>IF(Parkstone!W41="","",Parkstone!W41)</f>
        <v/>
      </c>
      <c r="U377" s="41" t="str">
        <f>IF(Parkstone!X41="","",Parkstone!X41)</f>
        <v/>
      </c>
      <c r="V377" s="41" t="str">
        <f>IF(Parkstone!Y41="","",Parkstone!Y41)</f>
        <v/>
      </c>
      <c r="W377" s="249" t="str">
        <f>IF(Parkstone!AA41=0,"",Parkstone!AA41)</f>
        <v/>
      </c>
      <c r="X377" s="244" t="str">
        <f>IF(Parkstone!AB41=0,"",Parkstone!AB41)</f>
        <v/>
      </c>
      <c r="Y377" s="245" t="str">
        <f>IF(Parkstone!AC41=0,"",Parkstone!AC41)</f>
        <v/>
      </c>
      <c r="AA377" s="246" t="str">
        <f>Y377</f>
        <v/>
      </c>
      <c r="AB377" s="243" t="str">
        <f>X377</f>
        <v/>
      </c>
      <c r="AC377" s="185" t="str">
        <f>C377</f>
        <v/>
      </c>
      <c r="AD377" s="185" t="str">
        <f>LEFT($B$343,3)</f>
        <v>Par</v>
      </c>
      <c r="AE377" s="185" t="str">
        <f t="shared" ref="AE377:AY377" si="185">E377</f>
        <v/>
      </c>
      <c r="AF377" s="185" t="str">
        <f t="shared" si="185"/>
        <v/>
      </c>
      <c r="AG377" s="185" t="str">
        <f t="shared" si="185"/>
        <v/>
      </c>
      <c r="AH377" s="185" t="str">
        <f t="shared" si="185"/>
        <v/>
      </c>
      <c r="AI377" s="185" t="str">
        <f t="shared" si="185"/>
        <v/>
      </c>
      <c r="AJ377" s="243" t="str">
        <f t="shared" si="185"/>
        <v/>
      </c>
      <c r="AK377" s="243" t="str">
        <f t="shared" si="185"/>
        <v/>
      </c>
      <c r="AL377" s="243" t="str">
        <f t="shared" si="185"/>
        <v/>
      </c>
      <c r="AM377" s="243" t="str">
        <f t="shared" si="185"/>
        <v/>
      </c>
      <c r="AN377" s="243" t="str">
        <f t="shared" si="185"/>
        <v/>
      </c>
      <c r="AO377" s="243" t="str">
        <f t="shared" si="185"/>
        <v/>
      </c>
      <c r="AP377" s="243" t="str">
        <f t="shared" si="185"/>
        <v/>
      </c>
      <c r="AQ377" s="243" t="str">
        <f t="shared" si="185"/>
        <v/>
      </c>
      <c r="AR377" s="243" t="str">
        <f t="shared" si="185"/>
        <v/>
      </c>
      <c r="AS377" s="243" t="str">
        <f t="shared" si="185"/>
        <v/>
      </c>
      <c r="AT377" s="243" t="str">
        <f t="shared" si="185"/>
        <v/>
      </c>
      <c r="AU377" s="243" t="str">
        <f t="shared" si="185"/>
        <v/>
      </c>
      <c r="AV377" s="243" t="str">
        <f t="shared" si="185"/>
        <v/>
      </c>
      <c r="AW377" s="247" t="str">
        <f t="shared" si="185"/>
        <v/>
      </c>
      <c r="AX377" s="243" t="str">
        <f t="shared" si="185"/>
        <v/>
      </c>
      <c r="AY377" s="248" t="str">
        <f t="shared" si="185"/>
        <v/>
      </c>
    </row>
    <row r="378" spans="2:51" ht="12" customHeight="1" x14ac:dyDescent="0.2">
      <c r="B378" s="266"/>
      <c r="C378" s="235"/>
      <c r="D378" s="235"/>
      <c r="E378" s="239"/>
      <c r="F378" s="182"/>
      <c r="G378" s="182"/>
      <c r="H378" s="182"/>
      <c r="I378" s="233"/>
      <c r="J378" s="163" t="str">
        <f>IF(Parkstone!M42="","",Parkstone!M42)</f>
        <v/>
      </c>
      <c r="K378" s="41" t="str">
        <f>IF(Parkstone!N42="","",Parkstone!N42)</f>
        <v/>
      </c>
      <c r="L378" s="41" t="str">
        <f>IF(Parkstone!O42="","",Parkstone!O42)</f>
        <v/>
      </c>
      <c r="M378" s="41" t="str">
        <f>IF(Parkstone!P42="","",Parkstone!P42)</f>
        <v/>
      </c>
      <c r="N378" s="41" t="str">
        <f>IF(Parkstone!Q42="","",Parkstone!Q42)</f>
        <v/>
      </c>
      <c r="O378" s="41" t="str">
        <f>IF(Parkstone!R42="","",Parkstone!R42)</f>
        <v/>
      </c>
      <c r="P378" s="41" t="str">
        <f>IF(Parkstone!S42="","",Parkstone!S42)</f>
        <v/>
      </c>
      <c r="Q378" s="41" t="str">
        <f>IF(Parkstone!T42="","",Parkstone!T42)</f>
        <v/>
      </c>
      <c r="R378" s="41" t="str">
        <f>IF(Parkstone!U42="","",Parkstone!U42)</f>
        <v/>
      </c>
      <c r="S378" s="41" t="str">
        <f>IF(Parkstone!V42="","",Parkstone!V42)</f>
        <v/>
      </c>
      <c r="T378" s="41" t="str">
        <f>IF(Parkstone!W42="","",Parkstone!W42)</f>
        <v/>
      </c>
      <c r="U378" s="41" t="str">
        <f>IF(Parkstone!X42="","",Parkstone!X42)</f>
        <v/>
      </c>
      <c r="V378" s="41" t="str">
        <f>IF(Parkstone!Y42="","",Parkstone!Y42)</f>
        <v/>
      </c>
      <c r="W378" s="201"/>
      <c r="X378" s="182"/>
      <c r="Y378" s="233"/>
      <c r="AA378" s="239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233"/>
    </row>
    <row r="379" spans="2:51" ht="12" customHeight="1" x14ac:dyDescent="0.2">
      <c r="B379" s="266"/>
      <c r="C379" s="263" t="str">
        <f>IF(Parkstone!E43="","",Parkstone!E43)</f>
        <v/>
      </c>
      <c r="D379" s="259" t="str">
        <f>LEFT($B$343,3)</f>
        <v>Par</v>
      </c>
      <c r="E379" s="251" t="str">
        <f>IF(Parkstone!G43="","",Parkstone!G43)</f>
        <v/>
      </c>
      <c r="F379" s="181" t="str">
        <f>IF(Parkstone!H43=0,"",Parkstone!H43)</f>
        <v/>
      </c>
      <c r="G379" s="181" t="str">
        <f>IF(Parkstone!I43=0,"",Parkstone!I43)</f>
        <v/>
      </c>
      <c r="H379" s="181" t="str">
        <f>IF(Parkstone!J43=0,"",Parkstone!J43)</f>
        <v/>
      </c>
      <c r="I379" s="250" t="str">
        <f>IF(Parkstone!K43=0,"",Parkstone!K43)</f>
        <v/>
      </c>
      <c r="J379" s="163" t="str">
        <f>IF(Parkstone!M43="","",Parkstone!M43)</f>
        <v/>
      </c>
      <c r="K379" s="41" t="str">
        <f>IF(Parkstone!N43="","",Parkstone!N43)</f>
        <v/>
      </c>
      <c r="L379" s="41" t="str">
        <f>IF(Parkstone!O43="","",Parkstone!O43)</f>
        <v/>
      </c>
      <c r="M379" s="41" t="str">
        <f>IF(Parkstone!P43="","",Parkstone!P43)</f>
        <v/>
      </c>
      <c r="N379" s="41" t="str">
        <f>IF(Parkstone!Q43="","",Parkstone!Q43)</f>
        <v/>
      </c>
      <c r="O379" s="41" t="str">
        <f>IF(Parkstone!R43="","",Parkstone!R43)</f>
        <v/>
      </c>
      <c r="P379" s="41" t="str">
        <f>IF(Parkstone!S43="","",Parkstone!S43)</f>
        <v/>
      </c>
      <c r="Q379" s="41" t="str">
        <f>IF(Parkstone!T43="","",Parkstone!T43)</f>
        <v/>
      </c>
      <c r="R379" s="41" t="str">
        <f>IF(Parkstone!U43="","",Parkstone!U43)</f>
        <v/>
      </c>
      <c r="S379" s="41" t="str">
        <f>IF(Parkstone!V43="","",Parkstone!V43)</f>
        <v/>
      </c>
      <c r="T379" s="41" t="str">
        <f>IF(Parkstone!W43="","",Parkstone!W43)</f>
        <v/>
      </c>
      <c r="U379" s="41" t="str">
        <f>IF(Parkstone!X43="","",Parkstone!X43)</f>
        <v/>
      </c>
      <c r="V379" s="41" t="str">
        <f>IF(Parkstone!Y43="","",Parkstone!Y43)</f>
        <v/>
      </c>
      <c r="W379" s="249" t="str">
        <f>IF(Parkstone!AA43=0,"",Parkstone!AA43)</f>
        <v/>
      </c>
      <c r="X379" s="244" t="str">
        <f>IF(Parkstone!AB43=0,"",Parkstone!AB43)</f>
        <v/>
      </c>
      <c r="Y379" s="245" t="str">
        <f>IF(Parkstone!AC43=0,"",Parkstone!AC43)</f>
        <v/>
      </c>
      <c r="AA379" s="246" t="str">
        <f>Y379</f>
        <v/>
      </c>
      <c r="AB379" s="243" t="str">
        <f>X379</f>
        <v/>
      </c>
      <c r="AC379" s="185" t="str">
        <f>C379</f>
        <v/>
      </c>
      <c r="AD379" s="185" t="str">
        <f>LEFT($B$343,3)</f>
        <v>Par</v>
      </c>
      <c r="AE379" s="185" t="str">
        <f t="shared" ref="AE379:AY379" si="186">E379</f>
        <v/>
      </c>
      <c r="AF379" s="185" t="str">
        <f t="shared" si="186"/>
        <v/>
      </c>
      <c r="AG379" s="185" t="str">
        <f t="shared" si="186"/>
        <v/>
      </c>
      <c r="AH379" s="185" t="str">
        <f t="shared" si="186"/>
        <v/>
      </c>
      <c r="AI379" s="185" t="str">
        <f t="shared" si="186"/>
        <v/>
      </c>
      <c r="AJ379" s="243" t="str">
        <f t="shared" si="186"/>
        <v/>
      </c>
      <c r="AK379" s="243" t="str">
        <f t="shared" si="186"/>
        <v/>
      </c>
      <c r="AL379" s="243" t="str">
        <f t="shared" si="186"/>
        <v/>
      </c>
      <c r="AM379" s="243" t="str">
        <f t="shared" si="186"/>
        <v/>
      </c>
      <c r="AN379" s="243" t="str">
        <f t="shared" si="186"/>
        <v/>
      </c>
      <c r="AO379" s="243" t="str">
        <f t="shared" si="186"/>
        <v/>
      </c>
      <c r="AP379" s="243" t="str">
        <f t="shared" si="186"/>
        <v/>
      </c>
      <c r="AQ379" s="243" t="str">
        <f t="shared" si="186"/>
        <v/>
      </c>
      <c r="AR379" s="243" t="str">
        <f t="shared" si="186"/>
        <v/>
      </c>
      <c r="AS379" s="243" t="str">
        <f t="shared" si="186"/>
        <v/>
      </c>
      <c r="AT379" s="243" t="str">
        <f t="shared" si="186"/>
        <v/>
      </c>
      <c r="AU379" s="243" t="str">
        <f t="shared" si="186"/>
        <v/>
      </c>
      <c r="AV379" s="243" t="str">
        <f t="shared" si="186"/>
        <v/>
      </c>
      <c r="AW379" s="247" t="str">
        <f t="shared" si="186"/>
        <v/>
      </c>
      <c r="AX379" s="243" t="str">
        <f t="shared" si="186"/>
        <v/>
      </c>
      <c r="AY379" s="248" t="str">
        <f t="shared" si="186"/>
        <v/>
      </c>
    </row>
    <row r="380" spans="2:51" ht="12" customHeight="1" x14ac:dyDescent="0.2">
      <c r="B380" s="266"/>
      <c r="C380" s="235"/>
      <c r="D380" s="235"/>
      <c r="E380" s="239"/>
      <c r="F380" s="182"/>
      <c r="G380" s="182"/>
      <c r="H380" s="182"/>
      <c r="I380" s="233"/>
      <c r="J380" s="163" t="str">
        <f>IF(Parkstone!M44="","",Parkstone!M44)</f>
        <v/>
      </c>
      <c r="K380" s="41" t="str">
        <f>IF(Parkstone!N44="","",Parkstone!N44)</f>
        <v/>
      </c>
      <c r="L380" s="41" t="str">
        <f>IF(Parkstone!O44="","",Parkstone!O44)</f>
        <v/>
      </c>
      <c r="M380" s="41" t="str">
        <f>IF(Parkstone!P44="","",Parkstone!P44)</f>
        <v/>
      </c>
      <c r="N380" s="41" t="str">
        <f>IF(Parkstone!Q44="","",Parkstone!Q44)</f>
        <v/>
      </c>
      <c r="O380" s="41" t="str">
        <f>IF(Parkstone!R44="","",Parkstone!R44)</f>
        <v/>
      </c>
      <c r="P380" s="41" t="str">
        <f>IF(Parkstone!S44="","",Parkstone!S44)</f>
        <v/>
      </c>
      <c r="Q380" s="41" t="str">
        <f>IF(Parkstone!T44="","",Parkstone!T44)</f>
        <v/>
      </c>
      <c r="R380" s="41" t="str">
        <f>IF(Parkstone!U44="","",Parkstone!U44)</f>
        <v/>
      </c>
      <c r="S380" s="41" t="str">
        <f>IF(Parkstone!V44="","",Parkstone!V44)</f>
        <v/>
      </c>
      <c r="T380" s="41" t="str">
        <f>IF(Parkstone!W44="","",Parkstone!W44)</f>
        <v/>
      </c>
      <c r="U380" s="41" t="str">
        <f>IF(Parkstone!X44="","",Parkstone!X44)</f>
        <v/>
      </c>
      <c r="V380" s="41" t="str">
        <f>IF(Parkstone!Y44="","",Parkstone!Y44)</f>
        <v/>
      </c>
      <c r="W380" s="201"/>
      <c r="X380" s="182"/>
      <c r="Y380" s="233"/>
      <c r="AA380" s="239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233"/>
    </row>
    <row r="381" spans="2:51" ht="12" customHeight="1" x14ac:dyDescent="0.2">
      <c r="B381" s="266"/>
      <c r="C381" s="263" t="str">
        <f>IF(Parkstone!E45="","",Parkstone!E45)</f>
        <v/>
      </c>
      <c r="D381" s="259" t="str">
        <f>LEFT($B$343,3)</f>
        <v>Par</v>
      </c>
      <c r="E381" s="251" t="str">
        <f>IF(Parkstone!G45="","",Parkstone!G45)</f>
        <v/>
      </c>
      <c r="F381" s="181" t="str">
        <f>IF(Parkstone!H45=0,"",Parkstone!H45)</f>
        <v/>
      </c>
      <c r="G381" s="181" t="str">
        <f>IF(Parkstone!I45=0,"",Parkstone!I45)</f>
        <v/>
      </c>
      <c r="H381" s="181" t="str">
        <f>IF(Parkstone!J45=0,"",Parkstone!J45)</f>
        <v/>
      </c>
      <c r="I381" s="250" t="str">
        <f>IF(Parkstone!K45=0,"",Parkstone!K45)</f>
        <v/>
      </c>
      <c r="J381" s="163" t="str">
        <f>IF(Parkstone!M45="","",Parkstone!M45)</f>
        <v/>
      </c>
      <c r="K381" s="41" t="str">
        <f>IF(Parkstone!N45="","",Parkstone!N45)</f>
        <v/>
      </c>
      <c r="L381" s="41" t="str">
        <f>IF(Parkstone!O45="","",Parkstone!O45)</f>
        <v/>
      </c>
      <c r="M381" s="41" t="str">
        <f>IF(Parkstone!P45="","",Parkstone!P45)</f>
        <v/>
      </c>
      <c r="N381" s="41" t="str">
        <f>IF(Parkstone!Q45="","",Parkstone!Q45)</f>
        <v/>
      </c>
      <c r="O381" s="41" t="str">
        <f>IF(Parkstone!R45="","",Parkstone!R45)</f>
        <v/>
      </c>
      <c r="P381" s="41" t="str">
        <f>IF(Parkstone!S45="","",Parkstone!S45)</f>
        <v/>
      </c>
      <c r="Q381" s="41" t="str">
        <f>IF(Parkstone!T45="","",Parkstone!T45)</f>
        <v/>
      </c>
      <c r="R381" s="41" t="str">
        <f>IF(Parkstone!U45="","",Parkstone!U45)</f>
        <v/>
      </c>
      <c r="S381" s="41" t="str">
        <f>IF(Parkstone!V45="","",Parkstone!V45)</f>
        <v/>
      </c>
      <c r="T381" s="41" t="str">
        <f>IF(Parkstone!W45="","",Parkstone!W45)</f>
        <v/>
      </c>
      <c r="U381" s="41" t="str">
        <f>IF(Parkstone!X45="","",Parkstone!X45)</f>
        <v/>
      </c>
      <c r="V381" s="41" t="str">
        <f>IF(Parkstone!Y45="","",Parkstone!Y45)</f>
        <v/>
      </c>
      <c r="W381" s="249" t="str">
        <f>IF(Parkstone!AA45=0,"",Parkstone!AA45)</f>
        <v/>
      </c>
      <c r="X381" s="244" t="str">
        <f>IF(Parkstone!AB45=0,"",Parkstone!AB45)</f>
        <v/>
      </c>
      <c r="Y381" s="245" t="str">
        <f>IF(Parkstone!AC45=0,"",Parkstone!AC45)</f>
        <v/>
      </c>
      <c r="AA381" s="246" t="str">
        <f>Y381</f>
        <v/>
      </c>
      <c r="AB381" s="243" t="str">
        <f>X381</f>
        <v/>
      </c>
      <c r="AC381" s="185" t="str">
        <f>C381</f>
        <v/>
      </c>
      <c r="AD381" s="185" t="str">
        <f>LEFT($B$343,3)</f>
        <v>Par</v>
      </c>
      <c r="AE381" s="185" t="str">
        <f t="shared" ref="AE381:AY381" si="187">E381</f>
        <v/>
      </c>
      <c r="AF381" s="185" t="str">
        <f t="shared" si="187"/>
        <v/>
      </c>
      <c r="AG381" s="185" t="str">
        <f t="shared" si="187"/>
        <v/>
      </c>
      <c r="AH381" s="185" t="str">
        <f t="shared" si="187"/>
        <v/>
      </c>
      <c r="AI381" s="185" t="str">
        <f t="shared" si="187"/>
        <v/>
      </c>
      <c r="AJ381" s="243" t="str">
        <f t="shared" si="187"/>
        <v/>
      </c>
      <c r="AK381" s="243" t="str">
        <f t="shared" si="187"/>
        <v/>
      </c>
      <c r="AL381" s="243" t="str">
        <f t="shared" si="187"/>
        <v/>
      </c>
      <c r="AM381" s="243" t="str">
        <f t="shared" si="187"/>
        <v/>
      </c>
      <c r="AN381" s="243" t="str">
        <f t="shared" si="187"/>
        <v/>
      </c>
      <c r="AO381" s="243" t="str">
        <f t="shared" si="187"/>
        <v/>
      </c>
      <c r="AP381" s="243" t="str">
        <f t="shared" si="187"/>
        <v/>
      </c>
      <c r="AQ381" s="243" t="str">
        <f t="shared" si="187"/>
        <v/>
      </c>
      <c r="AR381" s="243" t="str">
        <f t="shared" si="187"/>
        <v/>
      </c>
      <c r="AS381" s="243" t="str">
        <f t="shared" si="187"/>
        <v/>
      </c>
      <c r="AT381" s="243" t="str">
        <f t="shared" si="187"/>
        <v/>
      </c>
      <c r="AU381" s="243" t="str">
        <f t="shared" si="187"/>
        <v/>
      </c>
      <c r="AV381" s="243" t="str">
        <f t="shared" si="187"/>
        <v/>
      </c>
      <c r="AW381" s="247" t="str">
        <f t="shared" si="187"/>
        <v/>
      </c>
      <c r="AX381" s="243" t="str">
        <f t="shared" si="187"/>
        <v/>
      </c>
      <c r="AY381" s="248" t="str">
        <f t="shared" si="187"/>
        <v/>
      </c>
    </row>
    <row r="382" spans="2:51" ht="12" customHeight="1" x14ac:dyDescent="0.2">
      <c r="B382" s="266"/>
      <c r="C382" s="235"/>
      <c r="D382" s="235"/>
      <c r="E382" s="239"/>
      <c r="F382" s="182"/>
      <c r="G382" s="182"/>
      <c r="H382" s="182"/>
      <c r="I382" s="233"/>
      <c r="J382" s="163" t="str">
        <f>IF(Parkstone!M46="","",Parkstone!M46)</f>
        <v/>
      </c>
      <c r="K382" s="41" t="str">
        <f>IF(Parkstone!N46="","",Parkstone!N46)</f>
        <v/>
      </c>
      <c r="L382" s="41" t="str">
        <f>IF(Parkstone!O46="","",Parkstone!O46)</f>
        <v/>
      </c>
      <c r="M382" s="41" t="str">
        <f>IF(Parkstone!P46="","",Parkstone!P46)</f>
        <v/>
      </c>
      <c r="N382" s="41" t="str">
        <f>IF(Parkstone!Q46="","",Parkstone!Q46)</f>
        <v/>
      </c>
      <c r="O382" s="41" t="str">
        <f>IF(Parkstone!R46="","",Parkstone!R46)</f>
        <v/>
      </c>
      <c r="P382" s="41" t="str">
        <f>IF(Parkstone!S46="","",Parkstone!S46)</f>
        <v/>
      </c>
      <c r="Q382" s="41" t="str">
        <f>IF(Parkstone!T46="","",Parkstone!T46)</f>
        <v/>
      </c>
      <c r="R382" s="41" t="str">
        <f>IF(Parkstone!U46="","",Parkstone!U46)</f>
        <v/>
      </c>
      <c r="S382" s="41" t="str">
        <f>IF(Parkstone!V46="","",Parkstone!V46)</f>
        <v/>
      </c>
      <c r="T382" s="41" t="str">
        <f>IF(Parkstone!W46="","",Parkstone!W46)</f>
        <v/>
      </c>
      <c r="U382" s="41" t="str">
        <f>IF(Parkstone!X46="","",Parkstone!X46)</f>
        <v/>
      </c>
      <c r="V382" s="41" t="str">
        <f>IF(Parkstone!Y46="","",Parkstone!Y46)</f>
        <v/>
      </c>
      <c r="W382" s="201"/>
      <c r="X382" s="182"/>
      <c r="Y382" s="233"/>
      <c r="AA382" s="239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233"/>
    </row>
    <row r="383" spans="2:51" ht="12" customHeight="1" x14ac:dyDescent="0.2">
      <c r="B383" s="266"/>
      <c r="C383" s="263" t="str">
        <f>IF(Parkstone!E47="","",Parkstone!E47)</f>
        <v/>
      </c>
      <c r="D383" s="259" t="str">
        <f>LEFT($B$343,3)</f>
        <v>Par</v>
      </c>
      <c r="E383" s="251" t="str">
        <f>IF(Parkstone!G47="","",Parkstone!G47)</f>
        <v/>
      </c>
      <c r="F383" s="181" t="str">
        <f>IF(Parkstone!H47=0,"",Parkstone!H47)</f>
        <v/>
      </c>
      <c r="G383" s="181" t="str">
        <f>IF(Parkstone!I47=0,"",Parkstone!I47)</f>
        <v/>
      </c>
      <c r="H383" s="181" t="str">
        <f>IF(Parkstone!J47=0,"",Parkstone!J47)</f>
        <v/>
      </c>
      <c r="I383" s="250" t="str">
        <f>IF(Parkstone!K47=0,"",Parkstone!K47)</f>
        <v/>
      </c>
      <c r="J383" s="163" t="str">
        <f>IF(Parkstone!M47="","",Parkstone!M47)</f>
        <v/>
      </c>
      <c r="K383" s="41" t="str">
        <f>IF(Parkstone!N47="","",Parkstone!N47)</f>
        <v/>
      </c>
      <c r="L383" s="41" t="str">
        <f>IF(Parkstone!O47="","",Parkstone!O47)</f>
        <v/>
      </c>
      <c r="M383" s="41" t="str">
        <f>IF(Parkstone!P47="","",Parkstone!P47)</f>
        <v/>
      </c>
      <c r="N383" s="41" t="str">
        <f>IF(Parkstone!Q47="","",Parkstone!Q47)</f>
        <v/>
      </c>
      <c r="O383" s="41" t="str">
        <f>IF(Parkstone!R47="","",Parkstone!R47)</f>
        <v/>
      </c>
      <c r="P383" s="41" t="str">
        <f>IF(Parkstone!S47="","",Parkstone!S47)</f>
        <v/>
      </c>
      <c r="Q383" s="41" t="str">
        <f>IF(Parkstone!T47="","",Parkstone!T47)</f>
        <v/>
      </c>
      <c r="R383" s="41" t="str">
        <f>IF(Parkstone!U47="","",Parkstone!U47)</f>
        <v/>
      </c>
      <c r="S383" s="41" t="str">
        <f>IF(Parkstone!V47="","",Parkstone!V47)</f>
        <v/>
      </c>
      <c r="T383" s="41" t="str">
        <f>IF(Parkstone!W47="","",Parkstone!W47)</f>
        <v/>
      </c>
      <c r="U383" s="41" t="str">
        <f>IF(Parkstone!X47="","",Parkstone!X47)</f>
        <v/>
      </c>
      <c r="V383" s="41" t="str">
        <f>IF(Parkstone!Y47="","",Parkstone!Y47)</f>
        <v/>
      </c>
      <c r="W383" s="249" t="str">
        <f>IF(Parkstone!AA47=0,"",Parkstone!AA47)</f>
        <v/>
      </c>
      <c r="X383" s="244" t="str">
        <f>IF(Parkstone!AB47=0,"",Parkstone!AB47)</f>
        <v/>
      </c>
      <c r="Y383" s="245" t="str">
        <f>IF(Parkstone!AC47=0,"",Parkstone!AC47)</f>
        <v/>
      </c>
      <c r="AA383" s="246" t="str">
        <f>Y383</f>
        <v/>
      </c>
      <c r="AB383" s="243" t="str">
        <f>X383</f>
        <v/>
      </c>
      <c r="AC383" s="185" t="str">
        <f>C383</f>
        <v/>
      </c>
      <c r="AD383" s="185" t="str">
        <f>LEFT($B$343,3)</f>
        <v>Par</v>
      </c>
      <c r="AE383" s="185" t="str">
        <f t="shared" ref="AE383:AY383" si="188">E383</f>
        <v/>
      </c>
      <c r="AF383" s="185" t="str">
        <f t="shared" si="188"/>
        <v/>
      </c>
      <c r="AG383" s="185" t="str">
        <f t="shared" si="188"/>
        <v/>
      </c>
      <c r="AH383" s="185" t="str">
        <f t="shared" si="188"/>
        <v/>
      </c>
      <c r="AI383" s="185" t="str">
        <f t="shared" si="188"/>
        <v/>
      </c>
      <c r="AJ383" s="243" t="str">
        <f t="shared" si="188"/>
        <v/>
      </c>
      <c r="AK383" s="243" t="str">
        <f t="shared" si="188"/>
        <v/>
      </c>
      <c r="AL383" s="243" t="str">
        <f t="shared" si="188"/>
        <v/>
      </c>
      <c r="AM383" s="243" t="str">
        <f t="shared" si="188"/>
        <v/>
      </c>
      <c r="AN383" s="243" t="str">
        <f t="shared" si="188"/>
        <v/>
      </c>
      <c r="AO383" s="243" t="str">
        <f t="shared" si="188"/>
        <v/>
      </c>
      <c r="AP383" s="243" t="str">
        <f t="shared" si="188"/>
        <v/>
      </c>
      <c r="AQ383" s="243" t="str">
        <f t="shared" si="188"/>
        <v/>
      </c>
      <c r="AR383" s="243" t="str">
        <f t="shared" si="188"/>
        <v/>
      </c>
      <c r="AS383" s="243" t="str">
        <f t="shared" si="188"/>
        <v/>
      </c>
      <c r="AT383" s="243" t="str">
        <f t="shared" si="188"/>
        <v/>
      </c>
      <c r="AU383" s="243" t="str">
        <f t="shared" si="188"/>
        <v/>
      </c>
      <c r="AV383" s="243" t="str">
        <f t="shared" si="188"/>
        <v/>
      </c>
      <c r="AW383" s="247" t="str">
        <f t="shared" si="188"/>
        <v/>
      </c>
      <c r="AX383" s="243" t="str">
        <f t="shared" si="188"/>
        <v/>
      </c>
      <c r="AY383" s="248" t="str">
        <f t="shared" si="188"/>
        <v/>
      </c>
    </row>
    <row r="384" spans="2:51" ht="12.75" customHeight="1" x14ac:dyDescent="0.2">
      <c r="B384" s="211"/>
      <c r="C384" s="211"/>
      <c r="D384" s="211"/>
      <c r="E384" s="223"/>
      <c r="F384" s="225"/>
      <c r="G384" s="225"/>
      <c r="H384" s="225"/>
      <c r="I384" s="228"/>
      <c r="J384" s="164" t="str">
        <f>IF(Parkstone!M48="","",Parkstone!M48)</f>
        <v/>
      </c>
      <c r="K384" s="165" t="str">
        <f>IF(Parkstone!N48="","",Parkstone!N48)</f>
        <v/>
      </c>
      <c r="L384" s="165" t="str">
        <f>IF(Parkstone!O48="","",Parkstone!O48)</f>
        <v/>
      </c>
      <c r="M384" s="165" t="str">
        <f>IF(Parkstone!P48="","",Parkstone!P48)</f>
        <v/>
      </c>
      <c r="N384" s="165" t="str">
        <f>IF(Parkstone!Q48="","",Parkstone!Q48)</f>
        <v/>
      </c>
      <c r="O384" s="165" t="str">
        <f>IF(Parkstone!R48="","",Parkstone!R48)</f>
        <v/>
      </c>
      <c r="P384" s="165" t="str">
        <f>IF(Parkstone!S48="","",Parkstone!S48)</f>
        <v/>
      </c>
      <c r="Q384" s="165" t="str">
        <f>IF(Parkstone!T48="","",Parkstone!T48)</f>
        <v/>
      </c>
      <c r="R384" s="165" t="str">
        <f>IF(Parkstone!U48="","",Parkstone!U48)</f>
        <v/>
      </c>
      <c r="S384" s="165" t="str">
        <f>IF(Parkstone!V48="","",Parkstone!V48)</f>
        <v/>
      </c>
      <c r="T384" s="165" t="str">
        <f>IF(Parkstone!W48="","",Parkstone!W48)</f>
        <v/>
      </c>
      <c r="U384" s="165" t="str">
        <f>IF(Parkstone!X48="","",Parkstone!X48)</f>
        <v/>
      </c>
      <c r="V384" s="165" t="str">
        <f>IF(Parkstone!Y48="","",Parkstone!Y48)</f>
        <v/>
      </c>
      <c r="W384" s="261"/>
      <c r="X384" s="225"/>
      <c r="Y384" s="228"/>
      <c r="AA384" s="239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233"/>
    </row>
    <row r="385" spans="2:51" ht="12.75" customHeight="1" x14ac:dyDescent="0.2">
      <c r="B385" s="265" t="s">
        <v>23</v>
      </c>
      <c r="C385" s="264" t="str">
        <f>IF(Poole!E7="","",Poole!E7)</f>
        <v>Carl Beattie</v>
      </c>
      <c r="D385" s="260" t="str">
        <f>LEFT($B$385,3)</f>
        <v>Poo</v>
      </c>
      <c r="E385" s="256">
        <f>IF(Poole!G7="","",Poole!G7)</f>
        <v>13</v>
      </c>
      <c r="F385" s="257">
        <f>IF(Poole!H7=0,"",Poole!H7)</f>
        <v>12</v>
      </c>
      <c r="G385" s="253">
        <f>IF(Poole!I7=0,"",Poole!I7)</f>
        <v>1</v>
      </c>
      <c r="H385" s="253">
        <f>IF(Poole!J7=0,"",Poole!J7)</f>
        <v>51</v>
      </c>
      <c r="I385" s="258">
        <f>IF(Poole!K7=0,"",Poole!K7)</f>
        <v>18</v>
      </c>
      <c r="J385" s="161">
        <f>IF(Poole!M7="","",Poole!M7)</f>
        <v>21.45</v>
      </c>
      <c r="K385" s="162">
        <f>IF(Poole!N7="","",Poole!N7)</f>
        <v>26.62</v>
      </c>
      <c r="L385" s="162">
        <f>IF(Poole!O7="","",Poole!O7)</f>
        <v>28.59</v>
      </c>
      <c r="M385" s="162">
        <f>IF(Poole!P7="","",Poole!P7)</f>
        <v>25.04</v>
      </c>
      <c r="N385" s="162">
        <f>IF(Poole!Q7="","",Poole!Q7)</f>
        <v>28.27</v>
      </c>
      <c r="O385" s="162">
        <f>IF(Poole!R7="","",Poole!R7)</f>
        <v>22.77</v>
      </c>
      <c r="P385" s="162">
        <f>IF(Poole!S7="","",Poole!S7)</f>
        <v>25.06</v>
      </c>
      <c r="Q385" s="162">
        <f>IF(Poole!T7="","",Poole!T7)</f>
        <v>21.51</v>
      </c>
      <c r="R385" s="162">
        <f>IF(Poole!U7="","",Poole!U7)</f>
        <v>27.45</v>
      </c>
      <c r="S385" s="162">
        <f>IF(Poole!V7="","",Poole!V7)</f>
        <v>26.31</v>
      </c>
      <c r="T385" s="162">
        <f>IF(Poole!W7="","",Poole!W7)</f>
        <v>23.29</v>
      </c>
      <c r="U385" s="162">
        <f>IF(Poole!X7="","",Poole!X7)</f>
        <v>23.57</v>
      </c>
      <c r="V385" s="162">
        <f>IF(Poole!Y7="","",Poole!Y7)</f>
        <v>25.91</v>
      </c>
      <c r="W385" s="262">
        <f>IF(Poole!AA7=0,"",Poole!AA7)</f>
        <v>13</v>
      </c>
      <c r="X385" s="254">
        <f>IF(Poole!AB7=0,"",Poole!AB7)</f>
        <v>25.064615384615387</v>
      </c>
      <c r="Y385" s="255">
        <f>IF(Poole!AC7=0,"",Poole!AC7)</f>
        <v>37.064615384615387</v>
      </c>
      <c r="AA385" s="246">
        <f>Y385</f>
        <v>37.064615384615387</v>
      </c>
      <c r="AB385" s="243">
        <f>X385</f>
        <v>25.064615384615387</v>
      </c>
      <c r="AC385" s="185" t="str">
        <f>C385</f>
        <v>Carl Beattie</v>
      </c>
      <c r="AD385" s="185" t="str">
        <f>LEFT($B$385,3)</f>
        <v>Poo</v>
      </c>
      <c r="AE385" s="185">
        <f t="shared" ref="AE385:AY385" si="189">E385</f>
        <v>13</v>
      </c>
      <c r="AF385" s="185">
        <f t="shared" si="189"/>
        <v>12</v>
      </c>
      <c r="AG385" s="247">
        <f t="shared" si="189"/>
        <v>1</v>
      </c>
      <c r="AH385" s="247">
        <f t="shared" si="189"/>
        <v>51</v>
      </c>
      <c r="AI385" s="247">
        <f t="shared" si="189"/>
        <v>18</v>
      </c>
      <c r="AJ385" s="243">
        <f t="shared" si="189"/>
        <v>21.45</v>
      </c>
      <c r="AK385" s="243">
        <f t="shared" si="189"/>
        <v>26.62</v>
      </c>
      <c r="AL385" s="243">
        <f t="shared" si="189"/>
        <v>28.59</v>
      </c>
      <c r="AM385" s="243">
        <f t="shared" si="189"/>
        <v>25.04</v>
      </c>
      <c r="AN385" s="243">
        <f t="shared" si="189"/>
        <v>28.27</v>
      </c>
      <c r="AO385" s="243">
        <f t="shared" si="189"/>
        <v>22.77</v>
      </c>
      <c r="AP385" s="243">
        <f t="shared" si="189"/>
        <v>25.06</v>
      </c>
      <c r="AQ385" s="243">
        <f t="shared" si="189"/>
        <v>21.51</v>
      </c>
      <c r="AR385" s="243">
        <f t="shared" si="189"/>
        <v>27.45</v>
      </c>
      <c r="AS385" s="243">
        <f t="shared" si="189"/>
        <v>26.31</v>
      </c>
      <c r="AT385" s="243">
        <f t="shared" si="189"/>
        <v>23.29</v>
      </c>
      <c r="AU385" s="243">
        <f t="shared" si="189"/>
        <v>23.57</v>
      </c>
      <c r="AV385" s="243">
        <f t="shared" si="189"/>
        <v>25.91</v>
      </c>
      <c r="AW385" s="247">
        <f t="shared" si="189"/>
        <v>13</v>
      </c>
      <c r="AX385" s="243">
        <f t="shared" si="189"/>
        <v>25.064615384615387</v>
      </c>
      <c r="AY385" s="248">
        <f t="shared" si="189"/>
        <v>37.064615384615387</v>
      </c>
    </row>
    <row r="386" spans="2:51" ht="12" customHeight="1" x14ac:dyDescent="0.2">
      <c r="B386" s="266"/>
      <c r="C386" s="235"/>
      <c r="D386" s="235"/>
      <c r="E386" s="239"/>
      <c r="F386" s="182"/>
      <c r="G386" s="182"/>
      <c r="H386" s="182"/>
      <c r="I386" s="233"/>
      <c r="J386" s="163" t="str">
        <f>IF(Poole!M8="","",Poole!M8)</f>
        <v>4*1(2)</v>
      </c>
      <c r="K386" s="41" t="str">
        <f>IF(Poole!N8="","",Poole!N8)</f>
        <v>4*1</v>
      </c>
      <c r="L386" s="41" t="str">
        <f>IF(Poole!O8="","",Poole!O8)</f>
        <v>4*1(1)</v>
      </c>
      <c r="M386" s="41" t="str">
        <f>IF(Poole!P8="","",Poole!P8)</f>
        <v>4*2</v>
      </c>
      <c r="N386" s="41" t="str">
        <f>IF(Poole!Q8="","",Poole!Q8)</f>
        <v>4*1(2)</v>
      </c>
      <c r="O386" s="41" t="str">
        <f>IF(Poole!R8="","",Poole!R8)</f>
        <v>4*0</v>
      </c>
      <c r="P386" s="41" t="str">
        <f>IF(Poole!S8="","",Poole!S8)</f>
        <v>4*1(1)</v>
      </c>
      <c r="Q386" s="41" t="str">
        <f>IF(Poole!T8="","",Poole!T8)</f>
        <v>4*3(2)</v>
      </c>
      <c r="R386" s="41" t="str">
        <f>IF(Poole!U8="","",Poole!U8)</f>
        <v>4*0(1)</v>
      </c>
      <c r="S386" s="41" t="str">
        <f>IF(Poole!V8="","",Poole!V8)</f>
        <v>4*0</v>
      </c>
      <c r="T386" s="41" t="str">
        <f>IF(Poole!W8="","",Poole!W8)</f>
        <v>3*4(2)</v>
      </c>
      <c r="U386" s="41" t="str">
        <f>IF(Poole!X8="","",Poole!X8)</f>
        <v>4*2</v>
      </c>
      <c r="V386" s="41" t="str">
        <f>IF(Poole!Y8="","",Poole!Y8)</f>
        <v>4*2(2)</v>
      </c>
      <c r="W386" s="201"/>
      <c r="X386" s="182"/>
      <c r="Y386" s="233"/>
      <c r="AA386" s="239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233"/>
    </row>
    <row r="387" spans="2:51" ht="12" customHeight="1" x14ac:dyDescent="0.2">
      <c r="B387" s="266"/>
      <c r="C387" s="263" t="str">
        <f>IF(Poole!E9="","",Poole!E9)</f>
        <v>Steven Earley</v>
      </c>
      <c r="D387" s="259" t="str">
        <f>LEFT($B$385,3)</f>
        <v>Poo</v>
      </c>
      <c r="E387" s="251">
        <f>IF(Poole!G9="","",Poole!G9)</f>
        <v>13</v>
      </c>
      <c r="F387" s="181">
        <f>IF(Poole!H9=0,"",Poole!H9)</f>
        <v>10</v>
      </c>
      <c r="G387" s="186">
        <f>IF(Poole!I9=0,"",Poole!I9)</f>
        <v>3</v>
      </c>
      <c r="H387" s="186">
        <f>IF(Poole!J9=0,"",Poole!J9)</f>
        <v>46</v>
      </c>
      <c r="I387" s="252">
        <f>IF(Poole!K9=0,"",Poole!K9)</f>
        <v>24</v>
      </c>
      <c r="J387" s="163">
        <f>IF(Poole!M9="","",Poole!M9)</f>
        <v>21.53</v>
      </c>
      <c r="K387" s="41">
        <f>IF(Poole!N9="","",Poole!N9)</f>
        <v>23.58</v>
      </c>
      <c r="L387" s="41">
        <f>IF(Poole!O9="","",Poole!O9)</f>
        <v>24.09</v>
      </c>
      <c r="M387" s="41">
        <f>IF(Poole!P9="","",Poole!P9)</f>
        <v>23.44</v>
      </c>
      <c r="N387" s="41">
        <f>IF(Poole!Q9="","",Poole!Q9)</f>
        <v>22.36</v>
      </c>
      <c r="O387" s="41">
        <f>IF(Poole!R9="","",Poole!R9)</f>
        <v>21.3</v>
      </c>
      <c r="P387" s="41">
        <f>IF(Poole!S9="","",Poole!S9)</f>
        <v>22.93</v>
      </c>
      <c r="Q387" s="41">
        <f>IF(Poole!T9="","",Poole!T9)</f>
        <v>23.86</v>
      </c>
      <c r="R387" s="41">
        <f>IF(Poole!U9="","",Poole!U9)</f>
        <v>21.01</v>
      </c>
      <c r="S387" s="41">
        <f>IF(Poole!V9="","",Poole!V9)</f>
        <v>18.559999999999999</v>
      </c>
      <c r="T387" s="41">
        <f>IF(Poole!W9="","",Poole!W9)</f>
        <v>23.33</v>
      </c>
      <c r="U387" s="41">
        <f>IF(Poole!X9="","",Poole!X9)</f>
        <v>22.16</v>
      </c>
      <c r="V387" s="41">
        <f>IF(Poole!Y9="","",Poole!Y9)</f>
        <v>23.06</v>
      </c>
      <c r="W387" s="249">
        <f>IF(Poole!AA9=0,"",Poole!AA9)</f>
        <v>5</v>
      </c>
      <c r="X387" s="244">
        <f>IF(Poole!AB9=0,"",Poole!AB9)</f>
        <v>22.400769230769235</v>
      </c>
      <c r="Y387" s="245">
        <f>IF(Poole!AC9=0,"",Poole!AC9)</f>
        <v>32.400769230769235</v>
      </c>
      <c r="AA387" s="246">
        <f>Y387</f>
        <v>32.400769230769235</v>
      </c>
      <c r="AB387" s="243">
        <f>X387</f>
        <v>22.400769230769235</v>
      </c>
      <c r="AC387" s="185" t="str">
        <f>C387</f>
        <v>Steven Earley</v>
      </c>
      <c r="AD387" s="185" t="str">
        <f>LEFT($B$385,3)</f>
        <v>Poo</v>
      </c>
      <c r="AE387" s="185">
        <f t="shared" ref="AE387:AY387" si="190">E387</f>
        <v>13</v>
      </c>
      <c r="AF387" s="185">
        <f t="shared" si="190"/>
        <v>10</v>
      </c>
      <c r="AG387" s="247">
        <f t="shared" si="190"/>
        <v>3</v>
      </c>
      <c r="AH387" s="247">
        <f t="shared" si="190"/>
        <v>46</v>
      </c>
      <c r="AI387" s="247">
        <f t="shared" si="190"/>
        <v>24</v>
      </c>
      <c r="AJ387" s="243">
        <f t="shared" si="190"/>
        <v>21.53</v>
      </c>
      <c r="AK387" s="243">
        <f t="shared" si="190"/>
        <v>23.58</v>
      </c>
      <c r="AL387" s="243">
        <f t="shared" si="190"/>
        <v>24.09</v>
      </c>
      <c r="AM387" s="243">
        <f t="shared" si="190"/>
        <v>23.44</v>
      </c>
      <c r="AN387" s="243">
        <f t="shared" si="190"/>
        <v>22.36</v>
      </c>
      <c r="AO387" s="243">
        <f t="shared" si="190"/>
        <v>21.3</v>
      </c>
      <c r="AP387" s="243">
        <f t="shared" si="190"/>
        <v>22.93</v>
      </c>
      <c r="AQ387" s="243">
        <f t="shared" si="190"/>
        <v>23.86</v>
      </c>
      <c r="AR387" s="243">
        <f t="shared" si="190"/>
        <v>21.01</v>
      </c>
      <c r="AS387" s="243">
        <f t="shared" si="190"/>
        <v>18.559999999999999</v>
      </c>
      <c r="AT387" s="243">
        <f t="shared" si="190"/>
        <v>23.33</v>
      </c>
      <c r="AU387" s="243">
        <f t="shared" si="190"/>
        <v>22.16</v>
      </c>
      <c r="AV387" s="243">
        <f t="shared" si="190"/>
        <v>23.06</v>
      </c>
      <c r="AW387" s="247">
        <f t="shared" si="190"/>
        <v>5</v>
      </c>
      <c r="AX387" s="243">
        <f t="shared" si="190"/>
        <v>22.400769230769235</v>
      </c>
      <c r="AY387" s="248">
        <f t="shared" si="190"/>
        <v>32.400769230769235</v>
      </c>
    </row>
    <row r="388" spans="2:51" ht="12" customHeight="1" x14ac:dyDescent="0.2">
      <c r="B388" s="266"/>
      <c r="C388" s="235"/>
      <c r="D388" s="235"/>
      <c r="E388" s="239"/>
      <c r="F388" s="182"/>
      <c r="G388" s="182"/>
      <c r="H388" s="182"/>
      <c r="I388" s="233"/>
      <c r="J388" s="163" t="str">
        <f>IF(Poole!M10="","",Poole!M10)</f>
        <v>3*4</v>
      </c>
      <c r="K388" s="41" t="str">
        <f>IF(Poole!N10="","",Poole!N10)</f>
        <v>4*0(1)</v>
      </c>
      <c r="L388" s="41" t="str">
        <f>IF(Poole!O10="","",Poole!O10)</f>
        <v>4*1</v>
      </c>
      <c r="M388" s="41" t="str">
        <f>IF(Poole!P10="","",Poole!P10)</f>
        <v>0*4</v>
      </c>
      <c r="N388" s="41" t="str">
        <f>IF(Poole!Q10="","",Poole!Q10)</f>
        <v>4*2(1)</v>
      </c>
      <c r="O388" s="41" t="str">
        <f>IF(Poole!R10="","",Poole!R10)</f>
        <v>4*3(1)</v>
      </c>
      <c r="P388" s="41" t="str">
        <f>IF(Poole!S10="","",Poole!S10)</f>
        <v>4*1</v>
      </c>
      <c r="Q388" s="41" t="str">
        <f>IF(Poole!T10="","",Poole!T10)</f>
        <v>4*0</v>
      </c>
      <c r="R388" s="41" t="str">
        <f>IF(Poole!U10="","",Poole!U10)</f>
        <v>4*1</v>
      </c>
      <c r="S388" s="41" t="str">
        <f>IF(Poole!V10="","",Poole!V10)</f>
        <v>4*0</v>
      </c>
      <c r="T388" s="41" t="str">
        <f>IF(Poole!W10="","",Poole!W10)</f>
        <v>3*4(1)</v>
      </c>
      <c r="U388" s="41" t="str">
        <f>IF(Poole!X10="","",Poole!X10)</f>
        <v>4*2</v>
      </c>
      <c r="V388" s="41" t="str">
        <f>IF(Poole!Y10="","",Poole!Y10)</f>
        <v>4*2(1)</v>
      </c>
      <c r="W388" s="201"/>
      <c r="X388" s="182"/>
      <c r="Y388" s="233"/>
      <c r="AA388" s="239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233"/>
    </row>
    <row r="389" spans="2:51" ht="12" customHeight="1" x14ac:dyDescent="0.2">
      <c r="B389" s="266"/>
      <c r="C389" s="263" t="str">
        <f>IF(Poole!E11="","",Poole!E11)</f>
        <v>Paul Grisedale</v>
      </c>
      <c r="D389" s="259" t="str">
        <f>LEFT($B$385,3)</f>
        <v>Poo</v>
      </c>
      <c r="E389" s="251">
        <f>IF(Poole!G11="","",Poole!G11)</f>
        <v>7</v>
      </c>
      <c r="F389" s="181">
        <f>IF(Poole!H11=0,"",Poole!H11)</f>
        <v>2</v>
      </c>
      <c r="G389" s="186">
        <f>IF(Poole!I11=0,"",Poole!I11)</f>
        <v>5</v>
      </c>
      <c r="H389" s="186">
        <f>IF(Poole!J11=0,"",Poole!J11)</f>
        <v>16</v>
      </c>
      <c r="I389" s="252">
        <f>IF(Poole!K11=0,"",Poole!K11)</f>
        <v>24</v>
      </c>
      <c r="J389" s="163">
        <f>IF(Poole!M11="","",Poole!M11)</f>
        <v>20.98</v>
      </c>
      <c r="K389" s="41" t="str">
        <f>IF(Poole!N11="","",Poole!N11)</f>
        <v/>
      </c>
      <c r="L389" s="41" t="str">
        <f>IF(Poole!O11="","",Poole!O11)</f>
        <v/>
      </c>
      <c r="M389" s="41">
        <f>IF(Poole!P11="","",Poole!P11)</f>
        <v>19.260000000000002</v>
      </c>
      <c r="N389" s="41" t="str">
        <f>IF(Poole!Q11="","",Poole!Q11)</f>
        <v/>
      </c>
      <c r="O389" s="41" t="str">
        <f>IF(Poole!R11="","",Poole!R11)</f>
        <v/>
      </c>
      <c r="P389" s="41">
        <f>IF(Poole!S11="","",Poole!S11)</f>
        <v>19.52</v>
      </c>
      <c r="Q389" s="41" t="str">
        <f>IF(Poole!T11="","",Poole!T11)</f>
        <v/>
      </c>
      <c r="R389" s="41">
        <f>IF(Poole!U11="","",Poole!U11)</f>
        <v>16.53</v>
      </c>
      <c r="S389" s="41">
        <f>IF(Poole!V11="","",Poole!V11)</f>
        <v>21.33</v>
      </c>
      <c r="T389" s="41">
        <f>IF(Poole!W11="","",Poole!W11)</f>
        <v>18.75</v>
      </c>
      <c r="U389" s="41" t="str">
        <f>IF(Poole!X11="","",Poole!X11)</f>
        <v/>
      </c>
      <c r="V389" s="41">
        <f>IF(Poole!Y11="","",Poole!Y11)</f>
        <v>20.94</v>
      </c>
      <c r="W389" s="249">
        <f>IF(Poole!AA11=0,"",Poole!AA11)</f>
        <v>1</v>
      </c>
      <c r="X389" s="244">
        <f>IF(Poole!AB11=0,"",Poole!AB11)</f>
        <v>19.615714285714287</v>
      </c>
      <c r="Y389" s="245">
        <f>IF(Poole!AC11=0,"",Poole!AC11)</f>
        <v>21.615714285714287</v>
      </c>
      <c r="AA389" s="246">
        <f>Y389</f>
        <v>21.615714285714287</v>
      </c>
      <c r="AB389" s="243">
        <f>X389</f>
        <v>19.615714285714287</v>
      </c>
      <c r="AC389" s="185" t="str">
        <f>C389</f>
        <v>Paul Grisedale</v>
      </c>
      <c r="AD389" s="185" t="str">
        <f>LEFT($B$385,3)</f>
        <v>Poo</v>
      </c>
      <c r="AE389" s="185">
        <f t="shared" ref="AE389:AY389" si="191">E389</f>
        <v>7</v>
      </c>
      <c r="AF389" s="185">
        <f t="shared" si="191"/>
        <v>2</v>
      </c>
      <c r="AG389" s="247">
        <f t="shared" si="191"/>
        <v>5</v>
      </c>
      <c r="AH389" s="247">
        <f t="shared" si="191"/>
        <v>16</v>
      </c>
      <c r="AI389" s="247">
        <f t="shared" si="191"/>
        <v>24</v>
      </c>
      <c r="AJ389" s="243">
        <f t="shared" si="191"/>
        <v>20.98</v>
      </c>
      <c r="AK389" s="243" t="str">
        <f t="shared" si="191"/>
        <v/>
      </c>
      <c r="AL389" s="243" t="str">
        <f t="shared" si="191"/>
        <v/>
      </c>
      <c r="AM389" s="243">
        <f t="shared" si="191"/>
        <v>19.260000000000002</v>
      </c>
      <c r="AN389" s="243" t="str">
        <f t="shared" si="191"/>
        <v/>
      </c>
      <c r="AO389" s="243" t="str">
        <f t="shared" si="191"/>
        <v/>
      </c>
      <c r="AP389" s="243">
        <f t="shared" si="191"/>
        <v>19.52</v>
      </c>
      <c r="AQ389" s="243" t="str">
        <f t="shared" si="191"/>
        <v/>
      </c>
      <c r="AR389" s="243">
        <f t="shared" si="191"/>
        <v>16.53</v>
      </c>
      <c r="AS389" s="243">
        <f t="shared" si="191"/>
        <v>21.33</v>
      </c>
      <c r="AT389" s="243">
        <f t="shared" si="191"/>
        <v>18.75</v>
      </c>
      <c r="AU389" s="243" t="str">
        <f t="shared" si="191"/>
        <v/>
      </c>
      <c r="AV389" s="243">
        <f t="shared" si="191"/>
        <v>20.94</v>
      </c>
      <c r="AW389" s="247">
        <f t="shared" si="191"/>
        <v>1</v>
      </c>
      <c r="AX389" s="243">
        <f t="shared" si="191"/>
        <v>19.615714285714287</v>
      </c>
      <c r="AY389" s="248">
        <f t="shared" si="191"/>
        <v>21.615714285714287</v>
      </c>
    </row>
    <row r="390" spans="2:51" ht="12" customHeight="1" x14ac:dyDescent="0.2">
      <c r="B390" s="266"/>
      <c r="C390" s="235"/>
      <c r="D390" s="235"/>
      <c r="E390" s="239"/>
      <c r="F390" s="182"/>
      <c r="G390" s="182"/>
      <c r="H390" s="182"/>
      <c r="I390" s="233"/>
      <c r="J390" s="163" t="str">
        <f>IF(Poole!M12="","",Poole!M12)</f>
        <v>4*3</v>
      </c>
      <c r="K390" s="41" t="str">
        <f>IF(Poole!N12="","",Poole!N12)</f>
        <v/>
      </c>
      <c r="L390" s="41" t="str">
        <f>IF(Poole!O12="","",Poole!O12)</f>
        <v/>
      </c>
      <c r="M390" s="41" t="str">
        <f>IF(Poole!P12="","",Poole!P12)</f>
        <v>3*4</v>
      </c>
      <c r="N390" s="41" t="str">
        <f>IF(Poole!Q12="","",Poole!Q12)</f>
        <v/>
      </c>
      <c r="O390" s="41" t="str">
        <f>IF(Poole!R12="","",Poole!R12)</f>
        <v/>
      </c>
      <c r="P390" s="41" t="str">
        <f>IF(Poole!S12="","",Poole!S12)</f>
        <v>0*4</v>
      </c>
      <c r="Q390" s="41" t="str">
        <f>IF(Poole!T12="","",Poole!T12)</f>
        <v/>
      </c>
      <c r="R390" s="41" t="str">
        <f>IF(Poole!U12="","",Poole!U12)</f>
        <v>2*4</v>
      </c>
      <c r="S390" s="41" t="str">
        <f>IF(Poole!V12="","",Poole!V12)</f>
        <v>4*1(1)</v>
      </c>
      <c r="T390" s="41" t="str">
        <f>IF(Poole!W12="","",Poole!W12)</f>
        <v>3*4</v>
      </c>
      <c r="U390" s="41" t="str">
        <f>IF(Poole!X12="","",Poole!X12)</f>
        <v/>
      </c>
      <c r="V390" s="41" t="str">
        <f>IF(Poole!Y12="","",Poole!Y12)</f>
        <v>0*4</v>
      </c>
      <c r="W390" s="201"/>
      <c r="X390" s="182"/>
      <c r="Y390" s="233"/>
      <c r="AA390" s="239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233"/>
    </row>
    <row r="391" spans="2:51" ht="12" customHeight="1" x14ac:dyDescent="0.2">
      <c r="B391" s="266"/>
      <c r="C391" s="263" t="str">
        <f>IF(Poole!E13="","",Poole!E13)</f>
        <v>Damian Mudge</v>
      </c>
      <c r="D391" s="259" t="str">
        <f>LEFT($B$385,3)</f>
        <v>Poo</v>
      </c>
      <c r="E391" s="251">
        <f>IF(Poole!G13="","",Poole!G13)</f>
        <v>12</v>
      </c>
      <c r="F391" s="181">
        <f>IF(Poole!H13=0,"",Poole!H13)</f>
        <v>4</v>
      </c>
      <c r="G391" s="186">
        <f>IF(Poole!I13=0,"",Poole!I13)</f>
        <v>8</v>
      </c>
      <c r="H391" s="186">
        <f>IF(Poole!J13=0,"",Poole!J13)</f>
        <v>32</v>
      </c>
      <c r="I391" s="252">
        <f>IF(Poole!K13=0,"",Poole!K13)</f>
        <v>36</v>
      </c>
      <c r="J391" s="163" t="str">
        <f>IF(Poole!M13="","",Poole!M13)</f>
        <v/>
      </c>
      <c r="K391" s="41">
        <f>IF(Poole!N13="","",Poole!N13)</f>
        <v>23.6</v>
      </c>
      <c r="L391" s="41">
        <f>IF(Poole!O13="","",Poole!O13)</f>
        <v>21.74</v>
      </c>
      <c r="M391" s="41">
        <f>IF(Poole!P13="","",Poole!P13)</f>
        <v>24.35</v>
      </c>
      <c r="N391" s="41">
        <f>IF(Poole!Q13="","",Poole!Q13)</f>
        <v>23.88</v>
      </c>
      <c r="O391" s="41">
        <f>IF(Poole!R13="","",Poole!R13)</f>
        <v>21.3</v>
      </c>
      <c r="P391" s="41">
        <f>IF(Poole!S13="","",Poole!S13)</f>
        <v>22.28</v>
      </c>
      <c r="Q391" s="41">
        <f>IF(Poole!T13="","",Poole!T13)</f>
        <v>20.05</v>
      </c>
      <c r="R391" s="41">
        <f>IF(Poole!U13="","",Poole!U13)</f>
        <v>26.02</v>
      </c>
      <c r="S391" s="41">
        <f>IF(Poole!V13="","",Poole!V13)</f>
        <v>20.66</v>
      </c>
      <c r="T391" s="41">
        <f>IF(Poole!W13="","",Poole!W13)</f>
        <v>23.98</v>
      </c>
      <c r="U391" s="41">
        <f>IF(Poole!X13="","",Poole!X13)</f>
        <v>21.66</v>
      </c>
      <c r="V391" s="41">
        <f>IF(Poole!Y13="","",Poole!Y13)</f>
        <v>21.09</v>
      </c>
      <c r="W391" s="249">
        <f>IF(Poole!AA13=0,"",Poole!AA13)</f>
        <v>1</v>
      </c>
      <c r="X391" s="244">
        <f>IF(Poole!AB13=0,"",Poole!AB13)</f>
        <v>22.55083333333333</v>
      </c>
      <c r="Y391" s="245">
        <f>IF(Poole!AC13=0,"",Poole!AC13)</f>
        <v>26.55083333333333</v>
      </c>
      <c r="AA391" s="246">
        <f>Y391</f>
        <v>26.55083333333333</v>
      </c>
      <c r="AB391" s="243">
        <f>X391</f>
        <v>22.55083333333333</v>
      </c>
      <c r="AC391" s="185" t="str">
        <f>C391</f>
        <v>Damian Mudge</v>
      </c>
      <c r="AD391" s="185" t="str">
        <f>LEFT($B$385,3)</f>
        <v>Poo</v>
      </c>
      <c r="AE391" s="185">
        <f t="shared" ref="AE391:AY391" si="192">E391</f>
        <v>12</v>
      </c>
      <c r="AF391" s="185">
        <f t="shared" si="192"/>
        <v>4</v>
      </c>
      <c r="AG391" s="247">
        <f t="shared" si="192"/>
        <v>8</v>
      </c>
      <c r="AH391" s="247">
        <f t="shared" si="192"/>
        <v>32</v>
      </c>
      <c r="AI391" s="247">
        <f t="shared" si="192"/>
        <v>36</v>
      </c>
      <c r="AJ391" s="243" t="str">
        <f t="shared" si="192"/>
        <v/>
      </c>
      <c r="AK391" s="243">
        <f t="shared" si="192"/>
        <v>23.6</v>
      </c>
      <c r="AL391" s="243">
        <f t="shared" si="192"/>
        <v>21.74</v>
      </c>
      <c r="AM391" s="243">
        <f t="shared" si="192"/>
        <v>24.35</v>
      </c>
      <c r="AN391" s="243">
        <f t="shared" si="192"/>
        <v>23.88</v>
      </c>
      <c r="AO391" s="243">
        <f t="shared" si="192"/>
        <v>21.3</v>
      </c>
      <c r="AP391" s="243">
        <f t="shared" si="192"/>
        <v>22.28</v>
      </c>
      <c r="AQ391" s="243">
        <f t="shared" si="192"/>
        <v>20.05</v>
      </c>
      <c r="AR391" s="243">
        <f t="shared" si="192"/>
        <v>26.02</v>
      </c>
      <c r="AS391" s="243">
        <f t="shared" si="192"/>
        <v>20.66</v>
      </c>
      <c r="AT391" s="243">
        <f t="shared" si="192"/>
        <v>23.98</v>
      </c>
      <c r="AU391" s="243">
        <f t="shared" si="192"/>
        <v>21.66</v>
      </c>
      <c r="AV391" s="243">
        <f t="shared" si="192"/>
        <v>21.09</v>
      </c>
      <c r="AW391" s="247">
        <f t="shared" si="192"/>
        <v>1</v>
      </c>
      <c r="AX391" s="243">
        <f t="shared" si="192"/>
        <v>22.55083333333333</v>
      </c>
      <c r="AY391" s="248">
        <f t="shared" si="192"/>
        <v>26.55083333333333</v>
      </c>
    </row>
    <row r="392" spans="2:51" ht="12" customHeight="1" x14ac:dyDescent="0.2">
      <c r="B392" s="266"/>
      <c r="C392" s="235"/>
      <c r="D392" s="235"/>
      <c r="E392" s="239"/>
      <c r="F392" s="182"/>
      <c r="G392" s="182"/>
      <c r="H392" s="182"/>
      <c r="I392" s="233"/>
      <c r="J392" s="163" t="str">
        <f>IF(Poole!M14="","",Poole!M14)</f>
        <v/>
      </c>
      <c r="K392" s="41" t="str">
        <f>IF(Poole!N14="","",Poole!N14)</f>
        <v>4*2</v>
      </c>
      <c r="L392" s="41" t="str">
        <f>IF(Poole!O14="","",Poole!O14)</f>
        <v>3*4</v>
      </c>
      <c r="M392" s="41" t="str">
        <f>IF(Poole!P14="","",Poole!P14)</f>
        <v>2*4</v>
      </c>
      <c r="N392" s="41" t="str">
        <f>IF(Poole!Q14="","",Poole!Q14)</f>
        <v>1*4</v>
      </c>
      <c r="O392" s="41" t="str">
        <f>IF(Poole!R14="","",Poole!R14)</f>
        <v>3*4</v>
      </c>
      <c r="P392" s="41" t="str">
        <f>IF(Poole!S14="","",Poole!S14)</f>
        <v>3*4</v>
      </c>
      <c r="Q392" s="41" t="str">
        <f>IF(Poole!T14="","",Poole!T14)</f>
        <v>3*4</v>
      </c>
      <c r="R392" s="41" t="str">
        <f>IF(Poole!U14="","",Poole!U14)</f>
        <v>4*0</v>
      </c>
      <c r="S392" s="41" t="str">
        <f>IF(Poole!V14="","",Poole!V14)</f>
        <v>4*0</v>
      </c>
      <c r="T392" s="41" t="str">
        <f>IF(Poole!W14="","",Poole!W14)</f>
        <v>4*2(1)</v>
      </c>
      <c r="U392" s="41" t="str">
        <f>IF(Poole!X14="","",Poole!X14)</f>
        <v>1*4</v>
      </c>
      <c r="V392" s="41" t="str">
        <f>IF(Poole!Y14="","",Poole!Y14)</f>
        <v>0*4</v>
      </c>
      <c r="W392" s="201"/>
      <c r="X392" s="182"/>
      <c r="Y392" s="233"/>
      <c r="AA392" s="239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233"/>
    </row>
    <row r="393" spans="2:51" ht="12" customHeight="1" x14ac:dyDescent="0.2">
      <c r="B393" s="266"/>
      <c r="C393" s="263" t="str">
        <f>IF(Poole!E15="","",Poole!E15)</f>
        <v>Paddy Stewart</v>
      </c>
      <c r="D393" s="259" t="str">
        <f>LEFT($B$385,3)</f>
        <v>Poo</v>
      </c>
      <c r="E393" s="251">
        <f>IF(Poole!G15="","",Poole!G15)</f>
        <v>5</v>
      </c>
      <c r="F393" s="181">
        <f>IF(Poole!H15=0,"",Poole!H15)</f>
        <v>2</v>
      </c>
      <c r="G393" s="186">
        <f>IF(Poole!I15=0,"",Poole!I15)</f>
        <v>3</v>
      </c>
      <c r="H393" s="186">
        <f>IF(Poole!J15=0,"",Poole!J15)</f>
        <v>14</v>
      </c>
      <c r="I393" s="252">
        <f>IF(Poole!K15=0,"",Poole!K15)</f>
        <v>14</v>
      </c>
      <c r="J393" s="163" t="str">
        <f>IF(Poole!M15="","",Poole!M15)</f>
        <v/>
      </c>
      <c r="K393" s="41">
        <f>IF(Poole!N15="","",Poole!N15)</f>
        <v>23.52</v>
      </c>
      <c r="L393" s="41">
        <f>IF(Poole!O15="","",Poole!O15)</f>
        <v>19.989999999999998</v>
      </c>
      <c r="M393" s="41">
        <f>IF(Poole!P15="","",Poole!P15)</f>
        <v>17.899999999999999</v>
      </c>
      <c r="N393" s="41" t="str">
        <f>IF(Poole!Q15="","",Poole!Q15)</f>
        <v/>
      </c>
      <c r="O393" s="41" t="str">
        <f>IF(Poole!R15="","",Poole!R15)</f>
        <v/>
      </c>
      <c r="P393" s="41">
        <f>IF(Poole!S15="","",Poole!S15)</f>
        <v>18.72</v>
      </c>
      <c r="Q393" s="41" t="str">
        <f>IF(Poole!T15="","",Poole!T15)</f>
        <v/>
      </c>
      <c r="R393" s="41" t="str">
        <f>IF(Poole!U15="","",Poole!U15)</f>
        <v/>
      </c>
      <c r="S393" s="41">
        <f>IF(Poole!V15="","",Poole!V15)</f>
        <v>19.649999999999999</v>
      </c>
      <c r="T393" s="41" t="str">
        <f>IF(Poole!W15="","",Poole!W15)</f>
        <v/>
      </c>
      <c r="U393" s="41" t="str">
        <f>IF(Poole!X15="","",Poole!X15)</f>
        <v/>
      </c>
      <c r="V393" s="41" t="str">
        <f>IF(Poole!Y15="","",Poole!Y15)</f>
        <v/>
      </c>
      <c r="W393" s="249">
        <f>IF(Poole!AA15=0,"",Poole!AA15)</f>
        <v>1</v>
      </c>
      <c r="X393" s="244">
        <f>IF(Poole!AB15=0,"",Poole!AB15)</f>
        <v>19.956</v>
      </c>
      <c r="Y393" s="245">
        <f>IF(Poole!AC15=0,"",Poole!AC15)</f>
        <v>21.956</v>
      </c>
      <c r="AA393" s="246">
        <f>Y393</f>
        <v>21.956</v>
      </c>
      <c r="AB393" s="243">
        <f>X393</f>
        <v>19.956</v>
      </c>
      <c r="AC393" s="185" t="str">
        <f>C393</f>
        <v>Paddy Stewart</v>
      </c>
      <c r="AD393" s="185" t="str">
        <f>LEFT($B$385,3)</f>
        <v>Poo</v>
      </c>
      <c r="AE393" s="185">
        <f t="shared" ref="AE393:AY393" si="193">E393</f>
        <v>5</v>
      </c>
      <c r="AF393" s="185">
        <f t="shared" si="193"/>
        <v>2</v>
      </c>
      <c r="AG393" s="247">
        <f t="shared" si="193"/>
        <v>3</v>
      </c>
      <c r="AH393" s="247">
        <f t="shared" si="193"/>
        <v>14</v>
      </c>
      <c r="AI393" s="247">
        <f t="shared" si="193"/>
        <v>14</v>
      </c>
      <c r="AJ393" s="243" t="str">
        <f t="shared" si="193"/>
        <v/>
      </c>
      <c r="AK393" s="243">
        <f t="shared" si="193"/>
        <v>23.52</v>
      </c>
      <c r="AL393" s="243">
        <f t="shared" si="193"/>
        <v>19.989999999999998</v>
      </c>
      <c r="AM393" s="243">
        <f t="shared" si="193"/>
        <v>17.899999999999999</v>
      </c>
      <c r="AN393" s="243" t="str">
        <f t="shared" si="193"/>
        <v/>
      </c>
      <c r="AO393" s="243" t="str">
        <f t="shared" si="193"/>
        <v/>
      </c>
      <c r="AP393" s="243">
        <f t="shared" si="193"/>
        <v>18.72</v>
      </c>
      <c r="AQ393" s="243" t="str">
        <f t="shared" si="193"/>
        <v/>
      </c>
      <c r="AR393" s="243" t="str">
        <f t="shared" si="193"/>
        <v/>
      </c>
      <c r="AS393" s="243">
        <f t="shared" si="193"/>
        <v>19.649999999999999</v>
      </c>
      <c r="AT393" s="243" t="str">
        <f t="shared" si="193"/>
        <v/>
      </c>
      <c r="AU393" s="243" t="str">
        <f t="shared" si="193"/>
        <v/>
      </c>
      <c r="AV393" s="243" t="str">
        <f t="shared" si="193"/>
        <v/>
      </c>
      <c r="AW393" s="247">
        <f t="shared" si="193"/>
        <v>1</v>
      </c>
      <c r="AX393" s="243">
        <f t="shared" si="193"/>
        <v>19.956</v>
      </c>
      <c r="AY393" s="248">
        <f t="shared" si="193"/>
        <v>21.956</v>
      </c>
    </row>
    <row r="394" spans="2:51" ht="12" customHeight="1" x14ac:dyDescent="0.2">
      <c r="B394" s="266"/>
      <c r="C394" s="235"/>
      <c r="D394" s="235"/>
      <c r="E394" s="239"/>
      <c r="F394" s="182"/>
      <c r="G394" s="182"/>
      <c r="H394" s="182"/>
      <c r="I394" s="233"/>
      <c r="J394" s="163" t="str">
        <f>IF(Poole!M16="","",Poole!M16)</f>
        <v/>
      </c>
      <c r="K394" s="41" t="str">
        <f>IF(Poole!N16="","",Poole!N16)</f>
        <v>2*4</v>
      </c>
      <c r="L394" s="41" t="str">
        <f>IF(Poole!O16="","",Poole!O16)</f>
        <v>4*2</v>
      </c>
      <c r="M394" s="41" t="str">
        <f>IF(Poole!P16="","",Poole!P16)</f>
        <v>3*4</v>
      </c>
      <c r="N394" s="41" t="str">
        <f>IF(Poole!Q16="","",Poole!Q16)</f>
        <v/>
      </c>
      <c r="O394" s="41" t="str">
        <f>IF(Poole!R16="","",Poole!R16)</f>
        <v/>
      </c>
      <c r="P394" s="41" t="str">
        <f>IF(Poole!S16="","",Poole!S16)</f>
        <v>1*4</v>
      </c>
      <c r="Q394" s="41" t="str">
        <f>IF(Poole!T16="","",Poole!T16)</f>
        <v/>
      </c>
      <c r="R394" s="41" t="str">
        <f>IF(Poole!U16="","",Poole!U16)</f>
        <v/>
      </c>
      <c r="S394" s="41" t="str">
        <f>IF(Poole!V16="","",Poole!V16)</f>
        <v>4*0(1)</v>
      </c>
      <c r="T394" s="41" t="str">
        <f>IF(Poole!W16="","",Poole!W16)</f>
        <v/>
      </c>
      <c r="U394" s="41" t="str">
        <f>IF(Poole!X16="","",Poole!X16)</f>
        <v/>
      </c>
      <c r="V394" s="41" t="str">
        <f>IF(Poole!Y16="","",Poole!Y16)</f>
        <v/>
      </c>
      <c r="W394" s="201"/>
      <c r="X394" s="182"/>
      <c r="Y394" s="233"/>
      <c r="AA394" s="239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233"/>
    </row>
    <row r="395" spans="2:51" ht="12" customHeight="1" x14ac:dyDescent="0.2">
      <c r="B395" s="266"/>
      <c r="C395" s="263" t="str">
        <f>IF(Poole!E17="","",Poole!E17)</f>
        <v>Richard Hutley</v>
      </c>
      <c r="D395" s="259" t="str">
        <f>LEFT($B$385,3)</f>
        <v>Poo</v>
      </c>
      <c r="E395" s="251">
        <f>IF(Poole!G17="","",Poole!G17)</f>
        <v>6</v>
      </c>
      <c r="F395" s="181">
        <f>IF(Poole!H17=0,"",Poole!H17)</f>
        <v>2</v>
      </c>
      <c r="G395" s="186">
        <f>IF(Poole!I17=0,"",Poole!I17)</f>
        <v>4</v>
      </c>
      <c r="H395" s="186">
        <f>IF(Poole!J17=0,"",Poole!J17)</f>
        <v>14</v>
      </c>
      <c r="I395" s="252">
        <f>IF(Poole!K17=0,"",Poole!K17)</f>
        <v>18</v>
      </c>
      <c r="J395" s="163" t="str">
        <f>IF(Poole!M17="","",Poole!M17)</f>
        <v/>
      </c>
      <c r="K395" s="41">
        <f>IF(Poole!N17="","",Poole!N17)</f>
        <v>16.670000000000002</v>
      </c>
      <c r="L395" s="41" t="str">
        <f>IF(Poole!O17="","",Poole!O17)</f>
        <v/>
      </c>
      <c r="M395" s="41">
        <f>IF(Poole!P17="","",Poole!P17)</f>
        <v>22.44</v>
      </c>
      <c r="N395" s="41">
        <f>IF(Poole!Q17="","",Poole!Q17)</f>
        <v>24.46</v>
      </c>
      <c r="O395" s="41" t="str">
        <f>IF(Poole!R17="","",Poole!R17)</f>
        <v/>
      </c>
      <c r="P395" s="41">
        <f>IF(Poole!S17="","",Poole!S17)</f>
        <v>21.56</v>
      </c>
      <c r="Q395" s="41" t="str">
        <f>IF(Poole!T17="","",Poole!T17)</f>
        <v/>
      </c>
      <c r="R395" s="41">
        <f>IF(Poole!U17="","",Poole!U17)</f>
        <v>20.239999999999998</v>
      </c>
      <c r="S395" s="41" t="str">
        <f>IF(Poole!V17="","",Poole!V17)</f>
        <v/>
      </c>
      <c r="T395" s="41" t="str">
        <f>IF(Poole!W17="","",Poole!W17)</f>
        <v/>
      </c>
      <c r="U395" s="41">
        <f>IF(Poole!X17="","",Poole!X17)</f>
        <v>22.77</v>
      </c>
      <c r="V395" s="41" t="str">
        <f>IF(Poole!Y17="","",Poole!Y17)</f>
        <v/>
      </c>
      <c r="W395" s="249" t="str">
        <f>IF(Poole!AA17=0,"",Poole!AA17)</f>
        <v/>
      </c>
      <c r="X395" s="244">
        <f>IF(Poole!AB17=0,"",Poole!AB17)</f>
        <v>21.356666666666666</v>
      </c>
      <c r="Y395" s="245">
        <f>IF(Poole!AC17=0,"",Poole!AC17)</f>
        <v>23.356666666666666</v>
      </c>
      <c r="AA395" s="246">
        <f>Y395</f>
        <v>23.356666666666666</v>
      </c>
      <c r="AB395" s="243">
        <f>X395</f>
        <v>21.356666666666666</v>
      </c>
      <c r="AC395" s="185" t="str">
        <f>C395</f>
        <v>Richard Hutley</v>
      </c>
      <c r="AD395" s="185" t="str">
        <f>LEFT($B$385,3)</f>
        <v>Poo</v>
      </c>
      <c r="AE395" s="185">
        <f t="shared" ref="AE395:AY395" si="194">E395</f>
        <v>6</v>
      </c>
      <c r="AF395" s="185">
        <f t="shared" si="194"/>
        <v>2</v>
      </c>
      <c r="AG395" s="247">
        <f t="shared" si="194"/>
        <v>4</v>
      </c>
      <c r="AH395" s="247">
        <f t="shared" si="194"/>
        <v>14</v>
      </c>
      <c r="AI395" s="247">
        <f t="shared" si="194"/>
        <v>18</v>
      </c>
      <c r="AJ395" s="243" t="str">
        <f t="shared" si="194"/>
        <v/>
      </c>
      <c r="AK395" s="243">
        <f t="shared" si="194"/>
        <v>16.670000000000002</v>
      </c>
      <c r="AL395" s="243" t="str">
        <f t="shared" si="194"/>
        <v/>
      </c>
      <c r="AM395" s="243">
        <f t="shared" si="194"/>
        <v>22.44</v>
      </c>
      <c r="AN395" s="243">
        <f t="shared" si="194"/>
        <v>24.46</v>
      </c>
      <c r="AO395" s="243" t="str">
        <f t="shared" si="194"/>
        <v/>
      </c>
      <c r="AP395" s="243">
        <f t="shared" si="194"/>
        <v>21.56</v>
      </c>
      <c r="AQ395" s="243" t="str">
        <f t="shared" si="194"/>
        <v/>
      </c>
      <c r="AR395" s="243">
        <f t="shared" si="194"/>
        <v>20.239999999999998</v>
      </c>
      <c r="AS395" s="243" t="str">
        <f t="shared" si="194"/>
        <v/>
      </c>
      <c r="AT395" s="243" t="str">
        <f t="shared" si="194"/>
        <v/>
      </c>
      <c r="AU395" s="243">
        <f t="shared" si="194"/>
        <v>22.77</v>
      </c>
      <c r="AV395" s="243" t="str">
        <f t="shared" si="194"/>
        <v/>
      </c>
      <c r="AW395" s="247" t="str">
        <f t="shared" si="194"/>
        <v/>
      </c>
      <c r="AX395" s="243">
        <f t="shared" si="194"/>
        <v>21.356666666666666</v>
      </c>
      <c r="AY395" s="248">
        <f t="shared" si="194"/>
        <v>23.356666666666666</v>
      </c>
    </row>
    <row r="396" spans="2:51" ht="12" customHeight="1" x14ac:dyDescent="0.2">
      <c r="B396" s="266"/>
      <c r="C396" s="235"/>
      <c r="D396" s="235"/>
      <c r="E396" s="239"/>
      <c r="F396" s="182"/>
      <c r="G396" s="182"/>
      <c r="H396" s="182"/>
      <c r="I396" s="233"/>
      <c r="J396" s="163" t="str">
        <f>IF(Poole!M18="","",Poole!M18)</f>
        <v/>
      </c>
      <c r="K396" s="41" t="str">
        <f>IF(Poole!N18="","",Poole!N18)</f>
        <v>2*4</v>
      </c>
      <c r="L396" s="41" t="str">
        <f>IF(Poole!O18="","",Poole!O18)</f>
        <v/>
      </c>
      <c r="M396" s="41" t="str">
        <f>IF(Poole!P18="","",Poole!P18)</f>
        <v>2*4</v>
      </c>
      <c r="N396" s="41" t="str">
        <f>IF(Poole!Q18="","",Poole!Q18)</f>
        <v>4*2</v>
      </c>
      <c r="O396" s="41" t="str">
        <f>IF(Poole!R18="","",Poole!R18)</f>
        <v/>
      </c>
      <c r="P396" s="41" t="str">
        <f>IF(Poole!S18="","",Poole!S18)</f>
        <v>2*4</v>
      </c>
      <c r="Q396" s="41" t="str">
        <f>IF(Poole!T18="","",Poole!T18)</f>
        <v/>
      </c>
      <c r="R396" s="41" t="str">
        <f>IF(Poole!U18="","",Poole!U18)</f>
        <v>0*4</v>
      </c>
      <c r="S396" s="41" t="str">
        <f>IF(Poole!V18="","",Poole!V18)</f>
        <v/>
      </c>
      <c r="T396" s="41" t="str">
        <f>IF(Poole!W18="","",Poole!W18)</f>
        <v/>
      </c>
      <c r="U396" s="41" t="str">
        <f>IF(Poole!X18="","",Poole!X18)</f>
        <v>4*0</v>
      </c>
      <c r="V396" s="41" t="str">
        <f>IF(Poole!Y18="","",Poole!Y18)</f>
        <v/>
      </c>
      <c r="W396" s="201"/>
      <c r="X396" s="182"/>
      <c r="Y396" s="233"/>
      <c r="AA396" s="239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233"/>
    </row>
    <row r="397" spans="2:51" ht="12" customHeight="1" x14ac:dyDescent="0.2">
      <c r="B397" s="266"/>
      <c r="C397" s="263" t="str">
        <f>IF(Poole!E19="","",Poole!E19)</f>
        <v>Kevin Smith</v>
      </c>
      <c r="D397" s="259" t="str">
        <f>LEFT($B$385,3)</f>
        <v>Poo</v>
      </c>
      <c r="E397" s="251">
        <f>IF(Poole!G19="","",Poole!G19)</f>
        <v>13</v>
      </c>
      <c r="F397" s="181">
        <f>IF(Poole!H19=0,"",Poole!H19)</f>
        <v>11</v>
      </c>
      <c r="G397" s="186">
        <f>IF(Poole!I19=0,"",Poole!I19)</f>
        <v>2</v>
      </c>
      <c r="H397" s="186">
        <f>IF(Poole!J19=0,"",Poole!J19)</f>
        <v>50</v>
      </c>
      <c r="I397" s="252">
        <f>IF(Poole!K19=0,"",Poole!K19)</f>
        <v>20</v>
      </c>
      <c r="J397" s="163">
        <f>IF(Poole!M19="","",Poole!M19)</f>
        <v>26.01</v>
      </c>
      <c r="K397" s="41">
        <f>IF(Poole!N19="","",Poole!N19)</f>
        <v>23.61</v>
      </c>
      <c r="L397" s="41">
        <f>IF(Poole!O19="","",Poole!O19)</f>
        <v>26.37</v>
      </c>
      <c r="M397" s="41">
        <f>IF(Poole!P19="","",Poole!P19)</f>
        <v>23.16</v>
      </c>
      <c r="N397" s="41">
        <f>IF(Poole!Q19="","",Poole!Q19)</f>
        <v>24.5</v>
      </c>
      <c r="O397" s="41">
        <f>IF(Poole!R19="","",Poole!R19)</f>
        <v>21.24</v>
      </c>
      <c r="P397" s="41">
        <f>IF(Poole!S19="","",Poole!S19)</f>
        <v>25.34</v>
      </c>
      <c r="Q397" s="41">
        <f>IF(Poole!T19="","",Poole!T19)</f>
        <v>22.96</v>
      </c>
      <c r="R397" s="41">
        <f>IF(Poole!U19="","",Poole!U19)</f>
        <v>23.76</v>
      </c>
      <c r="S397" s="41">
        <f>IF(Poole!V19="","",Poole!V19)</f>
        <v>23.86</v>
      </c>
      <c r="T397" s="41">
        <f>IF(Poole!W19="","",Poole!W19)</f>
        <v>19.3</v>
      </c>
      <c r="U397" s="41">
        <f>IF(Poole!X19="","",Poole!X19)</f>
        <v>25.47</v>
      </c>
      <c r="V397" s="41">
        <f>IF(Poole!Y19="","",Poole!Y19)</f>
        <v>25.04</v>
      </c>
      <c r="W397" s="249">
        <f>IF(Poole!AA19=0,"",Poole!AA19)</f>
        <v>5</v>
      </c>
      <c r="X397" s="244">
        <f>IF(Poole!AB19=0,"",Poole!AB19)</f>
        <v>23.893846153846159</v>
      </c>
      <c r="Y397" s="245">
        <f>IF(Poole!AC19=0,"",Poole!AC19)</f>
        <v>34.893846153846155</v>
      </c>
      <c r="AA397" s="246">
        <f>Y397</f>
        <v>34.893846153846155</v>
      </c>
      <c r="AB397" s="243">
        <f>X397</f>
        <v>23.893846153846159</v>
      </c>
      <c r="AC397" s="185" t="str">
        <f>C397</f>
        <v>Kevin Smith</v>
      </c>
      <c r="AD397" s="185" t="str">
        <f>LEFT($B$385,3)</f>
        <v>Poo</v>
      </c>
      <c r="AE397" s="185">
        <f t="shared" ref="AE397:AY397" si="195">E397</f>
        <v>13</v>
      </c>
      <c r="AF397" s="185">
        <f t="shared" si="195"/>
        <v>11</v>
      </c>
      <c r="AG397" s="247">
        <f t="shared" si="195"/>
        <v>2</v>
      </c>
      <c r="AH397" s="247">
        <f t="shared" si="195"/>
        <v>50</v>
      </c>
      <c r="AI397" s="247">
        <f t="shared" si="195"/>
        <v>20</v>
      </c>
      <c r="AJ397" s="243">
        <f t="shared" si="195"/>
        <v>26.01</v>
      </c>
      <c r="AK397" s="243">
        <f t="shared" si="195"/>
        <v>23.61</v>
      </c>
      <c r="AL397" s="243">
        <f t="shared" si="195"/>
        <v>26.37</v>
      </c>
      <c r="AM397" s="243">
        <f t="shared" si="195"/>
        <v>23.16</v>
      </c>
      <c r="AN397" s="243">
        <f t="shared" si="195"/>
        <v>24.5</v>
      </c>
      <c r="AO397" s="243">
        <f t="shared" si="195"/>
        <v>21.24</v>
      </c>
      <c r="AP397" s="243">
        <f t="shared" si="195"/>
        <v>25.34</v>
      </c>
      <c r="AQ397" s="243">
        <f t="shared" si="195"/>
        <v>22.96</v>
      </c>
      <c r="AR397" s="243">
        <f t="shared" si="195"/>
        <v>23.76</v>
      </c>
      <c r="AS397" s="243">
        <f t="shared" si="195"/>
        <v>23.86</v>
      </c>
      <c r="AT397" s="243">
        <f t="shared" si="195"/>
        <v>19.3</v>
      </c>
      <c r="AU397" s="243">
        <f t="shared" si="195"/>
        <v>25.47</v>
      </c>
      <c r="AV397" s="243">
        <f t="shared" si="195"/>
        <v>25.04</v>
      </c>
      <c r="AW397" s="247">
        <f t="shared" si="195"/>
        <v>5</v>
      </c>
      <c r="AX397" s="243">
        <f t="shared" si="195"/>
        <v>23.893846153846159</v>
      </c>
      <c r="AY397" s="248">
        <f t="shared" si="195"/>
        <v>34.893846153846155</v>
      </c>
    </row>
    <row r="398" spans="2:51" ht="12" customHeight="1" x14ac:dyDescent="0.2">
      <c r="B398" s="266"/>
      <c r="C398" s="235"/>
      <c r="D398" s="235"/>
      <c r="E398" s="239"/>
      <c r="F398" s="182"/>
      <c r="G398" s="182"/>
      <c r="H398" s="182"/>
      <c r="I398" s="233"/>
      <c r="J398" s="163" t="str">
        <f>IF(Poole!M20="","",Poole!M20)</f>
        <v>4*1(1)</v>
      </c>
      <c r="K398" s="41" t="str">
        <f>IF(Poole!N20="","",Poole!N20)</f>
        <v>4*1</v>
      </c>
      <c r="L398" s="41" t="str">
        <f>IF(Poole!O20="","",Poole!O20)</f>
        <v>4*0(1)</v>
      </c>
      <c r="M398" s="41" t="str">
        <f>IF(Poole!P20="","",Poole!P20)</f>
        <v>4*1</v>
      </c>
      <c r="N398" s="41" t="str">
        <f>IF(Poole!Q20="","",Poole!Q20)</f>
        <v>3*4(1)</v>
      </c>
      <c r="O398" s="41" t="str">
        <f>IF(Poole!R20="","",Poole!R20)</f>
        <v>4*1</v>
      </c>
      <c r="P398" s="41" t="str">
        <f>IF(Poole!S20="","",Poole!S20)</f>
        <v>3*4</v>
      </c>
      <c r="Q398" s="41" t="str">
        <f>IF(Poole!T20="","",Poole!T20)</f>
        <v>4*3(2)</v>
      </c>
      <c r="R398" s="41" t="str">
        <f>IF(Poole!U20="","",Poole!U20)</f>
        <v>4*1</v>
      </c>
      <c r="S398" s="41" t="str">
        <f>IF(Poole!V20="","",Poole!V20)</f>
        <v>4*1</v>
      </c>
      <c r="T398" s="41" t="str">
        <f>IF(Poole!W20="","",Poole!W20)</f>
        <v>4*0</v>
      </c>
      <c r="U398" s="41" t="str">
        <f>IF(Poole!X20="","",Poole!X20)</f>
        <v>4*1</v>
      </c>
      <c r="V398" s="41" t="str">
        <f>IF(Poole!Y20="","",Poole!Y20)</f>
        <v>4*2</v>
      </c>
      <c r="W398" s="201"/>
      <c r="X398" s="182"/>
      <c r="Y398" s="233"/>
      <c r="AA398" s="239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233"/>
    </row>
    <row r="399" spans="2:51" ht="12" customHeight="1" x14ac:dyDescent="0.2">
      <c r="B399" s="266"/>
      <c r="C399" s="263" t="str">
        <f>IF(Poole!E21="","",Poole!E21)</f>
        <v>Sam Barker</v>
      </c>
      <c r="D399" s="259" t="str">
        <f>LEFT($B$385,3)</f>
        <v>Poo</v>
      </c>
      <c r="E399" s="251">
        <f>IF(Poole!G21="","",Poole!G21)</f>
        <v>6</v>
      </c>
      <c r="F399" s="181">
        <f>IF(Poole!H21=0,"",Poole!H21)</f>
        <v>1</v>
      </c>
      <c r="G399" s="186">
        <f>IF(Poole!I21=0,"",Poole!I21)</f>
        <v>5</v>
      </c>
      <c r="H399" s="186">
        <f>IF(Poole!J21=0,"",Poole!J21)</f>
        <v>11</v>
      </c>
      <c r="I399" s="252">
        <f>IF(Poole!K21=0,"",Poole!K21)</f>
        <v>21</v>
      </c>
      <c r="J399" s="163">
        <f>IF(Poole!M21="","",Poole!M21)</f>
        <v>19.97</v>
      </c>
      <c r="K399" s="41" t="str">
        <f>IF(Poole!N21="","",Poole!N21)</f>
        <v/>
      </c>
      <c r="L399" s="41">
        <f>IF(Poole!O21="","",Poole!O21)</f>
        <v>20.55</v>
      </c>
      <c r="M399" s="41" t="str">
        <f>IF(Poole!P21="","",Poole!P21)</f>
        <v/>
      </c>
      <c r="N399" s="41">
        <f>IF(Poole!Q21="","",Poole!Q21)</f>
        <v>21.95</v>
      </c>
      <c r="O399" s="41">
        <f>IF(Poole!R21="","",Poole!R21)</f>
        <v>20.65</v>
      </c>
      <c r="P399" s="41" t="str">
        <f>IF(Poole!S21="","",Poole!S21)</f>
        <v/>
      </c>
      <c r="Q399" s="41">
        <f>IF(Poole!T21="","",Poole!T21)</f>
        <v>22.6</v>
      </c>
      <c r="R399" s="41" t="str">
        <f>IF(Poole!U21="","",Poole!U21)</f>
        <v/>
      </c>
      <c r="S399" s="41" t="str">
        <f>IF(Poole!V21="","",Poole!V21)</f>
        <v/>
      </c>
      <c r="T399" s="41" t="str">
        <f>IF(Poole!W21="","",Poole!W21)</f>
        <v/>
      </c>
      <c r="U399" s="41">
        <f>IF(Poole!X21="","",Poole!X21)</f>
        <v>21.84</v>
      </c>
      <c r="V399" s="41" t="str">
        <f>IF(Poole!Y21="","",Poole!Y21)</f>
        <v/>
      </c>
      <c r="W399" s="249">
        <f>IF(Poole!AA21=0,"",Poole!AA21)</f>
        <v>1</v>
      </c>
      <c r="X399" s="244">
        <f>IF(Poole!AB21=0,"",Poole!AB21)</f>
        <v>21.26</v>
      </c>
      <c r="Y399" s="245">
        <f>IF(Poole!AC21=0,"",Poole!AC21)</f>
        <v>22.26</v>
      </c>
      <c r="AA399" s="246">
        <f>Y399</f>
        <v>22.26</v>
      </c>
      <c r="AB399" s="243">
        <f>X399</f>
        <v>21.26</v>
      </c>
      <c r="AC399" s="185" t="str">
        <f>C399</f>
        <v>Sam Barker</v>
      </c>
      <c r="AD399" s="185" t="str">
        <f>LEFT($B$385,3)</f>
        <v>Poo</v>
      </c>
      <c r="AE399" s="185">
        <f t="shared" ref="AE399:AY399" si="196">E399</f>
        <v>6</v>
      </c>
      <c r="AF399" s="185">
        <f t="shared" si="196"/>
        <v>1</v>
      </c>
      <c r="AG399" s="247">
        <f t="shared" si="196"/>
        <v>5</v>
      </c>
      <c r="AH399" s="247">
        <f t="shared" si="196"/>
        <v>11</v>
      </c>
      <c r="AI399" s="247">
        <f t="shared" si="196"/>
        <v>21</v>
      </c>
      <c r="AJ399" s="243">
        <f t="shared" si="196"/>
        <v>19.97</v>
      </c>
      <c r="AK399" s="243" t="str">
        <f t="shared" si="196"/>
        <v/>
      </c>
      <c r="AL399" s="243">
        <f t="shared" si="196"/>
        <v>20.55</v>
      </c>
      <c r="AM399" s="243" t="str">
        <f t="shared" si="196"/>
        <v/>
      </c>
      <c r="AN399" s="243">
        <f t="shared" si="196"/>
        <v>21.95</v>
      </c>
      <c r="AO399" s="243">
        <f t="shared" si="196"/>
        <v>20.65</v>
      </c>
      <c r="AP399" s="243" t="str">
        <f t="shared" si="196"/>
        <v/>
      </c>
      <c r="AQ399" s="243">
        <f t="shared" si="196"/>
        <v>22.6</v>
      </c>
      <c r="AR399" s="243" t="str">
        <f t="shared" si="196"/>
        <v/>
      </c>
      <c r="AS399" s="243" t="str">
        <f t="shared" si="196"/>
        <v/>
      </c>
      <c r="AT399" s="243" t="str">
        <f t="shared" si="196"/>
        <v/>
      </c>
      <c r="AU399" s="243">
        <f t="shared" si="196"/>
        <v>21.84</v>
      </c>
      <c r="AV399" s="243" t="str">
        <f t="shared" si="196"/>
        <v/>
      </c>
      <c r="AW399" s="247">
        <f t="shared" si="196"/>
        <v>1</v>
      </c>
      <c r="AX399" s="243">
        <f t="shared" si="196"/>
        <v>21.26</v>
      </c>
      <c r="AY399" s="248">
        <f t="shared" si="196"/>
        <v>22.26</v>
      </c>
    </row>
    <row r="400" spans="2:51" ht="12" customHeight="1" x14ac:dyDescent="0.2">
      <c r="B400" s="266"/>
      <c r="C400" s="235"/>
      <c r="D400" s="235"/>
      <c r="E400" s="239"/>
      <c r="F400" s="182"/>
      <c r="G400" s="182"/>
      <c r="H400" s="182"/>
      <c r="I400" s="233"/>
      <c r="J400" s="163" t="str">
        <f>IF(Poole!M22="","",Poole!M22)</f>
        <v>4*1</v>
      </c>
      <c r="K400" s="41" t="str">
        <f>IF(Poole!N22="","",Poole!N22)</f>
        <v/>
      </c>
      <c r="L400" s="41" t="str">
        <f>IF(Poole!O22="","",Poole!O22)</f>
        <v>0*4</v>
      </c>
      <c r="M400" s="41" t="str">
        <f>IF(Poole!P22="","",Poole!P22)</f>
        <v/>
      </c>
      <c r="N400" s="41" t="str">
        <f>IF(Poole!Q22="","",Poole!Q22)</f>
        <v>3*4</v>
      </c>
      <c r="O400" s="41" t="str">
        <f>IF(Poole!R22="","",Poole!R22)</f>
        <v>1*4(1)</v>
      </c>
      <c r="P400" s="41" t="str">
        <f>IF(Poole!S22="","",Poole!S22)</f>
        <v/>
      </c>
      <c r="Q400" s="41" t="str">
        <f>IF(Poole!T22="","",Poole!T22)</f>
        <v>3*4</v>
      </c>
      <c r="R400" s="41" t="str">
        <f>IF(Poole!U22="","",Poole!U22)</f>
        <v/>
      </c>
      <c r="S400" s="41" t="str">
        <f>IF(Poole!V22="","",Poole!V22)</f>
        <v/>
      </c>
      <c r="T400" s="41" t="str">
        <f>IF(Poole!W22="","",Poole!W22)</f>
        <v/>
      </c>
      <c r="U400" s="41" t="str">
        <f>IF(Poole!X22="","",Poole!X22)</f>
        <v>0*4</v>
      </c>
      <c r="V400" s="41" t="str">
        <f>IF(Poole!Y22="","",Poole!Y22)</f>
        <v/>
      </c>
      <c r="W400" s="201"/>
      <c r="X400" s="182"/>
      <c r="Y400" s="233"/>
      <c r="AA400" s="239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233"/>
    </row>
    <row r="401" spans="2:51" ht="12" customHeight="1" x14ac:dyDescent="0.2">
      <c r="B401" s="266"/>
      <c r="C401" s="263" t="str">
        <f>IF(Poole!E23="","",Poole!E23)</f>
        <v>Robert Marshallsay</v>
      </c>
      <c r="D401" s="259" t="str">
        <f>LEFT($B$385,3)</f>
        <v>Poo</v>
      </c>
      <c r="E401" s="251">
        <f>IF(Poole!G23="","",Poole!G23)</f>
        <v>11</v>
      </c>
      <c r="F401" s="181">
        <f>IF(Poole!H23=0,"",Poole!H23)</f>
        <v>4</v>
      </c>
      <c r="G401" s="186">
        <f>IF(Poole!I23=0,"",Poole!I23)</f>
        <v>7</v>
      </c>
      <c r="H401" s="186">
        <f>IF(Poole!J23=0,"",Poole!J23)</f>
        <v>23</v>
      </c>
      <c r="I401" s="252">
        <f>IF(Poole!K23=0,"",Poole!K23)</f>
        <v>34</v>
      </c>
      <c r="J401" s="163">
        <f>IF(Poole!M23="","",Poole!M23)</f>
        <v>21.45</v>
      </c>
      <c r="K401" s="41">
        <f>IF(Poole!N23="","",Poole!N23)</f>
        <v>20.45</v>
      </c>
      <c r="L401" s="41">
        <f>IF(Poole!O23="","",Poole!O23)</f>
        <v>20.55</v>
      </c>
      <c r="M401" s="41">
        <f>IF(Poole!P23="","",Poole!P23)</f>
        <v>19.28</v>
      </c>
      <c r="N401" s="41" t="str">
        <f>IF(Poole!Q23="","",Poole!Q23)</f>
        <v/>
      </c>
      <c r="O401" s="41">
        <f>IF(Poole!R23="","",Poole!R23)</f>
        <v>23.82</v>
      </c>
      <c r="P401" s="41" t="str">
        <f>IF(Poole!S23="","",Poole!S23)</f>
        <v/>
      </c>
      <c r="Q401" s="41">
        <f>IF(Poole!T23="","",Poole!T23)</f>
        <v>21.09</v>
      </c>
      <c r="R401" s="41">
        <f>IF(Poole!U23="","",Poole!U23)</f>
        <v>19.829999999999998</v>
      </c>
      <c r="S401" s="41">
        <f>IF(Poole!V23="","",Poole!V23)</f>
        <v>21.54</v>
      </c>
      <c r="T401" s="41">
        <f>IF(Poole!W23="","",Poole!W23)</f>
        <v>21.5</v>
      </c>
      <c r="U401" s="41">
        <f>IF(Poole!X23="","",Poole!X23)</f>
        <v>21.22</v>
      </c>
      <c r="V401" s="41">
        <f>IF(Poole!Y23="","",Poole!Y23)</f>
        <v>20.69</v>
      </c>
      <c r="W401" s="249">
        <f>IF(Poole!AA23=0,"",Poole!AA23)</f>
        <v>1</v>
      </c>
      <c r="X401" s="244">
        <f>IF(Poole!AB23=0,"",Poole!AB23)</f>
        <v>21.038181818181819</v>
      </c>
      <c r="Y401" s="245">
        <f>IF(Poole!AC23=0,"",Poole!AC23)</f>
        <v>25.038181818181819</v>
      </c>
      <c r="AA401" s="246">
        <f>Y401</f>
        <v>25.038181818181819</v>
      </c>
      <c r="AB401" s="243">
        <f>X401</f>
        <v>21.038181818181819</v>
      </c>
      <c r="AC401" s="185" t="str">
        <f>C401</f>
        <v>Robert Marshallsay</v>
      </c>
      <c r="AD401" s="185" t="str">
        <f>LEFT($B$385,3)</f>
        <v>Poo</v>
      </c>
      <c r="AE401" s="185">
        <f t="shared" ref="AE401:AY401" si="197">E401</f>
        <v>11</v>
      </c>
      <c r="AF401" s="185">
        <f t="shared" si="197"/>
        <v>4</v>
      </c>
      <c r="AG401" s="247">
        <f t="shared" si="197"/>
        <v>7</v>
      </c>
      <c r="AH401" s="247">
        <f t="shared" si="197"/>
        <v>23</v>
      </c>
      <c r="AI401" s="247">
        <f t="shared" si="197"/>
        <v>34</v>
      </c>
      <c r="AJ401" s="243">
        <f t="shared" si="197"/>
        <v>21.45</v>
      </c>
      <c r="AK401" s="243">
        <f t="shared" si="197"/>
        <v>20.45</v>
      </c>
      <c r="AL401" s="243">
        <f t="shared" si="197"/>
        <v>20.55</v>
      </c>
      <c r="AM401" s="243">
        <f t="shared" si="197"/>
        <v>19.28</v>
      </c>
      <c r="AN401" s="243" t="str">
        <f t="shared" si="197"/>
        <v/>
      </c>
      <c r="AO401" s="243">
        <f t="shared" si="197"/>
        <v>23.82</v>
      </c>
      <c r="AP401" s="243" t="str">
        <f t="shared" si="197"/>
        <v/>
      </c>
      <c r="AQ401" s="243">
        <f t="shared" si="197"/>
        <v>21.09</v>
      </c>
      <c r="AR401" s="243">
        <f t="shared" si="197"/>
        <v>19.829999999999998</v>
      </c>
      <c r="AS401" s="243">
        <f t="shared" si="197"/>
        <v>21.54</v>
      </c>
      <c r="AT401" s="243">
        <f t="shared" si="197"/>
        <v>21.5</v>
      </c>
      <c r="AU401" s="243">
        <f t="shared" si="197"/>
        <v>21.22</v>
      </c>
      <c r="AV401" s="243">
        <f t="shared" si="197"/>
        <v>20.69</v>
      </c>
      <c r="AW401" s="247">
        <f t="shared" si="197"/>
        <v>1</v>
      </c>
      <c r="AX401" s="243">
        <f t="shared" si="197"/>
        <v>21.038181818181819</v>
      </c>
      <c r="AY401" s="248">
        <f t="shared" si="197"/>
        <v>25.038181818181819</v>
      </c>
    </row>
    <row r="402" spans="2:51" ht="12" customHeight="1" x14ac:dyDescent="0.2">
      <c r="B402" s="266"/>
      <c r="C402" s="235"/>
      <c r="D402" s="235"/>
      <c r="E402" s="239"/>
      <c r="F402" s="182"/>
      <c r="G402" s="182"/>
      <c r="H402" s="182"/>
      <c r="I402" s="233"/>
      <c r="J402" s="163" t="str">
        <f>IF(Poole!M24="","",Poole!M24)</f>
        <v>3*4</v>
      </c>
      <c r="K402" s="41" t="str">
        <f>IF(Poole!N24="","",Poole!N24)</f>
        <v>3*4(1)</v>
      </c>
      <c r="L402" s="41" t="str">
        <f>IF(Poole!O24="","",Poole!O24)</f>
        <v>1*4</v>
      </c>
      <c r="M402" s="41" t="str">
        <f>IF(Poole!P24="","",Poole!P24)</f>
        <v>0*4</v>
      </c>
      <c r="N402" s="41" t="str">
        <f>IF(Poole!Q24="","",Poole!Q24)</f>
        <v/>
      </c>
      <c r="O402" s="41" t="str">
        <f>IF(Poole!R24="","",Poole!R24)</f>
        <v>4*2</v>
      </c>
      <c r="P402" s="41" t="str">
        <f>IF(Poole!S24="","",Poole!S24)</f>
        <v/>
      </c>
      <c r="Q402" s="41" t="str">
        <f>IF(Poole!T24="","",Poole!T24)</f>
        <v>4*0</v>
      </c>
      <c r="R402" s="41" t="str">
        <f>IF(Poole!U24="","",Poole!U24)</f>
        <v>0*4</v>
      </c>
      <c r="S402" s="41" t="str">
        <f>IF(Poole!V24="","",Poole!V24)</f>
        <v>4*1</v>
      </c>
      <c r="T402" s="41" t="str">
        <f>IF(Poole!W24="","",Poole!W24)</f>
        <v>4*3</v>
      </c>
      <c r="U402" s="41" t="str">
        <f>IF(Poole!X24="","",Poole!X24)</f>
        <v>0*4</v>
      </c>
      <c r="V402" s="41" t="str">
        <f>IF(Poole!Y24="","",Poole!Y24)</f>
        <v>0*4</v>
      </c>
      <c r="W402" s="201"/>
      <c r="X402" s="182"/>
      <c r="Y402" s="233"/>
      <c r="AA402" s="239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233"/>
    </row>
    <row r="403" spans="2:51" ht="12" customHeight="1" x14ac:dyDescent="0.2">
      <c r="B403" s="266"/>
      <c r="C403" s="263" t="str">
        <f>IF(Poole!E25="","",Poole!E25)</f>
        <v>Jake Carton</v>
      </c>
      <c r="D403" s="259" t="str">
        <f>LEFT($B$385,3)</f>
        <v>Poo</v>
      </c>
      <c r="E403" s="251">
        <f>IF(Poole!G25="","",Poole!G25)</f>
        <v>12</v>
      </c>
      <c r="F403" s="181">
        <f>IF(Poole!H25=0,"",Poole!H25)</f>
        <v>6</v>
      </c>
      <c r="G403" s="186">
        <f>IF(Poole!I25=0,"",Poole!I25)</f>
        <v>6</v>
      </c>
      <c r="H403" s="186">
        <f>IF(Poole!J25=0,"",Poole!J25)</f>
        <v>37</v>
      </c>
      <c r="I403" s="252">
        <f>IF(Poole!K25=0,"",Poole!K25)</f>
        <v>30</v>
      </c>
      <c r="J403" s="163">
        <f>IF(Poole!M25="","",Poole!M25)</f>
        <v>24.81</v>
      </c>
      <c r="K403" s="41">
        <f>IF(Poole!N25="","",Poole!N25)</f>
        <v>22.63</v>
      </c>
      <c r="L403" s="41">
        <f>IF(Poole!O25="","",Poole!O25)</f>
        <v>22.89</v>
      </c>
      <c r="M403" s="41" t="str">
        <f>IF(Poole!P25="","",Poole!P25)</f>
        <v/>
      </c>
      <c r="N403" s="41">
        <f>IF(Poole!Q25="","",Poole!Q25)</f>
        <v>26.98</v>
      </c>
      <c r="O403" s="41">
        <f>IF(Poole!R25="","",Poole!R25)</f>
        <v>21.6</v>
      </c>
      <c r="P403" s="41">
        <f>IF(Poole!S25="","",Poole!S25)</f>
        <v>22.77</v>
      </c>
      <c r="Q403" s="41">
        <f>IF(Poole!T25="","",Poole!T25)</f>
        <v>20.58</v>
      </c>
      <c r="R403" s="41">
        <f>IF(Poole!U25="","",Poole!U25)</f>
        <v>23</v>
      </c>
      <c r="S403" s="41">
        <f>IF(Poole!V25="","",Poole!V25)</f>
        <v>23.11</v>
      </c>
      <c r="T403" s="41">
        <f>IF(Poole!W25="","",Poole!W25)</f>
        <v>23.58</v>
      </c>
      <c r="U403" s="41">
        <f>IF(Poole!X25="","",Poole!X25)</f>
        <v>22.97</v>
      </c>
      <c r="V403" s="41">
        <f>IF(Poole!Y25="","",Poole!Y25)</f>
        <v>22.55</v>
      </c>
      <c r="W403" s="249">
        <f>IF(Poole!AA25=0,"",Poole!AA25)</f>
        <v>5</v>
      </c>
      <c r="X403" s="244">
        <f>IF(Poole!AB25=0,"",Poole!AB25)</f>
        <v>23.122499999999999</v>
      </c>
      <c r="Y403" s="245">
        <f>IF(Poole!AC25=0,"",Poole!AC25)</f>
        <v>29.122499999999999</v>
      </c>
      <c r="AA403" s="246">
        <f>Y403</f>
        <v>29.122499999999999</v>
      </c>
      <c r="AB403" s="243">
        <f>X403</f>
        <v>23.122499999999999</v>
      </c>
      <c r="AC403" s="185" t="str">
        <f>C403</f>
        <v>Jake Carton</v>
      </c>
      <c r="AD403" s="185" t="str">
        <f>LEFT($B$385,3)</f>
        <v>Poo</v>
      </c>
      <c r="AE403" s="185">
        <f t="shared" ref="AE403:AY403" si="198">E403</f>
        <v>12</v>
      </c>
      <c r="AF403" s="185">
        <f t="shared" si="198"/>
        <v>6</v>
      </c>
      <c r="AG403" s="247">
        <f t="shared" si="198"/>
        <v>6</v>
      </c>
      <c r="AH403" s="247">
        <f t="shared" si="198"/>
        <v>37</v>
      </c>
      <c r="AI403" s="247">
        <f t="shared" si="198"/>
        <v>30</v>
      </c>
      <c r="AJ403" s="243">
        <f t="shared" si="198"/>
        <v>24.81</v>
      </c>
      <c r="AK403" s="243">
        <f t="shared" si="198"/>
        <v>22.63</v>
      </c>
      <c r="AL403" s="243">
        <f t="shared" si="198"/>
        <v>22.89</v>
      </c>
      <c r="AM403" s="243" t="str">
        <f t="shared" si="198"/>
        <v/>
      </c>
      <c r="AN403" s="243">
        <f t="shared" si="198"/>
        <v>26.98</v>
      </c>
      <c r="AO403" s="243">
        <f t="shared" si="198"/>
        <v>21.6</v>
      </c>
      <c r="AP403" s="243">
        <f t="shared" si="198"/>
        <v>22.77</v>
      </c>
      <c r="AQ403" s="243">
        <f t="shared" si="198"/>
        <v>20.58</v>
      </c>
      <c r="AR403" s="243">
        <f t="shared" si="198"/>
        <v>23</v>
      </c>
      <c r="AS403" s="243">
        <f t="shared" si="198"/>
        <v>23.11</v>
      </c>
      <c r="AT403" s="243">
        <f t="shared" si="198"/>
        <v>23.58</v>
      </c>
      <c r="AU403" s="243">
        <f t="shared" si="198"/>
        <v>22.97</v>
      </c>
      <c r="AV403" s="243">
        <f t="shared" si="198"/>
        <v>22.55</v>
      </c>
      <c r="AW403" s="247">
        <f t="shared" si="198"/>
        <v>5</v>
      </c>
      <c r="AX403" s="243">
        <f t="shared" si="198"/>
        <v>23.122499999999999</v>
      </c>
      <c r="AY403" s="248">
        <f t="shared" si="198"/>
        <v>29.122499999999999</v>
      </c>
    </row>
    <row r="404" spans="2:51" ht="12" customHeight="1" x14ac:dyDescent="0.2">
      <c r="B404" s="266"/>
      <c r="C404" s="235"/>
      <c r="D404" s="235"/>
      <c r="E404" s="239"/>
      <c r="F404" s="182"/>
      <c r="G404" s="182"/>
      <c r="H404" s="182"/>
      <c r="I404" s="233"/>
      <c r="J404" s="163" t="str">
        <f>IF(Poole!M26="","",Poole!M26)</f>
        <v>4*1(1)</v>
      </c>
      <c r="K404" s="41" t="str">
        <f>IF(Poole!N26="","",Poole!N26)</f>
        <v>4*2</v>
      </c>
      <c r="L404" s="41" t="str">
        <f>IF(Poole!O26="","",Poole!O26)</f>
        <v>4*1</v>
      </c>
      <c r="M404" s="41" t="str">
        <f>IF(Poole!P26="","",Poole!P26)</f>
        <v/>
      </c>
      <c r="N404" s="41" t="str">
        <f>IF(Poole!Q26="","",Poole!Q26)</f>
        <v>3*4</v>
      </c>
      <c r="O404" s="41" t="str">
        <f>IF(Poole!R26="","",Poole!R26)</f>
        <v>1*4(1)</v>
      </c>
      <c r="P404" s="41" t="str">
        <f>IF(Poole!S26="","",Poole!S26)</f>
        <v>4*0</v>
      </c>
      <c r="Q404" s="41" t="str">
        <f>IF(Poole!T26="","",Poole!T26)</f>
        <v>1*4</v>
      </c>
      <c r="R404" s="41" t="str">
        <f>IF(Poole!U26="","",Poole!U26)</f>
        <v>2*4(1)</v>
      </c>
      <c r="S404" s="41" t="str">
        <f>IF(Poole!V26="","",Poole!V26)</f>
        <v>3*4(1)</v>
      </c>
      <c r="T404" s="41" t="str">
        <f>IF(Poole!W26="","",Poole!W26)</f>
        <v>4*0</v>
      </c>
      <c r="U404" s="41" t="str">
        <f>IF(Poole!X26="","",Poole!X26)</f>
        <v>3*4(1)</v>
      </c>
      <c r="V404" s="41" t="str">
        <f>IF(Poole!Y26="","",Poole!Y26)</f>
        <v>4*2</v>
      </c>
      <c r="W404" s="201"/>
      <c r="X404" s="182"/>
      <c r="Y404" s="233"/>
      <c r="AA404" s="239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233"/>
    </row>
    <row r="405" spans="2:51" ht="12" customHeight="1" x14ac:dyDescent="0.2">
      <c r="B405" s="266"/>
      <c r="C405" s="263" t="str">
        <f>IF(Poole!E27="","",Poole!E27)</f>
        <v>Chris Tuvey</v>
      </c>
      <c r="D405" s="259" t="str">
        <f>LEFT($B$385,3)</f>
        <v>Poo</v>
      </c>
      <c r="E405" s="251">
        <f>IF(Poole!G27="","",Poole!G27)</f>
        <v>5</v>
      </c>
      <c r="F405" s="181">
        <f>IF(Poole!H27=0,"",Poole!H27)</f>
        <v>4</v>
      </c>
      <c r="G405" s="186">
        <f>IF(Poole!I27=0,"",Poole!I27)</f>
        <v>1</v>
      </c>
      <c r="H405" s="186">
        <f>IF(Poole!J27=0,"",Poole!J27)</f>
        <v>16</v>
      </c>
      <c r="I405" s="252">
        <f>IF(Poole!K27=0,"",Poole!K27)</f>
        <v>10</v>
      </c>
      <c r="J405" s="163">
        <f>IF(Poole!M27="","",Poole!M27)</f>
        <v>18.32</v>
      </c>
      <c r="K405" s="41" t="str">
        <f>IF(Poole!N27="","",Poole!N27)</f>
        <v/>
      </c>
      <c r="L405" s="41" t="str">
        <f>IF(Poole!O27="","",Poole!O27)</f>
        <v/>
      </c>
      <c r="M405" s="41" t="str">
        <f>IF(Poole!P27="","",Poole!P27)</f>
        <v/>
      </c>
      <c r="N405" s="41" t="str">
        <f>IF(Poole!Q27="","",Poole!Q27)</f>
        <v/>
      </c>
      <c r="O405" s="41">
        <f>IF(Poole!R27="","",Poole!R27)</f>
        <v>18.88</v>
      </c>
      <c r="P405" s="41" t="str">
        <f>IF(Poole!S27="","",Poole!S27)</f>
        <v/>
      </c>
      <c r="Q405" s="41">
        <f>IF(Poole!T27="","",Poole!T27)</f>
        <v>19.84</v>
      </c>
      <c r="R405" s="41" t="str">
        <f>IF(Poole!U27="","",Poole!U27)</f>
        <v/>
      </c>
      <c r="S405" s="41" t="str">
        <f>IF(Poole!V27="","",Poole!V27)</f>
        <v/>
      </c>
      <c r="T405" s="41">
        <f>IF(Poole!W27="","",Poole!W27)</f>
        <v>18.36</v>
      </c>
      <c r="U405" s="41" t="str">
        <f>IF(Poole!X27="","",Poole!X27)</f>
        <v/>
      </c>
      <c r="V405" s="41">
        <f>IF(Poole!Y27="","",Poole!Y27)</f>
        <v>18.12</v>
      </c>
      <c r="W405" s="249" t="str">
        <f>IF(Poole!AA27=0,"",Poole!AA27)</f>
        <v/>
      </c>
      <c r="X405" s="244">
        <f>IF(Poole!AB27=0,"",Poole!AB27)</f>
        <v>18.704000000000001</v>
      </c>
      <c r="Y405" s="245">
        <f>IF(Poole!AC27=0,"",Poole!AC27)</f>
        <v>22.704000000000001</v>
      </c>
      <c r="AA405" s="246">
        <f>Y405</f>
        <v>22.704000000000001</v>
      </c>
      <c r="AB405" s="243">
        <f>X405</f>
        <v>18.704000000000001</v>
      </c>
      <c r="AC405" s="185" t="str">
        <f>C405</f>
        <v>Chris Tuvey</v>
      </c>
      <c r="AD405" s="185" t="str">
        <f>LEFT($B$385,3)</f>
        <v>Poo</v>
      </c>
      <c r="AE405" s="185">
        <f t="shared" ref="AE405:AY405" si="199">E405</f>
        <v>5</v>
      </c>
      <c r="AF405" s="185">
        <f t="shared" si="199"/>
        <v>4</v>
      </c>
      <c r="AG405" s="247">
        <f t="shared" si="199"/>
        <v>1</v>
      </c>
      <c r="AH405" s="247">
        <f t="shared" si="199"/>
        <v>16</v>
      </c>
      <c r="AI405" s="247">
        <f t="shared" si="199"/>
        <v>10</v>
      </c>
      <c r="AJ405" s="243">
        <f t="shared" si="199"/>
        <v>18.32</v>
      </c>
      <c r="AK405" s="243" t="str">
        <f t="shared" si="199"/>
        <v/>
      </c>
      <c r="AL405" s="243" t="str">
        <f t="shared" si="199"/>
        <v/>
      </c>
      <c r="AM405" s="243" t="str">
        <f t="shared" si="199"/>
        <v/>
      </c>
      <c r="AN405" s="243" t="str">
        <f t="shared" si="199"/>
        <v/>
      </c>
      <c r="AO405" s="243">
        <f t="shared" si="199"/>
        <v>18.88</v>
      </c>
      <c r="AP405" s="243" t="str">
        <f t="shared" si="199"/>
        <v/>
      </c>
      <c r="AQ405" s="243">
        <f t="shared" si="199"/>
        <v>19.84</v>
      </c>
      <c r="AR405" s="243" t="str">
        <f t="shared" si="199"/>
        <v/>
      </c>
      <c r="AS405" s="243" t="str">
        <f t="shared" si="199"/>
        <v/>
      </c>
      <c r="AT405" s="243">
        <f t="shared" si="199"/>
        <v>18.36</v>
      </c>
      <c r="AU405" s="243" t="str">
        <f t="shared" si="199"/>
        <v/>
      </c>
      <c r="AV405" s="243">
        <f t="shared" si="199"/>
        <v>18.12</v>
      </c>
      <c r="AW405" s="247" t="str">
        <f t="shared" si="199"/>
        <v/>
      </c>
      <c r="AX405" s="243">
        <f t="shared" si="199"/>
        <v>18.704000000000001</v>
      </c>
      <c r="AY405" s="248">
        <f t="shared" si="199"/>
        <v>22.704000000000001</v>
      </c>
    </row>
    <row r="406" spans="2:51" ht="12" customHeight="1" x14ac:dyDescent="0.2">
      <c r="B406" s="266"/>
      <c r="C406" s="235"/>
      <c r="D406" s="235"/>
      <c r="E406" s="239"/>
      <c r="F406" s="182"/>
      <c r="G406" s="182"/>
      <c r="H406" s="182"/>
      <c r="I406" s="233"/>
      <c r="J406" s="163" t="str">
        <f>IF(Poole!M28="","",Poole!M28)</f>
        <v>4*1</v>
      </c>
      <c r="K406" s="41" t="str">
        <f>IF(Poole!N28="","",Poole!N28)</f>
        <v/>
      </c>
      <c r="L406" s="41" t="str">
        <f>IF(Poole!O28="","",Poole!O28)</f>
        <v/>
      </c>
      <c r="M406" s="41" t="str">
        <f>IF(Poole!P28="","",Poole!P28)</f>
        <v/>
      </c>
      <c r="N406" s="41" t="str">
        <f>IF(Poole!Q28="","",Poole!Q28)</f>
        <v/>
      </c>
      <c r="O406" s="41" t="str">
        <f>IF(Poole!R28="","",Poole!R28)</f>
        <v>4*3</v>
      </c>
      <c r="P406" s="41" t="str">
        <f>IF(Poole!S28="","",Poole!S28)</f>
        <v/>
      </c>
      <c r="Q406" s="41" t="str">
        <f>IF(Poole!T28="","",Poole!T28)</f>
        <v>4*0</v>
      </c>
      <c r="R406" s="41" t="str">
        <f>IF(Poole!U28="","",Poole!U28)</f>
        <v/>
      </c>
      <c r="S406" s="41" t="str">
        <f>IF(Poole!V28="","",Poole!V28)</f>
        <v/>
      </c>
      <c r="T406" s="41" t="str">
        <f>IF(Poole!W28="","",Poole!W28)</f>
        <v>0*4</v>
      </c>
      <c r="U406" s="41" t="str">
        <f>IF(Poole!X28="","",Poole!X28)</f>
        <v/>
      </c>
      <c r="V406" s="41" t="str">
        <f>IF(Poole!Y28="","",Poole!Y28)</f>
        <v>4*2</v>
      </c>
      <c r="W406" s="201"/>
      <c r="X406" s="182"/>
      <c r="Y406" s="233"/>
      <c r="AA406" s="239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233"/>
    </row>
    <row r="407" spans="2:51" ht="12" customHeight="1" x14ac:dyDescent="0.2">
      <c r="B407" s="266"/>
      <c r="C407" s="263" t="str">
        <f>IF(Poole!E29="","",Poole!E29)</f>
        <v>Sam Ward</v>
      </c>
      <c r="D407" s="259" t="str">
        <f>LEFT($B$385,3)</f>
        <v>Poo</v>
      </c>
      <c r="E407" s="251">
        <f>IF(Poole!G29="","",Poole!G29)</f>
        <v>1</v>
      </c>
      <c r="F407" s="181" t="str">
        <f>IF(Poole!H29=0,"",Poole!H29)</f>
        <v/>
      </c>
      <c r="G407" s="186">
        <f>IF(Poole!I29=0,"",Poole!I29)</f>
        <v>1</v>
      </c>
      <c r="H407" s="186">
        <f>IF(Poole!J29=0,"",Poole!J29)</f>
        <v>1</v>
      </c>
      <c r="I407" s="252">
        <f>IF(Poole!K29=0,"",Poole!K29)</f>
        <v>4</v>
      </c>
      <c r="J407" s="163" t="str">
        <f>IF(Poole!M29="","",Poole!M29)</f>
        <v/>
      </c>
      <c r="K407" s="41" t="str">
        <f>IF(Poole!N29="","",Poole!N29)</f>
        <v/>
      </c>
      <c r="L407" s="41" t="str">
        <f>IF(Poole!O29="","",Poole!O29)</f>
        <v/>
      </c>
      <c r="M407" s="41" t="str">
        <f>IF(Poole!P29="","",Poole!P29)</f>
        <v/>
      </c>
      <c r="N407" s="41">
        <f>IF(Poole!Q29="","",Poole!Q29)</f>
        <v>22.13</v>
      </c>
      <c r="O407" s="41" t="str">
        <f>IF(Poole!R29="","",Poole!R29)</f>
        <v/>
      </c>
      <c r="P407" s="41" t="str">
        <f>IF(Poole!S29="","",Poole!S29)</f>
        <v/>
      </c>
      <c r="Q407" s="41" t="str">
        <f>IF(Poole!T29="","",Poole!T29)</f>
        <v/>
      </c>
      <c r="R407" s="41" t="str">
        <f>IF(Poole!U29="","",Poole!U29)</f>
        <v/>
      </c>
      <c r="S407" s="41" t="str">
        <f>IF(Poole!V29="","",Poole!V29)</f>
        <v/>
      </c>
      <c r="T407" s="41" t="str">
        <f>IF(Poole!W29="","",Poole!W29)</f>
        <v/>
      </c>
      <c r="U407" s="41" t="str">
        <f>IF(Poole!X29="","",Poole!X29)</f>
        <v/>
      </c>
      <c r="V407" s="41" t="str">
        <f>IF(Poole!Y29="","",Poole!Y29)</f>
        <v/>
      </c>
      <c r="W407" s="249" t="str">
        <f>IF(Poole!AA29=0,"",Poole!AA29)</f>
        <v/>
      </c>
      <c r="X407" s="244">
        <f>IF(Poole!AB29=0,"",Poole!AB29)</f>
        <v>22.13</v>
      </c>
      <c r="Y407" s="245">
        <f>IF(Poole!AC29=0,"",Poole!AC29)</f>
        <v>22.13</v>
      </c>
      <c r="AA407" s="246">
        <f>Y407</f>
        <v>22.13</v>
      </c>
      <c r="AB407" s="243">
        <f>X407</f>
        <v>22.13</v>
      </c>
      <c r="AC407" s="185" t="str">
        <f>C407</f>
        <v>Sam Ward</v>
      </c>
      <c r="AD407" s="185" t="str">
        <f>LEFT($B$385,3)</f>
        <v>Poo</v>
      </c>
      <c r="AE407" s="185">
        <f t="shared" ref="AE407:AY407" si="200">E407</f>
        <v>1</v>
      </c>
      <c r="AF407" s="185" t="str">
        <f t="shared" si="200"/>
        <v/>
      </c>
      <c r="AG407" s="247">
        <f t="shared" si="200"/>
        <v>1</v>
      </c>
      <c r="AH407" s="247">
        <f t="shared" si="200"/>
        <v>1</v>
      </c>
      <c r="AI407" s="247">
        <f t="shared" si="200"/>
        <v>4</v>
      </c>
      <c r="AJ407" s="243" t="str">
        <f t="shared" si="200"/>
        <v/>
      </c>
      <c r="AK407" s="243" t="str">
        <f t="shared" si="200"/>
        <v/>
      </c>
      <c r="AL407" s="243" t="str">
        <f t="shared" si="200"/>
        <v/>
      </c>
      <c r="AM407" s="243" t="str">
        <f t="shared" si="200"/>
        <v/>
      </c>
      <c r="AN407" s="243">
        <f t="shared" si="200"/>
        <v>22.13</v>
      </c>
      <c r="AO407" s="243" t="str">
        <f t="shared" si="200"/>
        <v/>
      </c>
      <c r="AP407" s="243" t="str">
        <f t="shared" si="200"/>
        <v/>
      </c>
      <c r="AQ407" s="243" t="str">
        <f t="shared" si="200"/>
        <v/>
      </c>
      <c r="AR407" s="243" t="str">
        <f t="shared" si="200"/>
        <v/>
      </c>
      <c r="AS407" s="243" t="str">
        <f t="shared" si="200"/>
        <v/>
      </c>
      <c r="AT407" s="243" t="str">
        <f t="shared" si="200"/>
        <v/>
      </c>
      <c r="AU407" s="243" t="str">
        <f t="shared" si="200"/>
        <v/>
      </c>
      <c r="AV407" s="243" t="str">
        <f t="shared" si="200"/>
        <v/>
      </c>
      <c r="AW407" s="247" t="str">
        <f t="shared" si="200"/>
        <v/>
      </c>
      <c r="AX407" s="243">
        <f t="shared" si="200"/>
        <v>22.13</v>
      </c>
      <c r="AY407" s="248">
        <f t="shared" si="200"/>
        <v>22.13</v>
      </c>
    </row>
    <row r="408" spans="2:51" ht="12" customHeight="1" x14ac:dyDescent="0.2">
      <c r="B408" s="266"/>
      <c r="C408" s="235"/>
      <c r="D408" s="235"/>
      <c r="E408" s="239"/>
      <c r="F408" s="182"/>
      <c r="G408" s="182"/>
      <c r="H408" s="182"/>
      <c r="I408" s="233"/>
      <c r="J408" s="163" t="str">
        <f>IF(Poole!M30="","",Poole!M30)</f>
        <v/>
      </c>
      <c r="K408" s="41" t="str">
        <f>IF(Poole!N30="","",Poole!N30)</f>
        <v/>
      </c>
      <c r="L408" s="41" t="str">
        <f>IF(Poole!O30="","",Poole!O30)</f>
        <v/>
      </c>
      <c r="M408" s="41" t="str">
        <f>IF(Poole!P30="","",Poole!P30)</f>
        <v/>
      </c>
      <c r="N408" s="41" t="str">
        <f>IF(Poole!Q30="","",Poole!Q30)</f>
        <v>1*4</v>
      </c>
      <c r="O408" s="41" t="str">
        <f>IF(Poole!R30="","",Poole!R30)</f>
        <v/>
      </c>
      <c r="P408" s="41" t="str">
        <f>IF(Poole!S30="","",Poole!S30)</f>
        <v/>
      </c>
      <c r="Q408" s="41" t="str">
        <f>IF(Poole!T30="","",Poole!T30)</f>
        <v/>
      </c>
      <c r="R408" s="41" t="str">
        <f>IF(Poole!U30="","",Poole!U30)</f>
        <v/>
      </c>
      <c r="S408" s="41" t="str">
        <f>IF(Poole!V30="","",Poole!V30)</f>
        <v/>
      </c>
      <c r="T408" s="41" t="str">
        <f>IF(Poole!W30="","",Poole!W30)</f>
        <v/>
      </c>
      <c r="U408" s="41" t="str">
        <f>IF(Poole!X30="","",Poole!X30)</f>
        <v/>
      </c>
      <c r="V408" s="41" t="str">
        <f>IF(Poole!Y30="","",Poole!Y30)</f>
        <v/>
      </c>
      <c r="W408" s="201"/>
      <c r="X408" s="182"/>
      <c r="Y408" s="233"/>
      <c r="AA408" s="239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233"/>
    </row>
    <row r="409" spans="2:51" ht="12" customHeight="1" x14ac:dyDescent="0.2">
      <c r="B409" s="266"/>
      <c r="C409" s="263" t="str">
        <f>IF(Poole!E31="","",Poole!E31)</f>
        <v/>
      </c>
      <c r="D409" s="259" t="str">
        <f>LEFT($B$385,3)</f>
        <v>Poo</v>
      </c>
      <c r="E409" s="251" t="str">
        <f>IF(Poole!G31="","",Poole!G31)</f>
        <v/>
      </c>
      <c r="F409" s="181" t="str">
        <f>IF(Poole!H31=0,"",Poole!H31)</f>
        <v/>
      </c>
      <c r="G409" s="181" t="str">
        <f>IF(Poole!I31=0,"",Poole!I31)</f>
        <v/>
      </c>
      <c r="H409" s="181" t="str">
        <f>IF(Poole!J31=0,"",Poole!J31)</f>
        <v/>
      </c>
      <c r="I409" s="250" t="str">
        <f>IF(Poole!K31=0,"",Poole!K31)</f>
        <v/>
      </c>
      <c r="J409" s="163" t="str">
        <f>IF(Poole!M31="","",Poole!M31)</f>
        <v/>
      </c>
      <c r="K409" s="41" t="str">
        <f>IF(Poole!N31="","",Poole!N31)</f>
        <v/>
      </c>
      <c r="L409" s="41" t="str">
        <f>IF(Poole!O31="","",Poole!O31)</f>
        <v/>
      </c>
      <c r="M409" s="41" t="str">
        <f>IF(Poole!P31="","",Poole!P31)</f>
        <v/>
      </c>
      <c r="N409" s="41" t="str">
        <f>IF(Poole!Q31="","",Poole!Q31)</f>
        <v/>
      </c>
      <c r="O409" s="41" t="str">
        <f>IF(Poole!R31="","",Poole!R31)</f>
        <v/>
      </c>
      <c r="P409" s="41" t="str">
        <f>IF(Poole!S31="","",Poole!S31)</f>
        <v/>
      </c>
      <c r="Q409" s="41" t="str">
        <f>IF(Poole!T31="","",Poole!T31)</f>
        <v/>
      </c>
      <c r="R409" s="41" t="str">
        <f>IF(Poole!U31="","",Poole!U31)</f>
        <v/>
      </c>
      <c r="S409" s="41" t="str">
        <f>IF(Poole!V31="","",Poole!V31)</f>
        <v/>
      </c>
      <c r="T409" s="41" t="str">
        <f>IF(Poole!W31="","",Poole!W31)</f>
        <v/>
      </c>
      <c r="U409" s="41" t="str">
        <f>IF(Poole!X31="","",Poole!X31)</f>
        <v/>
      </c>
      <c r="V409" s="41" t="str">
        <f>IF(Poole!Y31="","",Poole!Y31)</f>
        <v/>
      </c>
      <c r="W409" s="249" t="str">
        <f>IF(Poole!AA31=0,"",Poole!AA31)</f>
        <v/>
      </c>
      <c r="X409" s="244" t="str">
        <f>IF(Poole!AB31=0,"",Poole!AB31)</f>
        <v/>
      </c>
      <c r="Y409" s="245" t="str">
        <f>IF(Poole!AC31=0,"",Poole!AC31)</f>
        <v/>
      </c>
      <c r="AA409" s="246" t="str">
        <f>Y409</f>
        <v/>
      </c>
      <c r="AB409" s="243" t="str">
        <f>X409</f>
        <v/>
      </c>
      <c r="AC409" s="185" t="str">
        <f>C409</f>
        <v/>
      </c>
      <c r="AD409" s="185" t="str">
        <f>LEFT($B$385,3)</f>
        <v>Poo</v>
      </c>
      <c r="AE409" s="185" t="str">
        <f t="shared" ref="AE409:AY409" si="201">E409</f>
        <v/>
      </c>
      <c r="AF409" s="185" t="str">
        <f t="shared" si="201"/>
        <v/>
      </c>
      <c r="AG409" s="185" t="str">
        <f t="shared" si="201"/>
        <v/>
      </c>
      <c r="AH409" s="185" t="str">
        <f t="shared" si="201"/>
        <v/>
      </c>
      <c r="AI409" s="185" t="str">
        <f t="shared" si="201"/>
        <v/>
      </c>
      <c r="AJ409" s="243" t="str">
        <f t="shared" si="201"/>
        <v/>
      </c>
      <c r="AK409" s="243" t="str">
        <f t="shared" si="201"/>
        <v/>
      </c>
      <c r="AL409" s="243" t="str">
        <f t="shared" si="201"/>
        <v/>
      </c>
      <c r="AM409" s="243" t="str">
        <f t="shared" si="201"/>
        <v/>
      </c>
      <c r="AN409" s="243" t="str">
        <f t="shared" si="201"/>
        <v/>
      </c>
      <c r="AO409" s="243" t="str">
        <f t="shared" si="201"/>
        <v/>
      </c>
      <c r="AP409" s="243" t="str">
        <f t="shared" si="201"/>
        <v/>
      </c>
      <c r="AQ409" s="243" t="str">
        <f t="shared" si="201"/>
        <v/>
      </c>
      <c r="AR409" s="243" t="str">
        <f t="shared" si="201"/>
        <v/>
      </c>
      <c r="AS409" s="243" t="str">
        <f t="shared" si="201"/>
        <v/>
      </c>
      <c r="AT409" s="243" t="str">
        <f t="shared" si="201"/>
        <v/>
      </c>
      <c r="AU409" s="243" t="str">
        <f t="shared" si="201"/>
        <v/>
      </c>
      <c r="AV409" s="243" t="str">
        <f t="shared" si="201"/>
        <v/>
      </c>
      <c r="AW409" s="247" t="str">
        <f t="shared" si="201"/>
        <v/>
      </c>
      <c r="AX409" s="243" t="str">
        <f t="shared" si="201"/>
        <v/>
      </c>
      <c r="AY409" s="248" t="str">
        <f t="shared" si="201"/>
        <v/>
      </c>
    </row>
    <row r="410" spans="2:51" ht="12" customHeight="1" x14ac:dyDescent="0.2">
      <c r="B410" s="266"/>
      <c r="C410" s="235"/>
      <c r="D410" s="235"/>
      <c r="E410" s="239"/>
      <c r="F410" s="182"/>
      <c r="G410" s="182"/>
      <c r="H410" s="182"/>
      <c r="I410" s="233"/>
      <c r="J410" s="163" t="str">
        <f>IF(Poole!M32="","",Poole!M32)</f>
        <v/>
      </c>
      <c r="K410" s="41" t="str">
        <f>IF(Poole!N32="","",Poole!N32)</f>
        <v/>
      </c>
      <c r="L410" s="41" t="str">
        <f>IF(Poole!O32="","",Poole!O32)</f>
        <v/>
      </c>
      <c r="M410" s="41" t="str">
        <f>IF(Poole!P32="","",Poole!P32)</f>
        <v/>
      </c>
      <c r="N410" s="41" t="str">
        <f>IF(Poole!Q32="","",Poole!Q32)</f>
        <v/>
      </c>
      <c r="O410" s="41" t="str">
        <f>IF(Poole!R32="","",Poole!R32)</f>
        <v/>
      </c>
      <c r="P410" s="41" t="str">
        <f>IF(Poole!S32="","",Poole!S32)</f>
        <v/>
      </c>
      <c r="Q410" s="41" t="str">
        <f>IF(Poole!T32="","",Poole!T32)</f>
        <v/>
      </c>
      <c r="R410" s="41" t="str">
        <f>IF(Poole!U32="","",Poole!U32)</f>
        <v/>
      </c>
      <c r="S410" s="41" t="str">
        <f>IF(Poole!V32="","",Poole!V32)</f>
        <v/>
      </c>
      <c r="T410" s="41" t="str">
        <f>IF(Poole!W32="","",Poole!W32)</f>
        <v/>
      </c>
      <c r="U410" s="41" t="str">
        <f>IF(Poole!X32="","",Poole!X32)</f>
        <v/>
      </c>
      <c r="V410" s="41" t="str">
        <f>IF(Poole!Y32="","",Poole!Y32)</f>
        <v/>
      </c>
      <c r="W410" s="201"/>
      <c r="X410" s="182"/>
      <c r="Y410" s="233"/>
      <c r="AA410" s="239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233"/>
    </row>
    <row r="411" spans="2:51" ht="12" customHeight="1" x14ac:dyDescent="0.2">
      <c r="B411" s="266"/>
      <c r="C411" s="263" t="str">
        <f>IF(Poole!E33="","",Poole!E33)</f>
        <v/>
      </c>
      <c r="D411" s="259" t="str">
        <f>LEFT($B$385,3)</f>
        <v>Poo</v>
      </c>
      <c r="E411" s="251" t="str">
        <f>IF(Poole!G33="","",Poole!G33)</f>
        <v/>
      </c>
      <c r="F411" s="181" t="str">
        <f>IF(Poole!H33=0,"",Poole!H33)</f>
        <v/>
      </c>
      <c r="G411" s="181" t="str">
        <f>IF(Poole!I33=0,"",Poole!I33)</f>
        <v/>
      </c>
      <c r="H411" s="181" t="str">
        <f>IF(Poole!J33=0,"",Poole!J33)</f>
        <v/>
      </c>
      <c r="I411" s="250" t="str">
        <f>IF(Poole!K33=0,"",Poole!K33)</f>
        <v/>
      </c>
      <c r="J411" s="163" t="str">
        <f>IF(Poole!M33="","",Poole!M33)</f>
        <v/>
      </c>
      <c r="K411" s="41" t="str">
        <f>IF(Poole!N33="","",Poole!N33)</f>
        <v/>
      </c>
      <c r="L411" s="41" t="str">
        <f>IF(Poole!O33="","",Poole!O33)</f>
        <v/>
      </c>
      <c r="M411" s="41" t="str">
        <f>IF(Poole!P33="","",Poole!P33)</f>
        <v/>
      </c>
      <c r="N411" s="41" t="str">
        <f>IF(Poole!Q33="","",Poole!Q33)</f>
        <v/>
      </c>
      <c r="O411" s="41" t="str">
        <f>IF(Poole!R33="","",Poole!R33)</f>
        <v/>
      </c>
      <c r="P411" s="41" t="str">
        <f>IF(Poole!S33="","",Poole!S33)</f>
        <v/>
      </c>
      <c r="Q411" s="41" t="str">
        <f>IF(Poole!T33="","",Poole!T33)</f>
        <v/>
      </c>
      <c r="R411" s="41" t="str">
        <f>IF(Poole!U33="","",Poole!U33)</f>
        <v/>
      </c>
      <c r="S411" s="41" t="str">
        <f>IF(Poole!V33="","",Poole!V33)</f>
        <v/>
      </c>
      <c r="T411" s="41" t="str">
        <f>IF(Poole!W33="","",Poole!W33)</f>
        <v/>
      </c>
      <c r="U411" s="41" t="str">
        <f>IF(Poole!X33="","",Poole!X33)</f>
        <v/>
      </c>
      <c r="V411" s="41" t="str">
        <f>IF(Poole!Y33="","",Poole!Y33)</f>
        <v/>
      </c>
      <c r="W411" s="249" t="str">
        <f>IF(Poole!AA33=0,"",Poole!AA33)</f>
        <v/>
      </c>
      <c r="X411" s="244" t="str">
        <f>IF(Poole!AB33=0,"",Poole!AB33)</f>
        <v/>
      </c>
      <c r="Y411" s="245" t="str">
        <f>IF(Poole!AC33=0,"",Poole!AC33)</f>
        <v/>
      </c>
      <c r="AA411" s="246" t="str">
        <f>Y411</f>
        <v/>
      </c>
      <c r="AB411" s="243" t="str">
        <f>X411</f>
        <v/>
      </c>
      <c r="AC411" s="185" t="str">
        <f>C411</f>
        <v/>
      </c>
      <c r="AD411" s="185" t="str">
        <f>LEFT($B$385,3)</f>
        <v>Poo</v>
      </c>
      <c r="AE411" s="185" t="str">
        <f t="shared" ref="AE411:AY411" si="202">E411</f>
        <v/>
      </c>
      <c r="AF411" s="185" t="str">
        <f t="shared" si="202"/>
        <v/>
      </c>
      <c r="AG411" s="185" t="str">
        <f t="shared" si="202"/>
        <v/>
      </c>
      <c r="AH411" s="185" t="str">
        <f t="shared" si="202"/>
        <v/>
      </c>
      <c r="AI411" s="185" t="str">
        <f t="shared" si="202"/>
        <v/>
      </c>
      <c r="AJ411" s="243" t="str">
        <f t="shared" si="202"/>
        <v/>
      </c>
      <c r="AK411" s="243" t="str">
        <f t="shared" si="202"/>
        <v/>
      </c>
      <c r="AL411" s="243" t="str">
        <f t="shared" si="202"/>
        <v/>
      </c>
      <c r="AM411" s="243" t="str">
        <f t="shared" si="202"/>
        <v/>
      </c>
      <c r="AN411" s="243" t="str">
        <f t="shared" si="202"/>
        <v/>
      </c>
      <c r="AO411" s="243" t="str">
        <f t="shared" si="202"/>
        <v/>
      </c>
      <c r="AP411" s="243" t="str">
        <f t="shared" si="202"/>
        <v/>
      </c>
      <c r="AQ411" s="243" t="str">
        <f t="shared" si="202"/>
        <v/>
      </c>
      <c r="AR411" s="243" t="str">
        <f t="shared" si="202"/>
        <v/>
      </c>
      <c r="AS411" s="243" t="str">
        <f t="shared" si="202"/>
        <v/>
      </c>
      <c r="AT411" s="243" t="str">
        <f t="shared" si="202"/>
        <v/>
      </c>
      <c r="AU411" s="243" t="str">
        <f t="shared" si="202"/>
        <v/>
      </c>
      <c r="AV411" s="243" t="str">
        <f t="shared" si="202"/>
        <v/>
      </c>
      <c r="AW411" s="247" t="str">
        <f t="shared" si="202"/>
        <v/>
      </c>
      <c r="AX411" s="243" t="str">
        <f t="shared" si="202"/>
        <v/>
      </c>
      <c r="AY411" s="248" t="str">
        <f t="shared" si="202"/>
        <v/>
      </c>
    </row>
    <row r="412" spans="2:51" ht="12" customHeight="1" x14ac:dyDescent="0.2">
      <c r="B412" s="266"/>
      <c r="C412" s="235"/>
      <c r="D412" s="235"/>
      <c r="E412" s="239"/>
      <c r="F412" s="182"/>
      <c r="G412" s="182"/>
      <c r="H412" s="182"/>
      <c r="I412" s="233"/>
      <c r="J412" s="163" t="str">
        <f>IF(Poole!M34="","",Poole!M34)</f>
        <v/>
      </c>
      <c r="K412" s="41" t="str">
        <f>IF(Poole!N34="","",Poole!N34)</f>
        <v/>
      </c>
      <c r="L412" s="41" t="str">
        <f>IF(Poole!O34="","",Poole!O34)</f>
        <v/>
      </c>
      <c r="M412" s="41" t="str">
        <f>IF(Poole!P34="","",Poole!P34)</f>
        <v/>
      </c>
      <c r="N412" s="41" t="str">
        <f>IF(Poole!Q34="","",Poole!Q34)</f>
        <v/>
      </c>
      <c r="O412" s="41" t="str">
        <f>IF(Poole!R34="","",Poole!R34)</f>
        <v/>
      </c>
      <c r="P412" s="41" t="str">
        <f>IF(Poole!S34="","",Poole!S34)</f>
        <v/>
      </c>
      <c r="Q412" s="41" t="str">
        <f>IF(Poole!T34="","",Poole!T34)</f>
        <v/>
      </c>
      <c r="R412" s="41" t="str">
        <f>IF(Poole!U34="","",Poole!U34)</f>
        <v/>
      </c>
      <c r="S412" s="41" t="str">
        <f>IF(Poole!V34="","",Poole!V34)</f>
        <v/>
      </c>
      <c r="T412" s="41" t="str">
        <f>IF(Poole!W34="","",Poole!W34)</f>
        <v/>
      </c>
      <c r="U412" s="41" t="str">
        <f>IF(Poole!X34="","",Poole!X34)</f>
        <v/>
      </c>
      <c r="V412" s="41" t="str">
        <f>IF(Poole!Y34="","",Poole!Y34)</f>
        <v/>
      </c>
      <c r="W412" s="201"/>
      <c r="X412" s="182"/>
      <c r="Y412" s="233"/>
      <c r="AA412" s="239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233"/>
    </row>
    <row r="413" spans="2:51" ht="12" customHeight="1" x14ac:dyDescent="0.2">
      <c r="B413" s="266"/>
      <c r="C413" s="263" t="str">
        <f>IF(Poole!E35="","",Poole!E35)</f>
        <v/>
      </c>
      <c r="D413" s="259" t="str">
        <f>LEFT($B$385,3)</f>
        <v>Poo</v>
      </c>
      <c r="E413" s="251" t="str">
        <f>IF(Poole!G35="","",Poole!G35)</f>
        <v/>
      </c>
      <c r="F413" s="181" t="str">
        <f>IF(Poole!H35=0,"",Poole!H35)</f>
        <v/>
      </c>
      <c r="G413" s="181" t="str">
        <f>IF(Poole!I35=0,"",Poole!I35)</f>
        <v/>
      </c>
      <c r="H413" s="181" t="str">
        <f>IF(Poole!J35=0,"",Poole!J35)</f>
        <v/>
      </c>
      <c r="I413" s="250" t="str">
        <f>IF(Poole!K35=0,"",Poole!K35)</f>
        <v/>
      </c>
      <c r="J413" s="163" t="str">
        <f>IF(Poole!M35="","",Poole!M35)</f>
        <v/>
      </c>
      <c r="K413" s="41" t="str">
        <f>IF(Poole!N35="","",Poole!N35)</f>
        <v/>
      </c>
      <c r="L413" s="41" t="str">
        <f>IF(Poole!O35="","",Poole!O35)</f>
        <v/>
      </c>
      <c r="M413" s="41" t="str">
        <f>IF(Poole!P35="","",Poole!P35)</f>
        <v/>
      </c>
      <c r="N413" s="41" t="str">
        <f>IF(Poole!Q35="","",Poole!Q35)</f>
        <v/>
      </c>
      <c r="O413" s="41" t="str">
        <f>IF(Poole!R35="","",Poole!R35)</f>
        <v/>
      </c>
      <c r="P413" s="41" t="str">
        <f>IF(Poole!S35="","",Poole!S35)</f>
        <v/>
      </c>
      <c r="Q413" s="41" t="str">
        <f>IF(Poole!T35="","",Poole!T35)</f>
        <v/>
      </c>
      <c r="R413" s="41" t="str">
        <f>IF(Poole!U35="","",Poole!U35)</f>
        <v/>
      </c>
      <c r="S413" s="41" t="str">
        <f>IF(Poole!V35="","",Poole!V35)</f>
        <v/>
      </c>
      <c r="T413" s="41" t="str">
        <f>IF(Poole!W35="","",Poole!W35)</f>
        <v/>
      </c>
      <c r="U413" s="41" t="str">
        <f>IF(Poole!X35="","",Poole!X35)</f>
        <v/>
      </c>
      <c r="V413" s="41" t="str">
        <f>IF(Poole!Y35="","",Poole!Y35)</f>
        <v/>
      </c>
      <c r="W413" s="249" t="str">
        <f>IF(Poole!AA35=0,"",Poole!AA35)</f>
        <v/>
      </c>
      <c r="X413" s="244" t="str">
        <f>IF(Poole!AB35=0,"",Poole!AB35)</f>
        <v/>
      </c>
      <c r="Y413" s="245" t="str">
        <f>IF(Poole!AC35=0,"",Poole!AC35)</f>
        <v/>
      </c>
      <c r="AA413" s="246" t="str">
        <f>Y413</f>
        <v/>
      </c>
      <c r="AB413" s="243" t="str">
        <f>X413</f>
        <v/>
      </c>
      <c r="AC413" s="185" t="str">
        <f>C413</f>
        <v/>
      </c>
      <c r="AD413" s="185" t="str">
        <f>LEFT($B$385,3)</f>
        <v>Poo</v>
      </c>
      <c r="AE413" s="185" t="str">
        <f t="shared" ref="AE413:AY413" si="203">E413</f>
        <v/>
      </c>
      <c r="AF413" s="185" t="str">
        <f t="shared" si="203"/>
        <v/>
      </c>
      <c r="AG413" s="185" t="str">
        <f t="shared" si="203"/>
        <v/>
      </c>
      <c r="AH413" s="185" t="str">
        <f t="shared" si="203"/>
        <v/>
      </c>
      <c r="AI413" s="185" t="str">
        <f t="shared" si="203"/>
        <v/>
      </c>
      <c r="AJ413" s="243" t="str">
        <f t="shared" si="203"/>
        <v/>
      </c>
      <c r="AK413" s="243" t="str">
        <f t="shared" si="203"/>
        <v/>
      </c>
      <c r="AL413" s="243" t="str">
        <f t="shared" si="203"/>
        <v/>
      </c>
      <c r="AM413" s="243" t="str">
        <f t="shared" si="203"/>
        <v/>
      </c>
      <c r="AN413" s="243" t="str">
        <f t="shared" si="203"/>
        <v/>
      </c>
      <c r="AO413" s="243" t="str">
        <f t="shared" si="203"/>
        <v/>
      </c>
      <c r="AP413" s="243" t="str">
        <f t="shared" si="203"/>
        <v/>
      </c>
      <c r="AQ413" s="243" t="str">
        <f t="shared" si="203"/>
        <v/>
      </c>
      <c r="AR413" s="243" t="str">
        <f t="shared" si="203"/>
        <v/>
      </c>
      <c r="AS413" s="243" t="str">
        <f t="shared" si="203"/>
        <v/>
      </c>
      <c r="AT413" s="243" t="str">
        <f t="shared" si="203"/>
        <v/>
      </c>
      <c r="AU413" s="243" t="str">
        <f t="shared" si="203"/>
        <v/>
      </c>
      <c r="AV413" s="243" t="str">
        <f t="shared" si="203"/>
        <v/>
      </c>
      <c r="AW413" s="247" t="str">
        <f t="shared" si="203"/>
        <v/>
      </c>
      <c r="AX413" s="243" t="str">
        <f t="shared" si="203"/>
        <v/>
      </c>
      <c r="AY413" s="248" t="str">
        <f t="shared" si="203"/>
        <v/>
      </c>
    </row>
    <row r="414" spans="2:51" ht="12" customHeight="1" x14ac:dyDescent="0.2">
      <c r="B414" s="266"/>
      <c r="C414" s="235"/>
      <c r="D414" s="235"/>
      <c r="E414" s="239"/>
      <c r="F414" s="182"/>
      <c r="G414" s="182"/>
      <c r="H414" s="182"/>
      <c r="I414" s="233"/>
      <c r="J414" s="163" t="str">
        <f>IF(Poole!M36="","",Poole!M36)</f>
        <v/>
      </c>
      <c r="K414" s="41" t="str">
        <f>IF(Poole!N36="","",Poole!N36)</f>
        <v/>
      </c>
      <c r="L414" s="41" t="str">
        <f>IF(Poole!O36="","",Poole!O36)</f>
        <v/>
      </c>
      <c r="M414" s="41" t="str">
        <f>IF(Poole!P36="","",Poole!P36)</f>
        <v/>
      </c>
      <c r="N414" s="41" t="str">
        <f>IF(Poole!Q36="","",Poole!Q36)</f>
        <v/>
      </c>
      <c r="O414" s="41" t="str">
        <f>IF(Poole!R36="","",Poole!R36)</f>
        <v/>
      </c>
      <c r="P414" s="41" t="str">
        <f>IF(Poole!S36="","",Poole!S36)</f>
        <v/>
      </c>
      <c r="Q414" s="41" t="str">
        <f>IF(Poole!T36="","",Poole!T36)</f>
        <v/>
      </c>
      <c r="R414" s="41" t="str">
        <f>IF(Poole!U36="","",Poole!U36)</f>
        <v/>
      </c>
      <c r="S414" s="41" t="str">
        <f>IF(Poole!V36="","",Poole!V36)</f>
        <v/>
      </c>
      <c r="T414" s="41" t="str">
        <f>IF(Poole!W36="","",Poole!W36)</f>
        <v/>
      </c>
      <c r="U414" s="41" t="str">
        <f>IF(Poole!X36="","",Poole!X36)</f>
        <v/>
      </c>
      <c r="V414" s="41" t="str">
        <f>IF(Poole!Y36="","",Poole!Y36)</f>
        <v/>
      </c>
      <c r="W414" s="201"/>
      <c r="X414" s="182"/>
      <c r="Y414" s="233"/>
      <c r="AA414" s="239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233"/>
    </row>
    <row r="415" spans="2:51" ht="12" customHeight="1" x14ac:dyDescent="0.2">
      <c r="B415" s="266"/>
      <c r="C415" s="263" t="str">
        <f>IF(Poole!E37="","",Poole!E37)</f>
        <v/>
      </c>
      <c r="D415" s="259" t="str">
        <f>LEFT($B$385,3)</f>
        <v>Poo</v>
      </c>
      <c r="E415" s="251" t="str">
        <f>IF(Poole!G37="","",Poole!G37)</f>
        <v/>
      </c>
      <c r="F415" s="181" t="str">
        <f>IF(Poole!H37=0,"",Poole!H37)</f>
        <v/>
      </c>
      <c r="G415" s="181" t="str">
        <f>IF(Poole!I37=0,"",Poole!I37)</f>
        <v/>
      </c>
      <c r="H415" s="181" t="str">
        <f>IF(Poole!J37=0,"",Poole!J37)</f>
        <v/>
      </c>
      <c r="I415" s="250" t="str">
        <f>IF(Poole!K37=0,"",Poole!K37)</f>
        <v/>
      </c>
      <c r="J415" s="163" t="str">
        <f>IF(Poole!M37="","",Poole!M37)</f>
        <v/>
      </c>
      <c r="K415" s="41" t="str">
        <f>IF(Poole!N37="","",Poole!N37)</f>
        <v/>
      </c>
      <c r="L415" s="41" t="str">
        <f>IF(Poole!O37="","",Poole!O37)</f>
        <v/>
      </c>
      <c r="M415" s="41" t="str">
        <f>IF(Poole!P37="","",Poole!P37)</f>
        <v/>
      </c>
      <c r="N415" s="41" t="str">
        <f>IF(Poole!Q37="","",Poole!Q37)</f>
        <v/>
      </c>
      <c r="O415" s="41" t="str">
        <f>IF(Poole!R37="","",Poole!R37)</f>
        <v/>
      </c>
      <c r="P415" s="41" t="str">
        <f>IF(Poole!S37="","",Poole!S37)</f>
        <v/>
      </c>
      <c r="Q415" s="41" t="str">
        <f>IF(Poole!T37="","",Poole!T37)</f>
        <v/>
      </c>
      <c r="R415" s="41" t="str">
        <f>IF(Poole!U37="","",Poole!U37)</f>
        <v/>
      </c>
      <c r="S415" s="41" t="str">
        <f>IF(Poole!V37="","",Poole!V37)</f>
        <v/>
      </c>
      <c r="T415" s="41" t="str">
        <f>IF(Poole!W37="","",Poole!W37)</f>
        <v/>
      </c>
      <c r="U415" s="41" t="str">
        <f>IF(Poole!X37="","",Poole!X37)</f>
        <v/>
      </c>
      <c r="V415" s="41" t="str">
        <f>IF(Poole!Y37="","",Poole!Y37)</f>
        <v/>
      </c>
      <c r="W415" s="249" t="str">
        <f>IF(Poole!AA37=0,"",Poole!AA37)</f>
        <v/>
      </c>
      <c r="X415" s="244" t="str">
        <f>IF(Poole!AB37=0,"",Poole!AB37)</f>
        <v/>
      </c>
      <c r="Y415" s="245" t="str">
        <f>IF(Poole!AC37=0,"",Poole!AC37)</f>
        <v/>
      </c>
      <c r="AA415" s="246" t="str">
        <f>Y415</f>
        <v/>
      </c>
      <c r="AB415" s="243" t="str">
        <f>X415</f>
        <v/>
      </c>
      <c r="AC415" s="185" t="str">
        <f>C415</f>
        <v/>
      </c>
      <c r="AD415" s="185" t="str">
        <f>LEFT($B$385,3)</f>
        <v>Poo</v>
      </c>
      <c r="AE415" s="185" t="str">
        <f t="shared" ref="AE415:AY415" si="204">E415</f>
        <v/>
      </c>
      <c r="AF415" s="185" t="str">
        <f t="shared" si="204"/>
        <v/>
      </c>
      <c r="AG415" s="185" t="str">
        <f t="shared" si="204"/>
        <v/>
      </c>
      <c r="AH415" s="185" t="str">
        <f t="shared" si="204"/>
        <v/>
      </c>
      <c r="AI415" s="185" t="str">
        <f t="shared" si="204"/>
        <v/>
      </c>
      <c r="AJ415" s="243" t="str">
        <f t="shared" si="204"/>
        <v/>
      </c>
      <c r="AK415" s="243" t="str">
        <f t="shared" si="204"/>
        <v/>
      </c>
      <c r="AL415" s="243" t="str">
        <f t="shared" si="204"/>
        <v/>
      </c>
      <c r="AM415" s="243" t="str">
        <f t="shared" si="204"/>
        <v/>
      </c>
      <c r="AN415" s="243" t="str">
        <f t="shared" si="204"/>
        <v/>
      </c>
      <c r="AO415" s="243" t="str">
        <f t="shared" si="204"/>
        <v/>
      </c>
      <c r="AP415" s="243" t="str">
        <f t="shared" si="204"/>
        <v/>
      </c>
      <c r="AQ415" s="243" t="str">
        <f t="shared" si="204"/>
        <v/>
      </c>
      <c r="AR415" s="243" t="str">
        <f t="shared" si="204"/>
        <v/>
      </c>
      <c r="AS415" s="243" t="str">
        <f t="shared" si="204"/>
        <v/>
      </c>
      <c r="AT415" s="243" t="str">
        <f t="shared" si="204"/>
        <v/>
      </c>
      <c r="AU415" s="243" t="str">
        <f t="shared" si="204"/>
        <v/>
      </c>
      <c r="AV415" s="243" t="str">
        <f t="shared" si="204"/>
        <v/>
      </c>
      <c r="AW415" s="247" t="str">
        <f t="shared" si="204"/>
        <v/>
      </c>
      <c r="AX415" s="243" t="str">
        <f t="shared" si="204"/>
        <v/>
      </c>
      <c r="AY415" s="248" t="str">
        <f t="shared" si="204"/>
        <v/>
      </c>
    </row>
    <row r="416" spans="2:51" ht="12" customHeight="1" x14ac:dyDescent="0.2">
      <c r="B416" s="266"/>
      <c r="C416" s="235"/>
      <c r="D416" s="235"/>
      <c r="E416" s="239"/>
      <c r="F416" s="182"/>
      <c r="G416" s="182"/>
      <c r="H416" s="182"/>
      <c r="I416" s="233"/>
      <c r="J416" s="163" t="str">
        <f>IF(Poole!M38="","",Poole!M38)</f>
        <v/>
      </c>
      <c r="K416" s="41" t="str">
        <f>IF(Poole!N38="","",Poole!N38)</f>
        <v/>
      </c>
      <c r="L416" s="41" t="str">
        <f>IF(Poole!O38="","",Poole!O38)</f>
        <v/>
      </c>
      <c r="M416" s="41" t="str">
        <f>IF(Poole!P38="","",Poole!P38)</f>
        <v/>
      </c>
      <c r="N416" s="41" t="str">
        <f>IF(Poole!Q38="","",Poole!Q38)</f>
        <v/>
      </c>
      <c r="O416" s="41" t="str">
        <f>IF(Poole!R38="","",Poole!R38)</f>
        <v/>
      </c>
      <c r="P416" s="41" t="str">
        <f>IF(Poole!S38="","",Poole!S38)</f>
        <v/>
      </c>
      <c r="Q416" s="41" t="str">
        <f>IF(Poole!T38="","",Poole!T38)</f>
        <v/>
      </c>
      <c r="R416" s="41" t="str">
        <f>IF(Poole!U38="","",Poole!U38)</f>
        <v/>
      </c>
      <c r="S416" s="41" t="str">
        <f>IF(Poole!V38="","",Poole!V38)</f>
        <v/>
      </c>
      <c r="T416" s="41" t="str">
        <f>IF(Poole!W38="","",Poole!W38)</f>
        <v/>
      </c>
      <c r="U416" s="41" t="str">
        <f>IF(Poole!X38="","",Poole!X38)</f>
        <v/>
      </c>
      <c r="V416" s="41" t="str">
        <f>IF(Poole!Y38="","",Poole!Y38)</f>
        <v/>
      </c>
      <c r="W416" s="201"/>
      <c r="X416" s="182"/>
      <c r="Y416" s="233"/>
      <c r="AA416" s="239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233"/>
    </row>
    <row r="417" spans="2:51" ht="12" customHeight="1" x14ac:dyDescent="0.2">
      <c r="B417" s="266"/>
      <c r="C417" s="263" t="str">
        <f>IF(Poole!E39="","",Poole!E39)</f>
        <v/>
      </c>
      <c r="D417" s="259" t="str">
        <f>LEFT($B$385,3)</f>
        <v>Poo</v>
      </c>
      <c r="E417" s="251" t="str">
        <f>IF(Poole!G39="","",Poole!G39)</f>
        <v/>
      </c>
      <c r="F417" s="181" t="str">
        <f>IF(Poole!H39=0,"",Poole!H39)</f>
        <v/>
      </c>
      <c r="G417" s="181" t="str">
        <f>IF(Poole!I39=0,"",Poole!I39)</f>
        <v/>
      </c>
      <c r="H417" s="181" t="str">
        <f>IF(Poole!J39=0,"",Poole!J39)</f>
        <v/>
      </c>
      <c r="I417" s="250" t="str">
        <f>IF(Poole!K39=0,"",Poole!K39)</f>
        <v/>
      </c>
      <c r="J417" s="163" t="str">
        <f>IF(Poole!M39="","",Poole!M39)</f>
        <v/>
      </c>
      <c r="K417" s="41" t="str">
        <f>IF(Poole!N39="","",Poole!N39)</f>
        <v/>
      </c>
      <c r="L417" s="41" t="str">
        <f>IF(Poole!O39="","",Poole!O39)</f>
        <v/>
      </c>
      <c r="M417" s="41" t="str">
        <f>IF(Poole!P39="","",Poole!P39)</f>
        <v/>
      </c>
      <c r="N417" s="41" t="str">
        <f>IF(Poole!Q39="","",Poole!Q39)</f>
        <v/>
      </c>
      <c r="O417" s="41" t="str">
        <f>IF(Poole!R39="","",Poole!R39)</f>
        <v/>
      </c>
      <c r="P417" s="41" t="str">
        <f>IF(Poole!S39="","",Poole!S39)</f>
        <v/>
      </c>
      <c r="Q417" s="41" t="str">
        <f>IF(Poole!T39="","",Poole!T39)</f>
        <v/>
      </c>
      <c r="R417" s="41" t="str">
        <f>IF(Poole!U39="","",Poole!U39)</f>
        <v/>
      </c>
      <c r="S417" s="41" t="str">
        <f>IF(Poole!V39="","",Poole!V39)</f>
        <v/>
      </c>
      <c r="T417" s="41" t="str">
        <f>IF(Poole!W39="","",Poole!W39)</f>
        <v/>
      </c>
      <c r="U417" s="41" t="str">
        <f>IF(Poole!X39="","",Poole!X39)</f>
        <v/>
      </c>
      <c r="V417" s="41" t="str">
        <f>IF(Poole!Y39="","",Poole!Y39)</f>
        <v/>
      </c>
      <c r="W417" s="249" t="str">
        <f>IF(Poole!AA39=0,"",Poole!AA39)</f>
        <v/>
      </c>
      <c r="X417" s="244" t="str">
        <f>IF(Poole!AB39=0,"",Poole!AB39)</f>
        <v/>
      </c>
      <c r="Y417" s="245" t="str">
        <f>IF(Poole!AC39=0,"",Poole!AC39)</f>
        <v/>
      </c>
      <c r="AA417" s="246" t="str">
        <f>Y417</f>
        <v/>
      </c>
      <c r="AB417" s="243" t="str">
        <f>X417</f>
        <v/>
      </c>
      <c r="AC417" s="185" t="str">
        <f>C417</f>
        <v/>
      </c>
      <c r="AD417" s="185" t="str">
        <f>LEFT($B$385,3)</f>
        <v>Poo</v>
      </c>
      <c r="AE417" s="185" t="str">
        <f t="shared" ref="AE417:AY417" si="205">E417</f>
        <v/>
      </c>
      <c r="AF417" s="185" t="str">
        <f t="shared" si="205"/>
        <v/>
      </c>
      <c r="AG417" s="185" t="str">
        <f t="shared" si="205"/>
        <v/>
      </c>
      <c r="AH417" s="185" t="str">
        <f t="shared" si="205"/>
        <v/>
      </c>
      <c r="AI417" s="185" t="str">
        <f t="shared" si="205"/>
        <v/>
      </c>
      <c r="AJ417" s="243" t="str">
        <f t="shared" si="205"/>
        <v/>
      </c>
      <c r="AK417" s="243" t="str">
        <f t="shared" si="205"/>
        <v/>
      </c>
      <c r="AL417" s="243" t="str">
        <f t="shared" si="205"/>
        <v/>
      </c>
      <c r="AM417" s="243" t="str">
        <f t="shared" si="205"/>
        <v/>
      </c>
      <c r="AN417" s="243" t="str">
        <f t="shared" si="205"/>
        <v/>
      </c>
      <c r="AO417" s="243" t="str">
        <f t="shared" si="205"/>
        <v/>
      </c>
      <c r="AP417" s="243" t="str">
        <f t="shared" si="205"/>
        <v/>
      </c>
      <c r="AQ417" s="243" t="str">
        <f t="shared" si="205"/>
        <v/>
      </c>
      <c r="AR417" s="243" t="str">
        <f t="shared" si="205"/>
        <v/>
      </c>
      <c r="AS417" s="243" t="str">
        <f t="shared" si="205"/>
        <v/>
      </c>
      <c r="AT417" s="243" t="str">
        <f t="shared" si="205"/>
        <v/>
      </c>
      <c r="AU417" s="243" t="str">
        <f t="shared" si="205"/>
        <v/>
      </c>
      <c r="AV417" s="243" t="str">
        <f t="shared" si="205"/>
        <v/>
      </c>
      <c r="AW417" s="247" t="str">
        <f t="shared" si="205"/>
        <v/>
      </c>
      <c r="AX417" s="243" t="str">
        <f t="shared" si="205"/>
        <v/>
      </c>
      <c r="AY417" s="248" t="str">
        <f t="shared" si="205"/>
        <v/>
      </c>
    </row>
    <row r="418" spans="2:51" ht="12" customHeight="1" x14ac:dyDescent="0.2">
      <c r="B418" s="266"/>
      <c r="C418" s="235"/>
      <c r="D418" s="235"/>
      <c r="E418" s="239"/>
      <c r="F418" s="182"/>
      <c r="G418" s="182"/>
      <c r="H418" s="182"/>
      <c r="I418" s="233"/>
      <c r="J418" s="163" t="str">
        <f>IF(Poole!M40="","",Poole!M40)</f>
        <v/>
      </c>
      <c r="K418" s="41" t="str">
        <f>IF(Poole!N40="","",Poole!N40)</f>
        <v/>
      </c>
      <c r="L418" s="41" t="str">
        <f>IF(Poole!O40="","",Poole!O40)</f>
        <v/>
      </c>
      <c r="M418" s="41" t="str">
        <f>IF(Poole!P40="","",Poole!P40)</f>
        <v/>
      </c>
      <c r="N418" s="41" t="str">
        <f>IF(Poole!Q40="","",Poole!Q40)</f>
        <v/>
      </c>
      <c r="O418" s="41" t="str">
        <f>IF(Poole!R40="","",Poole!R40)</f>
        <v/>
      </c>
      <c r="P418" s="41" t="str">
        <f>IF(Poole!S40="","",Poole!S40)</f>
        <v/>
      </c>
      <c r="Q418" s="41" t="str">
        <f>IF(Poole!T40="","",Poole!T40)</f>
        <v/>
      </c>
      <c r="R418" s="41" t="str">
        <f>IF(Poole!U40="","",Poole!U40)</f>
        <v/>
      </c>
      <c r="S418" s="41" t="str">
        <f>IF(Poole!V40="","",Poole!V40)</f>
        <v/>
      </c>
      <c r="T418" s="41" t="str">
        <f>IF(Poole!W40="","",Poole!W40)</f>
        <v/>
      </c>
      <c r="U418" s="41" t="str">
        <f>IF(Poole!X40="","",Poole!X40)</f>
        <v/>
      </c>
      <c r="V418" s="41" t="str">
        <f>IF(Poole!Y40="","",Poole!Y40)</f>
        <v/>
      </c>
      <c r="W418" s="201"/>
      <c r="X418" s="182"/>
      <c r="Y418" s="233"/>
      <c r="AA418" s="239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233"/>
    </row>
    <row r="419" spans="2:51" ht="12" customHeight="1" x14ac:dyDescent="0.2">
      <c r="B419" s="266"/>
      <c r="C419" s="263" t="str">
        <f>IF(Poole!E41="","",Poole!E41)</f>
        <v/>
      </c>
      <c r="D419" s="259" t="str">
        <f>LEFT($B$385,3)</f>
        <v>Poo</v>
      </c>
      <c r="E419" s="251" t="str">
        <f>IF(Poole!G41="","",Poole!G41)</f>
        <v/>
      </c>
      <c r="F419" s="181" t="str">
        <f>IF(Poole!H41=0,"",Poole!H41)</f>
        <v/>
      </c>
      <c r="G419" s="181" t="str">
        <f>IF(Poole!I41=0,"",Poole!I41)</f>
        <v/>
      </c>
      <c r="H419" s="181" t="str">
        <f>IF(Poole!J41=0,"",Poole!J41)</f>
        <v/>
      </c>
      <c r="I419" s="250" t="str">
        <f>IF(Poole!K41=0,"",Poole!K41)</f>
        <v/>
      </c>
      <c r="J419" s="163" t="str">
        <f>IF(Poole!M41="","",Poole!M41)</f>
        <v/>
      </c>
      <c r="K419" s="41" t="str">
        <f>IF(Poole!N41="","",Poole!N41)</f>
        <v/>
      </c>
      <c r="L419" s="41" t="str">
        <f>IF(Poole!O41="","",Poole!O41)</f>
        <v/>
      </c>
      <c r="M419" s="41" t="str">
        <f>IF(Poole!P41="","",Poole!P41)</f>
        <v/>
      </c>
      <c r="N419" s="41" t="str">
        <f>IF(Poole!Q41="","",Poole!Q41)</f>
        <v/>
      </c>
      <c r="O419" s="41" t="str">
        <f>IF(Poole!R41="","",Poole!R41)</f>
        <v/>
      </c>
      <c r="P419" s="41" t="str">
        <f>IF(Poole!S41="","",Poole!S41)</f>
        <v/>
      </c>
      <c r="Q419" s="41" t="str">
        <f>IF(Poole!T41="","",Poole!T41)</f>
        <v/>
      </c>
      <c r="R419" s="41" t="str">
        <f>IF(Poole!U41="","",Poole!U41)</f>
        <v/>
      </c>
      <c r="S419" s="41" t="str">
        <f>IF(Poole!V41="","",Poole!V41)</f>
        <v/>
      </c>
      <c r="T419" s="41" t="str">
        <f>IF(Poole!W41="","",Poole!W41)</f>
        <v/>
      </c>
      <c r="U419" s="41" t="str">
        <f>IF(Poole!X41="","",Poole!X41)</f>
        <v/>
      </c>
      <c r="V419" s="41" t="str">
        <f>IF(Poole!Y41="","",Poole!Y41)</f>
        <v/>
      </c>
      <c r="W419" s="249" t="str">
        <f>IF(Poole!AA41=0,"",Poole!AA41)</f>
        <v/>
      </c>
      <c r="X419" s="244" t="str">
        <f>IF(Poole!AB41=0,"",Poole!AB41)</f>
        <v/>
      </c>
      <c r="Y419" s="245" t="str">
        <f>IF(Poole!AC41=0,"",Poole!AC41)</f>
        <v/>
      </c>
      <c r="AA419" s="246" t="str">
        <f>Y419</f>
        <v/>
      </c>
      <c r="AB419" s="243" t="str">
        <f>X419</f>
        <v/>
      </c>
      <c r="AC419" s="185" t="str">
        <f>C419</f>
        <v/>
      </c>
      <c r="AD419" s="185" t="str">
        <f>LEFT($B$385,3)</f>
        <v>Poo</v>
      </c>
      <c r="AE419" s="185" t="str">
        <f t="shared" ref="AE419:AY419" si="206">E419</f>
        <v/>
      </c>
      <c r="AF419" s="185" t="str">
        <f t="shared" si="206"/>
        <v/>
      </c>
      <c r="AG419" s="185" t="str">
        <f t="shared" si="206"/>
        <v/>
      </c>
      <c r="AH419" s="185" t="str">
        <f t="shared" si="206"/>
        <v/>
      </c>
      <c r="AI419" s="185" t="str">
        <f t="shared" si="206"/>
        <v/>
      </c>
      <c r="AJ419" s="243" t="str">
        <f t="shared" si="206"/>
        <v/>
      </c>
      <c r="AK419" s="243" t="str">
        <f t="shared" si="206"/>
        <v/>
      </c>
      <c r="AL419" s="243" t="str">
        <f t="shared" si="206"/>
        <v/>
      </c>
      <c r="AM419" s="243" t="str">
        <f t="shared" si="206"/>
        <v/>
      </c>
      <c r="AN419" s="243" t="str">
        <f t="shared" si="206"/>
        <v/>
      </c>
      <c r="AO419" s="243" t="str">
        <f t="shared" si="206"/>
        <v/>
      </c>
      <c r="AP419" s="243" t="str">
        <f t="shared" si="206"/>
        <v/>
      </c>
      <c r="AQ419" s="243" t="str">
        <f t="shared" si="206"/>
        <v/>
      </c>
      <c r="AR419" s="243" t="str">
        <f t="shared" si="206"/>
        <v/>
      </c>
      <c r="AS419" s="243" t="str">
        <f t="shared" si="206"/>
        <v/>
      </c>
      <c r="AT419" s="243" t="str">
        <f t="shared" si="206"/>
        <v/>
      </c>
      <c r="AU419" s="243" t="str">
        <f t="shared" si="206"/>
        <v/>
      </c>
      <c r="AV419" s="243" t="str">
        <f t="shared" si="206"/>
        <v/>
      </c>
      <c r="AW419" s="247" t="str">
        <f t="shared" si="206"/>
        <v/>
      </c>
      <c r="AX419" s="243" t="str">
        <f t="shared" si="206"/>
        <v/>
      </c>
      <c r="AY419" s="248" t="str">
        <f t="shared" si="206"/>
        <v/>
      </c>
    </row>
    <row r="420" spans="2:51" ht="12" customHeight="1" x14ac:dyDescent="0.2">
      <c r="B420" s="266"/>
      <c r="C420" s="235"/>
      <c r="D420" s="235"/>
      <c r="E420" s="239"/>
      <c r="F420" s="182"/>
      <c r="G420" s="182"/>
      <c r="H420" s="182"/>
      <c r="I420" s="233"/>
      <c r="J420" s="163" t="str">
        <f>IF(Poole!M42="","",Poole!M42)</f>
        <v/>
      </c>
      <c r="K420" s="41" t="str">
        <f>IF(Poole!N42="","",Poole!N42)</f>
        <v/>
      </c>
      <c r="L420" s="41" t="str">
        <f>IF(Poole!O42="","",Poole!O42)</f>
        <v/>
      </c>
      <c r="M420" s="41" t="str">
        <f>IF(Poole!P42="","",Poole!P42)</f>
        <v/>
      </c>
      <c r="N420" s="41" t="str">
        <f>IF(Poole!Q42="","",Poole!Q42)</f>
        <v/>
      </c>
      <c r="O420" s="41" t="str">
        <f>IF(Poole!R42="","",Poole!R42)</f>
        <v/>
      </c>
      <c r="P420" s="41" t="str">
        <f>IF(Poole!S42="","",Poole!S42)</f>
        <v/>
      </c>
      <c r="Q420" s="41" t="str">
        <f>IF(Poole!T42="","",Poole!T42)</f>
        <v/>
      </c>
      <c r="R420" s="41" t="str">
        <f>IF(Poole!U42="","",Poole!U42)</f>
        <v/>
      </c>
      <c r="S420" s="41" t="str">
        <f>IF(Poole!V42="","",Poole!V42)</f>
        <v/>
      </c>
      <c r="T420" s="41" t="str">
        <f>IF(Poole!W42="","",Poole!W42)</f>
        <v/>
      </c>
      <c r="U420" s="41" t="str">
        <f>IF(Poole!X42="","",Poole!X42)</f>
        <v/>
      </c>
      <c r="V420" s="41" t="str">
        <f>IF(Poole!Y42="","",Poole!Y42)</f>
        <v/>
      </c>
      <c r="W420" s="201"/>
      <c r="X420" s="182"/>
      <c r="Y420" s="233"/>
      <c r="AA420" s="239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233"/>
    </row>
    <row r="421" spans="2:51" ht="12" customHeight="1" x14ac:dyDescent="0.2">
      <c r="B421" s="266"/>
      <c r="C421" s="263" t="str">
        <f>IF(Poole!E43="","",Poole!E43)</f>
        <v/>
      </c>
      <c r="D421" s="259" t="str">
        <f>LEFT($B$385,3)</f>
        <v>Poo</v>
      </c>
      <c r="E421" s="251" t="str">
        <f>IF(Poole!G43="","",Poole!G43)</f>
        <v/>
      </c>
      <c r="F421" s="181" t="str">
        <f>IF(Poole!H43=0,"",Poole!H43)</f>
        <v/>
      </c>
      <c r="G421" s="181" t="str">
        <f>IF(Poole!I43=0,"",Poole!I43)</f>
        <v/>
      </c>
      <c r="H421" s="181" t="str">
        <f>IF(Poole!J43=0,"",Poole!J43)</f>
        <v/>
      </c>
      <c r="I421" s="250" t="str">
        <f>IF(Poole!K43=0,"",Poole!K43)</f>
        <v/>
      </c>
      <c r="J421" s="163" t="str">
        <f>IF(Poole!M43="","",Poole!M43)</f>
        <v/>
      </c>
      <c r="K421" s="41" t="str">
        <f>IF(Poole!N43="","",Poole!N43)</f>
        <v/>
      </c>
      <c r="L421" s="41" t="str">
        <f>IF(Poole!O43="","",Poole!O43)</f>
        <v/>
      </c>
      <c r="M421" s="41" t="str">
        <f>IF(Poole!P43="","",Poole!P43)</f>
        <v/>
      </c>
      <c r="N421" s="41" t="str">
        <f>IF(Poole!Q43="","",Poole!Q43)</f>
        <v/>
      </c>
      <c r="O421" s="41" t="str">
        <f>IF(Poole!R43="","",Poole!R43)</f>
        <v/>
      </c>
      <c r="P421" s="41" t="str">
        <f>IF(Poole!S43="","",Poole!S43)</f>
        <v/>
      </c>
      <c r="Q421" s="41" t="str">
        <f>IF(Poole!T43="","",Poole!T43)</f>
        <v/>
      </c>
      <c r="R421" s="41" t="str">
        <f>IF(Poole!U43="","",Poole!U43)</f>
        <v/>
      </c>
      <c r="S421" s="41" t="str">
        <f>IF(Poole!V43="","",Poole!V43)</f>
        <v/>
      </c>
      <c r="T421" s="41" t="str">
        <f>IF(Poole!W43="","",Poole!W43)</f>
        <v/>
      </c>
      <c r="U421" s="41" t="str">
        <f>IF(Poole!X43="","",Poole!X43)</f>
        <v/>
      </c>
      <c r="V421" s="41" t="str">
        <f>IF(Poole!Y43="","",Poole!Y43)</f>
        <v/>
      </c>
      <c r="W421" s="249" t="str">
        <f>IF(Poole!AA43=0,"",Poole!AA43)</f>
        <v/>
      </c>
      <c r="X421" s="244" t="str">
        <f>IF(Poole!AB43=0,"",Poole!AB43)</f>
        <v/>
      </c>
      <c r="Y421" s="245" t="str">
        <f>IF(Poole!AC43=0,"",Poole!AC43)</f>
        <v/>
      </c>
      <c r="AA421" s="246" t="str">
        <f>Y421</f>
        <v/>
      </c>
      <c r="AB421" s="243" t="str">
        <f>X421</f>
        <v/>
      </c>
      <c r="AC421" s="185" t="str">
        <f>C421</f>
        <v/>
      </c>
      <c r="AD421" s="185" t="str">
        <f>LEFT($B$385,3)</f>
        <v>Poo</v>
      </c>
      <c r="AE421" s="185" t="str">
        <f t="shared" ref="AE421:AY421" si="207">E421</f>
        <v/>
      </c>
      <c r="AF421" s="185" t="str">
        <f t="shared" si="207"/>
        <v/>
      </c>
      <c r="AG421" s="185" t="str">
        <f t="shared" si="207"/>
        <v/>
      </c>
      <c r="AH421" s="185" t="str">
        <f t="shared" si="207"/>
        <v/>
      </c>
      <c r="AI421" s="185" t="str">
        <f t="shared" si="207"/>
        <v/>
      </c>
      <c r="AJ421" s="243" t="str">
        <f t="shared" si="207"/>
        <v/>
      </c>
      <c r="AK421" s="243" t="str">
        <f t="shared" si="207"/>
        <v/>
      </c>
      <c r="AL421" s="243" t="str">
        <f t="shared" si="207"/>
        <v/>
      </c>
      <c r="AM421" s="243" t="str">
        <f t="shared" si="207"/>
        <v/>
      </c>
      <c r="AN421" s="243" t="str">
        <f t="shared" si="207"/>
        <v/>
      </c>
      <c r="AO421" s="243" t="str">
        <f t="shared" si="207"/>
        <v/>
      </c>
      <c r="AP421" s="243" t="str">
        <f t="shared" si="207"/>
        <v/>
      </c>
      <c r="AQ421" s="243" t="str">
        <f t="shared" si="207"/>
        <v/>
      </c>
      <c r="AR421" s="243" t="str">
        <f t="shared" si="207"/>
        <v/>
      </c>
      <c r="AS421" s="243" t="str">
        <f t="shared" si="207"/>
        <v/>
      </c>
      <c r="AT421" s="243" t="str">
        <f t="shared" si="207"/>
        <v/>
      </c>
      <c r="AU421" s="243" t="str">
        <f t="shared" si="207"/>
        <v/>
      </c>
      <c r="AV421" s="243" t="str">
        <f t="shared" si="207"/>
        <v/>
      </c>
      <c r="AW421" s="247" t="str">
        <f t="shared" si="207"/>
        <v/>
      </c>
      <c r="AX421" s="243" t="str">
        <f t="shared" si="207"/>
        <v/>
      </c>
      <c r="AY421" s="248" t="str">
        <f t="shared" si="207"/>
        <v/>
      </c>
    </row>
    <row r="422" spans="2:51" ht="12" customHeight="1" x14ac:dyDescent="0.2">
      <c r="B422" s="266"/>
      <c r="C422" s="235"/>
      <c r="D422" s="235"/>
      <c r="E422" s="239"/>
      <c r="F422" s="182"/>
      <c r="G422" s="182"/>
      <c r="H422" s="182"/>
      <c r="I422" s="233"/>
      <c r="J422" s="163" t="str">
        <f>IF(Poole!M44="","",Poole!M44)</f>
        <v/>
      </c>
      <c r="K422" s="41" t="str">
        <f>IF(Poole!N44="","",Poole!N44)</f>
        <v/>
      </c>
      <c r="L422" s="41" t="str">
        <f>IF(Poole!O44="","",Poole!O44)</f>
        <v/>
      </c>
      <c r="M422" s="41" t="str">
        <f>IF(Poole!P44="","",Poole!P44)</f>
        <v/>
      </c>
      <c r="N422" s="41" t="str">
        <f>IF(Poole!Q44="","",Poole!Q44)</f>
        <v/>
      </c>
      <c r="O422" s="41" t="str">
        <f>IF(Poole!R44="","",Poole!R44)</f>
        <v/>
      </c>
      <c r="P422" s="41" t="str">
        <f>IF(Poole!S44="","",Poole!S44)</f>
        <v/>
      </c>
      <c r="Q422" s="41" t="str">
        <f>IF(Poole!T44="","",Poole!T44)</f>
        <v/>
      </c>
      <c r="R422" s="41" t="str">
        <f>IF(Poole!U44="","",Poole!U44)</f>
        <v/>
      </c>
      <c r="S422" s="41" t="str">
        <f>IF(Poole!V44="","",Poole!V44)</f>
        <v/>
      </c>
      <c r="T422" s="41" t="str">
        <f>IF(Poole!W44="","",Poole!W44)</f>
        <v/>
      </c>
      <c r="U422" s="41" t="str">
        <f>IF(Poole!X44="","",Poole!X44)</f>
        <v/>
      </c>
      <c r="V422" s="41" t="str">
        <f>IF(Poole!Y44="","",Poole!Y44)</f>
        <v/>
      </c>
      <c r="W422" s="201"/>
      <c r="X422" s="182"/>
      <c r="Y422" s="233"/>
      <c r="AA422" s="239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233"/>
    </row>
    <row r="423" spans="2:51" ht="12" customHeight="1" x14ac:dyDescent="0.2">
      <c r="B423" s="266"/>
      <c r="C423" s="263" t="str">
        <f>IF(Poole!E45="","",Poole!E45)</f>
        <v/>
      </c>
      <c r="D423" s="259" t="str">
        <f>LEFT($B$385,3)</f>
        <v>Poo</v>
      </c>
      <c r="E423" s="251" t="str">
        <f>IF(Poole!G45="","",Poole!G45)</f>
        <v/>
      </c>
      <c r="F423" s="181" t="str">
        <f>IF(Poole!H45=0,"",Poole!H45)</f>
        <v/>
      </c>
      <c r="G423" s="181" t="str">
        <f>IF(Poole!I45=0,"",Poole!I45)</f>
        <v/>
      </c>
      <c r="H423" s="181" t="str">
        <f>IF(Poole!J45=0,"",Poole!J45)</f>
        <v/>
      </c>
      <c r="I423" s="250" t="str">
        <f>IF(Poole!K45=0,"",Poole!K45)</f>
        <v/>
      </c>
      <c r="J423" s="163" t="str">
        <f>IF(Poole!M45="","",Poole!M45)</f>
        <v/>
      </c>
      <c r="K423" s="41" t="str">
        <f>IF(Poole!N45="","",Poole!N45)</f>
        <v/>
      </c>
      <c r="L423" s="41" t="str">
        <f>IF(Poole!O45="","",Poole!O45)</f>
        <v/>
      </c>
      <c r="M423" s="41" t="str">
        <f>IF(Poole!P45="","",Poole!P45)</f>
        <v/>
      </c>
      <c r="N423" s="41" t="str">
        <f>IF(Poole!Q45="","",Poole!Q45)</f>
        <v/>
      </c>
      <c r="O423" s="41" t="str">
        <f>IF(Poole!R45="","",Poole!R45)</f>
        <v/>
      </c>
      <c r="P423" s="41" t="str">
        <f>IF(Poole!S45="","",Poole!S45)</f>
        <v/>
      </c>
      <c r="Q423" s="41" t="str">
        <f>IF(Poole!T45="","",Poole!T45)</f>
        <v/>
      </c>
      <c r="R423" s="41" t="str">
        <f>IF(Poole!U45="","",Poole!U45)</f>
        <v/>
      </c>
      <c r="S423" s="41" t="str">
        <f>IF(Poole!V45="","",Poole!V45)</f>
        <v/>
      </c>
      <c r="T423" s="41" t="str">
        <f>IF(Poole!W45="","",Poole!W45)</f>
        <v/>
      </c>
      <c r="U423" s="41" t="str">
        <f>IF(Poole!X45="","",Poole!X45)</f>
        <v/>
      </c>
      <c r="V423" s="41" t="str">
        <f>IF(Poole!Y45="","",Poole!Y45)</f>
        <v/>
      </c>
      <c r="W423" s="249" t="str">
        <f>IF(Poole!AA45=0,"",Poole!AA45)</f>
        <v/>
      </c>
      <c r="X423" s="244" t="str">
        <f>IF(Poole!AB45=0,"",Poole!AB45)</f>
        <v/>
      </c>
      <c r="Y423" s="245" t="str">
        <f>IF(Poole!AC45=0,"",Poole!AC45)</f>
        <v/>
      </c>
      <c r="AA423" s="246" t="str">
        <f>Y423</f>
        <v/>
      </c>
      <c r="AB423" s="243" t="str">
        <f>X423</f>
        <v/>
      </c>
      <c r="AC423" s="185" t="str">
        <f>C423</f>
        <v/>
      </c>
      <c r="AD423" s="185" t="str">
        <f>LEFT($B$385,3)</f>
        <v>Poo</v>
      </c>
      <c r="AE423" s="185" t="str">
        <f t="shared" ref="AE423:AY423" si="208">E423</f>
        <v/>
      </c>
      <c r="AF423" s="185" t="str">
        <f t="shared" si="208"/>
        <v/>
      </c>
      <c r="AG423" s="185" t="str">
        <f t="shared" si="208"/>
        <v/>
      </c>
      <c r="AH423" s="185" t="str">
        <f t="shared" si="208"/>
        <v/>
      </c>
      <c r="AI423" s="185" t="str">
        <f t="shared" si="208"/>
        <v/>
      </c>
      <c r="AJ423" s="243" t="str">
        <f t="shared" si="208"/>
        <v/>
      </c>
      <c r="AK423" s="243" t="str">
        <f t="shared" si="208"/>
        <v/>
      </c>
      <c r="AL423" s="243" t="str">
        <f t="shared" si="208"/>
        <v/>
      </c>
      <c r="AM423" s="243" t="str">
        <f t="shared" si="208"/>
        <v/>
      </c>
      <c r="AN423" s="243" t="str">
        <f t="shared" si="208"/>
        <v/>
      </c>
      <c r="AO423" s="243" t="str">
        <f t="shared" si="208"/>
        <v/>
      </c>
      <c r="AP423" s="243" t="str">
        <f t="shared" si="208"/>
        <v/>
      </c>
      <c r="AQ423" s="243" t="str">
        <f t="shared" si="208"/>
        <v/>
      </c>
      <c r="AR423" s="243" t="str">
        <f t="shared" si="208"/>
        <v/>
      </c>
      <c r="AS423" s="243" t="str">
        <f t="shared" si="208"/>
        <v/>
      </c>
      <c r="AT423" s="243" t="str">
        <f t="shared" si="208"/>
        <v/>
      </c>
      <c r="AU423" s="243" t="str">
        <f t="shared" si="208"/>
        <v/>
      </c>
      <c r="AV423" s="243" t="str">
        <f t="shared" si="208"/>
        <v/>
      </c>
      <c r="AW423" s="247" t="str">
        <f t="shared" si="208"/>
        <v/>
      </c>
      <c r="AX423" s="243" t="str">
        <f t="shared" si="208"/>
        <v/>
      </c>
      <c r="AY423" s="248" t="str">
        <f t="shared" si="208"/>
        <v/>
      </c>
    </row>
    <row r="424" spans="2:51" ht="12" customHeight="1" x14ac:dyDescent="0.2">
      <c r="B424" s="266"/>
      <c r="C424" s="235"/>
      <c r="D424" s="235"/>
      <c r="E424" s="239"/>
      <c r="F424" s="182"/>
      <c r="G424" s="182"/>
      <c r="H424" s="182"/>
      <c r="I424" s="233"/>
      <c r="J424" s="163" t="str">
        <f>IF(Poole!M46="","",Poole!M46)</f>
        <v/>
      </c>
      <c r="K424" s="41" t="str">
        <f>IF(Poole!N46="","",Poole!N46)</f>
        <v/>
      </c>
      <c r="L424" s="41" t="str">
        <f>IF(Poole!O46="","",Poole!O46)</f>
        <v/>
      </c>
      <c r="M424" s="41" t="str">
        <f>IF(Poole!P46="","",Poole!P46)</f>
        <v/>
      </c>
      <c r="N424" s="41" t="str">
        <f>IF(Poole!Q46="","",Poole!Q46)</f>
        <v/>
      </c>
      <c r="O424" s="41" t="str">
        <f>IF(Poole!R46="","",Poole!R46)</f>
        <v/>
      </c>
      <c r="P424" s="41" t="str">
        <f>IF(Poole!S46="","",Poole!S46)</f>
        <v/>
      </c>
      <c r="Q424" s="41" t="str">
        <f>IF(Poole!T46="","",Poole!T46)</f>
        <v/>
      </c>
      <c r="R424" s="41" t="str">
        <f>IF(Poole!U46="","",Poole!U46)</f>
        <v/>
      </c>
      <c r="S424" s="41" t="str">
        <f>IF(Poole!V46="","",Poole!V46)</f>
        <v/>
      </c>
      <c r="T424" s="41" t="str">
        <f>IF(Poole!W46="","",Poole!W46)</f>
        <v/>
      </c>
      <c r="U424" s="41" t="str">
        <f>IF(Poole!X46="","",Poole!X46)</f>
        <v/>
      </c>
      <c r="V424" s="41" t="str">
        <f>IF(Poole!Y46="","",Poole!Y46)</f>
        <v/>
      </c>
      <c r="W424" s="201"/>
      <c r="X424" s="182"/>
      <c r="Y424" s="233"/>
      <c r="AA424" s="239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233"/>
    </row>
    <row r="425" spans="2:51" ht="12" customHeight="1" x14ac:dyDescent="0.2">
      <c r="B425" s="266"/>
      <c r="C425" s="263" t="str">
        <f>IF(Poole!E47="","",Poole!E47)</f>
        <v/>
      </c>
      <c r="D425" s="259" t="str">
        <f>LEFT($B$385,3)</f>
        <v>Poo</v>
      </c>
      <c r="E425" s="251" t="str">
        <f>IF(Poole!G47="","",Poole!G47)</f>
        <v/>
      </c>
      <c r="F425" s="181" t="str">
        <f>IF(Poole!H47=0,"",Poole!H47)</f>
        <v/>
      </c>
      <c r="G425" s="181" t="str">
        <f>IF(Poole!I47=0,"",Poole!I47)</f>
        <v/>
      </c>
      <c r="H425" s="181" t="str">
        <f>IF(Poole!J47=0,"",Poole!J47)</f>
        <v/>
      </c>
      <c r="I425" s="250" t="str">
        <f>IF(Poole!K47=0,"",Poole!K47)</f>
        <v/>
      </c>
      <c r="J425" s="163" t="str">
        <f>IF(Poole!M47="","",Poole!M47)</f>
        <v/>
      </c>
      <c r="K425" s="41" t="str">
        <f>IF(Poole!N47="","",Poole!N47)</f>
        <v/>
      </c>
      <c r="L425" s="41" t="str">
        <f>IF(Poole!O47="","",Poole!O47)</f>
        <v/>
      </c>
      <c r="M425" s="41" t="str">
        <f>IF(Poole!P47="","",Poole!P47)</f>
        <v/>
      </c>
      <c r="N425" s="41" t="str">
        <f>IF(Poole!Q47="","",Poole!Q47)</f>
        <v/>
      </c>
      <c r="O425" s="41" t="str">
        <f>IF(Poole!R47="","",Poole!R47)</f>
        <v/>
      </c>
      <c r="P425" s="41" t="str">
        <f>IF(Poole!S47="","",Poole!S47)</f>
        <v/>
      </c>
      <c r="Q425" s="41" t="str">
        <f>IF(Poole!T47="","",Poole!T47)</f>
        <v/>
      </c>
      <c r="R425" s="41" t="str">
        <f>IF(Poole!U47="","",Poole!U47)</f>
        <v/>
      </c>
      <c r="S425" s="41" t="str">
        <f>IF(Poole!V47="","",Poole!V47)</f>
        <v/>
      </c>
      <c r="T425" s="41" t="str">
        <f>IF(Poole!W47="","",Poole!W47)</f>
        <v/>
      </c>
      <c r="U425" s="41" t="str">
        <f>IF(Poole!X47="","",Poole!X47)</f>
        <v/>
      </c>
      <c r="V425" s="41" t="str">
        <f>IF(Poole!Y47="","",Poole!Y47)</f>
        <v/>
      </c>
      <c r="W425" s="249" t="str">
        <f>IF(Poole!AA47=0,"",Poole!AA47)</f>
        <v/>
      </c>
      <c r="X425" s="244" t="str">
        <f>IF(Poole!AB47=0,"",Poole!AB47)</f>
        <v/>
      </c>
      <c r="Y425" s="245" t="str">
        <f>IF(Poole!AC47=0,"",Poole!AC47)</f>
        <v/>
      </c>
      <c r="AA425" s="246" t="str">
        <f>Y425</f>
        <v/>
      </c>
      <c r="AB425" s="243" t="str">
        <f>X425</f>
        <v/>
      </c>
      <c r="AC425" s="185" t="str">
        <f>C425</f>
        <v/>
      </c>
      <c r="AD425" s="185" t="str">
        <f>LEFT($B$385,3)</f>
        <v>Poo</v>
      </c>
      <c r="AE425" s="185" t="str">
        <f t="shared" ref="AE425:AY425" si="209">E425</f>
        <v/>
      </c>
      <c r="AF425" s="185" t="str">
        <f t="shared" si="209"/>
        <v/>
      </c>
      <c r="AG425" s="185" t="str">
        <f t="shared" si="209"/>
        <v/>
      </c>
      <c r="AH425" s="185" t="str">
        <f t="shared" si="209"/>
        <v/>
      </c>
      <c r="AI425" s="185" t="str">
        <f t="shared" si="209"/>
        <v/>
      </c>
      <c r="AJ425" s="243" t="str">
        <f t="shared" si="209"/>
        <v/>
      </c>
      <c r="AK425" s="243" t="str">
        <f t="shared" si="209"/>
        <v/>
      </c>
      <c r="AL425" s="243" t="str">
        <f t="shared" si="209"/>
        <v/>
      </c>
      <c r="AM425" s="243" t="str">
        <f t="shared" si="209"/>
        <v/>
      </c>
      <c r="AN425" s="243" t="str">
        <f t="shared" si="209"/>
        <v/>
      </c>
      <c r="AO425" s="243" t="str">
        <f t="shared" si="209"/>
        <v/>
      </c>
      <c r="AP425" s="243" t="str">
        <f t="shared" si="209"/>
        <v/>
      </c>
      <c r="AQ425" s="243" t="str">
        <f t="shared" si="209"/>
        <v/>
      </c>
      <c r="AR425" s="243" t="str">
        <f t="shared" si="209"/>
        <v/>
      </c>
      <c r="AS425" s="243" t="str">
        <f t="shared" si="209"/>
        <v/>
      </c>
      <c r="AT425" s="243" t="str">
        <f t="shared" si="209"/>
        <v/>
      </c>
      <c r="AU425" s="243" t="str">
        <f t="shared" si="209"/>
        <v/>
      </c>
      <c r="AV425" s="243" t="str">
        <f t="shared" si="209"/>
        <v/>
      </c>
      <c r="AW425" s="247" t="str">
        <f t="shared" si="209"/>
        <v/>
      </c>
      <c r="AX425" s="243" t="str">
        <f t="shared" si="209"/>
        <v/>
      </c>
      <c r="AY425" s="248" t="str">
        <f t="shared" si="209"/>
        <v/>
      </c>
    </row>
    <row r="426" spans="2:51" ht="12.75" customHeight="1" x14ac:dyDescent="0.2">
      <c r="B426" s="211"/>
      <c r="C426" s="211"/>
      <c r="D426" s="211"/>
      <c r="E426" s="223"/>
      <c r="F426" s="225"/>
      <c r="G426" s="225"/>
      <c r="H426" s="225"/>
      <c r="I426" s="228"/>
      <c r="J426" s="164" t="str">
        <f>IF(Poole!M48="","",Poole!M48)</f>
        <v/>
      </c>
      <c r="K426" s="165" t="str">
        <f>IF(Poole!N48="","",Poole!N48)</f>
        <v/>
      </c>
      <c r="L426" s="165" t="str">
        <f>IF(Poole!O48="","",Poole!O48)</f>
        <v/>
      </c>
      <c r="M426" s="165" t="str">
        <f>IF(Poole!P48="","",Poole!P48)</f>
        <v/>
      </c>
      <c r="N426" s="165" t="str">
        <f>IF(Poole!Q48="","",Poole!Q48)</f>
        <v/>
      </c>
      <c r="O426" s="165" t="str">
        <f>IF(Poole!R48="","",Poole!R48)</f>
        <v/>
      </c>
      <c r="P426" s="165" t="str">
        <f>IF(Poole!S48="","",Poole!S48)</f>
        <v/>
      </c>
      <c r="Q426" s="165" t="str">
        <f>IF(Poole!T48="","",Poole!T48)</f>
        <v/>
      </c>
      <c r="R426" s="165" t="str">
        <f>IF(Poole!U48="","",Poole!U48)</f>
        <v/>
      </c>
      <c r="S426" s="165" t="str">
        <f>IF(Poole!V48="","",Poole!V48)</f>
        <v/>
      </c>
      <c r="T426" s="165" t="str">
        <f>IF(Poole!W48="","",Poole!W48)</f>
        <v/>
      </c>
      <c r="U426" s="165" t="str">
        <f>IF(Poole!X48="","",Poole!X48)</f>
        <v/>
      </c>
      <c r="V426" s="165" t="str">
        <f>IF(Poole!Y48="","",Poole!Y48)</f>
        <v/>
      </c>
      <c r="W426" s="261"/>
      <c r="X426" s="225"/>
      <c r="Y426" s="228"/>
      <c r="AA426" s="239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233"/>
    </row>
    <row r="427" spans="2:51" ht="12.75" customHeight="1" x14ac:dyDescent="0.2">
      <c r="B427" s="265" t="s">
        <v>25</v>
      </c>
      <c r="C427" s="264" t="str">
        <f>IF(Portland!E7="","",Portland!E7)</f>
        <v>Nathen Cornish</v>
      </c>
      <c r="D427" s="260" t="str">
        <f>LEFT($B$427,3)</f>
        <v>Por</v>
      </c>
      <c r="E427" s="256">
        <f>IF(Portland!G7="","",Portland!G7)</f>
        <v>12</v>
      </c>
      <c r="F427" s="257">
        <f>IF(Portland!H7=0,"",Portland!H7)</f>
        <v>2</v>
      </c>
      <c r="G427" s="253">
        <f>IF(Portland!I7=0,"",Portland!I7)</f>
        <v>10</v>
      </c>
      <c r="H427" s="253">
        <f>IF(Portland!J7=0,"",Portland!J7)</f>
        <v>21</v>
      </c>
      <c r="I427" s="258">
        <f>IF(Portland!K7=0,"",Portland!K7)</f>
        <v>44</v>
      </c>
      <c r="J427" s="161">
        <f>IF(Portland!M7="","",Portland!M7)</f>
        <v>19.2</v>
      </c>
      <c r="K427" s="162">
        <f>IF(Portland!N7="","",Portland!N7)</f>
        <v>18.34</v>
      </c>
      <c r="L427" s="162">
        <f>IF(Portland!O7="","",Portland!O7)</f>
        <v>14.85</v>
      </c>
      <c r="M427" s="162">
        <f>IF(Portland!P7="","",Portland!P7)</f>
        <v>16.399999999999999</v>
      </c>
      <c r="N427" s="162">
        <f>IF(Portland!Q7="","",Portland!Q7)</f>
        <v>19.45</v>
      </c>
      <c r="O427" s="162">
        <f>IF(Portland!R7="","",Portland!R7)</f>
        <v>19.39</v>
      </c>
      <c r="P427" s="162" t="str">
        <f>IF(Portland!S7="","",Portland!S7)</f>
        <v/>
      </c>
      <c r="Q427" s="162">
        <f>IF(Portland!T7="","",Portland!T7)</f>
        <v>18.829999999999998</v>
      </c>
      <c r="R427" s="162">
        <f>IF(Portland!U7="","",Portland!U7)</f>
        <v>19.86</v>
      </c>
      <c r="S427" s="162">
        <f>IF(Portland!V7="","",Portland!V7)</f>
        <v>20.48</v>
      </c>
      <c r="T427" s="162">
        <f>IF(Portland!W7="","",Portland!W7)</f>
        <v>19.12</v>
      </c>
      <c r="U427" s="162">
        <f>IF(Portland!X7="","",Portland!X7)</f>
        <v>22.43</v>
      </c>
      <c r="V427" s="162">
        <f>IF(Portland!Y7="","",Portland!Y7)</f>
        <v>18.09</v>
      </c>
      <c r="W427" s="262" t="str">
        <f>IF(Portland!AA7=0,"",Portland!AA7)</f>
        <v/>
      </c>
      <c r="X427" s="254">
        <f>IF(Portland!AB7=0,"",Portland!AB7)</f>
        <v>18.87</v>
      </c>
      <c r="Y427" s="255">
        <f>IF(Portland!AC7=0,"",Portland!AC7)</f>
        <v>20.87</v>
      </c>
      <c r="AA427" s="246">
        <f>Y427</f>
        <v>20.87</v>
      </c>
      <c r="AB427" s="243">
        <f>X427</f>
        <v>18.87</v>
      </c>
      <c r="AC427" s="185" t="str">
        <f>C427</f>
        <v>Nathen Cornish</v>
      </c>
      <c r="AD427" s="185" t="str">
        <f>LEFT($B$427,3)</f>
        <v>Por</v>
      </c>
      <c r="AE427" s="185">
        <f t="shared" ref="AE427:AY427" si="210">E427</f>
        <v>12</v>
      </c>
      <c r="AF427" s="185">
        <f t="shared" si="210"/>
        <v>2</v>
      </c>
      <c r="AG427" s="247">
        <f t="shared" si="210"/>
        <v>10</v>
      </c>
      <c r="AH427" s="247">
        <f t="shared" si="210"/>
        <v>21</v>
      </c>
      <c r="AI427" s="247">
        <f t="shared" si="210"/>
        <v>44</v>
      </c>
      <c r="AJ427" s="243">
        <f t="shared" si="210"/>
        <v>19.2</v>
      </c>
      <c r="AK427" s="243">
        <f t="shared" si="210"/>
        <v>18.34</v>
      </c>
      <c r="AL427" s="243">
        <f t="shared" si="210"/>
        <v>14.85</v>
      </c>
      <c r="AM427" s="243">
        <f t="shared" si="210"/>
        <v>16.399999999999999</v>
      </c>
      <c r="AN427" s="243">
        <f t="shared" si="210"/>
        <v>19.45</v>
      </c>
      <c r="AO427" s="243">
        <f t="shared" si="210"/>
        <v>19.39</v>
      </c>
      <c r="AP427" s="243" t="str">
        <f t="shared" si="210"/>
        <v/>
      </c>
      <c r="AQ427" s="243">
        <f t="shared" si="210"/>
        <v>18.829999999999998</v>
      </c>
      <c r="AR427" s="243">
        <f t="shared" si="210"/>
        <v>19.86</v>
      </c>
      <c r="AS427" s="243">
        <f t="shared" si="210"/>
        <v>20.48</v>
      </c>
      <c r="AT427" s="243">
        <f t="shared" si="210"/>
        <v>19.12</v>
      </c>
      <c r="AU427" s="243">
        <f t="shared" si="210"/>
        <v>22.43</v>
      </c>
      <c r="AV427" s="243">
        <f t="shared" si="210"/>
        <v>18.09</v>
      </c>
      <c r="AW427" s="247" t="str">
        <f t="shared" si="210"/>
        <v/>
      </c>
      <c r="AX427" s="243">
        <f t="shared" si="210"/>
        <v>18.87</v>
      </c>
      <c r="AY427" s="248">
        <f t="shared" si="210"/>
        <v>20.87</v>
      </c>
    </row>
    <row r="428" spans="2:51" ht="12" customHeight="1" x14ac:dyDescent="0.2">
      <c r="B428" s="266"/>
      <c r="C428" s="235"/>
      <c r="D428" s="235"/>
      <c r="E428" s="239"/>
      <c r="F428" s="182"/>
      <c r="G428" s="182"/>
      <c r="H428" s="182"/>
      <c r="I428" s="233"/>
      <c r="J428" s="163" t="str">
        <f>IF(Portland!M8="","",Portland!M8)</f>
        <v>1*4</v>
      </c>
      <c r="K428" s="41" t="str">
        <f>IF(Portland!N8="","",Portland!N8)</f>
        <v>1*4</v>
      </c>
      <c r="L428" s="41" t="str">
        <f>IF(Portland!O8="","",Portland!O8)</f>
        <v>0*4</v>
      </c>
      <c r="M428" s="41" t="str">
        <f>IF(Portland!P8="","",Portland!P8)</f>
        <v>1*4</v>
      </c>
      <c r="N428" s="41" t="str">
        <f>IF(Portland!Q8="","",Portland!Q8)</f>
        <v>1*4</v>
      </c>
      <c r="O428" s="41" t="str">
        <f>IF(Portland!R8="","",Portland!R8)</f>
        <v>3*4</v>
      </c>
      <c r="P428" s="41" t="str">
        <f>IF(Portland!S8="","",Portland!S8)</f>
        <v/>
      </c>
      <c r="Q428" s="41" t="str">
        <f>IF(Portland!T8="","",Portland!T8)</f>
        <v>1*4</v>
      </c>
      <c r="R428" s="41" t="str">
        <f>IF(Portland!U8="","",Portland!U8)</f>
        <v>1*4</v>
      </c>
      <c r="S428" s="41" t="str">
        <f>IF(Portland!V8="","",Portland!V8)</f>
        <v>4*3</v>
      </c>
      <c r="T428" s="41" t="str">
        <f>IF(Portland!W8="","",Portland!W8)</f>
        <v>1*4</v>
      </c>
      <c r="U428" s="41" t="str">
        <f>IF(Portland!X8="","",Portland!X8)</f>
        <v>3*4</v>
      </c>
      <c r="V428" s="41" t="str">
        <f>IF(Portland!Y8="","",Portland!Y8)</f>
        <v>4*1</v>
      </c>
      <c r="W428" s="201"/>
      <c r="X428" s="182"/>
      <c r="Y428" s="233"/>
      <c r="AA428" s="239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233"/>
    </row>
    <row r="429" spans="2:51" ht="12" customHeight="1" x14ac:dyDescent="0.2">
      <c r="B429" s="266"/>
      <c r="C429" s="263" t="str">
        <f>IF(Portland!E9="","",Portland!E9)</f>
        <v>Andy Masters</v>
      </c>
      <c r="D429" s="259" t="str">
        <f>LEFT($B$427,3)</f>
        <v>Por</v>
      </c>
      <c r="E429" s="251">
        <f>IF(Portland!G9="","",Portland!G9)</f>
        <v>13</v>
      </c>
      <c r="F429" s="181">
        <f>IF(Portland!H9=0,"",Portland!H9)</f>
        <v>6</v>
      </c>
      <c r="G429" s="186">
        <f>IF(Portland!I9=0,"",Portland!I9)</f>
        <v>7</v>
      </c>
      <c r="H429" s="186">
        <f>IF(Portland!J9=0,"",Portland!J9)</f>
        <v>33</v>
      </c>
      <c r="I429" s="252">
        <f>IF(Portland!K9=0,"",Portland!K9)</f>
        <v>33</v>
      </c>
      <c r="J429" s="163">
        <f>IF(Portland!M9="","",Portland!M9)</f>
        <v>20.11</v>
      </c>
      <c r="K429" s="41">
        <f>IF(Portland!N9="","",Portland!N9)</f>
        <v>16.64</v>
      </c>
      <c r="L429" s="41">
        <f>IF(Portland!O9="","",Portland!O9)</f>
        <v>20.96</v>
      </c>
      <c r="M429" s="41">
        <f>IF(Portland!P9="","",Portland!P9)</f>
        <v>21.42</v>
      </c>
      <c r="N429" s="41">
        <f>IF(Portland!Q9="","",Portland!Q9)</f>
        <v>21.2</v>
      </c>
      <c r="O429" s="41">
        <f>IF(Portland!R9="","",Portland!R9)</f>
        <v>19.760000000000002</v>
      </c>
      <c r="P429" s="41">
        <f>IF(Portland!S9="","",Portland!S9)</f>
        <v>20.22</v>
      </c>
      <c r="Q429" s="41">
        <f>IF(Portland!T9="","",Portland!T9)</f>
        <v>22.03</v>
      </c>
      <c r="R429" s="41">
        <f>IF(Portland!U9="","",Portland!U9)</f>
        <v>17.52</v>
      </c>
      <c r="S429" s="41">
        <f>IF(Portland!V9="","",Portland!V9)</f>
        <v>20.45</v>
      </c>
      <c r="T429" s="41">
        <f>IF(Portland!W9="","",Portland!W9)</f>
        <v>21.75</v>
      </c>
      <c r="U429" s="41">
        <f>IF(Portland!X9="","",Portland!X9)</f>
        <v>24.44</v>
      </c>
      <c r="V429" s="41">
        <f>IF(Portland!Y9="","",Portland!Y9)</f>
        <v>19.84</v>
      </c>
      <c r="W429" s="249">
        <f>IF(Portland!AA9=0,"",Portland!AA9)</f>
        <v>1</v>
      </c>
      <c r="X429" s="244">
        <f>IF(Portland!AB9=0,"",Portland!AB9)</f>
        <v>20.487692307692306</v>
      </c>
      <c r="Y429" s="245">
        <f>IF(Portland!AC9=0,"",Portland!AC9)</f>
        <v>26.487692307692306</v>
      </c>
      <c r="AA429" s="246">
        <f>Y429</f>
        <v>26.487692307692306</v>
      </c>
      <c r="AB429" s="243">
        <f>X429</f>
        <v>20.487692307692306</v>
      </c>
      <c r="AC429" s="185" t="str">
        <f>C429</f>
        <v>Andy Masters</v>
      </c>
      <c r="AD429" s="185" t="str">
        <f>LEFT($B$427,3)</f>
        <v>Por</v>
      </c>
      <c r="AE429" s="185">
        <f t="shared" ref="AE429:AY429" si="211">E429</f>
        <v>13</v>
      </c>
      <c r="AF429" s="185">
        <f t="shared" si="211"/>
        <v>6</v>
      </c>
      <c r="AG429" s="247">
        <f t="shared" si="211"/>
        <v>7</v>
      </c>
      <c r="AH429" s="247">
        <f t="shared" si="211"/>
        <v>33</v>
      </c>
      <c r="AI429" s="247">
        <f t="shared" si="211"/>
        <v>33</v>
      </c>
      <c r="AJ429" s="243">
        <f t="shared" si="211"/>
        <v>20.11</v>
      </c>
      <c r="AK429" s="243">
        <f t="shared" si="211"/>
        <v>16.64</v>
      </c>
      <c r="AL429" s="243">
        <f t="shared" si="211"/>
        <v>20.96</v>
      </c>
      <c r="AM429" s="243">
        <f t="shared" si="211"/>
        <v>21.42</v>
      </c>
      <c r="AN429" s="243">
        <f t="shared" si="211"/>
        <v>21.2</v>
      </c>
      <c r="AO429" s="243">
        <f t="shared" si="211"/>
        <v>19.760000000000002</v>
      </c>
      <c r="AP429" s="243">
        <f t="shared" si="211"/>
        <v>20.22</v>
      </c>
      <c r="AQ429" s="243">
        <f t="shared" si="211"/>
        <v>22.03</v>
      </c>
      <c r="AR429" s="243">
        <f t="shared" si="211"/>
        <v>17.52</v>
      </c>
      <c r="AS429" s="243">
        <f t="shared" si="211"/>
        <v>20.45</v>
      </c>
      <c r="AT429" s="243">
        <f t="shared" si="211"/>
        <v>21.75</v>
      </c>
      <c r="AU429" s="243">
        <f t="shared" si="211"/>
        <v>24.44</v>
      </c>
      <c r="AV429" s="243">
        <f t="shared" si="211"/>
        <v>19.84</v>
      </c>
      <c r="AW429" s="247">
        <f t="shared" si="211"/>
        <v>1</v>
      </c>
      <c r="AX429" s="243">
        <f t="shared" si="211"/>
        <v>20.487692307692306</v>
      </c>
      <c r="AY429" s="248">
        <f t="shared" si="211"/>
        <v>26.487692307692306</v>
      </c>
    </row>
    <row r="430" spans="2:51" ht="12" customHeight="1" x14ac:dyDescent="0.2">
      <c r="B430" s="266"/>
      <c r="C430" s="235"/>
      <c r="D430" s="235"/>
      <c r="E430" s="239"/>
      <c r="F430" s="182"/>
      <c r="G430" s="182"/>
      <c r="H430" s="182"/>
      <c r="I430" s="233"/>
      <c r="J430" s="163" t="str">
        <f>IF(Portland!M10="","",Portland!M10)</f>
        <v>1*4(1)</v>
      </c>
      <c r="K430" s="41" t="str">
        <f>IF(Portland!N10="","",Portland!N10)</f>
        <v>0*4</v>
      </c>
      <c r="L430" s="41" t="str">
        <f>IF(Portland!O10="","",Portland!O10)</f>
        <v>2*4</v>
      </c>
      <c r="M430" s="41" t="str">
        <f>IF(Portland!P10="","",Portland!P10)</f>
        <v>4*1</v>
      </c>
      <c r="N430" s="41" t="str">
        <f>IF(Portland!Q10="","",Portland!Q10)</f>
        <v>2*4</v>
      </c>
      <c r="O430" s="41" t="str">
        <f>IF(Portland!R10="","",Portland!R10)</f>
        <v>4*3</v>
      </c>
      <c r="P430" s="41" t="str">
        <f>IF(Portland!S10="","",Portland!S10)</f>
        <v>3*4</v>
      </c>
      <c r="Q430" s="41" t="str">
        <f>IF(Portland!T10="","",Portland!T10)</f>
        <v>1*4</v>
      </c>
      <c r="R430" s="41" t="str">
        <f>IF(Portland!U10="","",Portland!U10)</f>
        <v>0*4</v>
      </c>
      <c r="S430" s="41" t="str">
        <f>IF(Portland!V10="","",Portland!V10)</f>
        <v>4*0</v>
      </c>
      <c r="T430" s="41" t="str">
        <f>IF(Portland!W10="","",Portland!W10)</f>
        <v>4*1</v>
      </c>
      <c r="U430" s="41" t="str">
        <f>IF(Portland!X10="","",Portland!X10)</f>
        <v>4*0</v>
      </c>
      <c r="V430" s="41" t="str">
        <f>IF(Portland!Y10="","",Portland!Y10)</f>
        <v>4*0</v>
      </c>
      <c r="W430" s="201"/>
      <c r="X430" s="182"/>
      <c r="Y430" s="233"/>
      <c r="AA430" s="239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233"/>
    </row>
    <row r="431" spans="2:51" ht="12" customHeight="1" x14ac:dyDescent="0.2">
      <c r="B431" s="266"/>
      <c r="C431" s="263" t="str">
        <f>IF(Portland!E11="","",Portland!E11)</f>
        <v>Sonny Mabey</v>
      </c>
      <c r="D431" s="259" t="str">
        <f>LEFT($B$427,3)</f>
        <v>Por</v>
      </c>
      <c r="E431" s="251">
        <f>IF(Portland!G11="","",Portland!G11)</f>
        <v>9</v>
      </c>
      <c r="F431" s="181">
        <f>IF(Portland!H11=0,"",Portland!H11)</f>
        <v>3</v>
      </c>
      <c r="G431" s="186">
        <f>IF(Portland!I11=0,"",Portland!I11)</f>
        <v>6</v>
      </c>
      <c r="H431" s="186">
        <f>IF(Portland!J11=0,"",Portland!J11)</f>
        <v>17</v>
      </c>
      <c r="I431" s="252">
        <f>IF(Portland!K11=0,"",Portland!K11)</f>
        <v>25</v>
      </c>
      <c r="J431" s="163">
        <f>IF(Portland!M11="","",Portland!M11)</f>
        <v>20.079999999999998</v>
      </c>
      <c r="K431" s="41" t="str">
        <f>IF(Portland!N11="","",Portland!N11)</f>
        <v/>
      </c>
      <c r="L431" s="41">
        <f>IF(Portland!O11="","",Portland!O11)</f>
        <v>17.78</v>
      </c>
      <c r="M431" s="41" t="str">
        <f>IF(Portland!P11="","",Portland!P11)</f>
        <v/>
      </c>
      <c r="N431" s="41">
        <f>IF(Portland!Q11="","",Portland!Q11)</f>
        <v>19.98</v>
      </c>
      <c r="O431" s="41">
        <f>IF(Portland!R11="","",Portland!R11)</f>
        <v>22.33</v>
      </c>
      <c r="P431" s="41">
        <f>IF(Portland!S11="","",Portland!S11)</f>
        <v>19.28</v>
      </c>
      <c r="Q431" s="41" t="str">
        <f>IF(Portland!T11="","",Portland!T11)</f>
        <v/>
      </c>
      <c r="R431" s="41">
        <f>IF(Portland!U11="","",Portland!U11)</f>
        <v>20.54</v>
      </c>
      <c r="S431" s="41">
        <f>IF(Portland!V11="","",Portland!V11)</f>
        <v>17.13</v>
      </c>
      <c r="T431" s="41">
        <f>IF(Portland!W11="","",Portland!W11)</f>
        <v>20.86</v>
      </c>
      <c r="U431" s="41" t="str">
        <f>IF(Portland!X11="","",Portland!X11)</f>
        <v/>
      </c>
      <c r="V431" s="41">
        <f>IF(Portland!Y11="","",Portland!Y11)</f>
        <v>23.3</v>
      </c>
      <c r="W431" s="249">
        <f>IF(Portland!AA11=0,"",Portland!AA11)</f>
        <v>2</v>
      </c>
      <c r="X431" s="244">
        <f>IF(Portland!AB11=0,"",Portland!AB11)</f>
        <v>20.142222222222227</v>
      </c>
      <c r="Y431" s="245">
        <f>IF(Portland!AC11=0,"",Portland!AC11)</f>
        <v>23.142222222222227</v>
      </c>
      <c r="AA431" s="246">
        <f>Y431</f>
        <v>23.142222222222227</v>
      </c>
      <c r="AB431" s="243">
        <f>X431</f>
        <v>20.142222222222227</v>
      </c>
      <c r="AC431" s="185" t="str">
        <f>C431</f>
        <v>Sonny Mabey</v>
      </c>
      <c r="AD431" s="185" t="str">
        <f>LEFT($B$427,3)</f>
        <v>Por</v>
      </c>
      <c r="AE431" s="185">
        <f t="shared" ref="AE431:AY431" si="212">E431</f>
        <v>9</v>
      </c>
      <c r="AF431" s="185">
        <f t="shared" si="212"/>
        <v>3</v>
      </c>
      <c r="AG431" s="247">
        <f t="shared" si="212"/>
        <v>6</v>
      </c>
      <c r="AH431" s="247">
        <f t="shared" si="212"/>
        <v>17</v>
      </c>
      <c r="AI431" s="247">
        <f t="shared" si="212"/>
        <v>25</v>
      </c>
      <c r="AJ431" s="243">
        <f t="shared" si="212"/>
        <v>20.079999999999998</v>
      </c>
      <c r="AK431" s="243" t="str">
        <f t="shared" si="212"/>
        <v/>
      </c>
      <c r="AL431" s="243">
        <f t="shared" si="212"/>
        <v>17.78</v>
      </c>
      <c r="AM431" s="243" t="str">
        <f t="shared" si="212"/>
        <v/>
      </c>
      <c r="AN431" s="243">
        <f t="shared" si="212"/>
        <v>19.98</v>
      </c>
      <c r="AO431" s="243">
        <f t="shared" si="212"/>
        <v>22.33</v>
      </c>
      <c r="AP431" s="243">
        <f t="shared" si="212"/>
        <v>19.28</v>
      </c>
      <c r="AQ431" s="243" t="str">
        <f t="shared" si="212"/>
        <v/>
      </c>
      <c r="AR431" s="243">
        <f t="shared" si="212"/>
        <v>20.54</v>
      </c>
      <c r="AS431" s="243">
        <f t="shared" si="212"/>
        <v>17.13</v>
      </c>
      <c r="AT431" s="243">
        <f t="shared" si="212"/>
        <v>20.86</v>
      </c>
      <c r="AU431" s="243" t="str">
        <f t="shared" si="212"/>
        <v/>
      </c>
      <c r="AV431" s="243">
        <f t="shared" si="212"/>
        <v>23.3</v>
      </c>
      <c r="AW431" s="247">
        <f t="shared" si="212"/>
        <v>2</v>
      </c>
      <c r="AX431" s="243">
        <f t="shared" si="212"/>
        <v>20.142222222222227</v>
      </c>
      <c r="AY431" s="248">
        <f t="shared" si="212"/>
        <v>23.142222222222227</v>
      </c>
    </row>
    <row r="432" spans="2:51" ht="12" customHeight="1" x14ac:dyDescent="0.2">
      <c r="B432" s="266"/>
      <c r="C432" s="235"/>
      <c r="D432" s="235"/>
      <c r="E432" s="239"/>
      <c r="F432" s="182"/>
      <c r="G432" s="182"/>
      <c r="H432" s="182"/>
      <c r="I432" s="233"/>
      <c r="J432" s="163" t="str">
        <f>IF(Portland!M12="","",Portland!M12)</f>
        <v>0*4</v>
      </c>
      <c r="K432" s="41" t="str">
        <f>IF(Portland!N12="","",Portland!N12)</f>
        <v/>
      </c>
      <c r="L432" s="41" t="str">
        <f>IF(Portland!O12="","",Portland!O12)</f>
        <v>1*4</v>
      </c>
      <c r="M432" s="41" t="str">
        <f>IF(Portland!P12="","",Portland!P12)</f>
        <v/>
      </c>
      <c r="N432" s="41" t="str">
        <f>IF(Portland!Q12="","",Portland!Q12)</f>
        <v>0*4</v>
      </c>
      <c r="O432" s="41" t="str">
        <f>IF(Portland!R12="","",Portland!R12)</f>
        <v>4*1(1)</v>
      </c>
      <c r="P432" s="41" t="str">
        <f>IF(Portland!S12="","",Portland!S12)</f>
        <v>2*4</v>
      </c>
      <c r="Q432" s="41" t="str">
        <f>IF(Portland!T12="","",Portland!T12)</f>
        <v/>
      </c>
      <c r="R432" s="41" t="str">
        <f>IF(Portland!U12="","",Portland!U12)</f>
        <v>0*4</v>
      </c>
      <c r="S432" s="41" t="str">
        <f>IF(Portland!V12="","",Portland!V12)</f>
        <v>4*0</v>
      </c>
      <c r="T432" s="41" t="str">
        <f>IF(Portland!W12="","",Portland!W12)</f>
        <v>2*4</v>
      </c>
      <c r="U432" s="41" t="str">
        <f>IF(Portland!X12="","",Portland!X12)</f>
        <v/>
      </c>
      <c r="V432" s="41" t="str">
        <f>IF(Portland!Y12="","",Portland!Y12)</f>
        <v>4*0(1)</v>
      </c>
      <c r="W432" s="201"/>
      <c r="X432" s="182"/>
      <c r="Y432" s="233"/>
      <c r="AA432" s="239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233"/>
    </row>
    <row r="433" spans="2:51" ht="12" customHeight="1" x14ac:dyDescent="0.2">
      <c r="B433" s="266"/>
      <c r="C433" s="263" t="str">
        <f>IF(Portland!E13="","",Portland!E13)</f>
        <v>Len Pitman</v>
      </c>
      <c r="D433" s="259" t="str">
        <f>LEFT($B$427,3)</f>
        <v>Por</v>
      </c>
      <c r="E433" s="251">
        <f>IF(Portland!G13="","",Portland!G13)</f>
        <v>10</v>
      </c>
      <c r="F433" s="181">
        <f>IF(Portland!H13=0,"",Portland!H13)</f>
        <v>3</v>
      </c>
      <c r="G433" s="186">
        <f>IF(Portland!I13=0,"",Portland!I13)</f>
        <v>7</v>
      </c>
      <c r="H433" s="186">
        <f>IF(Portland!J13=0,"",Portland!J13)</f>
        <v>18</v>
      </c>
      <c r="I433" s="252">
        <f>IF(Portland!K13=0,"",Portland!K13)</f>
        <v>31</v>
      </c>
      <c r="J433" s="163">
        <f>IF(Portland!M13="","",Portland!M13)</f>
        <v>19.850000000000001</v>
      </c>
      <c r="K433" s="41">
        <f>IF(Portland!N13="","",Portland!N13)</f>
        <v>25.37</v>
      </c>
      <c r="L433" s="41">
        <f>IF(Portland!O13="","",Portland!O13)</f>
        <v>16.5</v>
      </c>
      <c r="M433" s="41">
        <f>IF(Portland!P13="","",Portland!P13)</f>
        <v>19.52</v>
      </c>
      <c r="N433" s="41">
        <f>IF(Portland!Q13="","",Portland!Q13)</f>
        <v>18.68</v>
      </c>
      <c r="O433" s="41">
        <f>IF(Portland!R13="","",Portland!R13)</f>
        <v>21.08</v>
      </c>
      <c r="P433" s="41">
        <f>IF(Portland!S13="","",Portland!S13)</f>
        <v>21.72</v>
      </c>
      <c r="Q433" s="41">
        <f>IF(Portland!T13="","",Portland!T13)</f>
        <v>21.88</v>
      </c>
      <c r="R433" s="41">
        <f>IF(Portland!U13="","",Portland!U13)</f>
        <v>20.36</v>
      </c>
      <c r="S433" s="41">
        <f>IF(Portland!V13="","",Portland!V13)</f>
        <v>17.309999999999999</v>
      </c>
      <c r="T433" s="41" t="str">
        <f>IF(Portland!W13="","",Portland!W13)</f>
        <v/>
      </c>
      <c r="U433" s="41" t="str">
        <f>IF(Portland!X13="","",Portland!X13)</f>
        <v/>
      </c>
      <c r="V433" s="41" t="str">
        <f>IF(Portland!Y13="","",Portland!Y13)</f>
        <v/>
      </c>
      <c r="W433" s="249">
        <f>IF(Portland!AA13=0,"",Portland!AA13)</f>
        <v>2</v>
      </c>
      <c r="X433" s="244">
        <f>IF(Portland!AB13=0,"",Portland!AB13)</f>
        <v>20.226999999999997</v>
      </c>
      <c r="Y433" s="245">
        <f>IF(Portland!AC13=0,"",Portland!AC13)</f>
        <v>23.226999999999997</v>
      </c>
      <c r="AA433" s="246">
        <f>Y433</f>
        <v>23.226999999999997</v>
      </c>
      <c r="AB433" s="243">
        <f>X433</f>
        <v>20.226999999999997</v>
      </c>
      <c r="AC433" s="185" t="str">
        <f>C433</f>
        <v>Len Pitman</v>
      </c>
      <c r="AD433" s="185" t="str">
        <f>LEFT($B$427,3)</f>
        <v>Por</v>
      </c>
      <c r="AE433" s="185">
        <f t="shared" ref="AE433:AY433" si="213">E433</f>
        <v>10</v>
      </c>
      <c r="AF433" s="185">
        <f t="shared" si="213"/>
        <v>3</v>
      </c>
      <c r="AG433" s="247">
        <f t="shared" si="213"/>
        <v>7</v>
      </c>
      <c r="AH433" s="247">
        <f t="shared" si="213"/>
        <v>18</v>
      </c>
      <c r="AI433" s="247">
        <f t="shared" si="213"/>
        <v>31</v>
      </c>
      <c r="AJ433" s="243">
        <f t="shared" si="213"/>
        <v>19.850000000000001</v>
      </c>
      <c r="AK433" s="243">
        <f t="shared" si="213"/>
        <v>25.37</v>
      </c>
      <c r="AL433" s="243">
        <f t="shared" si="213"/>
        <v>16.5</v>
      </c>
      <c r="AM433" s="243">
        <f t="shared" si="213"/>
        <v>19.52</v>
      </c>
      <c r="AN433" s="243">
        <f t="shared" si="213"/>
        <v>18.68</v>
      </c>
      <c r="AO433" s="243">
        <f t="shared" si="213"/>
        <v>21.08</v>
      </c>
      <c r="AP433" s="243">
        <f t="shared" si="213"/>
        <v>21.72</v>
      </c>
      <c r="AQ433" s="243">
        <f t="shared" si="213"/>
        <v>21.88</v>
      </c>
      <c r="AR433" s="243">
        <f t="shared" si="213"/>
        <v>20.36</v>
      </c>
      <c r="AS433" s="243">
        <f t="shared" si="213"/>
        <v>17.309999999999999</v>
      </c>
      <c r="AT433" s="243" t="str">
        <f t="shared" si="213"/>
        <v/>
      </c>
      <c r="AU433" s="243" t="str">
        <f t="shared" si="213"/>
        <v/>
      </c>
      <c r="AV433" s="243" t="str">
        <f t="shared" si="213"/>
        <v/>
      </c>
      <c r="AW433" s="247">
        <f t="shared" si="213"/>
        <v>2</v>
      </c>
      <c r="AX433" s="243">
        <f t="shared" si="213"/>
        <v>20.226999999999997</v>
      </c>
      <c r="AY433" s="248">
        <f t="shared" si="213"/>
        <v>23.226999999999997</v>
      </c>
    </row>
    <row r="434" spans="2:51" ht="12" customHeight="1" x14ac:dyDescent="0.2">
      <c r="B434" s="266"/>
      <c r="C434" s="235"/>
      <c r="D434" s="235"/>
      <c r="E434" s="239"/>
      <c r="F434" s="182"/>
      <c r="G434" s="182"/>
      <c r="H434" s="182"/>
      <c r="I434" s="233"/>
      <c r="J434" s="163" t="str">
        <f>IF(Portland!M14="","",Portland!M14)</f>
        <v>3*4</v>
      </c>
      <c r="K434" s="41" t="str">
        <f>IF(Portland!N14="","",Portland!N14)</f>
        <v>4*0</v>
      </c>
      <c r="L434" s="41" t="str">
        <f>IF(Portland!O14="","",Portland!O14)</f>
        <v>0*4</v>
      </c>
      <c r="M434" s="41" t="str">
        <f>IF(Portland!P14="","",Portland!P14)</f>
        <v>4*2(2)</v>
      </c>
      <c r="N434" s="41" t="str">
        <f>IF(Portland!Q14="","",Portland!Q14)</f>
        <v>1*4</v>
      </c>
      <c r="O434" s="41" t="str">
        <f>IF(Portland!R14="","",Portland!R14)</f>
        <v>4*1</v>
      </c>
      <c r="P434" s="41" t="str">
        <f>IF(Portland!S14="","",Portland!S14)</f>
        <v>0*4</v>
      </c>
      <c r="Q434" s="41" t="str">
        <f>IF(Portland!T14="","",Portland!T14)</f>
        <v>0*4</v>
      </c>
      <c r="R434" s="41" t="str">
        <f>IF(Portland!U14="","",Portland!U14)</f>
        <v>1*4</v>
      </c>
      <c r="S434" s="41" t="str">
        <f>IF(Portland!V14="","",Portland!V14)</f>
        <v>1*4</v>
      </c>
      <c r="T434" s="41" t="str">
        <f>IF(Portland!W14="","",Portland!W14)</f>
        <v/>
      </c>
      <c r="U434" s="41" t="str">
        <f>IF(Portland!X14="","",Portland!X14)</f>
        <v/>
      </c>
      <c r="V434" s="41" t="str">
        <f>IF(Portland!Y14="","",Portland!Y14)</f>
        <v/>
      </c>
      <c r="W434" s="201"/>
      <c r="X434" s="182"/>
      <c r="Y434" s="233"/>
      <c r="AA434" s="239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233"/>
    </row>
    <row r="435" spans="2:51" ht="12" customHeight="1" x14ac:dyDescent="0.2">
      <c r="B435" s="266"/>
      <c r="C435" s="263" t="str">
        <f>IF(Portland!E15="","",Portland!E15)</f>
        <v>Mick Hopkins</v>
      </c>
      <c r="D435" s="259" t="str">
        <f>LEFT($B$427,3)</f>
        <v>Por</v>
      </c>
      <c r="E435" s="251">
        <f>IF(Portland!G15="","",Portland!G15)</f>
        <v>8</v>
      </c>
      <c r="F435" s="181">
        <f>IF(Portland!H15=0,"",Portland!H15)</f>
        <v>1</v>
      </c>
      <c r="G435" s="186">
        <f>IF(Portland!I15=0,"",Portland!I15)</f>
        <v>7</v>
      </c>
      <c r="H435" s="186">
        <f>IF(Portland!J15=0,"",Portland!J15)</f>
        <v>12</v>
      </c>
      <c r="I435" s="252">
        <f>IF(Portland!K15=0,"",Portland!K15)</f>
        <v>31</v>
      </c>
      <c r="J435" s="163">
        <f>IF(Portland!M15="","",Portland!M15)</f>
        <v>19.920000000000002</v>
      </c>
      <c r="K435" s="41">
        <f>IF(Portland!N15="","",Portland!N15)</f>
        <v>19.89</v>
      </c>
      <c r="L435" s="41" t="str">
        <f>IF(Portland!O15="","",Portland!O15)</f>
        <v/>
      </c>
      <c r="M435" s="41">
        <f>IF(Portland!P15="","",Portland!P15)</f>
        <v>20.14</v>
      </c>
      <c r="N435" s="41">
        <f>IF(Portland!Q15="","",Portland!Q15)</f>
        <v>22.53</v>
      </c>
      <c r="O435" s="41" t="str">
        <f>IF(Portland!R15="","",Portland!R15)</f>
        <v/>
      </c>
      <c r="P435" s="41">
        <f>IF(Portland!S15="","",Portland!S15)</f>
        <v>24.21</v>
      </c>
      <c r="Q435" s="41">
        <f>IF(Portland!T15="","",Portland!T15)</f>
        <v>20.91</v>
      </c>
      <c r="R435" s="41" t="str">
        <f>IF(Portland!U15="","",Portland!U15)</f>
        <v/>
      </c>
      <c r="S435" s="41" t="str">
        <f>IF(Portland!V15="","",Portland!V15)</f>
        <v/>
      </c>
      <c r="T435" s="41" t="str">
        <f>IF(Portland!W15="","",Portland!W15)</f>
        <v/>
      </c>
      <c r="U435" s="41">
        <f>IF(Portland!X15="","",Portland!X15)</f>
        <v>18.75</v>
      </c>
      <c r="V435" s="41">
        <f>IF(Portland!Y15="","",Portland!Y15)</f>
        <v>20.22</v>
      </c>
      <c r="W435" s="249">
        <f>IF(Portland!AA15=0,"",Portland!AA15)</f>
        <v>2</v>
      </c>
      <c r="X435" s="244">
        <f>IF(Portland!AB15=0,"",Portland!AB15)</f>
        <v>20.821249999999999</v>
      </c>
      <c r="Y435" s="245">
        <f>IF(Portland!AC15=0,"",Portland!AC15)</f>
        <v>21.821249999999999</v>
      </c>
      <c r="AA435" s="246">
        <f>Y435</f>
        <v>21.821249999999999</v>
      </c>
      <c r="AB435" s="243">
        <f>X435</f>
        <v>20.821249999999999</v>
      </c>
      <c r="AC435" s="185" t="str">
        <f>C435</f>
        <v>Mick Hopkins</v>
      </c>
      <c r="AD435" s="185" t="str">
        <f>LEFT($B$427,3)</f>
        <v>Por</v>
      </c>
      <c r="AE435" s="185">
        <f t="shared" ref="AE435:AY435" si="214">E435</f>
        <v>8</v>
      </c>
      <c r="AF435" s="185">
        <f t="shared" si="214"/>
        <v>1</v>
      </c>
      <c r="AG435" s="247">
        <f t="shared" si="214"/>
        <v>7</v>
      </c>
      <c r="AH435" s="247">
        <f t="shared" si="214"/>
        <v>12</v>
      </c>
      <c r="AI435" s="247">
        <f t="shared" si="214"/>
        <v>31</v>
      </c>
      <c r="AJ435" s="243">
        <f t="shared" si="214"/>
        <v>19.920000000000002</v>
      </c>
      <c r="AK435" s="243">
        <f t="shared" si="214"/>
        <v>19.89</v>
      </c>
      <c r="AL435" s="243" t="str">
        <f t="shared" si="214"/>
        <v/>
      </c>
      <c r="AM435" s="243">
        <f t="shared" si="214"/>
        <v>20.14</v>
      </c>
      <c r="AN435" s="243">
        <f t="shared" si="214"/>
        <v>22.53</v>
      </c>
      <c r="AO435" s="243" t="str">
        <f t="shared" si="214"/>
        <v/>
      </c>
      <c r="AP435" s="243">
        <f t="shared" si="214"/>
        <v>24.21</v>
      </c>
      <c r="AQ435" s="243">
        <f t="shared" si="214"/>
        <v>20.91</v>
      </c>
      <c r="AR435" s="243" t="str">
        <f t="shared" si="214"/>
        <v/>
      </c>
      <c r="AS435" s="243" t="str">
        <f t="shared" si="214"/>
        <v/>
      </c>
      <c r="AT435" s="243" t="str">
        <f t="shared" si="214"/>
        <v/>
      </c>
      <c r="AU435" s="243">
        <f t="shared" si="214"/>
        <v>18.75</v>
      </c>
      <c r="AV435" s="243">
        <f t="shared" si="214"/>
        <v>20.22</v>
      </c>
      <c r="AW435" s="247">
        <f t="shared" si="214"/>
        <v>2</v>
      </c>
      <c r="AX435" s="243">
        <f t="shared" si="214"/>
        <v>20.821249999999999</v>
      </c>
      <c r="AY435" s="248">
        <f t="shared" si="214"/>
        <v>21.821249999999999</v>
      </c>
    </row>
    <row r="436" spans="2:51" ht="12" customHeight="1" x14ac:dyDescent="0.2">
      <c r="B436" s="266"/>
      <c r="C436" s="235"/>
      <c r="D436" s="235"/>
      <c r="E436" s="239"/>
      <c r="F436" s="182"/>
      <c r="G436" s="182"/>
      <c r="H436" s="182"/>
      <c r="I436" s="233"/>
      <c r="J436" s="163" t="str">
        <f>IF(Portland!M16="","",Portland!M16)</f>
        <v>1*4</v>
      </c>
      <c r="K436" s="41" t="str">
        <f>IF(Portland!N16="","",Portland!N16)</f>
        <v>1*4</v>
      </c>
      <c r="L436" s="41" t="str">
        <f>IF(Portland!O16="","",Portland!O16)</f>
        <v/>
      </c>
      <c r="M436" s="41" t="str">
        <f>IF(Portland!P16="","",Portland!P16)</f>
        <v>1*4</v>
      </c>
      <c r="N436" s="41" t="str">
        <f>IF(Portland!Q16="","",Portland!Q16)</f>
        <v>1*4</v>
      </c>
      <c r="O436" s="41" t="str">
        <f>IF(Portland!R16="","",Portland!R16)</f>
        <v/>
      </c>
      <c r="P436" s="41" t="str">
        <f>IF(Portland!S16="","",Portland!S16)</f>
        <v>1*4(2)</v>
      </c>
      <c r="Q436" s="41" t="str">
        <f>IF(Portland!T16="","",Portland!T16)</f>
        <v>1*4</v>
      </c>
      <c r="R436" s="41" t="str">
        <f>IF(Portland!U16="","",Portland!U16)</f>
        <v/>
      </c>
      <c r="S436" s="41" t="str">
        <f>IF(Portland!V16="","",Portland!V16)</f>
        <v/>
      </c>
      <c r="T436" s="41" t="str">
        <f>IF(Portland!W16="","",Portland!W16)</f>
        <v/>
      </c>
      <c r="U436" s="41" t="str">
        <f>IF(Portland!X16="","",Portland!X16)</f>
        <v>4*3</v>
      </c>
      <c r="V436" s="41" t="str">
        <f>IF(Portland!Y16="","",Portland!Y16)</f>
        <v>2*4</v>
      </c>
      <c r="W436" s="201"/>
      <c r="X436" s="182"/>
      <c r="Y436" s="233"/>
      <c r="AA436" s="239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233"/>
    </row>
    <row r="437" spans="2:51" ht="12" customHeight="1" x14ac:dyDescent="0.2">
      <c r="B437" s="266"/>
      <c r="C437" s="263" t="str">
        <f>IF(Portland!E17="","",Portland!E17)</f>
        <v>Steven Jones</v>
      </c>
      <c r="D437" s="259" t="str">
        <f>LEFT($B$427,3)</f>
        <v>Por</v>
      </c>
      <c r="E437" s="251">
        <f>IF(Portland!G17="","",Portland!G17)</f>
        <v>11</v>
      </c>
      <c r="F437" s="181">
        <f>IF(Portland!H17=0,"",Portland!H17)</f>
        <v>4</v>
      </c>
      <c r="G437" s="186">
        <f>IF(Portland!I17=0,"",Portland!I17)</f>
        <v>7</v>
      </c>
      <c r="H437" s="186">
        <f>IF(Portland!J17=0,"",Portland!J17)</f>
        <v>30</v>
      </c>
      <c r="I437" s="252">
        <f>IF(Portland!K17=0,"",Portland!K17)</f>
        <v>37</v>
      </c>
      <c r="J437" s="163">
        <f>IF(Portland!M17="","",Portland!M17)</f>
        <v>18.84</v>
      </c>
      <c r="K437" s="41">
        <f>IF(Portland!N17="","",Portland!N17)</f>
        <v>22.95</v>
      </c>
      <c r="L437" s="41">
        <f>IF(Portland!O17="","",Portland!O17)</f>
        <v>22.82</v>
      </c>
      <c r="M437" s="41">
        <f>IF(Portland!P17="","",Portland!P17)</f>
        <v>21.24</v>
      </c>
      <c r="N437" s="41" t="str">
        <f>IF(Portland!Q17="","",Portland!Q17)</f>
        <v/>
      </c>
      <c r="O437" s="41">
        <f>IF(Portland!R17="","",Portland!R17)</f>
        <v>20.190000000000001</v>
      </c>
      <c r="P437" s="41">
        <f>IF(Portland!S17="","",Portland!S17)</f>
        <v>20.99</v>
      </c>
      <c r="Q437" s="41">
        <f>IF(Portland!T17="","",Portland!T17)</f>
        <v>22.9</v>
      </c>
      <c r="R437" s="41">
        <f>IF(Portland!U17="","",Portland!U17)</f>
        <v>21.17</v>
      </c>
      <c r="S437" s="41">
        <f>IF(Portland!V17="","",Portland!V17)</f>
        <v>19.329999999999998</v>
      </c>
      <c r="T437" s="41">
        <f>IF(Portland!W17="","",Portland!W17)</f>
        <v>23.64</v>
      </c>
      <c r="U437" s="41">
        <f>IF(Portland!X17="","",Portland!X17)</f>
        <v>19.09</v>
      </c>
      <c r="V437" s="41" t="str">
        <f>IF(Portland!Y17="","",Portland!Y17)</f>
        <v/>
      </c>
      <c r="W437" s="249">
        <f>IF(Portland!AA17=0,"",Portland!AA17)</f>
        <v>2</v>
      </c>
      <c r="X437" s="244">
        <f>IF(Portland!AB17=0,"",Portland!AB17)</f>
        <v>21.196363636363632</v>
      </c>
      <c r="Y437" s="245">
        <f>IF(Portland!AC17=0,"",Portland!AC17)</f>
        <v>25.196363636363632</v>
      </c>
      <c r="AA437" s="246">
        <f>Y437</f>
        <v>25.196363636363632</v>
      </c>
      <c r="AB437" s="243">
        <f>X437</f>
        <v>21.196363636363632</v>
      </c>
      <c r="AC437" s="185" t="str">
        <f>C437</f>
        <v>Steven Jones</v>
      </c>
      <c r="AD437" s="185" t="str">
        <f>LEFT($B$427,3)</f>
        <v>Por</v>
      </c>
      <c r="AE437" s="185">
        <f t="shared" ref="AE437:AY437" si="215">E437</f>
        <v>11</v>
      </c>
      <c r="AF437" s="185">
        <f t="shared" si="215"/>
        <v>4</v>
      </c>
      <c r="AG437" s="247">
        <f t="shared" si="215"/>
        <v>7</v>
      </c>
      <c r="AH437" s="247">
        <f t="shared" si="215"/>
        <v>30</v>
      </c>
      <c r="AI437" s="247">
        <f t="shared" si="215"/>
        <v>37</v>
      </c>
      <c r="AJ437" s="243">
        <f t="shared" si="215"/>
        <v>18.84</v>
      </c>
      <c r="AK437" s="243">
        <f t="shared" si="215"/>
        <v>22.95</v>
      </c>
      <c r="AL437" s="243">
        <f t="shared" si="215"/>
        <v>22.82</v>
      </c>
      <c r="AM437" s="243">
        <f t="shared" si="215"/>
        <v>21.24</v>
      </c>
      <c r="AN437" s="243" t="str">
        <f t="shared" si="215"/>
        <v/>
      </c>
      <c r="AO437" s="243">
        <f t="shared" si="215"/>
        <v>20.190000000000001</v>
      </c>
      <c r="AP437" s="243">
        <f t="shared" si="215"/>
        <v>20.99</v>
      </c>
      <c r="AQ437" s="243">
        <f t="shared" si="215"/>
        <v>22.9</v>
      </c>
      <c r="AR437" s="243">
        <f t="shared" si="215"/>
        <v>21.17</v>
      </c>
      <c r="AS437" s="243">
        <f t="shared" si="215"/>
        <v>19.329999999999998</v>
      </c>
      <c r="AT437" s="243">
        <f t="shared" si="215"/>
        <v>23.64</v>
      </c>
      <c r="AU437" s="243">
        <f t="shared" si="215"/>
        <v>19.09</v>
      </c>
      <c r="AV437" s="243" t="str">
        <f t="shared" si="215"/>
        <v/>
      </c>
      <c r="AW437" s="247">
        <f t="shared" si="215"/>
        <v>2</v>
      </c>
      <c r="AX437" s="243">
        <f t="shared" si="215"/>
        <v>21.196363636363632</v>
      </c>
      <c r="AY437" s="248">
        <f t="shared" si="215"/>
        <v>25.196363636363632</v>
      </c>
    </row>
    <row r="438" spans="2:51" ht="12" customHeight="1" x14ac:dyDescent="0.2">
      <c r="B438" s="266"/>
      <c r="C438" s="235"/>
      <c r="D438" s="235"/>
      <c r="E438" s="239"/>
      <c r="F438" s="182"/>
      <c r="G438" s="182"/>
      <c r="H438" s="182"/>
      <c r="I438" s="233"/>
      <c r="J438" s="163" t="str">
        <f>IF(Portland!M18="","",Portland!M18)</f>
        <v>0*4</v>
      </c>
      <c r="K438" s="41" t="str">
        <f>IF(Portland!N18="","",Portland!N18)</f>
        <v>3*4(1)</v>
      </c>
      <c r="L438" s="41" t="str">
        <f>IF(Portland!O18="","",Portland!O18)</f>
        <v>4*1</v>
      </c>
      <c r="M438" s="41" t="str">
        <f>IF(Portland!P18="","",Portland!P18)</f>
        <v>4*3</v>
      </c>
      <c r="N438" s="41" t="str">
        <f>IF(Portland!Q18="","",Portland!Q18)</f>
        <v/>
      </c>
      <c r="O438" s="41" t="str">
        <f>IF(Portland!R18="","",Portland!R18)</f>
        <v>2*4</v>
      </c>
      <c r="P438" s="41" t="str">
        <f>IF(Portland!S18="","",Portland!S18)</f>
        <v>4*2</v>
      </c>
      <c r="Q438" s="41" t="str">
        <f>IF(Portland!T18="","",Portland!T18)</f>
        <v>3*4</v>
      </c>
      <c r="R438" s="41" t="str">
        <f>IF(Portland!U18="","",Portland!U18)</f>
        <v>1*4(1)</v>
      </c>
      <c r="S438" s="41" t="str">
        <f>IF(Portland!V18="","",Portland!V18)</f>
        <v>4*3</v>
      </c>
      <c r="T438" s="41" t="str">
        <f>IF(Portland!W18="","",Portland!W18)</f>
        <v>3*4</v>
      </c>
      <c r="U438" s="41" t="str">
        <f>IF(Portland!X18="","",Portland!X18)</f>
        <v>2*4</v>
      </c>
      <c r="V438" s="41" t="str">
        <f>IF(Portland!Y18="","",Portland!Y18)</f>
        <v/>
      </c>
      <c r="W438" s="201"/>
      <c r="X438" s="182"/>
      <c r="Y438" s="233"/>
      <c r="AA438" s="239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233"/>
    </row>
    <row r="439" spans="2:51" ht="12" customHeight="1" x14ac:dyDescent="0.2">
      <c r="B439" s="266"/>
      <c r="C439" s="263" t="str">
        <f>IF(Portland!E19="","",Portland!E19)</f>
        <v>Mark Samways</v>
      </c>
      <c r="D439" s="259" t="str">
        <f>LEFT($B$427,3)</f>
        <v>Por</v>
      </c>
      <c r="E439" s="251">
        <f>IF(Portland!G19="","",Portland!G19)</f>
        <v>12</v>
      </c>
      <c r="F439" s="181">
        <f>IF(Portland!H19=0,"",Portland!H19)</f>
        <v>6</v>
      </c>
      <c r="G439" s="186">
        <f>IF(Portland!I19=0,"",Portland!I19)</f>
        <v>6</v>
      </c>
      <c r="H439" s="186">
        <f>IF(Portland!J19=0,"",Portland!J19)</f>
        <v>35</v>
      </c>
      <c r="I439" s="252">
        <f>IF(Portland!K19=0,"",Portland!K19)</f>
        <v>36</v>
      </c>
      <c r="J439" s="163">
        <f>IF(Portland!M19="","",Portland!M19)</f>
        <v>21.56</v>
      </c>
      <c r="K439" s="41">
        <f>IF(Portland!N19="","",Portland!N19)</f>
        <v>19.260000000000002</v>
      </c>
      <c r="L439" s="41">
        <f>IF(Portland!O19="","",Portland!O19)</f>
        <v>19.91</v>
      </c>
      <c r="M439" s="41">
        <f>IF(Portland!P19="","",Portland!P19)</f>
        <v>23.28</v>
      </c>
      <c r="N439" s="41">
        <f>IF(Portland!Q19="","",Portland!Q19)</f>
        <v>21.13</v>
      </c>
      <c r="O439" s="41" t="str">
        <f>IF(Portland!R19="","",Portland!R19)</f>
        <v/>
      </c>
      <c r="P439" s="41">
        <f>IF(Portland!S19="","",Portland!S19)</f>
        <v>22.22</v>
      </c>
      <c r="Q439" s="41">
        <f>IF(Portland!T19="","",Portland!T19)</f>
        <v>20.34</v>
      </c>
      <c r="R439" s="41">
        <f>IF(Portland!U19="","",Portland!U19)</f>
        <v>22.48</v>
      </c>
      <c r="S439" s="41">
        <f>IF(Portland!V19="","",Portland!V19)</f>
        <v>19.43</v>
      </c>
      <c r="T439" s="41">
        <f>IF(Portland!W19="","",Portland!W19)</f>
        <v>18.97</v>
      </c>
      <c r="U439" s="41">
        <f>IF(Portland!X19="","",Portland!X19)</f>
        <v>21.46</v>
      </c>
      <c r="V439" s="41">
        <f>IF(Portland!Y19="","",Portland!Y19)</f>
        <v>21.19</v>
      </c>
      <c r="W439" s="249">
        <f>IF(Portland!AA19=0,"",Portland!AA19)</f>
        <v>2</v>
      </c>
      <c r="X439" s="244">
        <f>IF(Portland!AB19=0,"",Portland!AB19)</f>
        <v>20.935833333333331</v>
      </c>
      <c r="Y439" s="245">
        <f>IF(Portland!AC19=0,"",Portland!AC19)</f>
        <v>26.935833333333331</v>
      </c>
      <c r="AA439" s="246">
        <f>Y439</f>
        <v>26.935833333333331</v>
      </c>
      <c r="AB439" s="243">
        <f>X439</f>
        <v>20.935833333333331</v>
      </c>
      <c r="AC439" s="185" t="str">
        <f>C439</f>
        <v>Mark Samways</v>
      </c>
      <c r="AD439" s="185" t="str">
        <f>LEFT($B$427,3)</f>
        <v>Por</v>
      </c>
      <c r="AE439" s="185">
        <f t="shared" ref="AE439:AY439" si="216">E439</f>
        <v>12</v>
      </c>
      <c r="AF439" s="185">
        <f t="shared" si="216"/>
        <v>6</v>
      </c>
      <c r="AG439" s="247">
        <f t="shared" si="216"/>
        <v>6</v>
      </c>
      <c r="AH439" s="247">
        <f t="shared" si="216"/>
        <v>35</v>
      </c>
      <c r="AI439" s="247">
        <f t="shared" si="216"/>
        <v>36</v>
      </c>
      <c r="AJ439" s="243">
        <f t="shared" si="216"/>
        <v>21.56</v>
      </c>
      <c r="AK439" s="243">
        <f t="shared" si="216"/>
        <v>19.260000000000002</v>
      </c>
      <c r="AL439" s="243">
        <f t="shared" si="216"/>
        <v>19.91</v>
      </c>
      <c r="AM439" s="243">
        <f t="shared" si="216"/>
        <v>23.28</v>
      </c>
      <c r="AN439" s="243">
        <f t="shared" si="216"/>
        <v>21.13</v>
      </c>
      <c r="AO439" s="243" t="str">
        <f t="shared" si="216"/>
        <v/>
      </c>
      <c r="AP439" s="243">
        <f t="shared" si="216"/>
        <v>22.22</v>
      </c>
      <c r="AQ439" s="243">
        <f t="shared" si="216"/>
        <v>20.34</v>
      </c>
      <c r="AR439" s="243">
        <f t="shared" si="216"/>
        <v>22.48</v>
      </c>
      <c r="AS439" s="243">
        <f t="shared" si="216"/>
        <v>19.43</v>
      </c>
      <c r="AT439" s="243">
        <f t="shared" si="216"/>
        <v>18.97</v>
      </c>
      <c r="AU439" s="243">
        <f t="shared" si="216"/>
        <v>21.46</v>
      </c>
      <c r="AV439" s="243">
        <f t="shared" si="216"/>
        <v>21.19</v>
      </c>
      <c r="AW439" s="247">
        <f t="shared" si="216"/>
        <v>2</v>
      </c>
      <c r="AX439" s="243">
        <f t="shared" si="216"/>
        <v>20.935833333333331</v>
      </c>
      <c r="AY439" s="248">
        <f t="shared" si="216"/>
        <v>26.935833333333331</v>
      </c>
    </row>
    <row r="440" spans="2:51" ht="12" customHeight="1" x14ac:dyDescent="0.2">
      <c r="B440" s="266"/>
      <c r="C440" s="235"/>
      <c r="D440" s="235"/>
      <c r="E440" s="239"/>
      <c r="F440" s="182"/>
      <c r="G440" s="182"/>
      <c r="H440" s="182"/>
      <c r="I440" s="233"/>
      <c r="J440" s="163" t="str">
        <f>IF(Portland!M20="","",Portland!M20)</f>
        <v>3*4</v>
      </c>
      <c r="K440" s="41" t="str">
        <f>IF(Portland!N20="","",Portland!N20)</f>
        <v>4*1</v>
      </c>
      <c r="L440" s="41" t="str">
        <f>IF(Portland!O20="","",Portland!O20)</f>
        <v>2*4</v>
      </c>
      <c r="M440" s="41" t="str">
        <f>IF(Portland!P20="","",Portland!P20)</f>
        <v>3*4</v>
      </c>
      <c r="N440" s="41" t="str">
        <f>IF(Portland!Q20="","",Portland!Q20)</f>
        <v>2*4(1)</v>
      </c>
      <c r="O440" s="41" t="str">
        <f>IF(Portland!R20="","",Portland!R20)</f>
        <v/>
      </c>
      <c r="P440" s="41" t="str">
        <f>IF(Portland!S20="","",Portland!S20)</f>
        <v>0*4</v>
      </c>
      <c r="Q440" s="41" t="str">
        <f>IF(Portland!T20="","",Portland!T20)</f>
        <v>1*4</v>
      </c>
      <c r="R440" s="41" t="str">
        <f>IF(Portland!U20="","",Portland!U20)</f>
        <v>4*1</v>
      </c>
      <c r="S440" s="41" t="str">
        <f>IF(Portland!V20="","",Portland!V20)</f>
        <v>4*3</v>
      </c>
      <c r="T440" s="41" t="str">
        <f>IF(Portland!W20="","",Portland!W20)</f>
        <v>4*3(1)</v>
      </c>
      <c r="U440" s="41" t="str">
        <f>IF(Portland!X20="","",Portland!X20)</f>
        <v>4*1</v>
      </c>
      <c r="V440" s="41" t="str">
        <f>IF(Portland!Y20="","",Portland!Y20)</f>
        <v>4*3</v>
      </c>
      <c r="W440" s="201"/>
      <c r="X440" s="182"/>
      <c r="Y440" s="233"/>
      <c r="AA440" s="239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233"/>
    </row>
    <row r="441" spans="2:51" ht="12" customHeight="1" x14ac:dyDescent="0.2">
      <c r="B441" s="266"/>
      <c r="C441" s="263" t="str">
        <f>IF(Portland!E21="","",Portland!E21)</f>
        <v>Kelvin Wilkie</v>
      </c>
      <c r="D441" s="259" t="str">
        <f>LEFT($B$427,3)</f>
        <v>Por</v>
      </c>
      <c r="E441" s="251">
        <f>IF(Portland!G21="","",Portland!G21)</f>
        <v>10</v>
      </c>
      <c r="F441" s="181">
        <f>IF(Portland!H21=0,"",Portland!H21)</f>
        <v>4</v>
      </c>
      <c r="G441" s="186">
        <f>IF(Portland!I21=0,"",Portland!I21)</f>
        <v>6</v>
      </c>
      <c r="H441" s="186">
        <f>IF(Portland!J21=0,"",Portland!J21)</f>
        <v>23</v>
      </c>
      <c r="I441" s="252">
        <f>IF(Portland!K21=0,"",Portland!K21)</f>
        <v>33</v>
      </c>
      <c r="J441" s="163">
        <f>IF(Portland!M21="","",Portland!M21)</f>
        <v>20.440000000000001</v>
      </c>
      <c r="K441" s="41">
        <f>IF(Portland!N21="","",Portland!N21)</f>
        <v>19.87</v>
      </c>
      <c r="L441" s="41" t="str">
        <f>IF(Portland!O21="","",Portland!O21)</f>
        <v/>
      </c>
      <c r="M441" s="41" t="str">
        <f>IF(Portland!P21="","",Portland!P21)</f>
        <v/>
      </c>
      <c r="N441" s="41">
        <f>IF(Portland!Q21="","",Portland!Q21)</f>
        <v>24.19</v>
      </c>
      <c r="O441" s="41">
        <f>IF(Portland!R21="","",Portland!R21)</f>
        <v>21</v>
      </c>
      <c r="P441" s="41">
        <f>IF(Portland!S21="","",Portland!S21)</f>
        <v>19.21</v>
      </c>
      <c r="Q441" s="41" t="str">
        <f>IF(Portland!T21="","",Portland!T21)</f>
        <v/>
      </c>
      <c r="R441" s="41">
        <f>IF(Portland!U21="","",Portland!U21)</f>
        <v>16.690000000000001</v>
      </c>
      <c r="S441" s="41">
        <f>IF(Portland!V21="","",Portland!V21)</f>
        <v>19.97</v>
      </c>
      <c r="T441" s="41">
        <f>IF(Portland!W21="","",Portland!W21)</f>
        <v>19.12</v>
      </c>
      <c r="U441" s="41">
        <f>IF(Portland!X21="","",Portland!X21)</f>
        <v>19.82</v>
      </c>
      <c r="V441" s="41">
        <f>IF(Portland!Y21="","",Portland!Y21)</f>
        <v>16.850000000000001</v>
      </c>
      <c r="W441" s="249" t="str">
        <f>IF(Portland!AA21=0,"",Portland!AA21)</f>
        <v/>
      </c>
      <c r="X441" s="244">
        <f>IF(Portland!AB21=0,"",Portland!AB21)</f>
        <v>19.716000000000001</v>
      </c>
      <c r="Y441" s="245">
        <f>IF(Portland!AC21=0,"",Portland!AC21)</f>
        <v>23.716000000000001</v>
      </c>
      <c r="AA441" s="246">
        <f>Y441</f>
        <v>23.716000000000001</v>
      </c>
      <c r="AB441" s="243">
        <f>X441</f>
        <v>19.716000000000001</v>
      </c>
      <c r="AC441" s="185" t="str">
        <f>C441</f>
        <v>Kelvin Wilkie</v>
      </c>
      <c r="AD441" s="185" t="str">
        <f>LEFT($B$427,3)</f>
        <v>Por</v>
      </c>
      <c r="AE441" s="185">
        <f t="shared" ref="AE441:AY441" si="217">E441</f>
        <v>10</v>
      </c>
      <c r="AF441" s="185">
        <f t="shared" si="217"/>
        <v>4</v>
      </c>
      <c r="AG441" s="247">
        <f t="shared" si="217"/>
        <v>6</v>
      </c>
      <c r="AH441" s="247">
        <f t="shared" si="217"/>
        <v>23</v>
      </c>
      <c r="AI441" s="247">
        <f t="shared" si="217"/>
        <v>33</v>
      </c>
      <c r="AJ441" s="243">
        <f t="shared" si="217"/>
        <v>20.440000000000001</v>
      </c>
      <c r="AK441" s="243">
        <f t="shared" si="217"/>
        <v>19.87</v>
      </c>
      <c r="AL441" s="243" t="str">
        <f t="shared" si="217"/>
        <v/>
      </c>
      <c r="AM441" s="243" t="str">
        <f t="shared" si="217"/>
        <v/>
      </c>
      <c r="AN441" s="243">
        <f t="shared" si="217"/>
        <v>24.19</v>
      </c>
      <c r="AO441" s="243">
        <f t="shared" si="217"/>
        <v>21</v>
      </c>
      <c r="AP441" s="243">
        <f t="shared" si="217"/>
        <v>19.21</v>
      </c>
      <c r="AQ441" s="243" t="str">
        <f t="shared" si="217"/>
        <v/>
      </c>
      <c r="AR441" s="243">
        <f t="shared" si="217"/>
        <v>16.690000000000001</v>
      </c>
      <c r="AS441" s="243">
        <f t="shared" si="217"/>
        <v>19.97</v>
      </c>
      <c r="AT441" s="243">
        <f t="shared" si="217"/>
        <v>19.12</v>
      </c>
      <c r="AU441" s="243">
        <f t="shared" si="217"/>
        <v>19.82</v>
      </c>
      <c r="AV441" s="243">
        <f t="shared" si="217"/>
        <v>16.850000000000001</v>
      </c>
      <c r="AW441" s="247" t="str">
        <f t="shared" si="217"/>
        <v/>
      </c>
      <c r="AX441" s="243">
        <f t="shared" si="217"/>
        <v>19.716000000000001</v>
      </c>
      <c r="AY441" s="248">
        <f t="shared" si="217"/>
        <v>23.716000000000001</v>
      </c>
    </row>
    <row r="442" spans="2:51" ht="12" customHeight="1" x14ac:dyDescent="0.2">
      <c r="B442" s="266"/>
      <c r="C442" s="235"/>
      <c r="D442" s="235"/>
      <c r="E442" s="239"/>
      <c r="F442" s="182"/>
      <c r="G442" s="182"/>
      <c r="H442" s="182"/>
      <c r="I442" s="233"/>
      <c r="J442" s="163" t="str">
        <f>IF(Portland!M22="","",Portland!M22)</f>
        <v>4*3</v>
      </c>
      <c r="K442" s="41" t="str">
        <f>IF(Portland!N22="","",Portland!N22)</f>
        <v>3*4</v>
      </c>
      <c r="L442" s="41" t="str">
        <f>IF(Portland!O22="","",Portland!O22)</f>
        <v/>
      </c>
      <c r="M442" s="41" t="str">
        <f>IF(Portland!P22="","",Portland!P22)</f>
        <v/>
      </c>
      <c r="N442" s="41" t="str">
        <f>IF(Portland!Q22="","",Portland!Q22)</f>
        <v>1*4</v>
      </c>
      <c r="O442" s="41" t="str">
        <f>IF(Portland!R22="","",Portland!R22)</f>
        <v>0*4</v>
      </c>
      <c r="P442" s="41" t="str">
        <f>IF(Portland!S22="","",Portland!S22)</f>
        <v>1*4</v>
      </c>
      <c r="Q442" s="41" t="str">
        <f>IF(Portland!T22="","",Portland!T22)</f>
        <v/>
      </c>
      <c r="R442" s="41" t="str">
        <f>IF(Portland!U22="","",Portland!U22)</f>
        <v>2*4</v>
      </c>
      <c r="S442" s="41" t="str">
        <f>IF(Portland!V22="","",Portland!V22)</f>
        <v>4*3</v>
      </c>
      <c r="T442" s="41" t="str">
        <f>IF(Portland!W22="","",Portland!W22)</f>
        <v>4*1</v>
      </c>
      <c r="U442" s="41" t="str">
        <f>IF(Portland!X22="","",Portland!X22)</f>
        <v>4*2</v>
      </c>
      <c r="V442" s="41" t="str">
        <f>IF(Portland!Y22="","",Portland!Y22)</f>
        <v>0*4</v>
      </c>
      <c r="W442" s="201"/>
      <c r="X442" s="182"/>
      <c r="Y442" s="233"/>
      <c r="AA442" s="239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233"/>
    </row>
    <row r="443" spans="2:51" ht="12" customHeight="1" x14ac:dyDescent="0.2">
      <c r="B443" s="266"/>
      <c r="C443" s="263" t="str">
        <f>IF(Portland!E23="","",Portland!E23)</f>
        <v>Mark Jones</v>
      </c>
      <c r="D443" s="259" t="str">
        <f>LEFT($B$427,3)</f>
        <v>Por</v>
      </c>
      <c r="E443" s="251">
        <f>IF(Portland!G23="","",Portland!G23)</f>
        <v>4</v>
      </c>
      <c r="F443" s="181">
        <f>IF(Portland!H23=0,"",Portland!H23)</f>
        <v>1</v>
      </c>
      <c r="G443" s="186">
        <f>IF(Portland!I23=0,"",Portland!I23)</f>
        <v>3</v>
      </c>
      <c r="H443" s="186">
        <f>IF(Portland!J23=0,"",Portland!J23)</f>
        <v>5</v>
      </c>
      <c r="I443" s="252">
        <f>IF(Portland!K23=0,"",Portland!K23)</f>
        <v>15</v>
      </c>
      <c r="J443" s="163" t="str">
        <f>IF(Portland!M23="","",Portland!M23)</f>
        <v/>
      </c>
      <c r="K443" s="41">
        <f>IF(Portland!N23="","",Portland!N23)</f>
        <v>17.43</v>
      </c>
      <c r="L443" s="41" t="str">
        <f>IF(Portland!O23="","",Portland!O23)</f>
        <v/>
      </c>
      <c r="M443" s="41" t="str">
        <f>IF(Portland!P23="","",Portland!P23)</f>
        <v/>
      </c>
      <c r="N443" s="41" t="str">
        <f>IF(Portland!Q23="","",Portland!Q23)</f>
        <v/>
      </c>
      <c r="O443" s="41" t="str">
        <f>IF(Portland!R23="","",Portland!R23)</f>
        <v/>
      </c>
      <c r="P443" s="41" t="str">
        <f>IF(Portland!S23="","",Portland!S23)</f>
        <v/>
      </c>
      <c r="Q443" s="41">
        <f>IF(Portland!T23="","",Portland!T23)</f>
        <v>15.91</v>
      </c>
      <c r="R443" s="41" t="str">
        <f>IF(Portland!U23="","",Portland!U23)</f>
        <v/>
      </c>
      <c r="S443" s="41" t="str">
        <f>IF(Portland!V23="","",Portland!V23)</f>
        <v/>
      </c>
      <c r="T443" s="41">
        <f>IF(Portland!W23="","",Portland!W23)</f>
        <v>17.260000000000002</v>
      </c>
      <c r="U443" s="41">
        <f>IF(Portland!X23="","",Portland!X23)</f>
        <v>16.62</v>
      </c>
      <c r="V443" s="41" t="str">
        <f>IF(Portland!Y23="","",Portland!Y23)</f>
        <v/>
      </c>
      <c r="W443" s="249" t="str">
        <f>IF(Portland!AA23=0,"",Portland!AA23)</f>
        <v/>
      </c>
      <c r="X443" s="244">
        <f>IF(Portland!AB23=0,"",Portland!AB23)</f>
        <v>16.805000000000003</v>
      </c>
      <c r="Y443" s="245">
        <f>IF(Portland!AC23=0,"",Portland!AC23)</f>
        <v>17.805000000000003</v>
      </c>
      <c r="AA443" s="246">
        <f>Y443</f>
        <v>17.805000000000003</v>
      </c>
      <c r="AB443" s="243">
        <f>X443</f>
        <v>16.805000000000003</v>
      </c>
      <c r="AC443" s="185" t="str">
        <f>C443</f>
        <v>Mark Jones</v>
      </c>
      <c r="AD443" s="185" t="str">
        <f>LEFT($B$427,3)</f>
        <v>Por</v>
      </c>
      <c r="AE443" s="185">
        <f t="shared" ref="AE443:AY443" si="218">E443</f>
        <v>4</v>
      </c>
      <c r="AF443" s="185">
        <f t="shared" si="218"/>
        <v>1</v>
      </c>
      <c r="AG443" s="247">
        <f t="shared" si="218"/>
        <v>3</v>
      </c>
      <c r="AH443" s="247">
        <f t="shared" si="218"/>
        <v>5</v>
      </c>
      <c r="AI443" s="247">
        <f t="shared" si="218"/>
        <v>15</v>
      </c>
      <c r="AJ443" s="243" t="str">
        <f t="shared" si="218"/>
        <v/>
      </c>
      <c r="AK443" s="243">
        <f t="shared" si="218"/>
        <v>17.43</v>
      </c>
      <c r="AL443" s="243" t="str">
        <f t="shared" si="218"/>
        <v/>
      </c>
      <c r="AM443" s="243" t="str">
        <f t="shared" si="218"/>
        <v/>
      </c>
      <c r="AN443" s="243" t="str">
        <f t="shared" si="218"/>
        <v/>
      </c>
      <c r="AO443" s="243" t="str">
        <f t="shared" si="218"/>
        <v/>
      </c>
      <c r="AP443" s="243" t="str">
        <f t="shared" si="218"/>
        <v/>
      </c>
      <c r="AQ443" s="243">
        <f t="shared" si="218"/>
        <v>15.91</v>
      </c>
      <c r="AR443" s="243" t="str">
        <f t="shared" si="218"/>
        <v/>
      </c>
      <c r="AS443" s="243" t="str">
        <f t="shared" si="218"/>
        <v/>
      </c>
      <c r="AT443" s="243">
        <f t="shared" si="218"/>
        <v>17.260000000000002</v>
      </c>
      <c r="AU443" s="243">
        <f t="shared" si="218"/>
        <v>16.62</v>
      </c>
      <c r="AV443" s="243" t="str">
        <f t="shared" si="218"/>
        <v/>
      </c>
      <c r="AW443" s="247" t="str">
        <f t="shared" si="218"/>
        <v/>
      </c>
      <c r="AX443" s="243">
        <f t="shared" si="218"/>
        <v>16.805000000000003</v>
      </c>
      <c r="AY443" s="248">
        <f t="shared" si="218"/>
        <v>17.805000000000003</v>
      </c>
    </row>
    <row r="444" spans="2:51" ht="12" customHeight="1" x14ac:dyDescent="0.2">
      <c r="B444" s="266"/>
      <c r="C444" s="235"/>
      <c r="D444" s="235"/>
      <c r="E444" s="239"/>
      <c r="F444" s="182"/>
      <c r="G444" s="182"/>
      <c r="H444" s="182"/>
      <c r="I444" s="233"/>
      <c r="J444" s="163" t="str">
        <f>IF(Portland!M24="","",Portland!M24)</f>
        <v/>
      </c>
      <c r="K444" s="41" t="str">
        <f>IF(Portland!N24="","",Portland!N24)</f>
        <v>0*4</v>
      </c>
      <c r="L444" s="41" t="str">
        <f>IF(Portland!O24="","",Portland!O24)</f>
        <v/>
      </c>
      <c r="M444" s="41" t="str">
        <f>IF(Portland!P24="","",Portland!P24)</f>
        <v/>
      </c>
      <c r="N444" s="41" t="str">
        <f>IF(Portland!Q24="","",Portland!Q24)</f>
        <v/>
      </c>
      <c r="O444" s="41" t="str">
        <f>IF(Portland!R24="","",Portland!R24)</f>
        <v/>
      </c>
      <c r="P444" s="41" t="str">
        <f>IF(Portland!S24="","",Portland!S24)</f>
        <v/>
      </c>
      <c r="Q444" s="41" t="str">
        <f>IF(Portland!T24="","",Portland!T24)</f>
        <v>0*4</v>
      </c>
      <c r="R444" s="41" t="str">
        <f>IF(Portland!U24="","",Portland!U24)</f>
        <v/>
      </c>
      <c r="S444" s="41" t="str">
        <f>IF(Portland!V24="","",Portland!V24)</f>
        <v/>
      </c>
      <c r="T444" s="41" t="str">
        <f>IF(Portland!W24="","",Portland!W24)</f>
        <v>4*3</v>
      </c>
      <c r="U444" s="41" t="str">
        <f>IF(Portland!X24="","",Portland!X24)</f>
        <v>1*4</v>
      </c>
      <c r="V444" s="41" t="str">
        <f>IF(Portland!Y24="","",Portland!Y24)</f>
        <v/>
      </c>
      <c r="W444" s="201"/>
      <c r="X444" s="182"/>
      <c r="Y444" s="233"/>
      <c r="AA444" s="239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233"/>
    </row>
    <row r="445" spans="2:51" ht="12" customHeight="1" x14ac:dyDescent="0.2">
      <c r="B445" s="266"/>
      <c r="C445" s="263" t="str">
        <f>IF(Portland!E25="","",Portland!E25)</f>
        <v>Kieren Espley</v>
      </c>
      <c r="D445" s="259" t="str">
        <f>LEFT($B$427,3)</f>
        <v>Por</v>
      </c>
      <c r="E445" s="251" t="str">
        <f>IF(Portland!G25="","",Portland!G25)</f>
        <v/>
      </c>
      <c r="F445" s="181" t="str">
        <f>IF(Portland!H25=0,"",Portland!H25)</f>
        <v/>
      </c>
      <c r="G445" s="181" t="str">
        <f>IF(Portland!I25=0,"",Portland!I25)</f>
        <v/>
      </c>
      <c r="H445" s="181" t="str">
        <f>IF(Portland!J25=0,"",Portland!J25)</f>
        <v/>
      </c>
      <c r="I445" s="250" t="str">
        <f>IF(Portland!K25=0,"",Portland!K25)</f>
        <v/>
      </c>
      <c r="J445" s="163" t="str">
        <f>IF(Portland!M25="","",Portland!M25)</f>
        <v/>
      </c>
      <c r="K445" s="41" t="str">
        <f>IF(Portland!N25="","",Portland!N25)</f>
        <v/>
      </c>
      <c r="L445" s="41" t="str">
        <f>IF(Portland!O25="","",Portland!O25)</f>
        <v/>
      </c>
      <c r="M445" s="41" t="str">
        <f>IF(Portland!P25="","",Portland!P25)</f>
        <v/>
      </c>
      <c r="N445" s="41" t="str">
        <f>IF(Portland!Q25="","",Portland!Q25)</f>
        <v/>
      </c>
      <c r="O445" s="41" t="str">
        <f>IF(Portland!R25="","",Portland!R25)</f>
        <v/>
      </c>
      <c r="P445" s="41" t="str">
        <f>IF(Portland!S25="","",Portland!S25)</f>
        <v/>
      </c>
      <c r="Q445" s="41" t="str">
        <f>IF(Portland!T25="","",Portland!T25)</f>
        <v/>
      </c>
      <c r="R445" s="41" t="str">
        <f>IF(Portland!U25="","",Portland!U25)</f>
        <v/>
      </c>
      <c r="S445" s="41" t="str">
        <f>IF(Portland!V25="","",Portland!V25)</f>
        <v/>
      </c>
      <c r="T445" s="41" t="str">
        <f>IF(Portland!W25="","",Portland!W25)</f>
        <v/>
      </c>
      <c r="U445" s="41" t="str">
        <f>IF(Portland!X25="","",Portland!X25)</f>
        <v/>
      </c>
      <c r="V445" s="41" t="str">
        <f>IF(Portland!Y25="","",Portland!Y25)</f>
        <v/>
      </c>
      <c r="W445" s="249" t="str">
        <f>IF(Portland!AA25=0,"",Portland!AA25)</f>
        <v/>
      </c>
      <c r="X445" s="244" t="str">
        <f>IF(Portland!AB25=0,"",Portland!AB25)</f>
        <v/>
      </c>
      <c r="Y445" s="245" t="str">
        <f>IF(Portland!AC25=0,"",Portland!AC25)</f>
        <v/>
      </c>
      <c r="AA445" s="246" t="str">
        <f>Y445</f>
        <v/>
      </c>
      <c r="AB445" s="243" t="str">
        <f>X445</f>
        <v/>
      </c>
      <c r="AC445" s="185" t="str">
        <f>C445</f>
        <v>Kieren Espley</v>
      </c>
      <c r="AD445" s="185" t="str">
        <f>LEFT($B$427,3)</f>
        <v>Por</v>
      </c>
      <c r="AE445" s="185" t="str">
        <f t="shared" ref="AE445:AY445" si="219">E445</f>
        <v/>
      </c>
      <c r="AF445" s="185" t="str">
        <f t="shared" si="219"/>
        <v/>
      </c>
      <c r="AG445" s="185" t="str">
        <f t="shared" si="219"/>
        <v/>
      </c>
      <c r="AH445" s="185" t="str">
        <f t="shared" si="219"/>
        <v/>
      </c>
      <c r="AI445" s="185" t="str">
        <f t="shared" si="219"/>
        <v/>
      </c>
      <c r="AJ445" s="243" t="str">
        <f t="shared" si="219"/>
        <v/>
      </c>
      <c r="AK445" s="243" t="str">
        <f t="shared" si="219"/>
        <v/>
      </c>
      <c r="AL445" s="243" t="str">
        <f t="shared" si="219"/>
        <v/>
      </c>
      <c r="AM445" s="243" t="str">
        <f t="shared" si="219"/>
        <v/>
      </c>
      <c r="AN445" s="243" t="str">
        <f t="shared" si="219"/>
        <v/>
      </c>
      <c r="AO445" s="243" t="str">
        <f t="shared" si="219"/>
        <v/>
      </c>
      <c r="AP445" s="243" t="str">
        <f t="shared" si="219"/>
        <v/>
      </c>
      <c r="AQ445" s="243" t="str">
        <f t="shared" si="219"/>
        <v/>
      </c>
      <c r="AR445" s="243" t="str">
        <f t="shared" si="219"/>
        <v/>
      </c>
      <c r="AS445" s="243" t="str">
        <f t="shared" si="219"/>
        <v/>
      </c>
      <c r="AT445" s="243" t="str">
        <f t="shared" si="219"/>
        <v/>
      </c>
      <c r="AU445" s="243" t="str">
        <f t="shared" si="219"/>
        <v/>
      </c>
      <c r="AV445" s="243" t="str">
        <f t="shared" si="219"/>
        <v/>
      </c>
      <c r="AW445" s="247" t="str">
        <f t="shared" si="219"/>
        <v/>
      </c>
      <c r="AX445" s="243" t="str">
        <f t="shared" si="219"/>
        <v/>
      </c>
      <c r="AY445" s="248" t="str">
        <f t="shared" si="219"/>
        <v/>
      </c>
    </row>
    <row r="446" spans="2:51" ht="12" customHeight="1" x14ac:dyDescent="0.2">
      <c r="B446" s="266"/>
      <c r="C446" s="235"/>
      <c r="D446" s="235"/>
      <c r="E446" s="239"/>
      <c r="F446" s="182"/>
      <c r="G446" s="182"/>
      <c r="H446" s="182"/>
      <c r="I446" s="233"/>
      <c r="J446" s="163" t="str">
        <f>IF(Portland!M26="","",Portland!M26)</f>
        <v/>
      </c>
      <c r="K446" s="41" t="str">
        <f>IF(Portland!N26="","",Portland!N26)</f>
        <v/>
      </c>
      <c r="L446" s="41" t="str">
        <f>IF(Portland!O26="","",Portland!O26)</f>
        <v/>
      </c>
      <c r="M446" s="41" t="str">
        <f>IF(Portland!P26="","",Portland!P26)</f>
        <v/>
      </c>
      <c r="N446" s="41" t="str">
        <f>IF(Portland!Q26="","",Portland!Q26)</f>
        <v/>
      </c>
      <c r="O446" s="41" t="str">
        <f>IF(Portland!R26="","",Portland!R26)</f>
        <v/>
      </c>
      <c r="P446" s="41" t="str">
        <f>IF(Portland!S26="","",Portland!S26)</f>
        <v/>
      </c>
      <c r="Q446" s="41" t="str">
        <f>IF(Portland!T26="","",Portland!T26)</f>
        <v/>
      </c>
      <c r="R446" s="41" t="str">
        <f>IF(Portland!U26="","",Portland!U26)</f>
        <v/>
      </c>
      <c r="S446" s="41" t="str">
        <f>IF(Portland!V26="","",Portland!V26)</f>
        <v/>
      </c>
      <c r="T446" s="41" t="str">
        <f>IF(Portland!W26="","",Portland!W26)</f>
        <v/>
      </c>
      <c r="U446" s="41" t="str">
        <f>IF(Portland!X26="","",Portland!X26)</f>
        <v/>
      </c>
      <c r="V446" s="41" t="str">
        <f>IF(Portland!Y26="","",Portland!Y26)</f>
        <v/>
      </c>
      <c r="W446" s="201"/>
      <c r="X446" s="182"/>
      <c r="Y446" s="233"/>
      <c r="AA446" s="239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233"/>
    </row>
    <row r="447" spans="2:51" ht="12" customHeight="1" x14ac:dyDescent="0.2">
      <c r="B447" s="266"/>
      <c r="C447" s="263" t="str">
        <f>IF(Portland!E27="","",Portland!E27)</f>
        <v>Colin Richards</v>
      </c>
      <c r="D447" s="259" t="str">
        <f>LEFT($B$427,3)</f>
        <v>Por</v>
      </c>
      <c r="E447" s="251">
        <f>IF(Portland!G27="","",Portland!G27)</f>
        <v>9</v>
      </c>
      <c r="F447" s="181">
        <f>IF(Portland!H27=0,"",Portland!H27)</f>
        <v>2</v>
      </c>
      <c r="G447" s="186">
        <f>IF(Portland!I27=0,"",Portland!I27)</f>
        <v>7</v>
      </c>
      <c r="H447" s="186">
        <f>IF(Portland!J27=0,"",Portland!J27)</f>
        <v>12</v>
      </c>
      <c r="I447" s="252">
        <f>IF(Portland!K27=0,"",Portland!K27)</f>
        <v>31</v>
      </c>
      <c r="J447" s="163" t="str">
        <f>IF(Portland!M27="","",Portland!M27)</f>
        <v/>
      </c>
      <c r="K447" s="41" t="str">
        <f>IF(Portland!N27="","",Portland!N27)</f>
        <v/>
      </c>
      <c r="L447" s="41">
        <f>IF(Portland!O27="","",Portland!O27)</f>
        <v>19.89</v>
      </c>
      <c r="M447" s="41">
        <f>IF(Portland!P27="","",Portland!P27)</f>
        <v>18.07</v>
      </c>
      <c r="N447" s="41">
        <f>IF(Portland!Q27="","",Portland!Q27)</f>
        <v>20.86</v>
      </c>
      <c r="O447" s="41">
        <f>IF(Portland!R27="","",Portland!R27)</f>
        <v>18.47</v>
      </c>
      <c r="P447" s="41">
        <f>IF(Portland!S27="","",Portland!S27)</f>
        <v>19.89</v>
      </c>
      <c r="Q447" s="41">
        <f>IF(Portland!T27="","",Portland!T27)</f>
        <v>18.45</v>
      </c>
      <c r="R447" s="41" t="str">
        <f>IF(Portland!U27="","",Portland!U27)</f>
        <v/>
      </c>
      <c r="S447" s="41">
        <f>IF(Portland!V27="","",Portland!V27)</f>
        <v>20.45</v>
      </c>
      <c r="T447" s="41">
        <f>IF(Portland!W27="","",Portland!W27)</f>
        <v>19.91</v>
      </c>
      <c r="U447" s="41" t="str">
        <f>IF(Portland!X27="","",Portland!X27)</f>
        <v/>
      </c>
      <c r="V447" s="41">
        <f>IF(Portland!Y27="","",Portland!Y27)</f>
        <v>16.66</v>
      </c>
      <c r="W447" s="249" t="str">
        <f>IF(Portland!AA27=0,"",Portland!AA27)</f>
        <v/>
      </c>
      <c r="X447" s="244">
        <f>IF(Portland!AB27=0,"",Portland!AB27)</f>
        <v>19.18333333333333</v>
      </c>
      <c r="Y447" s="245">
        <f>IF(Portland!AC27=0,"",Portland!AC27)</f>
        <v>21.18333333333333</v>
      </c>
      <c r="AA447" s="246">
        <f>Y447</f>
        <v>21.18333333333333</v>
      </c>
      <c r="AB447" s="243">
        <f>X447</f>
        <v>19.18333333333333</v>
      </c>
      <c r="AC447" s="185" t="str">
        <f>C447</f>
        <v>Colin Richards</v>
      </c>
      <c r="AD447" s="185" t="str">
        <f>LEFT($B$427,3)</f>
        <v>Por</v>
      </c>
      <c r="AE447" s="185">
        <f t="shared" ref="AE447:AY447" si="220">E447</f>
        <v>9</v>
      </c>
      <c r="AF447" s="185">
        <f t="shared" si="220"/>
        <v>2</v>
      </c>
      <c r="AG447" s="247">
        <f t="shared" si="220"/>
        <v>7</v>
      </c>
      <c r="AH447" s="247">
        <f t="shared" si="220"/>
        <v>12</v>
      </c>
      <c r="AI447" s="247">
        <f t="shared" si="220"/>
        <v>31</v>
      </c>
      <c r="AJ447" s="243" t="str">
        <f t="shared" si="220"/>
        <v/>
      </c>
      <c r="AK447" s="243" t="str">
        <f t="shared" si="220"/>
        <v/>
      </c>
      <c r="AL447" s="243">
        <f t="shared" si="220"/>
        <v>19.89</v>
      </c>
      <c r="AM447" s="243">
        <f t="shared" si="220"/>
        <v>18.07</v>
      </c>
      <c r="AN447" s="243">
        <f t="shared" si="220"/>
        <v>20.86</v>
      </c>
      <c r="AO447" s="243">
        <f t="shared" si="220"/>
        <v>18.47</v>
      </c>
      <c r="AP447" s="243">
        <f t="shared" si="220"/>
        <v>19.89</v>
      </c>
      <c r="AQ447" s="243">
        <f t="shared" si="220"/>
        <v>18.45</v>
      </c>
      <c r="AR447" s="243" t="str">
        <f t="shared" si="220"/>
        <v/>
      </c>
      <c r="AS447" s="243">
        <f t="shared" si="220"/>
        <v>20.45</v>
      </c>
      <c r="AT447" s="243">
        <f t="shared" si="220"/>
        <v>19.91</v>
      </c>
      <c r="AU447" s="243" t="str">
        <f t="shared" si="220"/>
        <v/>
      </c>
      <c r="AV447" s="243">
        <f t="shared" si="220"/>
        <v>16.66</v>
      </c>
      <c r="AW447" s="247" t="str">
        <f t="shared" si="220"/>
        <v/>
      </c>
      <c r="AX447" s="243">
        <f t="shared" si="220"/>
        <v>19.18333333333333</v>
      </c>
      <c r="AY447" s="248">
        <f t="shared" si="220"/>
        <v>21.18333333333333</v>
      </c>
    </row>
    <row r="448" spans="2:51" ht="12" customHeight="1" x14ac:dyDescent="0.2">
      <c r="B448" s="266"/>
      <c r="C448" s="235"/>
      <c r="D448" s="235"/>
      <c r="E448" s="239"/>
      <c r="F448" s="182"/>
      <c r="G448" s="182"/>
      <c r="H448" s="182"/>
      <c r="I448" s="233"/>
      <c r="J448" s="163" t="str">
        <f>IF(Portland!M28="","",Portland!M28)</f>
        <v/>
      </c>
      <c r="K448" s="41" t="str">
        <f>IF(Portland!N28="","",Portland!N28)</f>
        <v/>
      </c>
      <c r="L448" s="41" t="str">
        <f>IF(Portland!O28="","",Portland!O28)</f>
        <v>2*4</v>
      </c>
      <c r="M448" s="41" t="str">
        <f>IF(Portland!P28="","",Portland!P28)</f>
        <v>1*4</v>
      </c>
      <c r="N448" s="41" t="str">
        <f>IF(Portland!Q28="","",Portland!Q28)</f>
        <v>0*4</v>
      </c>
      <c r="O448" s="41" t="str">
        <f>IF(Portland!R28="","",Portland!R28)</f>
        <v>1*4</v>
      </c>
      <c r="P448" s="41" t="str">
        <f>IF(Portland!S28="","",Portland!S28)</f>
        <v>0*4</v>
      </c>
      <c r="Q448" s="41" t="str">
        <f>IF(Portland!T28="","",Portland!T28)</f>
        <v>0*4</v>
      </c>
      <c r="R448" s="41" t="str">
        <f>IF(Portland!U28="","",Portland!U28)</f>
        <v/>
      </c>
      <c r="S448" s="41" t="str">
        <f>IF(Portland!V28="","",Portland!V28)</f>
        <v>4*1</v>
      </c>
      <c r="T448" s="41" t="str">
        <f>IF(Portland!W28="","",Portland!W28)</f>
        <v>4*2</v>
      </c>
      <c r="U448" s="41" t="str">
        <f>IF(Portland!X28="","",Portland!X28)</f>
        <v/>
      </c>
      <c r="V448" s="41" t="str">
        <f>IF(Portland!Y28="","",Portland!Y28)</f>
        <v>0*4</v>
      </c>
      <c r="W448" s="201"/>
      <c r="X448" s="182"/>
      <c r="Y448" s="233"/>
      <c r="AA448" s="239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233"/>
    </row>
    <row r="449" spans="2:51" ht="12" customHeight="1" x14ac:dyDescent="0.2">
      <c r="B449" s="266"/>
      <c r="C449" s="263" t="str">
        <f>IF(Portland!E29="","",Portland!E29)</f>
        <v>Sean Williams</v>
      </c>
      <c r="D449" s="259" t="str">
        <f>LEFT($B$427,3)</f>
        <v>Por</v>
      </c>
      <c r="E449" s="251">
        <f>IF(Portland!G29="","",Portland!G29)</f>
        <v>4</v>
      </c>
      <c r="F449" s="181">
        <f>IF(Portland!H29=0,"",Portland!H29)</f>
        <v>1</v>
      </c>
      <c r="G449" s="186">
        <f>IF(Portland!I29=0,"",Portland!I29)</f>
        <v>3</v>
      </c>
      <c r="H449" s="186">
        <f>IF(Portland!J29=0,"",Portland!J29)</f>
        <v>10</v>
      </c>
      <c r="I449" s="252">
        <f>IF(Portland!K29=0,"",Portland!K29)</f>
        <v>12</v>
      </c>
      <c r="J449" s="163" t="str">
        <f>IF(Portland!M29="","",Portland!M29)</f>
        <v/>
      </c>
      <c r="K449" s="41" t="str">
        <f>IF(Portland!N29="","",Portland!N29)</f>
        <v/>
      </c>
      <c r="L449" s="41">
        <f>IF(Portland!O29="","",Portland!O29)</f>
        <v>23.65</v>
      </c>
      <c r="M449" s="41">
        <f>IF(Portland!P29="","",Portland!P29)</f>
        <v>25.37</v>
      </c>
      <c r="N449" s="41" t="str">
        <f>IF(Portland!Q29="","",Portland!Q29)</f>
        <v/>
      </c>
      <c r="O449" s="41">
        <f>IF(Portland!R29="","",Portland!R29)</f>
        <v>22.8</v>
      </c>
      <c r="P449" s="41" t="str">
        <f>IF(Portland!S29="","",Portland!S29)</f>
        <v/>
      </c>
      <c r="Q449" s="41" t="str">
        <f>IF(Portland!T29="","",Portland!T29)</f>
        <v/>
      </c>
      <c r="R449" s="41">
        <f>IF(Portland!U29="","",Portland!U29)</f>
        <v>21.66</v>
      </c>
      <c r="S449" s="41" t="str">
        <f>IF(Portland!V29="","",Portland!V29)</f>
        <v/>
      </c>
      <c r="T449" s="41" t="str">
        <f>IF(Portland!W29="","",Portland!W29)</f>
        <v/>
      </c>
      <c r="U449" s="41" t="str">
        <f>IF(Portland!X29="","",Portland!X29)</f>
        <v/>
      </c>
      <c r="V449" s="41" t="str">
        <f>IF(Portland!Y29="","",Portland!Y29)</f>
        <v/>
      </c>
      <c r="W449" s="249" t="str">
        <f>IF(Portland!AA29=0,"",Portland!AA29)</f>
        <v/>
      </c>
      <c r="X449" s="244">
        <f>IF(Portland!AB29=0,"",Portland!AB29)</f>
        <v>23.369999999999997</v>
      </c>
      <c r="Y449" s="245">
        <f>IF(Portland!AC29=0,"",Portland!AC29)</f>
        <v>24.369999999999997</v>
      </c>
      <c r="AA449" s="246">
        <f>Y449</f>
        <v>24.369999999999997</v>
      </c>
      <c r="AB449" s="243">
        <f>X449</f>
        <v>23.369999999999997</v>
      </c>
      <c r="AC449" s="185" t="str">
        <f>C449</f>
        <v>Sean Williams</v>
      </c>
      <c r="AD449" s="185" t="str">
        <f>LEFT($B$427,3)</f>
        <v>Por</v>
      </c>
      <c r="AE449" s="185">
        <f t="shared" ref="AE449:AY449" si="221">E449</f>
        <v>4</v>
      </c>
      <c r="AF449" s="185">
        <f t="shared" si="221"/>
        <v>1</v>
      </c>
      <c r="AG449" s="247">
        <f t="shared" si="221"/>
        <v>3</v>
      </c>
      <c r="AH449" s="247">
        <f t="shared" si="221"/>
        <v>10</v>
      </c>
      <c r="AI449" s="247">
        <f t="shared" si="221"/>
        <v>12</v>
      </c>
      <c r="AJ449" s="243" t="str">
        <f t="shared" si="221"/>
        <v/>
      </c>
      <c r="AK449" s="243" t="str">
        <f t="shared" si="221"/>
        <v/>
      </c>
      <c r="AL449" s="243">
        <f t="shared" si="221"/>
        <v>23.65</v>
      </c>
      <c r="AM449" s="243">
        <f t="shared" si="221"/>
        <v>25.37</v>
      </c>
      <c r="AN449" s="243" t="str">
        <f t="shared" si="221"/>
        <v/>
      </c>
      <c r="AO449" s="243">
        <f t="shared" si="221"/>
        <v>22.8</v>
      </c>
      <c r="AP449" s="243" t="str">
        <f t="shared" si="221"/>
        <v/>
      </c>
      <c r="AQ449" s="243" t="str">
        <f t="shared" si="221"/>
        <v/>
      </c>
      <c r="AR449" s="243">
        <f t="shared" si="221"/>
        <v>21.66</v>
      </c>
      <c r="AS449" s="243" t="str">
        <f t="shared" si="221"/>
        <v/>
      </c>
      <c r="AT449" s="243" t="str">
        <f t="shared" si="221"/>
        <v/>
      </c>
      <c r="AU449" s="243" t="str">
        <f t="shared" si="221"/>
        <v/>
      </c>
      <c r="AV449" s="243" t="str">
        <f t="shared" si="221"/>
        <v/>
      </c>
      <c r="AW449" s="247" t="str">
        <f t="shared" si="221"/>
        <v/>
      </c>
      <c r="AX449" s="243">
        <f t="shared" si="221"/>
        <v>23.369999999999997</v>
      </c>
      <c r="AY449" s="248">
        <f t="shared" si="221"/>
        <v>24.369999999999997</v>
      </c>
    </row>
    <row r="450" spans="2:51" ht="12" customHeight="1" x14ac:dyDescent="0.2">
      <c r="B450" s="266"/>
      <c r="C450" s="235"/>
      <c r="D450" s="235"/>
      <c r="E450" s="239"/>
      <c r="F450" s="182"/>
      <c r="G450" s="182"/>
      <c r="H450" s="182"/>
      <c r="I450" s="233"/>
      <c r="J450" s="163" t="str">
        <f>IF(Portland!M30="","",Portland!M30)</f>
        <v/>
      </c>
      <c r="K450" s="41" t="str">
        <f>IF(Portland!N30="","",Portland!N30)</f>
        <v/>
      </c>
      <c r="L450" s="41" t="str">
        <f>IF(Portland!O30="","",Portland!O30)</f>
        <v>2*4</v>
      </c>
      <c r="M450" s="41" t="str">
        <f>IF(Portland!P30="","",Portland!P30)</f>
        <v>4*0</v>
      </c>
      <c r="N450" s="41" t="str">
        <f>IF(Portland!Q30="","",Portland!Q30)</f>
        <v/>
      </c>
      <c r="O450" s="41" t="str">
        <f>IF(Portland!R30="","",Portland!R30)</f>
        <v>3*4</v>
      </c>
      <c r="P450" s="41" t="str">
        <f>IF(Portland!S30="","",Portland!S30)</f>
        <v/>
      </c>
      <c r="Q450" s="41" t="str">
        <f>IF(Portland!T30="","",Portland!T30)</f>
        <v/>
      </c>
      <c r="R450" s="41" t="str">
        <f>IF(Portland!U30="","",Portland!U30)</f>
        <v>1*4</v>
      </c>
      <c r="S450" s="41" t="str">
        <f>IF(Portland!V30="","",Portland!V30)</f>
        <v/>
      </c>
      <c r="T450" s="41" t="str">
        <f>IF(Portland!W30="","",Portland!W30)</f>
        <v/>
      </c>
      <c r="U450" s="41" t="str">
        <f>IF(Portland!X30="","",Portland!X30)</f>
        <v/>
      </c>
      <c r="V450" s="41" t="str">
        <f>IF(Portland!Y30="","",Portland!Y30)</f>
        <v/>
      </c>
      <c r="W450" s="201"/>
      <c r="X450" s="182"/>
      <c r="Y450" s="233"/>
      <c r="AA450" s="239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233"/>
    </row>
    <row r="451" spans="2:51" ht="12" customHeight="1" x14ac:dyDescent="0.2">
      <c r="B451" s="266"/>
      <c r="C451" s="263" t="str">
        <f>IF(Portland!E31="","",Portland!E31)</f>
        <v>Chris Stones</v>
      </c>
      <c r="D451" s="259" t="str">
        <f>LEFT($B$427,3)</f>
        <v>Por</v>
      </c>
      <c r="E451" s="251">
        <f>IF(Portland!G31="","",Portland!G31)</f>
        <v>2</v>
      </c>
      <c r="F451" s="181">
        <f>IF(Portland!H31=0,"",Portland!H31)</f>
        <v>1</v>
      </c>
      <c r="G451" s="181">
        <f>IF(Portland!I31=0,"",Portland!I31)</f>
        <v>1</v>
      </c>
      <c r="H451" s="186">
        <f>IF(Portland!J31=0,"",Portland!J31)</f>
        <v>5</v>
      </c>
      <c r="I451" s="252">
        <f>IF(Portland!K31=0,"",Portland!K31)</f>
        <v>5</v>
      </c>
      <c r="J451" s="163" t="str">
        <f>IF(Portland!M31="","",Portland!M31)</f>
        <v/>
      </c>
      <c r="K451" s="41" t="str">
        <f>IF(Portland!N31="","",Portland!N31)</f>
        <v/>
      </c>
      <c r="L451" s="41" t="str">
        <f>IF(Portland!O31="","",Portland!O31)</f>
        <v/>
      </c>
      <c r="M451" s="41" t="str">
        <f>IF(Portland!P31="","",Portland!P31)</f>
        <v/>
      </c>
      <c r="N451" s="41" t="str">
        <f>IF(Portland!Q31="","",Portland!Q31)</f>
        <v/>
      </c>
      <c r="O451" s="41" t="str">
        <f>IF(Portland!R31="","",Portland!R31)</f>
        <v/>
      </c>
      <c r="P451" s="41" t="str">
        <f>IF(Portland!S31="","",Portland!S31)</f>
        <v/>
      </c>
      <c r="Q451" s="41" t="str">
        <f>IF(Portland!T31="","",Portland!T31)</f>
        <v/>
      </c>
      <c r="R451" s="41" t="str">
        <f>IF(Portland!U31="","",Portland!U31)</f>
        <v/>
      </c>
      <c r="S451" s="41" t="str">
        <f>IF(Portland!V31="","",Portland!V31)</f>
        <v/>
      </c>
      <c r="T451" s="41" t="str">
        <f>IF(Portland!W31="","",Portland!W31)</f>
        <v/>
      </c>
      <c r="U451" s="41">
        <f>IF(Portland!X31="","",Portland!X31)</f>
        <v>19.71</v>
      </c>
      <c r="V451" s="41">
        <f>IF(Portland!Y31="","",Portland!Y31)</f>
        <v>20.43</v>
      </c>
      <c r="W451" s="249" t="str">
        <f>IF(Portland!AA31=0,"",Portland!AA31)</f>
        <v/>
      </c>
      <c r="X451" s="244">
        <f>IF(Portland!AB31=0,"",Portland!AB31)</f>
        <v>20.07</v>
      </c>
      <c r="Y451" s="245">
        <f>IF(Portland!AC31=0,"",Portland!AC31)</f>
        <v>21.07</v>
      </c>
      <c r="AA451" s="246">
        <f>Y451</f>
        <v>21.07</v>
      </c>
      <c r="AB451" s="243">
        <f>X451</f>
        <v>20.07</v>
      </c>
      <c r="AC451" s="185" t="str">
        <f>C451</f>
        <v>Chris Stones</v>
      </c>
      <c r="AD451" s="185" t="str">
        <f>LEFT($B$427,3)</f>
        <v>Por</v>
      </c>
      <c r="AE451" s="185">
        <f t="shared" ref="AE451:AY451" si="222">E451</f>
        <v>2</v>
      </c>
      <c r="AF451" s="185">
        <f t="shared" si="222"/>
        <v>1</v>
      </c>
      <c r="AG451" s="185">
        <f t="shared" si="222"/>
        <v>1</v>
      </c>
      <c r="AH451" s="247">
        <f t="shared" si="222"/>
        <v>5</v>
      </c>
      <c r="AI451" s="247">
        <f t="shared" si="222"/>
        <v>5</v>
      </c>
      <c r="AJ451" s="243" t="str">
        <f t="shared" si="222"/>
        <v/>
      </c>
      <c r="AK451" s="243" t="str">
        <f t="shared" si="222"/>
        <v/>
      </c>
      <c r="AL451" s="243" t="str">
        <f t="shared" si="222"/>
        <v/>
      </c>
      <c r="AM451" s="243" t="str">
        <f t="shared" si="222"/>
        <v/>
      </c>
      <c r="AN451" s="243" t="str">
        <f t="shared" si="222"/>
        <v/>
      </c>
      <c r="AO451" s="243" t="str">
        <f t="shared" si="222"/>
        <v/>
      </c>
      <c r="AP451" s="243" t="str">
        <f t="shared" si="222"/>
        <v/>
      </c>
      <c r="AQ451" s="243" t="str">
        <f t="shared" si="222"/>
        <v/>
      </c>
      <c r="AR451" s="243" t="str">
        <f t="shared" si="222"/>
        <v/>
      </c>
      <c r="AS451" s="243" t="str">
        <f t="shared" si="222"/>
        <v/>
      </c>
      <c r="AT451" s="243" t="str">
        <f t="shared" si="222"/>
        <v/>
      </c>
      <c r="AU451" s="243">
        <f t="shared" si="222"/>
        <v>19.71</v>
      </c>
      <c r="AV451" s="243">
        <f t="shared" si="222"/>
        <v>20.43</v>
      </c>
      <c r="AW451" s="247" t="str">
        <f t="shared" si="222"/>
        <v/>
      </c>
      <c r="AX451" s="243">
        <f t="shared" si="222"/>
        <v>20.07</v>
      </c>
      <c r="AY451" s="248">
        <f t="shared" si="222"/>
        <v>21.07</v>
      </c>
    </row>
    <row r="452" spans="2:51" ht="12" customHeight="1" x14ac:dyDescent="0.2">
      <c r="B452" s="266"/>
      <c r="C452" s="235"/>
      <c r="D452" s="235"/>
      <c r="E452" s="239"/>
      <c r="F452" s="182"/>
      <c r="G452" s="182"/>
      <c r="H452" s="182"/>
      <c r="I452" s="233"/>
      <c r="J452" s="163" t="str">
        <f>IF(Portland!M32="","",Portland!M32)</f>
        <v/>
      </c>
      <c r="K452" s="41" t="str">
        <f>IF(Portland!N32="","",Portland!N32)</f>
        <v/>
      </c>
      <c r="L452" s="41" t="str">
        <f>IF(Portland!O32="","",Portland!O32)</f>
        <v/>
      </c>
      <c r="M452" s="41" t="str">
        <f>IF(Portland!P32="","",Portland!P32)</f>
        <v/>
      </c>
      <c r="N452" s="41" t="str">
        <f>IF(Portland!Q32="","",Portland!Q32)</f>
        <v/>
      </c>
      <c r="O452" s="41" t="str">
        <f>IF(Portland!R32="","",Portland!R32)</f>
        <v/>
      </c>
      <c r="P452" s="41" t="str">
        <f>IF(Portland!S32="","",Portland!S32)</f>
        <v/>
      </c>
      <c r="Q452" s="41" t="str">
        <f>IF(Portland!T32="","",Portland!T32)</f>
        <v/>
      </c>
      <c r="R452" s="41" t="str">
        <f>IF(Portland!U32="","",Portland!U32)</f>
        <v/>
      </c>
      <c r="S452" s="41" t="str">
        <f>IF(Portland!V32="","",Portland!V32)</f>
        <v/>
      </c>
      <c r="T452" s="41" t="str">
        <f>IF(Portland!W32="","",Portland!W32)</f>
        <v/>
      </c>
      <c r="U452" s="41" t="str">
        <f>IF(Portland!X32="","",Portland!X32)</f>
        <v>4*1</v>
      </c>
      <c r="V452" s="41" t="str">
        <f>IF(Portland!Y32="","",Portland!Y32)</f>
        <v>1*4</v>
      </c>
      <c r="W452" s="201"/>
      <c r="X452" s="182"/>
      <c r="Y452" s="233"/>
      <c r="AA452" s="239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233"/>
    </row>
    <row r="453" spans="2:51" ht="12" customHeight="1" x14ac:dyDescent="0.2">
      <c r="B453" s="266"/>
      <c r="C453" s="263" t="str">
        <f>IF(Portland!E33="","",Portland!E33)</f>
        <v/>
      </c>
      <c r="D453" s="259" t="str">
        <f>LEFT($B$427,3)</f>
        <v>Por</v>
      </c>
      <c r="E453" s="251" t="str">
        <f>IF(Portland!G33="","",Portland!G33)</f>
        <v/>
      </c>
      <c r="F453" s="181" t="str">
        <f>IF(Portland!H33=0,"",Portland!H33)</f>
        <v/>
      </c>
      <c r="G453" s="181" t="str">
        <f>IF(Portland!I33=0,"",Portland!I33)</f>
        <v/>
      </c>
      <c r="H453" s="181" t="str">
        <f>IF(Portland!J33=0,"",Portland!J33)</f>
        <v/>
      </c>
      <c r="I453" s="250" t="str">
        <f>IF(Portland!K33=0,"",Portland!K33)</f>
        <v/>
      </c>
      <c r="J453" s="163" t="str">
        <f>IF(Portland!M33="","",Portland!M33)</f>
        <v/>
      </c>
      <c r="K453" s="41" t="str">
        <f>IF(Portland!N33="","",Portland!N33)</f>
        <v/>
      </c>
      <c r="L453" s="41" t="str">
        <f>IF(Portland!O33="","",Portland!O33)</f>
        <v/>
      </c>
      <c r="M453" s="41" t="str">
        <f>IF(Portland!P33="","",Portland!P33)</f>
        <v/>
      </c>
      <c r="N453" s="41" t="str">
        <f>IF(Portland!Q33="","",Portland!Q33)</f>
        <v/>
      </c>
      <c r="O453" s="41" t="str">
        <f>IF(Portland!R33="","",Portland!R33)</f>
        <v/>
      </c>
      <c r="P453" s="41" t="str">
        <f>IF(Portland!S33="","",Portland!S33)</f>
        <v/>
      </c>
      <c r="Q453" s="41" t="str">
        <f>IF(Portland!T33="","",Portland!T33)</f>
        <v/>
      </c>
      <c r="R453" s="41" t="str">
        <f>IF(Portland!U33="","",Portland!U33)</f>
        <v/>
      </c>
      <c r="S453" s="41" t="str">
        <f>IF(Portland!V33="","",Portland!V33)</f>
        <v/>
      </c>
      <c r="T453" s="41" t="str">
        <f>IF(Portland!W33="","",Portland!W33)</f>
        <v/>
      </c>
      <c r="U453" s="41" t="str">
        <f>IF(Portland!X33="","",Portland!X33)</f>
        <v/>
      </c>
      <c r="V453" s="41" t="str">
        <f>IF(Portland!Y33="","",Portland!Y33)</f>
        <v/>
      </c>
      <c r="W453" s="249" t="str">
        <f>IF(Portland!AA33=0,"",Portland!AA33)</f>
        <v/>
      </c>
      <c r="X453" s="244" t="str">
        <f>IF(Portland!AB33=0,"",Portland!AB33)</f>
        <v/>
      </c>
      <c r="Y453" s="245" t="str">
        <f>IF(Portland!AC33=0,"",Portland!AC33)</f>
        <v/>
      </c>
      <c r="AA453" s="246" t="str">
        <f>Y453</f>
        <v/>
      </c>
      <c r="AB453" s="243" t="str">
        <f>X453</f>
        <v/>
      </c>
      <c r="AC453" s="185" t="str">
        <f>C453</f>
        <v/>
      </c>
      <c r="AD453" s="185" t="str">
        <f>LEFT($B$427,3)</f>
        <v>Por</v>
      </c>
      <c r="AE453" s="185" t="str">
        <f t="shared" ref="AE453:AY453" si="223">E453</f>
        <v/>
      </c>
      <c r="AF453" s="185" t="str">
        <f t="shared" si="223"/>
        <v/>
      </c>
      <c r="AG453" s="185" t="str">
        <f t="shared" si="223"/>
        <v/>
      </c>
      <c r="AH453" s="185" t="str">
        <f t="shared" si="223"/>
        <v/>
      </c>
      <c r="AI453" s="185" t="str">
        <f t="shared" si="223"/>
        <v/>
      </c>
      <c r="AJ453" s="243" t="str">
        <f t="shared" si="223"/>
        <v/>
      </c>
      <c r="AK453" s="243" t="str">
        <f t="shared" si="223"/>
        <v/>
      </c>
      <c r="AL453" s="243" t="str">
        <f t="shared" si="223"/>
        <v/>
      </c>
      <c r="AM453" s="243" t="str">
        <f t="shared" si="223"/>
        <v/>
      </c>
      <c r="AN453" s="243" t="str">
        <f t="shared" si="223"/>
        <v/>
      </c>
      <c r="AO453" s="243" t="str">
        <f t="shared" si="223"/>
        <v/>
      </c>
      <c r="AP453" s="243" t="str">
        <f t="shared" si="223"/>
        <v/>
      </c>
      <c r="AQ453" s="243" t="str">
        <f t="shared" si="223"/>
        <v/>
      </c>
      <c r="AR453" s="243" t="str">
        <f t="shared" si="223"/>
        <v/>
      </c>
      <c r="AS453" s="243" t="str">
        <f t="shared" si="223"/>
        <v/>
      </c>
      <c r="AT453" s="243" t="str">
        <f t="shared" si="223"/>
        <v/>
      </c>
      <c r="AU453" s="243" t="str">
        <f t="shared" si="223"/>
        <v/>
      </c>
      <c r="AV453" s="243" t="str">
        <f t="shared" si="223"/>
        <v/>
      </c>
      <c r="AW453" s="247" t="str">
        <f t="shared" si="223"/>
        <v/>
      </c>
      <c r="AX453" s="243" t="str">
        <f t="shared" si="223"/>
        <v/>
      </c>
      <c r="AY453" s="248" t="str">
        <f t="shared" si="223"/>
        <v/>
      </c>
    </row>
    <row r="454" spans="2:51" ht="12" customHeight="1" x14ac:dyDescent="0.2">
      <c r="B454" s="266"/>
      <c r="C454" s="235"/>
      <c r="D454" s="235"/>
      <c r="E454" s="239"/>
      <c r="F454" s="182"/>
      <c r="G454" s="182"/>
      <c r="H454" s="182"/>
      <c r="I454" s="233"/>
      <c r="J454" s="163" t="str">
        <f>IF(Portland!M34="","",Portland!M34)</f>
        <v/>
      </c>
      <c r="K454" s="41" t="str">
        <f>IF(Portland!N34="","",Portland!N34)</f>
        <v/>
      </c>
      <c r="L454" s="41" t="str">
        <f>IF(Portland!O34="","",Portland!O34)</f>
        <v/>
      </c>
      <c r="M454" s="41" t="str">
        <f>IF(Portland!P34="","",Portland!P34)</f>
        <v/>
      </c>
      <c r="N454" s="41" t="str">
        <f>IF(Portland!Q34="","",Portland!Q34)</f>
        <v/>
      </c>
      <c r="O454" s="41" t="str">
        <f>IF(Portland!R34="","",Portland!R34)</f>
        <v/>
      </c>
      <c r="P454" s="41" t="str">
        <f>IF(Portland!S34="","",Portland!S34)</f>
        <v/>
      </c>
      <c r="Q454" s="41" t="str">
        <f>IF(Portland!T34="","",Portland!T34)</f>
        <v/>
      </c>
      <c r="R454" s="41" t="str">
        <f>IF(Portland!U34="","",Portland!U34)</f>
        <v/>
      </c>
      <c r="S454" s="41" t="str">
        <f>IF(Portland!V34="","",Portland!V34)</f>
        <v/>
      </c>
      <c r="T454" s="41" t="str">
        <f>IF(Portland!W34="","",Portland!W34)</f>
        <v/>
      </c>
      <c r="U454" s="41" t="str">
        <f>IF(Portland!X34="","",Portland!X34)</f>
        <v/>
      </c>
      <c r="V454" s="41" t="str">
        <f>IF(Portland!Y34="","",Portland!Y34)</f>
        <v/>
      </c>
      <c r="W454" s="201"/>
      <c r="X454" s="182"/>
      <c r="Y454" s="233"/>
      <c r="AA454" s="239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233"/>
    </row>
    <row r="455" spans="2:51" ht="12" customHeight="1" x14ac:dyDescent="0.2">
      <c r="B455" s="266"/>
      <c r="C455" s="263" t="str">
        <f>IF(Portland!E35="","",Portland!E35)</f>
        <v/>
      </c>
      <c r="D455" s="259" t="str">
        <f>LEFT($B$427,3)</f>
        <v>Por</v>
      </c>
      <c r="E455" s="251" t="str">
        <f>IF(Portland!G35="","",Portland!G35)</f>
        <v/>
      </c>
      <c r="F455" s="181" t="str">
        <f>IF(Portland!H35=0,"",Portland!H35)</f>
        <v/>
      </c>
      <c r="G455" s="181" t="str">
        <f>IF(Portland!I35=0,"",Portland!I35)</f>
        <v/>
      </c>
      <c r="H455" s="181" t="str">
        <f>IF(Portland!J35=0,"",Portland!J35)</f>
        <v/>
      </c>
      <c r="I455" s="250" t="str">
        <f>IF(Portland!K35=0,"",Portland!K35)</f>
        <v/>
      </c>
      <c r="J455" s="163" t="str">
        <f>IF(Portland!M35="","",Portland!M35)</f>
        <v/>
      </c>
      <c r="K455" s="41" t="str">
        <f>IF(Portland!N35="","",Portland!N35)</f>
        <v/>
      </c>
      <c r="L455" s="41" t="str">
        <f>IF(Portland!O35="","",Portland!O35)</f>
        <v/>
      </c>
      <c r="M455" s="41" t="str">
        <f>IF(Portland!P35="","",Portland!P35)</f>
        <v/>
      </c>
      <c r="N455" s="41" t="str">
        <f>IF(Portland!Q35="","",Portland!Q35)</f>
        <v/>
      </c>
      <c r="O455" s="41" t="str">
        <f>IF(Portland!R35="","",Portland!R35)</f>
        <v/>
      </c>
      <c r="P455" s="41" t="str">
        <f>IF(Portland!S35="","",Portland!S35)</f>
        <v/>
      </c>
      <c r="Q455" s="41" t="str">
        <f>IF(Portland!T35="","",Portland!T35)</f>
        <v/>
      </c>
      <c r="R455" s="41" t="str">
        <f>IF(Portland!U35="","",Portland!U35)</f>
        <v/>
      </c>
      <c r="S455" s="41" t="str">
        <f>IF(Portland!V35="","",Portland!V35)</f>
        <v/>
      </c>
      <c r="T455" s="41" t="str">
        <f>IF(Portland!W35="","",Portland!W35)</f>
        <v/>
      </c>
      <c r="U455" s="41" t="str">
        <f>IF(Portland!X35="","",Portland!X35)</f>
        <v/>
      </c>
      <c r="V455" s="41" t="str">
        <f>IF(Portland!Y35="","",Portland!Y35)</f>
        <v/>
      </c>
      <c r="W455" s="249" t="str">
        <f>IF(Portland!AA35=0,"",Portland!AA35)</f>
        <v/>
      </c>
      <c r="X455" s="244" t="str">
        <f>IF(Portland!AB35=0,"",Portland!AB35)</f>
        <v/>
      </c>
      <c r="Y455" s="245" t="str">
        <f>IF(Portland!AC35=0,"",Portland!AC35)</f>
        <v/>
      </c>
      <c r="AA455" s="246" t="str">
        <f>Y455</f>
        <v/>
      </c>
      <c r="AB455" s="243" t="str">
        <f>X455</f>
        <v/>
      </c>
      <c r="AC455" s="185" t="str">
        <f>C455</f>
        <v/>
      </c>
      <c r="AD455" s="185" t="str">
        <f>LEFT($B$427,3)</f>
        <v>Por</v>
      </c>
      <c r="AE455" s="185" t="str">
        <f t="shared" ref="AE455:AY455" si="224">E455</f>
        <v/>
      </c>
      <c r="AF455" s="185" t="str">
        <f t="shared" si="224"/>
        <v/>
      </c>
      <c r="AG455" s="185" t="str">
        <f t="shared" si="224"/>
        <v/>
      </c>
      <c r="AH455" s="185" t="str">
        <f t="shared" si="224"/>
        <v/>
      </c>
      <c r="AI455" s="185" t="str">
        <f t="shared" si="224"/>
        <v/>
      </c>
      <c r="AJ455" s="243" t="str">
        <f t="shared" si="224"/>
        <v/>
      </c>
      <c r="AK455" s="243" t="str">
        <f t="shared" si="224"/>
        <v/>
      </c>
      <c r="AL455" s="243" t="str">
        <f t="shared" si="224"/>
        <v/>
      </c>
      <c r="AM455" s="243" t="str">
        <f t="shared" si="224"/>
        <v/>
      </c>
      <c r="AN455" s="243" t="str">
        <f t="shared" si="224"/>
        <v/>
      </c>
      <c r="AO455" s="243" t="str">
        <f t="shared" si="224"/>
        <v/>
      </c>
      <c r="AP455" s="243" t="str">
        <f t="shared" si="224"/>
        <v/>
      </c>
      <c r="AQ455" s="243" t="str">
        <f t="shared" si="224"/>
        <v/>
      </c>
      <c r="AR455" s="243" t="str">
        <f t="shared" si="224"/>
        <v/>
      </c>
      <c r="AS455" s="243" t="str">
        <f t="shared" si="224"/>
        <v/>
      </c>
      <c r="AT455" s="243" t="str">
        <f t="shared" si="224"/>
        <v/>
      </c>
      <c r="AU455" s="243" t="str">
        <f t="shared" si="224"/>
        <v/>
      </c>
      <c r="AV455" s="243" t="str">
        <f t="shared" si="224"/>
        <v/>
      </c>
      <c r="AW455" s="247" t="str">
        <f t="shared" si="224"/>
        <v/>
      </c>
      <c r="AX455" s="243" t="str">
        <f t="shared" si="224"/>
        <v/>
      </c>
      <c r="AY455" s="248" t="str">
        <f t="shared" si="224"/>
        <v/>
      </c>
    </row>
    <row r="456" spans="2:51" ht="12" customHeight="1" x14ac:dyDescent="0.2">
      <c r="B456" s="266"/>
      <c r="C456" s="235"/>
      <c r="D456" s="235"/>
      <c r="E456" s="239"/>
      <c r="F456" s="182"/>
      <c r="G456" s="182"/>
      <c r="H456" s="182"/>
      <c r="I456" s="233"/>
      <c r="J456" s="163" t="str">
        <f>IF(Portland!M36="","",Portland!M36)</f>
        <v/>
      </c>
      <c r="K456" s="41" t="str">
        <f>IF(Portland!N36="","",Portland!N36)</f>
        <v/>
      </c>
      <c r="L456" s="41" t="str">
        <f>IF(Portland!O36="","",Portland!O36)</f>
        <v/>
      </c>
      <c r="M456" s="41" t="str">
        <f>IF(Portland!P36="","",Portland!P36)</f>
        <v/>
      </c>
      <c r="N456" s="41" t="str">
        <f>IF(Portland!Q36="","",Portland!Q36)</f>
        <v/>
      </c>
      <c r="O456" s="41" t="str">
        <f>IF(Portland!R36="","",Portland!R36)</f>
        <v/>
      </c>
      <c r="P456" s="41" t="str">
        <f>IF(Portland!S36="","",Portland!S36)</f>
        <v/>
      </c>
      <c r="Q456" s="41" t="str">
        <f>IF(Portland!T36="","",Portland!T36)</f>
        <v/>
      </c>
      <c r="R456" s="41" t="str">
        <f>IF(Portland!U36="","",Portland!U36)</f>
        <v/>
      </c>
      <c r="S456" s="41" t="str">
        <f>IF(Portland!V36="","",Portland!V36)</f>
        <v/>
      </c>
      <c r="T456" s="41" t="str">
        <f>IF(Portland!W36="","",Portland!W36)</f>
        <v/>
      </c>
      <c r="U456" s="41" t="str">
        <f>IF(Portland!X36="","",Portland!X36)</f>
        <v/>
      </c>
      <c r="V456" s="41" t="str">
        <f>IF(Portland!Y36="","",Portland!Y36)</f>
        <v/>
      </c>
      <c r="W456" s="201"/>
      <c r="X456" s="182"/>
      <c r="Y456" s="233"/>
      <c r="AA456" s="239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233"/>
    </row>
    <row r="457" spans="2:51" ht="12" customHeight="1" x14ac:dyDescent="0.2">
      <c r="B457" s="266"/>
      <c r="C457" s="263" t="str">
        <f>IF(Portland!E37="","",Portland!E37)</f>
        <v/>
      </c>
      <c r="D457" s="259" t="str">
        <f>LEFT($B$427,3)</f>
        <v>Por</v>
      </c>
      <c r="E457" s="251" t="str">
        <f>IF(Portland!G37="","",Portland!G37)</f>
        <v/>
      </c>
      <c r="F457" s="181" t="str">
        <f>IF(Portland!H37=0,"",Portland!H37)</f>
        <v/>
      </c>
      <c r="G457" s="181" t="str">
        <f>IF(Portland!I37=0,"",Portland!I37)</f>
        <v/>
      </c>
      <c r="H457" s="181" t="str">
        <f>IF(Portland!J37=0,"",Portland!J37)</f>
        <v/>
      </c>
      <c r="I457" s="250" t="str">
        <f>IF(Portland!K37=0,"",Portland!K37)</f>
        <v/>
      </c>
      <c r="J457" s="163" t="str">
        <f>IF(Portland!M37="","",Portland!M37)</f>
        <v/>
      </c>
      <c r="K457" s="41" t="str">
        <f>IF(Portland!N37="","",Portland!N37)</f>
        <v/>
      </c>
      <c r="L457" s="41" t="str">
        <f>IF(Portland!O37="","",Portland!O37)</f>
        <v/>
      </c>
      <c r="M457" s="41" t="str">
        <f>IF(Portland!P37="","",Portland!P37)</f>
        <v/>
      </c>
      <c r="N457" s="41" t="str">
        <f>IF(Portland!Q37="","",Portland!Q37)</f>
        <v/>
      </c>
      <c r="O457" s="41" t="str">
        <f>IF(Portland!R37="","",Portland!R37)</f>
        <v/>
      </c>
      <c r="P457" s="41" t="str">
        <f>IF(Portland!S37="","",Portland!S37)</f>
        <v/>
      </c>
      <c r="Q457" s="41" t="str">
        <f>IF(Portland!T37="","",Portland!T37)</f>
        <v/>
      </c>
      <c r="R457" s="41" t="str">
        <f>IF(Portland!U37="","",Portland!U37)</f>
        <v/>
      </c>
      <c r="S457" s="41" t="str">
        <f>IF(Portland!V37="","",Portland!V37)</f>
        <v/>
      </c>
      <c r="T457" s="41" t="str">
        <f>IF(Portland!W37="","",Portland!W37)</f>
        <v/>
      </c>
      <c r="U457" s="41" t="str">
        <f>IF(Portland!X37="","",Portland!X37)</f>
        <v/>
      </c>
      <c r="V457" s="41" t="str">
        <f>IF(Portland!Y37="","",Portland!Y37)</f>
        <v/>
      </c>
      <c r="W457" s="249" t="str">
        <f>IF(Portland!AA37=0,"",Portland!AA37)</f>
        <v/>
      </c>
      <c r="X457" s="244" t="str">
        <f>IF(Portland!AB37=0,"",Portland!AB37)</f>
        <v/>
      </c>
      <c r="Y457" s="245" t="str">
        <f>IF(Portland!AC37=0,"",Portland!AC37)</f>
        <v/>
      </c>
      <c r="AA457" s="246" t="str">
        <f>Y457</f>
        <v/>
      </c>
      <c r="AB457" s="243" t="str">
        <f>X457</f>
        <v/>
      </c>
      <c r="AC457" s="185" t="str">
        <f>C457</f>
        <v/>
      </c>
      <c r="AD457" s="185" t="str">
        <f>LEFT($B$427,3)</f>
        <v>Por</v>
      </c>
      <c r="AE457" s="185" t="str">
        <f t="shared" ref="AE457:AY457" si="225">E457</f>
        <v/>
      </c>
      <c r="AF457" s="185" t="str">
        <f t="shared" si="225"/>
        <v/>
      </c>
      <c r="AG457" s="185" t="str">
        <f t="shared" si="225"/>
        <v/>
      </c>
      <c r="AH457" s="185" t="str">
        <f t="shared" si="225"/>
        <v/>
      </c>
      <c r="AI457" s="185" t="str">
        <f t="shared" si="225"/>
        <v/>
      </c>
      <c r="AJ457" s="243" t="str">
        <f t="shared" si="225"/>
        <v/>
      </c>
      <c r="AK457" s="243" t="str">
        <f t="shared" si="225"/>
        <v/>
      </c>
      <c r="AL457" s="243" t="str">
        <f t="shared" si="225"/>
        <v/>
      </c>
      <c r="AM457" s="243" t="str">
        <f t="shared" si="225"/>
        <v/>
      </c>
      <c r="AN457" s="243" t="str">
        <f t="shared" si="225"/>
        <v/>
      </c>
      <c r="AO457" s="243" t="str">
        <f t="shared" si="225"/>
        <v/>
      </c>
      <c r="AP457" s="243" t="str">
        <f t="shared" si="225"/>
        <v/>
      </c>
      <c r="AQ457" s="243" t="str">
        <f t="shared" si="225"/>
        <v/>
      </c>
      <c r="AR457" s="243" t="str">
        <f t="shared" si="225"/>
        <v/>
      </c>
      <c r="AS457" s="243" t="str">
        <f t="shared" si="225"/>
        <v/>
      </c>
      <c r="AT457" s="243" t="str">
        <f t="shared" si="225"/>
        <v/>
      </c>
      <c r="AU457" s="243" t="str">
        <f t="shared" si="225"/>
        <v/>
      </c>
      <c r="AV457" s="243" t="str">
        <f t="shared" si="225"/>
        <v/>
      </c>
      <c r="AW457" s="247" t="str">
        <f t="shared" si="225"/>
        <v/>
      </c>
      <c r="AX457" s="243" t="str">
        <f t="shared" si="225"/>
        <v/>
      </c>
      <c r="AY457" s="248" t="str">
        <f t="shared" si="225"/>
        <v/>
      </c>
    </row>
    <row r="458" spans="2:51" ht="12" customHeight="1" x14ac:dyDescent="0.2">
      <c r="B458" s="266"/>
      <c r="C458" s="235"/>
      <c r="D458" s="235"/>
      <c r="E458" s="239"/>
      <c r="F458" s="182"/>
      <c r="G458" s="182"/>
      <c r="H458" s="182"/>
      <c r="I458" s="233"/>
      <c r="J458" s="163" t="str">
        <f>IF(Portland!M38="","",Portland!M38)</f>
        <v/>
      </c>
      <c r="K458" s="41" t="str">
        <f>IF(Portland!N38="","",Portland!N38)</f>
        <v/>
      </c>
      <c r="L458" s="41" t="str">
        <f>IF(Portland!O38="","",Portland!O38)</f>
        <v/>
      </c>
      <c r="M458" s="41" t="str">
        <f>IF(Portland!P38="","",Portland!P38)</f>
        <v/>
      </c>
      <c r="N458" s="41" t="str">
        <f>IF(Portland!Q38="","",Portland!Q38)</f>
        <v/>
      </c>
      <c r="O458" s="41" t="str">
        <f>IF(Portland!R38="","",Portland!R38)</f>
        <v/>
      </c>
      <c r="P458" s="41" t="str">
        <f>IF(Portland!S38="","",Portland!S38)</f>
        <v/>
      </c>
      <c r="Q458" s="41" t="str">
        <f>IF(Portland!T38="","",Portland!T38)</f>
        <v/>
      </c>
      <c r="R458" s="41" t="str">
        <f>IF(Portland!U38="","",Portland!U38)</f>
        <v/>
      </c>
      <c r="S458" s="41" t="str">
        <f>IF(Portland!V38="","",Portland!V38)</f>
        <v/>
      </c>
      <c r="T458" s="41" t="str">
        <f>IF(Portland!W38="","",Portland!W38)</f>
        <v/>
      </c>
      <c r="U458" s="41" t="str">
        <f>IF(Portland!X38="","",Portland!X38)</f>
        <v/>
      </c>
      <c r="V458" s="41" t="str">
        <f>IF(Portland!Y38="","",Portland!Y38)</f>
        <v/>
      </c>
      <c r="W458" s="201"/>
      <c r="X458" s="182"/>
      <c r="Y458" s="233"/>
      <c r="AA458" s="239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233"/>
    </row>
    <row r="459" spans="2:51" ht="12" customHeight="1" x14ac:dyDescent="0.2">
      <c r="B459" s="266"/>
      <c r="C459" s="263" t="str">
        <f>IF(Portland!E39="","",Portland!E39)</f>
        <v/>
      </c>
      <c r="D459" s="259" t="str">
        <f>LEFT($B$427,3)</f>
        <v>Por</v>
      </c>
      <c r="E459" s="251" t="str">
        <f>IF(Portland!G39="","",Portland!G39)</f>
        <v/>
      </c>
      <c r="F459" s="181" t="str">
        <f>IF(Portland!H39=0,"",Portland!H39)</f>
        <v/>
      </c>
      <c r="G459" s="181" t="str">
        <f>IF(Portland!I39=0,"",Portland!I39)</f>
        <v/>
      </c>
      <c r="H459" s="181" t="str">
        <f>IF(Portland!J39=0,"",Portland!J39)</f>
        <v/>
      </c>
      <c r="I459" s="250" t="str">
        <f>IF(Portland!K39=0,"",Portland!K39)</f>
        <v/>
      </c>
      <c r="J459" s="163" t="str">
        <f>IF(Portland!M39="","",Portland!M39)</f>
        <v/>
      </c>
      <c r="K459" s="41" t="str">
        <f>IF(Portland!N39="","",Portland!N39)</f>
        <v/>
      </c>
      <c r="L459" s="41" t="str">
        <f>IF(Portland!O39="","",Portland!O39)</f>
        <v/>
      </c>
      <c r="M459" s="41" t="str">
        <f>IF(Portland!P39="","",Portland!P39)</f>
        <v/>
      </c>
      <c r="N459" s="41" t="str">
        <f>IF(Portland!Q39="","",Portland!Q39)</f>
        <v/>
      </c>
      <c r="O459" s="41" t="str">
        <f>IF(Portland!R39="","",Portland!R39)</f>
        <v/>
      </c>
      <c r="P459" s="41" t="str">
        <f>IF(Portland!S39="","",Portland!S39)</f>
        <v/>
      </c>
      <c r="Q459" s="41" t="str">
        <f>IF(Portland!T39="","",Portland!T39)</f>
        <v/>
      </c>
      <c r="R459" s="41" t="str">
        <f>IF(Portland!U39="","",Portland!U39)</f>
        <v/>
      </c>
      <c r="S459" s="41" t="str">
        <f>IF(Portland!V39="","",Portland!V39)</f>
        <v/>
      </c>
      <c r="T459" s="41" t="str">
        <f>IF(Portland!W39="","",Portland!W39)</f>
        <v/>
      </c>
      <c r="U459" s="41" t="str">
        <f>IF(Portland!X39="","",Portland!X39)</f>
        <v/>
      </c>
      <c r="V459" s="41" t="str">
        <f>IF(Portland!Y39="","",Portland!Y39)</f>
        <v/>
      </c>
      <c r="W459" s="249" t="str">
        <f>IF(Portland!AA39=0,"",Portland!AA39)</f>
        <v/>
      </c>
      <c r="X459" s="244" t="str">
        <f>IF(Portland!AB39=0,"",Portland!AB39)</f>
        <v/>
      </c>
      <c r="Y459" s="245" t="str">
        <f>IF(Portland!AC39=0,"",Portland!AC39)</f>
        <v/>
      </c>
      <c r="AA459" s="246" t="str">
        <f>Y459</f>
        <v/>
      </c>
      <c r="AB459" s="243" t="str">
        <f>X459</f>
        <v/>
      </c>
      <c r="AC459" s="185" t="str">
        <f>C459</f>
        <v/>
      </c>
      <c r="AD459" s="185" t="str">
        <f>LEFT($B$427,3)</f>
        <v>Por</v>
      </c>
      <c r="AE459" s="185" t="str">
        <f t="shared" ref="AE459:AY459" si="226">E459</f>
        <v/>
      </c>
      <c r="AF459" s="185" t="str">
        <f t="shared" si="226"/>
        <v/>
      </c>
      <c r="AG459" s="185" t="str">
        <f t="shared" si="226"/>
        <v/>
      </c>
      <c r="AH459" s="185" t="str">
        <f t="shared" si="226"/>
        <v/>
      </c>
      <c r="AI459" s="185" t="str">
        <f t="shared" si="226"/>
        <v/>
      </c>
      <c r="AJ459" s="243" t="str">
        <f t="shared" si="226"/>
        <v/>
      </c>
      <c r="AK459" s="243" t="str">
        <f t="shared" si="226"/>
        <v/>
      </c>
      <c r="AL459" s="243" t="str">
        <f t="shared" si="226"/>
        <v/>
      </c>
      <c r="AM459" s="243" t="str">
        <f t="shared" si="226"/>
        <v/>
      </c>
      <c r="AN459" s="243" t="str">
        <f t="shared" si="226"/>
        <v/>
      </c>
      <c r="AO459" s="243" t="str">
        <f t="shared" si="226"/>
        <v/>
      </c>
      <c r="AP459" s="243" t="str">
        <f t="shared" si="226"/>
        <v/>
      </c>
      <c r="AQ459" s="243" t="str">
        <f t="shared" si="226"/>
        <v/>
      </c>
      <c r="AR459" s="243" t="str">
        <f t="shared" si="226"/>
        <v/>
      </c>
      <c r="AS459" s="243" t="str">
        <f t="shared" si="226"/>
        <v/>
      </c>
      <c r="AT459" s="243" t="str">
        <f t="shared" si="226"/>
        <v/>
      </c>
      <c r="AU459" s="243" t="str">
        <f t="shared" si="226"/>
        <v/>
      </c>
      <c r="AV459" s="243" t="str">
        <f t="shared" si="226"/>
        <v/>
      </c>
      <c r="AW459" s="247" t="str">
        <f t="shared" si="226"/>
        <v/>
      </c>
      <c r="AX459" s="243" t="str">
        <f t="shared" si="226"/>
        <v/>
      </c>
      <c r="AY459" s="248" t="str">
        <f t="shared" si="226"/>
        <v/>
      </c>
    </row>
    <row r="460" spans="2:51" ht="12" customHeight="1" x14ac:dyDescent="0.2">
      <c r="B460" s="266"/>
      <c r="C460" s="235"/>
      <c r="D460" s="235"/>
      <c r="E460" s="239"/>
      <c r="F460" s="182"/>
      <c r="G460" s="182"/>
      <c r="H460" s="182"/>
      <c r="I460" s="233"/>
      <c r="J460" s="163" t="str">
        <f>IF(Portland!M40="","",Portland!M40)</f>
        <v/>
      </c>
      <c r="K460" s="41" t="str">
        <f>IF(Portland!N40="","",Portland!N40)</f>
        <v/>
      </c>
      <c r="L460" s="41" t="str">
        <f>IF(Portland!O40="","",Portland!O40)</f>
        <v/>
      </c>
      <c r="M460" s="41" t="str">
        <f>IF(Portland!P40="","",Portland!P40)</f>
        <v/>
      </c>
      <c r="N460" s="41" t="str">
        <f>IF(Portland!Q40="","",Portland!Q40)</f>
        <v/>
      </c>
      <c r="O460" s="41" t="str">
        <f>IF(Portland!R40="","",Portland!R40)</f>
        <v/>
      </c>
      <c r="P460" s="41" t="str">
        <f>IF(Portland!S40="","",Portland!S40)</f>
        <v/>
      </c>
      <c r="Q460" s="41" t="str">
        <f>IF(Portland!T40="","",Portland!T40)</f>
        <v/>
      </c>
      <c r="R460" s="41" t="str">
        <f>IF(Portland!U40="","",Portland!U40)</f>
        <v/>
      </c>
      <c r="S460" s="41" t="str">
        <f>IF(Portland!V40="","",Portland!V40)</f>
        <v/>
      </c>
      <c r="T460" s="41" t="str">
        <f>IF(Portland!W40="","",Portland!W40)</f>
        <v/>
      </c>
      <c r="U460" s="41" t="str">
        <f>IF(Portland!X40="","",Portland!X40)</f>
        <v/>
      </c>
      <c r="V460" s="41" t="str">
        <f>IF(Portland!Y40="","",Portland!Y40)</f>
        <v/>
      </c>
      <c r="W460" s="201"/>
      <c r="X460" s="182"/>
      <c r="Y460" s="233"/>
      <c r="AA460" s="239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233"/>
    </row>
    <row r="461" spans="2:51" ht="12" customHeight="1" x14ac:dyDescent="0.2">
      <c r="B461" s="266"/>
      <c r="C461" s="263" t="str">
        <f>IF(Portland!E41="","",Portland!E41)</f>
        <v/>
      </c>
      <c r="D461" s="259" t="str">
        <f>LEFT($B$427,3)</f>
        <v>Por</v>
      </c>
      <c r="E461" s="251" t="str">
        <f>IF(Portland!G41="","",Portland!G41)</f>
        <v/>
      </c>
      <c r="F461" s="181" t="str">
        <f>IF(Portland!H41=0,"",Portland!H41)</f>
        <v/>
      </c>
      <c r="G461" s="181" t="str">
        <f>IF(Portland!I41=0,"",Portland!I41)</f>
        <v/>
      </c>
      <c r="H461" s="181" t="str">
        <f>IF(Portland!J41=0,"",Portland!J41)</f>
        <v/>
      </c>
      <c r="I461" s="250" t="str">
        <f>IF(Portland!K41=0,"",Portland!K41)</f>
        <v/>
      </c>
      <c r="J461" s="163" t="str">
        <f>IF(Portland!M41="","",Portland!M41)</f>
        <v/>
      </c>
      <c r="K461" s="41" t="str">
        <f>IF(Portland!N41="","",Portland!N41)</f>
        <v/>
      </c>
      <c r="L461" s="41" t="str">
        <f>IF(Portland!O41="","",Portland!O41)</f>
        <v/>
      </c>
      <c r="M461" s="41" t="str">
        <f>IF(Portland!P41="","",Portland!P41)</f>
        <v/>
      </c>
      <c r="N461" s="41" t="str">
        <f>IF(Portland!Q41="","",Portland!Q41)</f>
        <v/>
      </c>
      <c r="O461" s="41" t="str">
        <f>IF(Portland!R41="","",Portland!R41)</f>
        <v/>
      </c>
      <c r="P461" s="41" t="str">
        <f>IF(Portland!S41="","",Portland!S41)</f>
        <v/>
      </c>
      <c r="Q461" s="41" t="str">
        <f>IF(Portland!T41="","",Portland!T41)</f>
        <v/>
      </c>
      <c r="R461" s="41" t="str">
        <f>IF(Portland!U41="","",Portland!U41)</f>
        <v/>
      </c>
      <c r="S461" s="41" t="str">
        <f>IF(Portland!V41="","",Portland!V41)</f>
        <v/>
      </c>
      <c r="T461" s="41" t="str">
        <f>IF(Portland!W41="","",Portland!W41)</f>
        <v/>
      </c>
      <c r="U461" s="41" t="str">
        <f>IF(Portland!X41="","",Portland!X41)</f>
        <v/>
      </c>
      <c r="V461" s="41" t="str">
        <f>IF(Portland!Y41="","",Portland!Y41)</f>
        <v/>
      </c>
      <c r="W461" s="249" t="str">
        <f>IF(Portland!AA41=0,"",Portland!AA41)</f>
        <v/>
      </c>
      <c r="X461" s="244" t="str">
        <f>IF(Portland!AB41=0,"",Portland!AB41)</f>
        <v/>
      </c>
      <c r="Y461" s="245" t="str">
        <f>IF(Portland!AC41=0,"",Portland!AC41)</f>
        <v/>
      </c>
      <c r="AA461" s="246" t="str">
        <f>Y461</f>
        <v/>
      </c>
      <c r="AB461" s="243" t="str">
        <f>X461</f>
        <v/>
      </c>
      <c r="AC461" s="185" t="str">
        <f>C461</f>
        <v/>
      </c>
      <c r="AD461" s="185" t="str">
        <f>LEFT($B$427,3)</f>
        <v>Por</v>
      </c>
      <c r="AE461" s="185" t="str">
        <f t="shared" ref="AE461:AY461" si="227">E461</f>
        <v/>
      </c>
      <c r="AF461" s="185" t="str">
        <f t="shared" si="227"/>
        <v/>
      </c>
      <c r="AG461" s="185" t="str">
        <f t="shared" si="227"/>
        <v/>
      </c>
      <c r="AH461" s="185" t="str">
        <f t="shared" si="227"/>
        <v/>
      </c>
      <c r="AI461" s="185" t="str">
        <f t="shared" si="227"/>
        <v/>
      </c>
      <c r="AJ461" s="243" t="str">
        <f t="shared" si="227"/>
        <v/>
      </c>
      <c r="AK461" s="243" t="str">
        <f t="shared" si="227"/>
        <v/>
      </c>
      <c r="AL461" s="243" t="str">
        <f t="shared" si="227"/>
        <v/>
      </c>
      <c r="AM461" s="243" t="str">
        <f t="shared" si="227"/>
        <v/>
      </c>
      <c r="AN461" s="243" t="str">
        <f t="shared" si="227"/>
        <v/>
      </c>
      <c r="AO461" s="243" t="str">
        <f t="shared" si="227"/>
        <v/>
      </c>
      <c r="AP461" s="243" t="str">
        <f t="shared" si="227"/>
        <v/>
      </c>
      <c r="AQ461" s="243" t="str">
        <f t="shared" si="227"/>
        <v/>
      </c>
      <c r="AR461" s="243" t="str">
        <f t="shared" si="227"/>
        <v/>
      </c>
      <c r="AS461" s="243" t="str">
        <f t="shared" si="227"/>
        <v/>
      </c>
      <c r="AT461" s="243" t="str">
        <f t="shared" si="227"/>
        <v/>
      </c>
      <c r="AU461" s="243" t="str">
        <f t="shared" si="227"/>
        <v/>
      </c>
      <c r="AV461" s="243" t="str">
        <f t="shared" si="227"/>
        <v/>
      </c>
      <c r="AW461" s="247" t="str">
        <f t="shared" si="227"/>
        <v/>
      </c>
      <c r="AX461" s="243" t="str">
        <f t="shared" si="227"/>
        <v/>
      </c>
      <c r="AY461" s="248" t="str">
        <f t="shared" si="227"/>
        <v/>
      </c>
    </row>
    <row r="462" spans="2:51" ht="12" customHeight="1" x14ac:dyDescent="0.2">
      <c r="B462" s="266"/>
      <c r="C462" s="235"/>
      <c r="D462" s="235"/>
      <c r="E462" s="239"/>
      <c r="F462" s="182"/>
      <c r="G462" s="182"/>
      <c r="H462" s="182"/>
      <c r="I462" s="233"/>
      <c r="J462" s="163" t="str">
        <f>IF(Portland!M42="","",Portland!M42)</f>
        <v/>
      </c>
      <c r="K462" s="41" t="str">
        <f>IF(Portland!N42="","",Portland!N42)</f>
        <v/>
      </c>
      <c r="L462" s="41" t="str">
        <f>IF(Portland!O42="","",Portland!O42)</f>
        <v/>
      </c>
      <c r="M462" s="41" t="str">
        <f>IF(Portland!P42="","",Portland!P42)</f>
        <v/>
      </c>
      <c r="N462" s="41" t="str">
        <f>IF(Portland!Q42="","",Portland!Q42)</f>
        <v/>
      </c>
      <c r="O462" s="41" t="str">
        <f>IF(Portland!R42="","",Portland!R42)</f>
        <v/>
      </c>
      <c r="P462" s="41" t="str">
        <f>IF(Portland!S42="","",Portland!S42)</f>
        <v/>
      </c>
      <c r="Q462" s="41" t="str">
        <f>IF(Portland!T42="","",Portland!T42)</f>
        <v/>
      </c>
      <c r="R462" s="41" t="str">
        <f>IF(Portland!U42="","",Portland!U42)</f>
        <v/>
      </c>
      <c r="S462" s="41" t="str">
        <f>IF(Portland!V42="","",Portland!V42)</f>
        <v/>
      </c>
      <c r="T462" s="41" t="str">
        <f>IF(Portland!W42="","",Portland!W42)</f>
        <v/>
      </c>
      <c r="U462" s="41" t="str">
        <f>IF(Portland!X42="","",Portland!X42)</f>
        <v/>
      </c>
      <c r="V462" s="41" t="str">
        <f>IF(Portland!Y42="","",Portland!Y42)</f>
        <v/>
      </c>
      <c r="W462" s="201"/>
      <c r="X462" s="182"/>
      <c r="Y462" s="233"/>
      <c r="AA462" s="239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233"/>
    </row>
    <row r="463" spans="2:51" ht="12" customHeight="1" x14ac:dyDescent="0.2">
      <c r="B463" s="266"/>
      <c r="C463" s="263" t="str">
        <f>IF(Portland!E43="","",Portland!E43)</f>
        <v/>
      </c>
      <c r="D463" s="259" t="str">
        <f>LEFT($B$427,3)</f>
        <v>Por</v>
      </c>
      <c r="E463" s="251" t="str">
        <f>IF(Portland!G43="","",Portland!G43)</f>
        <v/>
      </c>
      <c r="F463" s="181" t="str">
        <f>IF(Portland!H43=0,"",Portland!H43)</f>
        <v/>
      </c>
      <c r="G463" s="181" t="str">
        <f>IF(Portland!I43=0,"",Portland!I43)</f>
        <v/>
      </c>
      <c r="H463" s="181" t="str">
        <f>IF(Portland!J43=0,"",Portland!J43)</f>
        <v/>
      </c>
      <c r="I463" s="250" t="str">
        <f>IF(Portland!K43=0,"",Portland!K43)</f>
        <v/>
      </c>
      <c r="J463" s="163" t="str">
        <f>IF(Portland!M43="","",Portland!M43)</f>
        <v/>
      </c>
      <c r="K463" s="41" t="str">
        <f>IF(Portland!N43="","",Portland!N43)</f>
        <v/>
      </c>
      <c r="L463" s="41" t="str">
        <f>IF(Portland!O43="","",Portland!O43)</f>
        <v/>
      </c>
      <c r="M463" s="41" t="str">
        <f>IF(Portland!P43="","",Portland!P43)</f>
        <v/>
      </c>
      <c r="N463" s="41" t="str">
        <f>IF(Portland!Q43="","",Portland!Q43)</f>
        <v/>
      </c>
      <c r="O463" s="41" t="str">
        <f>IF(Portland!R43="","",Portland!R43)</f>
        <v/>
      </c>
      <c r="P463" s="41" t="str">
        <f>IF(Portland!S43="","",Portland!S43)</f>
        <v/>
      </c>
      <c r="Q463" s="41" t="str">
        <f>IF(Portland!T43="","",Portland!T43)</f>
        <v/>
      </c>
      <c r="R463" s="41" t="str">
        <f>IF(Portland!U43="","",Portland!U43)</f>
        <v/>
      </c>
      <c r="S463" s="41" t="str">
        <f>IF(Portland!V43="","",Portland!V43)</f>
        <v/>
      </c>
      <c r="T463" s="41" t="str">
        <f>IF(Portland!W43="","",Portland!W43)</f>
        <v/>
      </c>
      <c r="U463" s="41" t="str">
        <f>IF(Portland!X43="","",Portland!X43)</f>
        <v/>
      </c>
      <c r="V463" s="41" t="str">
        <f>IF(Portland!Y43="","",Portland!Y43)</f>
        <v/>
      </c>
      <c r="W463" s="249" t="str">
        <f>IF(Portland!AA43=0,"",Portland!AA43)</f>
        <v/>
      </c>
      <c r="X463" s="244" t="str">
        <f>IF(Portland!AB43=0,"",Portland!AB43)</f>
        <v/>
      </c>
      <c r="Y463" s="245" t="str">
        <f>IF(Portland!AC43=0,"",Portland!AC43)</f>
        <v/>
      </c>
      <c r="AA463" s="246" t="str">
        <f>Y463</f>
        <v/>
      </c>
      <c r="AB463" s="243" t="str">
        <f>X463</f>
        <v/>
      </c>
      <c r="AC463" s="185" t="str">
        <f>C463</f>
        <v/>
      </c>
      <c r="AD463" s="185" t="str">
        <f>LEFT($B$427,3)</f>
        <v>Por</v>
      </c>
      <c r="AE463" s="185" t="str">
        <f t="shared" ref="AE463:AY463" si="228">E463</f>
        <v/>
      </c>
      <c r="AF463" s="185" t="str">
        <f t="shared" si="228"/>
        <v/>
      </c>
      <c r="AG463" s="185" t="str">
        <f t="shared" si="228"/>
        <v/>
      </c>
      <c r="AH463" s="185" t="str">
        <f t="shared" si="228"/>
        <v/>
      </c>
      <c r="AI463" s="185" t="str">
        <f t="shared" si="228"/>
        <v/>
      </c>
      <c r="AJ463" s="243" t="str">
        <f t="shared" si="228"/>
        <v/>
      </c>
      <c r="AK463" s="243" t="str">
        <f t="shared" si="228"/>
        <v/>
      </c>
      <c r="AL463" s="243" t="str">
        <f t="shared" si="228"/>
        <v/>
      </c>
      <c r="AM463" s="243" t="str">
        <f t="shared" si="228"/>
        <v/>
      </c>
      <c r="AN463" s="243" t="str">
        <f t="shared" si="228"/>
        <v/>
      </c>
      <c r="AO463" s="243" t="str">
        <f t="shared" si="228"/>
        <v/>
      </c>
      <c r="AP463" s="243" t="str">
        <f t="shared" si="228"/>
        <v/>
      </c>
      <c r="AQ463" s="243" t="str">
        <f t="shared" si="228"/>
        <v/>
      </c>
      <c r="AR463" s="243" t="str">
        <f t="shared" si="228"/>
        <v/>
      </c>
      <c r="AS463" s="243" t="str">
        <f t="shared" si="228"/>
        <v/>
      </c>
      <c r="AT463" s="243" t="str">
        <f t="shared" si="228"/>
        <v/>
      </c>
      <c r="AU463" s="243" t="str">
        <f t="shared" si="228"/>
        <v/>
      </c>
      <c r="AV463" s="243" t="str">
        <f t="shared" si="228"/>
        <v/>
      </c>
      <c r="AW463" s="247" t="str">
        <f t="shared" si="228"/>
        <v/>
      </c>
      <c r="AX463" s="243" t="str">
        <f t="shared" si="228"/>
        <v/>
      </c>
      <c r="AY463" s="248" t="str">
        <f t="shared" si="228"/>
        <v/>
      </c>
    </row>
    <row r="464" spans="2:51" ht="12" customHeight="1" x14ac:dyDescent="0.2">
      <c r="B464" s="266"/>
      <c r="C464" s="235"/>
      <c r="D464" s="235"/>
      <c r="E464" s="239"/>
      <c r="F464" s="182"/>
      <c r="G464" s="182"/>
      <c r="H464" s="182"/>
      <c r="I464" s="233"/>
      <c r="J464" s="163" t="str">
        <f>IF(Portland!M44="","",Portland!M44)</f>
        <v/>
      </c>
      <c r="K464" s="41" t="str">
        <f>IF(Portland!N44="","",Portland!N44)</f>
        <v/>
      </c>
      <c r="L464" s="41" t="str">
        <f>IF(Portland!O44="","",Portland!O44)</f>
        <v/>
      </c>
      <c r="M464" s="41" t="str">
        <f>IF(Portland!P44="","",Portland!P44)</f>
        <v/>
      </c>
      <c r="N464" s="41" t="str">
        <f>IF(Portland!Q44="","",Portland!Q44)</f>
        <v/>
      </c>
      <c r="O464" s="41" t="str">
        <f>IF(Portland!R44="","",Portland!R44)</f>
        <v/>
      </c>
      <c r="P464" s="41" t="str">
        <f>IF(Portland!S44="","",Portland!S44)</f>
        <v/>
      </c>
      <c r="Q464" s="41" t="str">
        <f>IF(Portland!T44="","",Portland!T44)</f>
        <v/>
      </c>
      <c r="R464" s="41" t="str">
        <f>IF(Portland!U44="","",Portland!U44)</f>
        <v/>
      </c>
      <c r="S464" s="41" t="str">
        <f>IF(Portland!V44="","",Portland!V44)</f>
        <v/>
      </c>
      <c r="T464" s="41" t="str">
        <f>IF(Portland!W44="","",Portland!W44)</f>
        <v/>
      </c>
      <c r="U464" s="41" t="str">
        <f>IF(Portland!X44="","",Portland!X44)</f>
        <v/>
      </c>
      <c r="V464" s="41" t="str">
        <f>IF(Portland!Y44="","",Portland!Y44)</f>
        <v/>
      </c>
      <c r="W464" s="201"/>
      <c r="X464" s="182"/>
      <c r="Y464" s="233"/>
      <c r="AA464" s="239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233"/>
    </row>
    <row r="465" spans="2:51" ht="12" customHeight="1" x14ac:dyDescent="0.2">
      <c r="B465" s="266"/>
      <c r="C465" s="263" t="str">
        <f>IF(Portland!E45="","",Portland!E45)</f>
        <v/>
      </c>
      <c r="D465" s="259" t="str">
        <f>LEFT($B$427,3)</f>
        <v>Por</v>
      </c>
      <c r="E465" s="251" t="str">
        <f>IF(Portland!G45="","",Portland!G45)</f>
        <v/>
      </c>
      <c r="F465" s="181" t="str">
        <f>IF(Portland!H45=0,"",Portland!H45)</f>
        <v/>
      </c>
      <c r="G465" s="181" t="str">
        <f>IF(Portland!I45=0,"",Portland!I45)</f>
        <v/>
      </c>
      <c r="H465" s="181" t="str">
        <f>IF(Portland!J45=0,"",Portland!J45)</f>
        <v/>
      </c>
      <c r="I465" s="250" t="str">
        <f>IF(Portland!K45=0,"",Portland!K45)</f>
        <v/>
      </c>
      <c r="J465" s="163" t="str">
        <f>IF(Portland!M45="","",Portland!M45)</f>
        <v/>
      </c>
      <c r="K465" s="41" t="str">
        <f>IF(Portland!N45="","",Portland!N45)</f>
        <v/>
      </c>
      <c r="L465" s="41" t="str">
        <f>IF(Portland!O45="","",Portland!O45)</f>
        <v/>
      </c>
      <c r="M465" s="41" t="str">
        <f>IF(Portland!P45="","",Portland!P45)</f>
        <v/>
      </c>
      <c r="N465" s="41" t="str">
        <f>IF(Portland!Q45="","",Portland!Q45)</f>
        <v/>
      </c>
      <c r="O465" s="41" t="str">
        <f>IF(Portland!R45="","",Portland!R45)</f>
        <v/>
      </c>
      <c r="P465" s="41" t="str">
        <f>IF(Portland!S45="","",Portland!S45)</f>
        <v/>
      </c>
      <c r="Q465" s="41" t="str">
        <f>IF(Portland!T45="","",Portland!T45)</f>
        <v/>
      </c>
      <c r="R465" s="41" t="str">
        <f>IF(Portland!U45="","",Portland!U45)</f>
        <v/>
      </c>
      <c r="S465" s="41" t="str">
        <f>IF(Portland!V45="","",Portland!V45)</f>
        <v/>
      </c>
      <c r="T465" s="41" t="str">
        <f>IF(Portland!W45="","",Portland!W45)</f>
        <v/>
      </c>
      <c r="U465" s="41" t="str">
        <f>IF(Portland!X45="","",Portland!X45)</f>
        <v/>
      </c>
      <c r="V465" s="41" t="str">
        <f>IF(Portland!Y45="","",Portland!Y45)</f>
        <v/>
      </c>
      <c r="W465" s="249" t="str">
        <f>IF(Portland!AA45=0,"",Portland!AA45)</f>
        <v/>
      </c>
      <c r="X465" s="244" t="str">
        <f>IF(Portland!AB45=0,"",Portland!AB45)</f>
        <v/>
      </c>
      <c r="Y465" s="245" t="str">
        <f>IF(Portland!AC45=0,"",Portland!AC45)</f>
        <v/>
      </c>
      <c r="AA465" s="246" t="str">
        <f>Y465</f>
        <v/>
      </c>
      <c r="AB465" s="243" t="str">
        <f>X465</f>
        <v/>
      </c>
      <c r="AC465" s="185" t="str">
        <f>C465</f>
        <v/>
      </c>
      <c r="AD465" s="185" t="str">
        <f>LEFT($B$427,3)</f>
        <v>Por</v>
      </c>
      <c r="AE465" s="185" t="str">
        <f t="shared" ref="AE465:AY465" si="229">E465</f>
        <v/>
      </c>
      <c r="AF465" s="185" t="str">
        <f t="shared" si="229"/>
        <v/>
      </c>
      <c r="AG465" s="185" t="str">
        <f t="shared" si="229"/>
        <v/>
      </c>
      <c r="AH465" s="185" t="str">
        <f t="shared" si="229"/>
        <v/>
      </c>
      <c r="AI465" s="185" t="str">
        <f t="shared" si="229"/>
        <v/>
      </c>
      <c r="AJ465" s="243" t="str">
        <f t="shared" si="229"/>
        <v/>
      </c>
      <c r="AK465" s="243" t="str">
        <f t="shared" si="229"/>
        <v/>
      </c>
      <c r="AL465" s="243" t="str">
        <f t="shared" si="229"/>
        <v/>
      </c>
      <c r="AM465" s="243" t="str">
        <f t="shared" si="229"/>
        <v/>
      </c>
      <c r="AN465" s="243" t="str">
        <f t="shared" si="229"/>
        <v/>
      </c>
      <c r="AO465" s="243" t="str">
        <f t="shared" si="229"/>
        <v/>
      </c>
      <c r="AP465" s="243" t="str">
        <f t="shared" si="229"/>
        <v/>
      </c>
      <c r="AQ465" s="243" t="str">
        <f t="shared" si="229"/>
        <v/>
      </c>
      <c r="AR465" s="243" t="str">
        <f t="shared" si="229"/>
        <v/>
      </c>
      <c r="AS465" s="243" t="str">
        <f t="shared" si="229"/>
        <v/>
      </c>
      <c r="AT465" s="243" t="str">
        <f t="shared" si="229"/>
        <v/>
      </c>
      <c r="AU465" s="243" t="str">
        <f t="shared" si="229"/>
        <v/>
      </c>
      <c r="AV465" s="243" t="str">
        <f t="shared" si="229"/>
        <v/>
      </c>
      <c r="AW465" s="247" t="str">
        <f t="shared" si="229"/>
        <v/>
      </c>
      <c r="AX465" s="243" t="str">
        <f t="shared" si="229"/>
        <v/>
      </c>
      <c r="AY465" s="248" t="str">
        <f t="shared" si="229"/>
        <v/>
      </c>
    </row>
    <row r="466" spans="2:51" ht="12" customHeight="1" x14ac:dyDescent="0.2">
      <c r="B466" s="266"/>
      <c r="C466" s="235"/>
      <c r="D466" s="235"/>
      <c r="E466" s="239"/>
      <c r="F466" s="182"/>
      <c r="G466" s="182"/>
      <c r="H466" s="182"/>
      <c r="I466" s="233"/>
      <c r="J466" s="163" t="str">
        <f>IF(Portland!M46="","",Portland!M46)</f>
        <v/>
      </c>
      <c r="K466" s="41" t="str">
        <f>IF(Portland!N46="","",Portland!N46)</f>
        <v/>
      </c>
      <c r="L466" s="41" t="str">
        <f>IF(Portland!O46="","",Portland!O46)</f>
        <v/>
      </c>
      <c r="M466" s="41" t="str">
        <f>IF(Portland!P46="","",Portland!P46)</f>
        <v/>
      </c>
      <c r="N466" s="41" t="str">
        <f>IF(Portland!Q46="","",Portland!Q46)</f>
        <v/>
      </c>
      <c r="O466" s="41" t="str">
        <f>IF(Portland!R46="","",Portland!R46)</f>
        <v/>
      </c>
      <c r="P466" s="41" t="str">
        <f>IF(Portland!S46="","",Portland!S46)</f>
        <v/>
      </c>
      <c r="Q466" s="41" t="str">
        <f>IF(Portland!T46="","",Portland!T46)</f>
        <v/>
      </c>
      <c r="R466" s="41" t="str">
        <f>IF(Portland!U46="","",Portland!U46)</f>
        <v/>
      </c>
      <c r="S466" s="41" t="str">
        <f>IF(Portland!V46="","",Portland!V46)</f>
        <v/>
      </c>
      <c r="T466" s="41" t="str">
        <f>IF(Portland!W46="","",Portland!W46)</f>
        <v/>
      </c>
      <c r="U466" s="41" t="str">
        <f>IF(Portland!X46="","",Portland!X46)</f>
        <v/>
      </c>
      <c r="V466" s="41" t="str">
        <f>IF(Portland!Y46="","",Portland!Y46)</f>
        <v/>
      </c>
      <c r="W466" s="201"/>
      <c r="X466" s="182"/>
      <c r="Y466" s="233"/>
      <c r="AA466" s="239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233"/>
    </row>
    <row r="467" spans="2:51" ht="12" customHeight="1" x14ac:dyDescent="0.2">
      <c r="B467" s="266"/>
      <c r="C467" s="263" t="str">
        <f>IF(Portland!E47="","",Portland!E47)</f>
        <v/>
      </c>
      <c r="D467" s="259" t="str">
        <f>LEFT($B$427,3)</f>
        <v>Por</v>
      </c>
      <c r="E467" s="251" t="str">
        <f>IF(Portland!G47="","",Portland!G47)</f>
        <v/>
      </c>
      <c r="F467" s="181" t="str">
        <f>IF(Portland!H47=0,"",Portland!H47)</f>
        <v/>
      </c>
      <c r="G467" s="181" t="str">
        <f>IF(Portland!I47=0,"",Portland!I47)</f>
        <v/>
      </c>
      <c r="H467" s="181" t="str">
        <f>IF(Portland!J47=0,"",Portland!J47)</f>
        <v/>
      </c>
      <c r="I467" s="250" t="str">
        <f>IF(Portland!K47=0,"",Portland!K47)</f>
        <v/>
      </c>
      <c r="J467" s="163" t="str">
        <f>IF(Portland!M47="","",Portland!M47)</f>
        <v/>
      </c>
      <c r="K467" s="41" t="str">
        <f>IF(Portland!N47="","",Portland!N47)</f>
        <v/>
      </c>
      <c r="L467" s="41" t="str">
        <f>IF(Portland!O47="","",Portland!O47)</f>
        <v/>
      </c>
      <c r="M467" s="41" t="str">
        <f>IF(Portland!P47="","",Portland!P47)</f>
        <v/>
      </c>
      <c r="N467" s="41" t="str">
        <f>IF(Portland!Q47="","",Portland!Q47)</f>
        <v/>
      </c>
      <c r="O467" s="41" t="str">
        <f>IF(Portland!R47="","",Portland!R47)</f>
        <v/>
      </c>
      <c r="P467" s="41" t="str">
        <f>IF(Portland!S47="","",Portland!S47)</f>
        <v/>
      </c>
      <c r="Q467" s="41" t="str">
        <f>IF(Portland!T47="","",Portland!T47)</f>
        <v/>
      </c>
      <c r="R467" s="41" t="str">
        <f>IF(Portland!U47="","",Portland!U47)</f>
        <v/>
      </c>
      <c r="S467" s="41" t="str">
        <f>IF(Portland!V47="","",Portland!V47)</f>
        <v/>
      </c>
      <c r="T467" s="41" t="str">
        <f>IF(Portland!W47="","",Portland!W47)</f>
        <v/>
      </c>
      <c r="U467" s="41" t="str">
        <f>IF(Portland!X47="","",Portland!X47)</f>
        <v/>
      </c>
      <c r="V467" s="41" t="str">
        <f>IF(Portland!Y47="","",Portland!Y47)</f>
        <v/>
      </c>
      <c r="W467" s="249" t="str">
        <f>IF(Portland!AA47=0,"",Portland!AA47)</f>
        <v/>
      </c>
      <c r="X467" s="244" t="str">
        <f>IF(Portland!AB47=0,"",Portland!AB47)</f>
        <v/>
      </c>
      <c r="Y467" s="245" t="str">
        <f>IF(Portland!AC47=0,"",Portland!AC47)</f>
        <v/>
      </c>
      <c r="AA467" s="246" t="str">
        <f>Y467</f>
        <v/>
      </c>
      <c r="AB467" s="243" t="str">
        <f>X467</f>
        <v/>
      </c>
      <c r="AC467" s="185" t="str">
        <f>C467</f>
        <v/>
      </c>
      <c r="AD467" s="185" t="str">
        <f>LEFT($B$427,3)</f>
        <v>Por</v>
      </c>
      <c r="AE467" s="185" t="str">
        <f t="shared" ref="AE467:AY467" si="230">E467</f>
        <v/>
      </c>
      <c r="AF467" s="185" t="str">
        <f t="shared" si="230"/>
        <v/>
      </c>
      <c r="AG467" s="185" t="str">
        <f t="shared" si="230"/>
        <v/>
      </c>
      <c r="AH467" s="185" t="str">
        <f t="shared" si="230"/>
        <v/>
      </c>
      <c r="AI467" s="185" t="str">
        <f t="shared" si="230"/>
        <v/>
      </c>
      <c r="AJ467" s="243" t="str">
        <f t="shared" si="230"/>
        <v/>
      </c>
      <c r="AK467" s="243" t="str">
        <f t="shared" si="230"/>
        <v/>
      </c>
      <c r="AL467" s="243" t="str">
        <f t="shared" si="230"/>
        <v/>
      </c>
      <c r="AM467" s="243" t="str">
        <f t="shared" si="230"/>
        <v/>
      </c>
      <c r="AN467" s="243" t="str">
        <f t="shared" si="230"/>
        <v/>
      </c>
      <c r="AO467" s="243" t="str">
        <f t="shared" si="230"/>
        <v/>
      </c>
      <c r="AP467" s="243" t="str">
        <f t="shared" si="230"/>
        <v/>
      </c>
      <c r="AQ467" s="243" t="str">
        <f t="shared" si="230"/>
        <v/>
      </c>
      <c r="AR467" s="243" t="str">
        <f t="shared" si="230"/>
        <v/>
      </c>
      <c r="AS467" s="243" t="str">
        <f t="shared" si="230"/>
        <v/>
      </c>
      <c r="AT467" s="243" t="str">
        <f t="shared" si="230"/>
        <v/>
      </c>
      <c r="AU467" s="243" t="str">
        <f t="shared" si="230"/>
        <v/>
      </c>
      <c r="AV467" s="243" t="str">
        <f t="shared" si="230"/>
        <v/>
      </c>
      <c r="AW467" s="247" t="str">
        <f t="shared" si="230"/>
        <v/>
      </c>
      <c r="AX467" s="243" t="str">
        <f t="shared" si="230"/>
        <v/>
      </c>
      <c r="AY467" s="248" t="str">
        <f t="shared" si="230"/>
        <v/>
      </c>
    </row>
    <row r="468" spans="2:51" ht="12.75" customHeight="1" x14ac:dyDescent="0.2">
      <c r="B468" s="211"/>
      <c r="C468" s="211"/>
      <c r="D468" s="211"/>
      <c r="E468" s="223"/>
      <c r="F468" s="225"/>
      <c r="G468" s="225"/>
      <c r="H468" s="225"/>
      <c r="I468" s="228"/>
      <c r="J468" s="164" t="str">
        <f>IF(Portland!M48="","",Portland!M48)</f>
        <v/>
      </c>
      <c r="K468" s="165" t="str">
        <f>IF(Portland!N48="","",Portland!N48)</f>
        <v/>
      </c>
      <c r="L468" s="165" t="str">
        <f>IF(Portland!O48="","",Portland!O48)</f>
        <v/>
      </c>
      <c r="M468" s="165" t="str">
        <f>IF(Portland!P48="","",Portland!P48)</f>
        <v/>
      </c>
      <c r="N468" s="165" t="str">
        <f>IF(Portland!Q48="","",Portland!Q48)</f>
        <v/>
      </c>
      <c r="O468" s="165" t="str">
        <f>IF(Portland!R48="","",Portland!R48)</f>
        <v/>
      </c>
      <c r="P468" s="165" t="str">
        <f>IF(Portland!S48="","",Portland!S48)</f>
        <v/>
      </c>
      <c r="Q468" s="165" t="str">
        <f>IF(Portland!T48="","",Portland!T48)</f>
        <v/>
      </c>
      <c r="R468" s="165" t="str">
        <f>IF(Portland!U48="","",Portland!U48)</f>
        <v/>
      </c>
      <c r="S468" s="165" t="str">
        <f>IF(Portland!V48="","",Portland!V48)</f>
        <v/>
      </c>
      <c r="T468" s="165" t="str">
        <f>IF(Portland!W48="","",Portland!W48)</f>
        <v/>
      </c>
      <c r="U468" s="165" t="str">
        <f>IF(Portland!X48="","",Portland!X48)</f>
        <v/>
      </c>
      <c r="V468" s="165" t="str">
        <f>IF(Portland!Y48="","",Portland!Y48)</f>
        <v/>
      </c>
      <c r="W468" s="261"/>
      <c r="X468" s="225"/>
      <c r="Y468" s="228"/>
      <c r="AA468" s="239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233"/>
    </row>
    <row r="469" spans="2:51" ht="12.75" customHeight="1" x14ac:dyDescent="0.2">
      <c r="B469" s="265" t="s">
        <v>396</v>
      </c>
      <c r="C469" s="264" t="str">
        <f>IF(Shaftesbury!E7="","",Shaftesbury!E7)</f>
        <v>Dean Gale</v>
      </c>
      <c r="D469" s="260" t="str">
        <f>LEFT($B$469,3)</f>
        <v>Sha</v>
      </c>
      <c r="E469" s="256">
        <f>IF(Shaftesbury!G7="","",Shaftesbury!G7)</f>
        <v>12</v>
      </c>
      <c r="F469" s="257">
        <f>IF(Shaftesbury!H7=0,"",Shaftesbury!H7)</f>
        <v>2</v>
      </c>
      <c r="G469" s="253">
        <f>IF(Shaftesbury!I7=0,"",Shaftesbury!I7)</f>
        <v>10</v>
      </c>
      <c r="H469" s="253">
        <f>IF(Shaftesbury!J7=0,"",Shaftesbury!J7)</f>
        <v>19</v>
      </c>
      <c r="I469" s="258">
        <f>IF(Shaftesbury!K7=0,"",Shaftesbury!K7)</f>
        <v>43</v>
      </c>
      <c r="J469" s="161">
        <f>IF(Shaftesbury!M7="","",Shaftesbury!M7)</f>
        <v>20.83</v>
      </c>
      <c r="K469" s="162">
        <f>IF(Shaftesbury!N7="","",Shaftesbury!N7)</f>
        <v>18.54</v>
      </c>
      <c r="L469" s="162">
        <f>IF(Shaftesbury!O7="","",Shaftesbury!O7)</f>
        <v>19.68</v>
      </c>
      <c r="M469" s="162">
        <f>IF(Shaftesbury!P7="","",Shaftesbury!P7)</f>
        <v>19.170000000000002</v>
      </c>
      <c r="N469" s="162">
        <f>IF(Shaftesbury!Q7="","",Shaftesbury!Q7)</f>
        <v>23.25</v>
      </c>
      <c r="O469" s="162" t="str">
        <f>IF(Shaftesbury!R7="","",Shaftesbury!R7)</f>
        <v/>
      </c>
      <c r="P469" s="162">
        <f>IF(Shaftesbury!S7="","",Shaftesbury!S7)</f>
        <v>21.54</v>
      </c>
      <c r="Q469" s="162">
        <f>IF(Shaftesbury!T7="","",Shaftesbury!T7)</f>
        <v>19.68</v>
      </c>
      <c r="R469" s="162">
        <f>IF(Shaftesbury!U7="","",Shaftesbury!U7)</f>
        <v>21.78</v>
      </c>
      <c r="S469" s="162">
        <f>IF(Shaftesbury!V7="","",Shaftesbury!V7)</f>
        <v>21.09</v>
      </c>
      <c r="T469" s="162">
        <f>IF(Shaftesbury!W7="","",Shaftesbury!W7)</f>
        <v>17</v>
      </c>
      <c r="U469" s="162">
        <f>IF(Shaftesbury!X7="","",Shaftesbury!X7)</f>
        <v>18.07</v>
      </c>
      <c r="V469" s="162">
        <f>IF(Shaftesbury!Y7="","",Shaftesbury!Y7)</f>
        <v>20.65</v>
      </c>
      <c r="W469" s="262">
        <f>IF(Shaftesbury!AA7=0,"",Shaftesbury!AA7)</f>
        <v>2</v>
      </c>
      <c r="X469" s="254">
        <f>IF(Shaftesbury!AB7=0,"",Shaftesbury!AB7)</f>
        <v>20.106666666666666</v>
      </c>
      <c r="Y469" s="255">
        <f>IF(Shaftesbury!AC7=0,"",Shaftesbury!AC7)</f>
        <v>22.106666666666666</v>
      </c>
      <c r="AA469" s="246">
        <f>Y469</f>
        <v>22.106666666666666</v>
      </c>
      <c r="AB469" s="243">
        <f>X469</f>
        <v>20.106666666666666</v>
      </c>
      <c r="AC469" s="185" t="str">
        <f>C469</f>
        <v>Dean Gale</v>
      </c>
      <c r="AD469" s="185" t="str">
        <f>LEFT($B$469,3)</f>
        <v>Sha</v>
      </c>
      <c r="AE469" s="185">
        <f t="shared" ref="AE469:AY469" si="231">E469</f>
        <v>12</v>
      </c>
      <c r="AF469" s="185">
        <f t="shared" si="231"/>
        <v>2</v>
      </c>
      <c r="AG469" s="247">
        <f t="shared" si="231"/>
        <v>10</v>
      </c>
      <c r="AH469" s="247">
        <f t="shared" si="231"/>
        <v>19</v>
      </c>
      <c r="AI469" s="247">
        <f t="shared" si="231"/>
        <v>43</v>
      </c>
      <c r="AJ469" s="243">
        <f t="shared" si="231"/>
        <v>20.83</v>
      </c>
      <c r="AK469" s="243">
        <f t="shared" si="231"/>
        <v>18.54</v>
      </c>
      <c r="AL469" s="243">
        <f t="shared" si="231"/>
        <v>19.68</v>
      </c>
      <c r="AM469" s="243">
        <f t="shared" si="231"/>
        <v>19.170000000000002</v>
      </c>
      <c r="AN469" s="243">
        <f t="shared" si="231"/>
        <v>23.25</v>
      </c>
      <c r="AO469" s="243" t="str">
        <f t="shared" si="231"/>
        <v/>
      </c>
      <c r="AP469" s="243">
        <f t="shared" si="231"/>
        <v>21.54</v>
      </c>
      <c r="AQ469" s="243">
        <f t="shared" si="231"/>
        <v>19.68</v>
      </c>
      <c r="AR469" s="243">
        <f t="shared" si="231"/>
        <v>21.78</v>
      </c>
      <c r="AS469" s="243">
        <f t="shared" si="231"/>
        <v>21.09</v>
      </c>
      <c r="AT469" s="243">
        <f t="shared" si="231"/>
        <v>17</v>
      </c>
      <c r="AU469" s="243">
        <f t="shared" si="231"/>
        <v>18.07</v>
      </c>
      <c r="AV469" s="243">
        <f t="shared" si="231"/>
        <v>20.65</v>
      </c>
      <c r="AW469" s="247">
        <f t="shared" si="231"/>
        <v>2</v>
      </c>
      <c r="AX469" s="243">
        <f t="shared" si="231"/>
        <v>20.106666666666666</v>
      </c>
      <c r="AY469" s="248">
        <f t="shared" si="231"/>
        <v>22.106666666666666</v>
      </c>
    </row>
    <row r="470" spans="2:51" ht="12" customHeight="1" x14ac:dyDescent="0.2">
      <c r="B470" s="266"/>
      <c r="C470" s="235"/>
      <c r="D470" s="235"/>
      <c r="E470" s="239"/>
      <c r="F470" s="182"/>
      <c r="G470" s="182"/>
      <c r="H470" s="182"/>
      <c r="I470" s="233"/>
      <c r="J470" s="163" t="str">
        <f>IF(Shaftesbury!M8="","",Shaftesbury!M8)</f>
        <v>4*3</v>
      </c>
      <c r="K470" s="41" t="str">
        <f>IF(Shaftesbury!N8="","",Shaftesbury!N8)</f>
        <v>2*4</v>
      </c>
      <c r="L470" s="41" t="str">
        <f>IF(Shaftesbury!O8="","",Shaftesbury!O8)</f>
        <v>0*4</v>
      </c>
      <c r="M470" s="41" t="str">
        <f>IF(Shaftesbury!P8="","",Shaftesbury!P8)</f>
        <v>0*4</v>
      </c>
      <c r="N470" s="41" t="str">
        <f>IF(Shaftesbury!Q8="","",Shaftesbury!Q8)</f>
        <v>0*4(1)</v>
      </c>
      <c r="O470" s="41" t="str">
        <f>IF(Shaftesbury!R8="","",Shaftesbury!R8)</f>
        <v/>
      </c>
      <c r="P470" s="41" t="str">
        <f>IF(Shaftesbury!S8="","",Shaftesbury!S8)</f>
        <v>2*4</v>
      </c>
      <c r="Q470" s="41" t="str">
        <f>IF(Shaftesbury!T8="","",Shaftesbury!T8)</f>
        <v>2*4</v>
      </c>
      <c r="R470" s="41" t="str">
        <f>IF(Shaftesbury!U8="","",Shaftesbury!U8)</f>
        <v>2*4</v>
      </c>
      <c r="S470" s="41" t="str">
        <f>IF(Shaftesbury!V8="","",Shaftesbury!V8)</f>
        <v>4*0</v>
      </c>
      <c r="T470" s="41" t="str">
        <f>IF(Shaftesbury!W8="","",Shaftesbury!W8)</f>
        <v>0*4</v>
      </c>
      <c r="U470" s="41" t="str">
        <f>IF(Shaftesbury!X8="","",Shaftesbury!X8)</f>
        <v>2*4</v>
      </c>
      <c r="V470" s="41" t="str">
        <f>IF(Shaftesbury!Y8="","",Shaftesbury!Y8)</f>
        <v>1*4(1)</v>
      </c>
      <c r="W470" s="201"/>
      <c r="X470" s="182"/>
      <c r="Y470" s="233"/>
      <c r="AA470" s="239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233"/>
    </row>
    <row r="471" spans="2:51" ht="12" customHeight="1" x14ac:dyDescent="0.2">
      <c r="B471" s="266"/>
      <c r="C471" s="263" t="str">
        <f>IF(Shaftesbury!E9="","",Shaftesbury!E9)</f>
        <v>Bob Winton</v>
      </c>
      <c r="D471" s="259" t="str">
        <f>LEFT($B$469,3)</f>
        <v>Sha</v>
      </c>
      <c r="E471" s="251">
        <f>IF(Shaftesbury!G9="","",Shaftesbury!G9)</f>
        <v>12</v>
      </c>
      <c r="F471" s="181">
        <f>IF(Shaftesbury!H9=0,"",Shaftesbury!H9)</f>
        <v>1</v>
      </c>
      <c r="G471" s="186">
        <f>IF(Shaftesbury!I9=0,"",Shaftesbury!I9)</f>
        <v>11</v>
      </c>
      <c r="H471" s="186">
        <f>IF(Shaftesbury!J9=0,"",Shaftesbury!J9)</f>
        <v>15</v>
      </c>
      <c r="I471" s="252">
        <f>IF(Shaftesbury!K9=0,"",Shaftesbury!K9)</f>
        <v>46</v>
      </c>
      <c r="J471" s="163">
        <f>IF(Shaftesbury!M9="","",Shaftesbury!M9)</f>
        <v>21.52</v>
      </c>
      <c r="K471" s="41">
        <f>IF(Shaftesbury!N9="","",Shaftesbury!N9)</f>
        <v>18.78</v>
      </c>
      <c r="L471" s="41">
        <f>IF(Shaftesbury!O9="","",Shaftesbury!O9)</f>
        <v>17.48</v>
      </c>
      <c r="M471" s="41">
        <f>IF(Shaftesbury!P9="","",Shaftesbury!P9)</f>
        <v>18.41</v>
      </c>
      <c r="N471" s="41">
        <f>IF(Shaftesbury!Q9="","",Shaftesbury!Q9)</f>
        <v>18.940000000000001</v>
      </c>
      <c r="O471" s="41" t="str">
        <f>IF(Shaftesbury!R9="","",Shaftesbury!R9)</f>
        <v/>
      </c>
      <c r="P471" s="41">
        <f>IF(Shaftesbury!S9="","",Shaftesbury!S9)</f>
        <v>17.8</v>
      </c>
      <c r="Q471" s="41">
        <f>IF(Shaftesbury!T9="","",Shaftesbury!T9)</f>
        <v>18.190000000000001</v>
      </c>
      <c r="R471" s="41">
        <f>IF(Shaftesbury!U9="","",Shaftesbury!U9)</f>
        <v>21.21</v>
      </c>
      <c r="S471" s="41">
        <f>IF(Shaftesbury!V9="","",Shaftesbury!V9)</f>
        <v>18.68</v>
      </c>
      <c r="T471" s="41">
        <f>IF(Shaftesbury!W9="","",Shaftesbury!W9)</f>
        <v>19.350000000000001</v>
      </c>
      <c r="U471" s="41">
        <f>IF(Shaftesbury!X9="","",Shaftesbury!X9)</f>
        <v>13.8</v>
      </c>
      <c r="V471" s="41">
        <f>IF(Shaftesbury!Y9="","",Shaftesbury!Y9)</f>
        <v>19.41</v>
      </c>
      <c r="W471" s="249" t="str">
        <f>IF(Shaftesbury!AA9=0,"",Shaftesbury!AA9)</f>
        <v/>
      </c>
      <c r="X471" s="244">
        <f>IF(Shaftesbury!AB9=0,"",Shaftesbury!AB9)</f>
        <v>18.630833333333335</v>
      </c>
      <c r="Y471" s="245">
        <f>IF(Shaftesbury!AC9=0,"",Shaftesbury!AC9)</f>
        <v>19.630833333333335</v>
      </c>
      <c r="AA471" s="246">
        <f>Y471</f>
        <v>19.630833333333335</v>
      </c>
      <c r="AB471" s="243">
        <f>X471</f>
        <v>18.630833333333335</v>
      </c>
      <c r="AC471" s="185" t="str">
        <f>C471</f>
        <v>Bob Winton</v>
      </c>
      <c r="AD471" s="185" t="str">
        <f>LEFT($B$469,3)</f>
        <v>Sha</v>
      </c>
      <c r="AE471" s="185">
        <f t="shared" ref="AE471:AY471" si="232">E471</f>
        <v>12</v>
      </c>
      <c r="AF471" s="185">
        <f t="shared" si="232"/>
        <v>1</v>
      </c>
      <c r="AG471" s="247">
        <f t="shared" si="232"/>
        <v>11</v>
      </c>
      <c r="AH471" s="247">
        <f t="shared" si="232"/>
        <v>15</v>
      </c>
      <c r="AI471" s="247">
        <f t="shared" si="232"/>
        <v>46</v>
      </c>
      <c r="AJ471" s="243">
        <f t="shared" si="232"/>
        <v>21.52</v>
      </c>
      <c r="AK471" s="243">
        <f t="shared" si="232"/>
        <v>18.78</v>
      </c>
      <c r="AL471" s="243">
        <f t="shared" si="232"/>
        <v>17.48</v>
      </c>
      <c r="AM471" s="243">
        <f t="shared" si="232"/>
        <v>18.41</v>
      </c>
      <c r="AN471" s="243">
        <f t="shared" si="232"/>
        <v>18.940000000000001</v>
      </c>
      <c r="AO471" s="243" t="str">
        <f t="shared" si="232"/>
        <v/>
      </c>
      <c r="AP471" s="243">
        <f t="shared" si="232"/>
        <v>17.8</v>
      </c>
      <c r="AQ471" s="243">
        <f t="shared" si="232"/>
        <v>18.190000000000001</v>
      </c>
      <c r="AR471" s="243">
        <f t="shared" si="232"/>
        <v>21.21</v>
      </c>
      <c r="AS471" s="243">
        <f t="shared" si="232"/>
        <v>18.68</v>
      </c>
      <c r="AT471" s="243">
        <f t="shared" si="232"/>
        <v>19.350000000000001</v>
      </c>
      <c r="AU471" s="243">
        <f t="shared" si="232"/>
        <v>13.8</v>
      </c>
      <c r="AV471" s="243">
        <f t="shared" si="232"/>
        <v>19.41</v>
      </c>
      <c r="AW471" s="247" t="str">
        <f t="shared" si="232"/>
        <v/>
      </c>
      <c r="AX471" s="243">
        <f t="shared" si="232"/>
        <v>18.630833333333335</v>
      </c>
      <c r="AY471" s="248">
        <f t="shared" si="232"/>
        <v>19.630833333333335</v>
      </c>
    </row>
    <row r="472" spans="2:51" ht="12" customHeight="1" x14ac:dyDescent="0.2">
      <c r="B472" s="266"/>
      <c r="C472" s="235"/>
      <c r="D472" s="235"/>
      <c r="E472" s="239"/>
      <c r="F472" s="182"/>
      <c r="G472" s="182"/>
      <c r="H472" s="182"/>
      <c r="I472" s="233"/>
      <c r="J472" s="163" t="str">
        <f>IF(Shaftesbury!M10="","",Shaftesbury!M10)</f>
        <v>1*4</v>
      </c>
      <c r="K472" s="41" t="str">
        <f>IF(Shaftesbury!N10="","",Shaftesbury!N10)</f>
        <v>1*4</v>
      </c>
      <c r="L472" s="41" t="str">
        <f>IF(Shaftesbury!O10="","",Shaftesbury!O10)</f>
        <v>0*4</v>
      </c>
      <c r="M472" s="41" t="str">
        <f>IF(Shaftesbury!P10="","",Shaftesbury!P10)</f>
        <v>2*4</v>
      </c>
      <c r="N472" s="41" t="str">
        <f>IF(Shaftesbury!Q10="","",Shaftesbury!Q10)</f>
        <v>1*4</v>
      </c>
      <c r="O472" s="41" t="str">
        <f>IF(Shaftesbury!R10="","",Shaftesbury!R10)</f>
        <v/>
      </c>
      <c r="P472" s="41" t="str">
        <f>IF(Shaftesbury!S10="","",Shaftesbury!S10)</f>
        <v>3*4</v>
      </c>
      <c r="Q472" s="41" t="str">
        <f>IF(Shaftesbury!T10="","",Shaftesbury!T10)</f>
        <v>2*4</v>
      </c>
      <c r="R472" s="41" t="str">
        <f>IF(Shaftesbury!U10="","",Shaftesbury!U10)</f>
        <v>0*4</v>
      </c>
      <c r="S472" s="41" t="str">
        <f>IF(Shaftesbury!V10="","",Shaftesbury!V10)</f>
        <v>0*4</v>
      </c>
      <c r="T472" s="41" t="str">
        <f>IF(Shaftesbury!W10="","",Shaftesbury!W10)</f>
        <v>4*2</v>
      </c>
      <c r="U472" s="41" t="str">
        <f>IF(Shaftesbury!X10="","",Shaftesbury!X10)</f>
        <v>1*4</v>
      </c>
      <c r="V472" s="41" t="str">
        <f>IF(Shaftesbury!Y10="","",Shaftesbury!Y10)</f>
        <v>0*4</v>
      </c>
      <c r="W472" s="201"/>
      <c r="X472" s="182"/>
      <c r="Y472" s="233"/>
      <c r="AA472" s="239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233"/>
    </row>
    <row r="473" spans="2:51" ht="12" customHeight="1" x14ac:dyDescent="0.2">
      <c r="B473" s="266"/>
      <c r="C473" s="263" t="str">
        <f>IF(Shaftesbury!E11="","",Shaftesbury!E11)</f>
        <v>Nigel Lamb</v>
      </c>
      <c r="D473" s="259" t="str">
        <f>LEFT($B$469,3)</f>
        <v>Sha</v>
      </c>
      <c r="E473" s="251">
        <f>IF(Shaftesbury!G11="","",Shaftesbury!G11)</f>
        <v>13</v>
      </c>
      <c r="F473" s="181">
        <f>IF(Shaftesbury!H11=0,"",Shaftesbury!H11)</f>
        <v>9</v>
      </c>
      <c r="G473" s="186">
        <f>IF(Shaftesbury!I11=0,"",Shaftesbury!I11)</f>
        <v>4</v>
      </c>
      <c r="H473" s="186">
        <f>IF(Shaftesbury!J11=0,"",Shaftesbury!J11)</f>
        <v>46</v>
      </c>
      <c r="I473" s="252">
        <f>IF(Shaftesbury!K11=0,"",Shaftesbury!K11)</f>
        <v>31</v>
      </c>
      <c r="J473" s="163">
        <f>IF(Shaftesbury!M11="","",Shaftesbury!M11)</f>
        <v>23.1</v>
      </c>
      <c r="K473" s="41">
        <f>IF(Shaftesbury!N11="","",Shaftesbury!N11)</f>
        <v>19.47</v>
      </c>
      <c r="L473" s="41">
        <f>IF(Shaftesbury!O11="","",Shaftesbury!O11)</f>
        <v>25.17</v>
      </c>
      <c r="M473" s="41">
        <f>IF(Shaftesbury!P11="","",Shaftesbury!P11)</f>
        <v>22.17</v>
      </c>
      <c r="N473" s="41">
        <f>IF(Shaftesbury!Q11="","",Shaftesbury!Q11)</f>
        <v>24.84</v>
      </c>
      <c r="O473" s="41">
        <f>IF(Shaftesbury!R11="","",Shaftesbury!R11)</f>
        <v>21.09</v>
      </c>
      <c r="P473" s="41">
        <f>IF(Shaftesbury!S11="","",Shaftesbury!S11)</f>
        <v>25.81</v>
      </c>
      <c r="Q473" s="41">
        <f>IF(Shaftesbury!T11="","",Shaftesbury!T11)</f>
        <v>21.86</v>
      </c>
      <c r="R473" s="41">
        <f>IF(Shaftesbury!U11="","",Shaftesbury!U11)</f>
        <v>22.75</v>
      </c>
      <c r="S473" s="41">
        <f>IF(Shaftesbury!V11="","",Shaftesbury!V11)</f>
        <v>24.53</v>
      </c>
      <c r="T473" s="41">
        <f>IF(Shaftesbury!W11="","",Shaftesbury!W11)</f>
        <v>24.44</v>
      </c>
      <c r="U473" s="41">
        <f>IF(Shaftesbury!X11="","",Shaftesbury!X11)</f>
        <v>23.8</v>
      </c>
      <c r="V473" s="41">
        <f>IF(Shaftesbury!Y11="","",Shaftesbury!Y11)</f>
        <v>26.73</v>
      </c>
      <c r="W473" s="249">
        <f>IF(Shaftesbury!AA11=0,"",Shaftesbury!AA11)</f>
        <v>4</v>
      </c>
      <c r="X473" s="244">
        <f>IF(Shaftesbury!AB11=0,"",Shaftesbury!AB11)</f>
        <v>23.52</v>
      </c>
      <c r="Y473" s="245">
        <f>IF(Shaftesbury!AC11=0,"",Shaftesbury!AC11)</f>
        <v>32.519999999999996</v>
      </c>
      <c r="AA473" s="246">
        <f>Y473</f>
        <v>32.519999999999996</v>
      </c>
      <c r="AB473" s="243">
        <f>X473</f>
        <v>23.52</v>
      </c>
      <c r="AC473" s="185" t="str">
        <f>C473</f>
        <v>Nigel Lamb</v>
      </c>
      <c r="AD473" s="185" t="str">
        <f>LEFT($B$469,3)</f>
        <v>Sha</v>
      </c>
      <c r="AE473" s="185">
        <f t="shared" ref="AE473:AY473" si="233">E473</f>
        <v>13</v>
      </c>
      <c r="AF473" s="185">
        <f t="shared" si="233"/>
        <v>9</v>
      </c>
      <c r="AG473" s="247">
        <f t="shared" si="233"/>
        <v>4</v>
      </c>
      <c r="AH473" s="247">
        <f t="shared" si="233"/>
        <v>46</v>
      </c>
      <c r="AI473" s="247">
        <f t="shared" si="233"/>
        <v>31</v>
      </c>
      <c r="AJ473" s="243">
        <f t="shared" si="233"/>
        <v>23.1</v>
      </c>
      <c r="AK473" s="243">
        <f t="shared" si="233"/>
        <v>19.47</v>
      </c>
      <c r="AL473" s="243">
        <f t="shared" si="233"/>
        <v>25.17</v>
      </c>
      <c r="AM473" s="243">
        <f t="shared" si="233"/>
        <v>22.17</v>
      </c>
      <c r="AN473" s="243">
        <f t="shared" si="233"/>
        <v>24.84</v>
      </c>
      <c r="AO473" s="243">
        <f t="shared" si="233"/>
        <v>21.09</v>
      </c>
      <c r="AP473" s="243">
        <f t="shared" si="233"/>
        <v>25.81</v>
      </c>
      <c r="AQ473" s="243">
        <f t="shared" si="233"/>
        <v>21.86</v>
      </c>
      <c r="AR473" s="243">
        <f t="shared" si="233"/>
        <v>22.75</v>
      </c>
      <c r="AS473" s="243">
        <f t="shared" si="233"/>
        <v>24.53</v>
      </c>
      <c r="AT473" s="243">
        <f t="shared" si="233"/>
        <v>24.44</v>
      </c>
      <c r="AU473" s="243">
        <f t="shared" si="233"/>
        <v>23.8</v>
      </c>
      <c r="AV473" s="243">
        <f t="shared" si="233"/>
        <v>26.73</v>
      </c>
      <c r="AW473" s="247">
        <f t="shared" si="233"/>
        <v>4</v>
      </c>
      <c r="AX473" s="243">
        <f t="shared" si="233"/>
        <v>23.52</v>
      </c>
      <c r="AY473" s="248">
        <f t="shared" si="233"/>
        <v>32.519999999999996</v>
      </c>
    </row>
    <row r="474" spans="2:51" ht="12" customHeight="1" x14ac:dyDescent="0.2">
      <c r="B474" s="266"/>
      <c r="C474" s="235"/>
      <c r="D474" s="235"/>
      <c r="E474" s="239"/>
      <c r="F474" s="182"/>
      <c r="G474" s="182"/>
      <c r="H474" s="182"/>
      <c r="I474" s="233"/>
      <c r="J474" s="163" t="str">
        <f>IF(Shaftesbury!M12="","",Shaftesbury!M12)</f>
        <v>4*2</v>
      </c>
      <c r="K474" s="41" t="str">
        <f>IF(Shaftesbury!N12="","",Shaftesbury!N12)</f>
        <v>4*3</v>
      </c>
      <c r="L474" s="41" t="str">
        <f>IF(Shaftesbury!O12="","",Shaftesbury!O12)</f>
        <v>3*4</v>
      </c>
      <c r="M474" s="41" t="str">
        <f>IF(Shaftesbury!P12="","",Shaftesbury!P12)</f>
        <v>4*3(2)</v>
      </c>
      <c r="N474" s="41" t="str">
        <f>IF(Shaftesbury!Q12="","",Shaftesbury!Q12)</f>
        <v>1*4</v>
      </c>
      <c r="O474" s="41" t="str">
        <f>IF(Shaftesbury!R12="","",Shaftesbury!R12)</f>
        <v>4*0</v>
      </c>
      <c r="P474" s="41" t="str">
        <f>IF(Shaftesbury!S12="","",Shaftesbury!S12)</f>
        <v>4*2</v>
      </c>
      <c r="Q474" s="41" t="str">
        <f>IF(Shaftesbury!T12="","",Shaftesbury!T12)</f>
        <v>4*2</v>
      </c>
      <c r="R474" s="41" t="str">
        <f>IF(Shaftesbury!U12="","",Shaftesbury!U12)</f>
        <v>4*1</v>
      </c>
      <c r="S474" s="41" t="str">
        <f>IF(Shaftesbury!V12="","",Shaftesbury!V12)</f>
        <v>3*4</v>
      </c>
      <c r="T474" s="41" t="str">
        <f>IF(Shaftesbury!W12="","",Shaftesbury!W12)</f>
        <v>4*0</v>
      </c>
      <c r="U474" s="41" t="str">
        <f>IF(Shaftesbury!X12="","",Shaftesbury!X12)</f>
        <v>4*2(1)</v>
      </c>
      <c r="V474" s="41" t="str">
        <f>IF(Shaftesbury!Y12="","",Shaftesbury!Y12)</f>
        <v>3*4(1)</v>
      </c>
      <c r="W474" s="201"/>
      <c r="X474" s="182"/>
      <c r="Y474" s="233"/>
      <c r="AA474" s="239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233"/>
    </row>
    <row r="475" spans="2:51" ht="12" customHeight="1" x14ac:dyDescent="0.2">
      <c r="B475" s="266"/>
      <c r="C475" s="263" t="str">
        <f>IF(Shaftesbury!E13="","",Shaftesbury!E13)</f>
        <v>Nigel Edwards</v>
      </c>
      <c r="D475" s="259" t="str">
        <f>LEFT($B$469,3)</f>
        <v>Sha</v>
      </c>
      <c r="E475" s="251">
        <f>IF(Shaftesbury!G13="","",Shaftesbury!G13)</f>
        <v>12</v>
      </c>
      <c r="F475" s="181">
        <f>IF(Shaftesbury!H13=0,"",Shaftesbury!H13)</f>
        <v>5</v>
      </c>
      <c r="G475" s="186">
        <f>IF(Shaftesbury!I13=0,"",Shaftesbury!I13)</f>
        <v>7</v>
      </c>
      <c r="H475" s="186">
        <f>IF(Shaftesbury!J13=0,"",Shaftesbury!J13)</f>
        <v>31</v>
      </c>
      <c r="I475" s="252">
        <f>IF(Shaftesbury!K13=0,"",Shaftesbury!K13)</f>
        <v>37</v>
      </c>
      <c r="J475" s="163">
        <f>IF(Shaftesbury!M13="","",Shaftesbury!M13)</f>
        <v>20.23</v>
      </c>
      <c r="K475" s="41">
        <f>IF(Shaftesbury!N13="","",Shaftesbury!N13)</f>
        <v>21.29</v>
      </c>
      <c r="L475" s="41">
        <f>IF(Shaftesbury!O13="","",Shaftesbury!O13)</f>
        <v>19.93</v>
      </c>
      <c r="M475" s="41">
        <f>IF(Shaftesbury!P13="","",Shaftesbury!P13)</f>
        <v>19.02</v>
      </c>
      <c r="N475" s="41" t="str">
        <f>IF(Shaftesbury!Q13="","",Shaftesbury!Q13)</f>
        <v/>
      </c>
      <c r="O475" s="41">
        <f>IF(Shaftesbury!R13="","",Shaftesbury!R13)</f>
        <v>21.98</v>
      </c>
      <c r="P475" s="41">
        <f>IF(Shaftesbury!S13="","",Shaftesbury!S13)</f>
        <v>21.88</v>
      </c>
      <c r="Q475" s="41">
        <f>IF(Shaftesbury!T13="","",Shaftesbury!T13)</f>
        <v>23.41</v>
      </c>
      <c r="R475" s="41">
        <f>IF(Shaftesbury!U13="","",Shaftesbury!U13)</f>
        <v>22.24</v>
      </c>
      <c r="S475" s="41">
        <f>IF(Shaftesbury!V13="","",Shaftesbury!V13)</f>
        <v>21.48</v>
      </c>
      <c r="T475" s="41">
        <f>IF(Shaftesbury!W13="","",Shaftesbury!W13)</f>
        <v>17.95</v>
      </c>
      <c r="U475" s="41">
        <f>IF(Shaftesbury!X13="","",Shaftesbury!X13)</f>
        <v>21.11</v>
      </c>
      <c r="V475" s="41">
        <f>IF(Shaftesbury!Y13="","",Shaftesbury!Y13)</f>
        <v>24.35</v>
      </c>
      <c r="W475" s="249">
        <f>IF(Shaftesbury!AA13=0,"",Shaftesbury!AA13)</f>
        <v>8</v>
      </c>
      <c r="X475" s="244">
        <f>IF(Shaftesbury!AB13=0,"",Shaftesbury!AB13)</f>
        <v>21.239166666666666</v>
      </c>
      <c r="Y475" s="245">
        <f>IF(Shaftesbury!AC13=0,"",Shaftesbury!AC13)</f>
        <v>26.239166666666666</v>
      </c>
      <c r="AA475" s="246">
        <f>Y475</f>
        <v>26.239166666666666</v>
      </c>
      <c r="AB475" s="243">
        <f>X475</f>
        <v>21.239166666666666</v>
      </c>
      <c r="AC475" s="185" t="str">
        <f>C475</f>
        <v>Nigel Edwards</v>
      </c>
      <c r="AD475" s="185" t="str">
        <f>LEFT($B$469,3)</f>
        <v>Sha</v>
      </c>
      <c r="AE475" s="185">
        <f t="shared" ref="AE475:AY475" si="234">E475</f>
        <v>12</v>
      </c>
      <c r="AF475" s="185">
        <f t="shared" si="234"/>
        <v>5</v>
      </c>
      <c r="AG475" s="247">
        <f t="shared" si="234"/>
        <v>7</v>
      </c>
      <c r="AH475" s="247">
        <f t="shared" si="234"/>
        <v>31</v>
      </c>
      <c r="AI475" s="247">
        <f t="shared" si="234"/>
        <v>37</v>
      </c>
      <c r="AJ475" s="243">
        <f t="shared" si="234"/>
        <v>20.23</v>
      </c>
      <c r="AK475" s="243">
        <f t="shared" si="234"/>
        <v>21.29</v>
      </c>
      <c r="AL475" s="243">
        <f t="shared" si="234"/>
        <v>19.93</v>
      </c>
      <c r="AM475" s="243">
        <f t="shared" si="234"/>
        <v>19.02</v>
      </c>
      <c r="AN475" s="243" t="str">
        <f t="shared" si="234"/>
        <v/>
      </c>
      <c r="AO475" s="243">
        <f t="shared" si="234"/>
        <v>21.98</v>
      </c>
      <c r="AP475" s="243">
        <f t="shared" si="234"/>
        <v>21.88</v>
      </c>
      <c r="AQ475" s="243">
        <f t="shared" si="234"/>
        <v>23.41</v>
      </c>
      <c r="AR475" s="243">
        <f t="shared" si="234"/>
        <v>22.24</v>
      </c>
      <c r="AS475" s="243">
        <f t="shared" si="234"/>
        <v>21.48</v>
      </c>
      <c r="AT475" s="243">
        <f t="shared" si="234"/>
        <v>17.95</v>
      </c>
      <c r="AU475" s="243">
        <f t="shared" si="234"/>
        <v>21.11</v>
      </c>
      <c r="AV475" s="243">
        <f t="shared" si="234"/>
        <v>24.35</v>
      </c>
      <c r="AW475" s="247">
        <f t="shared" si="234"/>
        <v>8</v>
      </c>
      <c r="AX475" s="243">
        <f t="shared" si="234"/>
        <v>21.239166666666666</v>
      </c>
      <c r="AY475" s="248">
        <f t="shared" si="234"/>
        <v>26.239166666666666</v>
      </c>
    </row>
    <row r="476" spans="2:51" ht="12" customHeight="1" x14ac:dyDescent="0.2">
      <c r="B476" s="266"/>
      <c r="C476" s="235"/>
      <c r="D476" s="235"/>
      <c r="E476" s="239"/>
      <c r="F476" s="182"/>
      <c r="G476" s="182"/>
      <c r="H476" s="182"/>
      <c r="I476" s="233"/>
      <c r="J476" s="163" t="str">
        <f>IF(Shaftesbury!M14="","",Shaftesbury!M14)</f>
        <v>0*4(1)</v>
      </c>
      <c r="K476" s="41" t="str">
        <f>IF(Shaftesbury!N14="","",Shaftesbury!N14)</f>
        <v>1*4</v>
      </c>
      <c r="L476" s="41" t="str">
        <f>IF(Shaftesbury!O14="","",Shaftesbury!O14)</f>
        <v>1*4</v>
      </c>
      <c r="M476" s="41" t="str">
        <f>IF(Shaftesbury!P14="","",Shaftesbury!P14)</f>
        <v>4*1(1)</v>
      </c>
      <c r="N476" s="41" t="str">
        <f>IF(Shaftesbury!Q14="","",Shaftesbury!Q14)</f>
        <v/>
      </c>
      <c r="O476" s="41" t="str">
        <f>IF(Shaftesbury!R14="","",Shaftesbury!R14)</f>
        <v>4*2(1)</v>
      </c>
      <c r="P476" s="41" t="str">
        <f>IF(Shaftesbury!S14="","",Shaftesbury!S14)</f>
        <v>3*4(1)</v>
      </c>
      <c r="Q476" s="41" t="str">
        <f>IF(Shaftesbury!T14="","",Shaftesbury!T14)</f>
        <v>4*1(1)</v>
      </c>
      <c r="R476" s="41" t="str">
        <f>IF(Shaftesbury!U14="","",Shaftesbury!U14)</f>
        <v>4*2(1)</v>
      </c>
      <c r="S476" s="41" t="str">
        <f>IF(Shaftesbury!V14="","",Shaftesbury!V14)</f>
        <v>3*4</v>
      </c>
      <c r="T476" s="41" t="str">
        <f>IF(Shaftesbury!W14="","",Shaftesbury!W14)</f>
        <v>0*4</v>
      </c>
      <c r="U476" s="41" t="str">
        <f>IF(Shaftesbury!X14="","",Shaftesbury!X14)</f>
        <v>4*3(1)</v>
      </c>
      <c r="V476" s="41" t="str">
        <f>IF(Shaftesbury!Y14="","",Shaftesbury!Y14)</f>
        <v>3*4(1)</v>
      </c>
      <c r="W476" s="201"/>
      <c r="X476" s="182"/>
      <c r="Y476" s="233"/>
      <c r="AA476" s="239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233"/>
    </row>
    <row r="477" spans="2:51" ht="12" customHeight="1" x14ac:dyDescent="0.2">
      <c r="B477" s="266"/>
      <c r="C477" s="263" t="str">
        <f>IF(Shaftesbury!E15="","",Shaftesbury!E15)</f>
        <v>Antoni Dyke</v>
      </c>
      <c r="D477" s="259" t="str">
        <f>LEFT($B$469,3)</f>
        <v>Sha</v>
      </c>
      <c r="E477" s="251">
        <f>IF(Shaftesbury!G15="","",Shaftesbury!G15)</f>
        <v>13</v>
      </c>
      <c r="F477" s="181">
        <f>IF(Shaftesbury!H15=0,"",Shaftesbury!H15)</f>
        <v>8</v>
      </c>
      <c r="G477" s="186">
        <f>IF(Shaftesbury!I15=0,"",Shaftesbury!I15)</f>
        <v>5</v>
      </c>
      <c r="H477" s="186">
        <f>IF(Shaftesbury!J15=0,"",Shaftesbury!J15)</f>
        <v>40</v>
      </c>
      <c r="I477" s="252">
        <f>IF(Shaftesbury!K15=0,"",Shaftesbury!K15)</f>
        <v>32</v>
      </c>
      <c r="J477" s="163">
        <f>IF(Shaftesbury!M15="","",Shaftesbury!M15)</f>
        <v>16.399999999999999</v>
      </c>
      <c r="K477" s="41">
        <f>IF(Shaftesbury!N15="","",Shaftesbury!N15)</f>
        <v>20.59</v>
      </c>
      <c r="L477" s="41">
        <f>IF(Shaftesbury!O15="","",Shaftesbury!O15)</f>
        <v>20.14</v>
      </c>
      <c r="M477" s="41">
        <f>IF(Shaftesbury!P15="","",Shaftesbury!P15)</f>
        <v>19.649999999999999</v>
      </c>
      <c r="N477" s="41">
        <f>IF(Shaftesbury!Q15="","",Shaftesbury!Q15)</f>
        <v>21.8</v>
      </c>
      <c r="O477" s="41">
        <f>IF(Shaftesbury!R15="","",Shaftesbury!R15)</f>
        <v>18.559999999999999</v>
      </c>
      <c r="P477" s="41">
        <f>IF(Shaftesbury!S15="","",Shaftesbury!S15)</f>
        <v>20.38</v>
      </c>
      <c r="Q477" s="41">
        <f>IF(Shaftesbury!T15="","",Shaftesbury!T15)</f>
        <v>20.260000000000002</v>
      </c>
      <c r="R477" s="41">
        <f>IF(Shaftesbury!U15="","",Shaftesbury!U15)</f>
        <v>21.42</v>
      </c>
      <c r="S477" s="41">
        <f>IF(Shaftesbury!V15="","",Shaftesbury!V15)</f>
        <v>21.15</v>
      </c>
      <c r="T477" s="41">
        <f>IF(Shaftesbury!W15="","",Shaftesbury!W15)</f>
        <v>24.74</v>
      </c>
      <c r="U477" s="41">
        <f>IF(Shaftesbury!X15="","",Shaftesbury!X15)</f>
        <v>19.850000000000001</v>
      </c>
      <c r="V477" s="41">
        <f>IF(Shaftesbury!Y15="","",Shaftesbury!Y15)</f>
        <v>20.18</v>
      </c>
      <c r="W477" s="249">
        <f>IF(Shaftesbury!AA15=0,"",Shaftesbury!AA15)</f>
        <v>3</v>
      </c>
      <c r="X477" s="244">
        <f>IF(Shaftesbury!AB15=0,"",Shaftesbury!AB15)</f>
        <v>20.393846153846155</v>
      </c>
      <c r="Y477" s="245">
        <f>IF(Shaftesbury!AC15=0,"",Shaftesbury!AC15)</f>
        <v>28.393846153846155</v>
      </c>
      <c r="AA477" s="246">
        <f>Y477</f>
        <v>28.393846153846155</v>
      </c>
      <c r="AB477" s="243">
        <f>X477</f>
        <v>20.393846153846155</v>
      </c>
      <c r="AC477" s="185" t="str">
        <f>C477</f>
        <v>Antoni Dyke</v>
      </c>
      <c r="AD477" s="185" t="str">
        <f>LEFT($B$469,3)</f>
        <v>Sha</v>
      </c>
      <c r="AE477" s="185">
        <f t="shared" ref="AE477:AY477" si="235">E477</f>
        <v>13</v>
      </c>
      <c r="AF477" s="185">
        <f t="shared" si="235"/>
        <v>8</v>
      </c>
      <c r="AG477" s="247">
        <f t="shared" si="235"/>
        <v>5</v>
      </c>
      <c r="AH477" s="247">
        <f t="shared" si="235"/>
        <v>40</v>
      </c>
      <c r="AI477" s="247">
        <f t="shared" si="235"/>
        <v>32</v>
      </c>
      <c r="AJ477" s="243">
        <f t="shared" si="235"/>
        <v>16.399999999999999</v>
      </c>
      <c r="AK477" s="243">
        <f t="shared" si="235"/>
        <v>20.59</v>
      </c>
      <c r="AL477" s="243">
        <f t="shared" si="235"/>
        <v>20.14</v>
      </c>
      <c r="AM477" s="243">
        <f t="shared" si="235"/>
        <v>19.649999999999999</v>
      </c>
      <c r="AN477" s="243">
        <f t="shared" si="235"/>
        <v>21.8</v>
      </c>
      <c r="AO477" s="243">
        <f t="shared" si="235"/>
        <v>18.559999999999999</v>
      </c>
      <c r="AP477" s="243">
        <f t="shared" si="235"/>
        <v>20.38</v>
      </c>
      <c r="AQ477" s="243">
        <f t="shared" si="235"/>
        <v>20.260000000000002</v>
      </c>
      <c r="AR477" s="243">
        <f t="shared" si="235"/>
        <v>21.42</v>
      </c>
      <c r="AS477" s="243">
        <f t="shared" si="235"/>
        <v>21.15</v>
      </c>
      <c r="AT477" s="243">
        <f t="shared" si="235"/>
        <v>24.74</v>
      </c>
      <c r="AU477" s="243">
        <f t="shared" si="235"/>
        <v>19.850000000000001</v>
      </c>
      <c r="AV477" s="243">
        <f t="shared" si="235"/>
        <v>20.18</v>
      </c>
      <c r="AW477" s="247">
        <f t="shared" si="235"/>
        <v>3</v>
      </c>
      <c r="AX477" s="243">
        <f t="shared" si="235"/>
        <v>20.393846153846155</v>
      </c>
      <c r="AY477" s="248">
        <f t="shared" si="235"/>
        <v>28.393846153846155</v>
      </c>
    </row>
    <row r="478" spans="2:51" ht="12" customHeight="1" x14ac:dyDescent="0.2">
      <c r="B478" s="266"/>
      <c r="C478" s="235"/>
      <c r="D478" s="235"/>
      <c r="E478" s="239"/>
      <c r="F478" s="182"/>
      <c r="G478" s="182"/>
      <c r="H478" s="182"/>
      <c r="I478" s="233"/>
      <c r="J478" s="163" t="str">
        <f>IF(Shaftesbury!M16="","",Shaftesbury!M16)</f>
        <v>4*1</v>
      </c>
      <c r="K478" s="41" t="str">
        <f>IF(Shaftesbury!N16="","",Shaftesbury!N16)</f>
        <v>2*4</v>
      </c>
      <c r="L478" s="41" t="str">
        <f>IF(Shaftesbury!O16="","",Shaftesbury!O16)</f>
        <v>1*4</v>
      </c>
      <c r="M478" s="41" t="str">
        <f>IF(Shaftesbury!P16="","",Shaftesbury!P16)</f>
        <v>4*1</v>
      </c>
      <c r="N478" s="41" t="str">
        <f>IF(Shaftesbury!Q16="","",Shaftesbury!Q16)</f>
        <v>4*1</v>
      </c>
      <c r="O478" s="41" t="str">
        <f>IF(Shaftesbury!R16="","",Shaftesbury!R16)</f>
        <v>0*4</v>
      </c>
      <c r="P478" s="41" t="str">
        <f>IF(Shaftesbury!S16="","",Shaftesbury!S16)</f>
        <v>2*4(1)</v>
      </c>
      <c r="Q478" s="41" t="str">
        <f>IF(Shaftesbury!T16="","",Shaftesbury!T16)</f>
        <v>4*0</v>
      </c>
      <c r="R478" s="41" t="str">
        <f>IF(Shaftesbury!U16="","",Shaftesbury!U16)</f>
        <v>4*3(1)</v>
      </c>
      <c r="S478" s="41" t="str">
        <f>IF(Shaftesbury!V16="","",Shaftesbury!V16)</f>
        <v>3*4</v>
      </c>
      <c r="T478" s="41" t="str">
        <f>IF(Shaftesbury!W16="","",Shaftesbury!W16)</f>
        <v>4*0(1)</v>
      </c>
      <c r="U478" s="41" t="str">
        <f>IF(Shaftesbury!X16="","",Shaftesbury!X16)</f>
        <v>4*3</v>
      </c>
      <c r="V478" s="41" t="str">
        <f>IF(Shaftesbury!Y16="","",Shaftesbury!Y16)</f>
        <v>4*3</v>
      </c>
      <c r="W478" s="201"/>
      <c r="X478" s="182"/>
      <c r="Y478" s="233"/>
      <c r="AA478" s="239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233"/>
    </row>
    <row r="479" spans="2:51" ht="12" customHeight="1" x14ac:dyDescent="0.2">
      <c r="B479" s="266"/>
      <c r="C479" s="263" t="str">
        <f>IF(Shaftesbury!E17="","",Shaftesbury!E17)</f>
        <v>Tony Williams</v>
      </c>
      <c r="D479" s="259" t="str">
        <f>LEFT($B$469,3)</f>
        <v>Sha</v>
      </c>
      <c r="E479" s="251">
        <f>IF(Shaftesbury!G17="","",Shaftesbury!G17)</f>
        <v>5</v>
      </c>
      <c r="F479" s="181" t="str">
        <f>IF(Shaftesbury!H17=0,"",Shaftesbury!H17)</f>
        <v/>
      </c>
      <c r="G479" s="186">
        <f>IF(Shaftesbury!I17=0,"",Shaftesbury!I17)</f>
        <v>5</v>
      </c>
      <c r="H479" s="186">
        <f>IF(Shaftesbury!J17=0,"",Shaftesbury!J17)</f>
        <v>5</v>
      </c>
      <c r="I479" s="252">
        <f>IF(Shaftesbury!K17=0,"",Shaftesbury!K17)</f>
        <v>20</v>
      </c>
      <c r="J479" s="163">
        <f>IF(Shaftesbury!M17="","",Shaftesbury!M17)</f>
        <v>14.57</v>
      </c>
      <c r="K479" s="41" t="str">
        <f>IF(Shaftesbury!N17="","",Shaftesbury!N17)</f>
        <v/>
      </c>
      <c r="L479" s="41">
        <f>IF(Shaftesbury!O17="","",Shaftesbury!O17)</f>
        <v>18.96</v>
      </c>
      <c r="M479" s="41">
        <f>IF(Shaftesbury!P17="","",Shaftesbury!P17)</f>
        <v>20.14</v>
      </c>
      <c r="N479" s="41">
        <f>IF(Shaftesbury!Q17="","",Shaftesbury!Q17)</f>
        <v>15.47</v>
      </c>
      <c r="O479" s="41" t="str">
        <f>IF(Shaftesbury!R17="","",Shaftesbury!R17)</f>
        <v/>
      </c>
      <c r="P479" s="41" t="str">
        <f>IF(Shaftesbury!S17="","",Shaftesbury!S17)</f>
        <v/>
      </c>
      <c r="Q479" s="41" t="str">
        <f>IF(Shaftesbury!T17="","",Shaftesbury!T17)</f>
        <v/>
      </c>
      <c r="R479" s="41">
        <f>IF(Shaftesbury!U17="","",Shaftesbury!U17)</f>
        <v>16.45</v>
      </c>
      <c r="S479" s="41" t="str">
        <f>IF(Shaftesbury!V17="","",Shaftesbury!V17)</f>
        <v/>
      </c>
      <c r="T479" s="41" t="str">
        <f>IF(Shaftesbury!W17="","",Shaftesbury!W17)</f>
        <v/>
      </c>
      <c r="U479" s="41" t="str">
        <f>IF(Shaftesbury!X17="","",Shaftesbury!X17)</f>
        <v/>
      </c>
      <c r="V479" s="41" t="str">
        <f>IF(Shaftesbury!Y17="","",Shaftesbury!Y17)</f>
        <v/>
      </c>
      <c r="W479" s="249" t="str">
        <f>IF(Shaftesbury!AA17=0,"",Shaftesbury!AA17)</f>
        <v/>
      </c>
      <c r="X479" s="244">
        <f>IF(Shaftesbury!AB17=0,"",Shaftesbury!AB17)</f>
        <v>17.118000000000002</v>
      </c>
      <c r="Y479" s="245">
        <f>IF(Shaftesbury!AC17=0,"",Shaftesbury!AC17)</f>
        <v>17.118000000000002</v>
      </c>
      <c r="AA479" s="246">
        <f>Y479</f>
        <v>17.118000000000002</v>
      </c>
      <c r="AB479" s="243">
        <f>X479</f>
        <v>17.118000000000002</v>
      </c>
      <c r="AC479" s="185" t="str">
        <f>C479</f>
        <v>Tony Williams</v>
      </c>
      <c r="AD479" s="185" t="str">
        <f>LEFT($B$469,3)</f>
        <v>Sha</v>
      </c>
      <c r="AE479" s="185">
        <f t="shared" ref="AE479:AY479" si="236">E479</f>
        <v>5</v>
      </c>
      <c r="AF479" s="185" t="str">
        <f t="shared" si="236"/>
        <v/>
      </c>
      <c r="AG479" s="247">
        <f t="shared" si="236"/>
        <v>5</v>
      </c>
      <c r="AH479" s="247">
        <f t="shared" si="236"/>
        <v>5</v>
      </c>
      <c r="AI479" s="247">
        <f t="shared" si="236"/>
        <v>20</v>
      </c>
      <c r="AJ479" s="243">
        <f t="shared" si="236"/>
        <v>14.57</v>
      </c>
      <c r="AK479" s="243" t="str">
        <f t="shared" si="236"/>
        <v/>
      </c>
      <c r="AL479" s="243">
        <f t="shared" si="236"/>
        <v>18.96</v>
      </c>
      <c r="AM479" s="243">
        <f t="shared" si="236"/>
        <v>20.14</v>
      </c>
      <c r="AN479" s="243">
        <f t="shared" si="236"/>
        <v>15.47</v>
      </c>
      <c r="AO479" s="243" t="str">
        <f t="shared" si="236"/>
        <v/>
      </c>
      <c r="AP479" s="243" t="str">
        <f t="shared" si="236"/>
        <v/>
      </c>
      <c r="AQ479" s="243" t="str">
        <f t="shared" si="236"/>
        <v/>
      </c>
      <c r="AR479" s="243">
        <f t="shared" si="236"/>
        <v>16.45</v>
      </c>
      <c r="AS479" s="243" t="str">
        <f t="shared" si="236"/>
        <v/>
      </c>
      <c r="AT479" s="243" t="str">
        <f t="shared" si="236"/>
        <v/>
      </c>
      <c r="AU479" s="243" t="str">
        <f t="shared" si="236"/>
        <v/>
      </c>
      <c r="AV479" s="243" t="str">
        <f t="shared" si="236"/>
        <v/>
      </c>
      <c r="AW479" s="247" t="str">
        <f t="shared" si="236"/>
        <v/>
      </c>
      <c r="AX479" s="243">
        <f t="shared" si="236"/>
        <v>17.118000000000002</v>
      </c>
      <c r="AY479" s="248">
        <f t="shared" si="236"/>
        <v>17.118000000000002</v>
      </c>
    </row>
    <row r="480" spans="2:51" ht="12" customHeight="1" x14ac:dyDescent="0.2">
      <c r="B480" s="266"/>
      <c r="C480" s="235"/>
      <c r="D480" s="235"/>
      <c r="E480" s="239"/>
      <c r="F480" s="182"/>
      <c r="G480" s="182"/>
      <c r="H480" s="182"/>
      <c r="I480" s="233"/>
      <c r="J480" s="163" t="str">
        <f>IF(Shaftesbury!M18="","",Shaftesbury!M18)</f>
        <v>0*4</v>
      </c>
      <c r="K480" s="41" t="str">
        <f>IF(Shaftesbury!N18="","",Shaftesbury!N18)</f>
        <v/>
      </c>
      <c r="L480" s="41" t="str">
        <f>IF(Shaftesbury!O18="","",Shaftesbury!O18)</f>
        <v>1*4</v>
      </c>
      <c r="M480" s="41" t="str">
        <f>IF(Shaftesbury!P18="","",Shaftesbury!P18)</f>
        <v>3*4</v>
      </c>
      <c r="N480" s="41" t="str">
        <f>IF(Shaftesbury!Q18="","",Shaftesbury!Q18)</f>
        <v>0*4</v>
      </c>
      <c r="O480" s="41" t="str">
        <f>IF(Shaftesbury!R18="","",Shaftesbury!R18)</f>
        <v/>
      </c>
      <c r="P480" s="41" t="str">
        <f>IF(Shaftesbury!S18="","",Shaftesbury!S18)</f>
        <v/>
      </c>
      <c r="Q480" s="41" t="str">
        <f>IF(Shaftesbury!T18="","",Shaftesbury!T18)</f>
        <v/>
      </c>
      <c r="R480" s="41" t="str">
        <f>IF(Shaftesbury!U18="","",Shaftesbury!U18)</f>
        <v>1*4</v>
      </c>
      <c r="S480" s="41" t="str">
        <f>IF(Shaftesbury!V18="","",Shaftesbury!V18)</f>
        <v/>
      </c>
      <c r="T480" s="41" t="str">
        <f>IF(Shaftesbury!W18="","",Shaftesbury!W18)</f>
        <v/>
      </c>
      <c r="U480" s="41" t="str">
        <f>IF(Shaftesbury!X18="","",Shaftesbury!X18)</f>
        <v/>
      </c>
      <c r="V480" s="41" t="str">
        <f>IF(Shaftesbury!Y18="","",Shaftesbury!Y18)</f>
        <v/>
      </c>
      <c r="W480" s="201"/>
      <c r="X480" s="182"/>
      <c r="Y480" s="233"/>
      <c r="AA480" s="239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233"/>
    </row>
    <row r="481" spans="2:51" ht="12" customHeight="1" x14ac:dyDescent="0.2">
      <c r="B481" s="266"/>
      <c r="C481" s="263" t="str">
        <f>IF(Shaftesbury!E19="","",Shaftesbury!E19)</f>
        <v>Ivor Sargeant</v>
      </c>
      <c r="D481" s="259" t="str">
        <f>LEFT($B$469,3)</f>
        <v>Sha</v>
      </c>
      <c r="E481" s="251">
        <f>IF(Shaftesbury!G19="","",Shaftesbury!G19)</f>
        <v>13</v>
      </c>
      <c r="F481" s="181">
        <f>IF(Shaftesbury!H19=0,"",Shaftesbury!H19)</f>
        <v>3</v>
      </c>
      <c r="G481" s="186">
        <f>IF(Shaftesbury!I19=0,"",Shaftesbury!I19)</f>
        <v>10</v>
      </c>
      <c r="H481" s="186">
        <f>IF(Shaftesbury!J19=0,"",Shaftesbury!J19)</f>
        <v>32</v>
      </c>
      <c r="I481" s="252">
        <f>IF(Shaftesbury!K19=0,"",Shaftesbury!K19)</f>
        <v>42</v>
      </c>
      <c r="J481" s="163">
        <f>IF(Shaftesbury!M19="","",Shaftesbury!M19)</f>
        <v>19.27</v>
      </c>
      <c r="K481" s="41">
        <f>IF(Shaftesbury!N19="","",Shaftesbury!N19)</f>
        <v>23.95</v>
      </c>
      <c r="L481" s="41">
        <f>IF(Shaftesbury!O19="","",Shaftesbury!O19)</f>
        <v>23.18</v>
      </c>
      <c r="M481" s="41">
        <f>IF(Shaftesbury!P19="","",Shaftesbury!P19)</f>
        <v>22.42</v>
      </c>
      <c r="N481" s="41">
        <f>IF(Shaftesbury!Q19="","",Shaftesbury!Q19)</f>
        <v>21.09</v>
      </c>
      <c r="O481" s="41">
        <f>IF(Shaftesbury!R19="","",Shaftesbury!R19)</f>
        <v>22.85</v>
      </c>
      <c r="P481" s="41">
        <f>IF(Shaftesbury!S19="","",Shaftesbury!S19)</f>
        <v>22.45</v>
      </c>
      <c r="Q481" s="41">
        <f>IF(Shaftesbury!T19="","",Shaftesbury!T19)</f>
        <v>25.05</v>
      </c>
      <c r="R481" s="41">
        <f>IF(Shaftesbury!U19="","",Shaftesbury!U19)</f>
        <v>18.329999999999998</v>
      </c>
      <c r="S481" s="41">
        <f>IF(Shaftesbury!V19="","",Shaftesbury!V19)</f>
        <v>21.51</v>
      </c>
      <c r="T481" s="41">
        <f>IF(Shaftesbury!W19="","",Shaftesbury!W19)</f>
        <v>26.63</v>
      </c>
      <c r="U481" s="41">
        <f>IF(Shaftesbury!X19="","",Shaftesbury!X19)</f>
        <v>16.489999999999998</v>
      </c>
      <c r="V481" s="41">
        <f>IF(Shaftesbury!Y19="","",Shaftesbury!Y19)</f>
        <v>23.53</v>
      </c>
      <c r="W481" s="249">
        <f>IF(Shaftesbury!AA19=0,"",Shaftesbury!AA19)</f>
        <v>6</v>
      </c>
      <c r="X481" s="244">
        <f>IF(Shaftesbury!AB19=0,"",Shaftesbury!AB19)</f>
        <v>22.057692307692307</v>
      </c>
      <c r="Y481" s="245">
        <f>IF(Shaftesbury!AC19=0,"",Shaftesbury!AC19)</f>
        <v>25.057692307692307</v>
      </c>
      <c r="AA481" s="246">
        <f>Y481</f>
        <v>25.057692307692307</v>
      </c>
      <c r="AB481" s="243">
        <f>X481</f>
        <v>22.057692307692307</v>
      </c>
      <c r="AC481" s="185" t="str">
        <f>C481</f>
        <v>Ivor Sargeant</v>
      </c>
      <c r="AD481" s="185" t="str">
        <f>LEFT($B$469,3)</f>
        <v>Sha</v>
      </c>
      <c r="AE481" s="185">
        <f t="shared" ref="AE481:AY481" si="237">E481</f>
        <v>13</v>
      </c>
      <c r="AF481" s="185">
        <f t="shared" si="237"/>
        <v>3</v>
      </c>
      <c r="AG481" s="247">
        <f t="shared" si="237"/>
        <v>10</v>
      </c>
      <c r="AH481" s="247">
        <f t="shared" si="237"/>
        <v>32</v>
      </c>
      <c r="AI481" s="247">
        <f t="shared" si="237"/>
        <v>42</v>
      </c>
      <c r="AJ481" s="243">
        <f t="shared" si="237"/>
        <v>19.27</v>
      </c>
      <c r="AK481" s="243">
        <f t="shared" si="237"/>
        <v>23.95</v>
      </c>
      <c r="AL481" s="243">
        <f t="shared" si="237"/>
        <v>23.18</v>
      </c>
      <c r="AM481" s="243">
        <f t="shared" si="237"/>
        <v>22.42</v>
      </c>
      <c r="AN481" s="243">
        <f t="shared" si="237"/>
        <v>21.09</v>
      </c>
      <c r="AO481" s="243">
        <f t="shared" si="237"/>
        <v>22.85</v>
      </c>
      <c r="AP481" s="243">
        <f t="shared" si="237"/>
        <v>22.45</v>
      </c>
      <c r="AQ481" s="243">
        <f t="shared" si="237"/>
        <v>25.05</v>
      </c>
      <c r="AR481" s="243">
        <f t="shared" si="237"/>
        <v>18.329999999999998</v>
      </c>
      <c r="AS481" s="243">
        <f t="shared" si="237"/>
        <v>21.51</v>
      </c>
      <c r="AT481" s="243">
        <f t="shared" si="237"/>
        <v>26.63</v>
      </c>
      <c r="AU481" s="243">
        <f t="shared" si="237"/>
        <v>16.489999999999998</v>
      </c>
      <c r="AV481" s="243">
        <f t="shared" si="237"/>
        <v>23.53</v>
      </c>
      <c r="AW481" s="247">
        <f t="shared" si="237"/>
        <v>6</v>
      </c>
      <c r="AX481" s="243">
        <f t="shared" si="237"/>
        <v>22.057692307692307</v>
      </c>
      <c r="AY481" s="248">
        <f t="shared" si="237"/>
        <v>25.057692307692307</v>
      </c>
    </row>
    <row r="482" spans="2:51" ht="12" customHeight="1" x14ac:dyDescent="0.2">
      <c r="B482" s="266"/>
      <c r="C482" s="235"/>
      <c r="D482" s="235"/>
      <c r="E482" s="239"/>
      <c r="F482" s="182"/>
      <c r="G482" s="182"/>
      <c r="H482" s="182"/>
      <c r="I482" s="233"/>
      <c r="J482" s="163" t="str">
        <f>IF(Shaftesbury!M20="","",Shaftesbury!M20)</f>
        <v>2*4(1)</v>
      </c>
      <c r="K482" s="41" t="str">
        <f>IF(Shaftesbury!N20="","",Shaftesbury!N20)</f>
        <v>4*2(1)</v>
      </c>
      <c r="L482" s="41" t="str">
        <f>IF(Shaftesbury!O20="","",Shaftesbury!O20)</f>
        <v>1*4(1)</v>
      </c>
      <c r="M482" s="41" t="str">
        <f>IF(Shaftesbury!P20="","",Shaftesbury!P20)</f>
        <v>1*4</v>
      </c>
      <c r="N482" s="41" t="str">
        <f>IF(Shaftesbury!Q20="","",Shaftesbury!Q20)</f>
        <v>3*4</v>
      </c>
      <c r="O482" s="41" t="str">
        <f>IF(Shaftesbury!R20="","",Shaftesbury!R20)</f>
        <v>3*4</v>
      </c>
      <c r="P482" s="41" t="str">
        <f>IF(Shaftesbury!S20="","",Shaftesbury!S20)</f>
        <v>2*4</v>
      </c>
      <c r="Q482" s="41" t="str">
        <f>IF(Shaftesbury!T20="","",Shaftesbury!T20)</f>
        <v>4*0(1)</v>
      </c>
      <c r="R482" s="41" t="str">
        <f>IF(Shaftesbury!U20="","",Shaftesbury!U20)</f>
        <v>4*0</v>
      </c>
      <c r="S482" s="41" t="str">
        <f>IF(Shaftesbury!V20="","",Shaftesbury!V20)</f>
        <v>2*4</v>
      </c>
      <c r="T482" s="41" t="str">
        <f>IF(Shaftesbury!W20="","",Shaftesbury!W20)</f>
        <v>3*4(2)</v>
      </c>
      <c r="U482" s="41" t="str">
        <f>IF(Shaftesbury!X20="","",Shaftesbury!X20)</f>
        <v>2*4</v>
      </c>
      <c r="V482" s="41" t="str">
        <f>IF(Shaftesbury!Y20="","",Shaftesbury!Y20)</f>
        <v>1*4</v>
      </c>
      <c r="W482" s="201"/>
      <c r="X482" s="182"/>
      <c r="Y482" s="233"/>
      <c r="AA482" s="239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233"/>
    </row>
    <row r="483" spans="2:51" ht="12" customHeight="1" x14ac:dyDescent="0.2">
      <c r="B483" s="266"/>
      <c r="C483" s="263" t="str">
        <f>IF(Shaftesbury!E21="","",Shaftesbury!E21)</f>
        <v>Tim Gill</v>
      </c>
      <c r="D483" s="259" t="str">
        <f>LEFT($B$469,3)</f>
        <v>Sha</v>
      </c>
      <c r="E483" s="251">
        <f>IF(Shaftesbury!G21="","",Shaftesbury!G21)</f>
        <v>13</v>
      </c>
      <c r="F483" s="181">
        <f>IF(Shaftesbury!H21=0,"",Shaftesbury!H21)</f>
        <v>9</v>
      </c>
      <c r="G483" s="186">
        <f>IF(Shaftesbury!I21=0,"",Shaftesbury!I21)</f>
        <v>4</v>
      </c>
      <c r="H483" s="186">
        <f>IF(Shaftesbury!J21=0,"",Shaftesbury!J21)</f>
        <v>42</v>
      </c>
      <c r="I483" s="252">
        <f>IF(Shaftesbury!K21=0,"",Shaftesbury!K21)</f>
        <v>24</v>
      </c>
      <c r="J483" s="163">
        <f>IF(Shaftesbury!M21="","",Shaftesbury!M21)</f>
        <v>22.77</v>
      </c>
      <c r="K483" s="41">
        <f>IF(Shaftesbury!N21="","",Shaftesbury!N21)</f>
        <v>16.14</v>
      </c>
      <c r="L483" s="41">
        <f>IF(Shaftesbury!O21="","",Shaftesbury!O21)</f>
        <v>23.77</v>
      </c>
      <c r="M483" s="41">
        <f>IF(Shaftesbury!P21="","",Shaftesbury!P21)</f>
        <v>22.53</v>
      </c>
      <c r="N483" s="41">
        <f>IF(Shaftesbury!Q21="","",Shaftesbury!Q21)</f>
        <v>20.94</v>
      </c>
      <c r="O483" s="41">
        <f>IF(Shaftesbury!R21="","",Shaftesbury!R21)</f>
        <v>18.559999999999999</v>
      </c>
      <c r="P483" s="41">
        <f>IF(Shaftesbury!S21="","",Shaftesbury!S21)</f>
        <v>17.899999999999999</v>
      </c>
      <c r="Q483" s="41">
        <f>IF(Shaftesbury!T21="","",Shaftesbury!T21)</f>
        <v>22.77</v>
      </c>
      <c r="R483" s="41">
        <f>IF(Shaftesbury!U21="","",Shaftesbury!U21)</f>
        <v>22.77</v>
      </c>
      <c r="S483" s="41">
        <f>IF(Shaftesbury!V21="","",Shaftesbury!V21)</f>
        <v>18.48</v>
      </c>
      <c r="T483" s="41">
        <f>IF(Shaftesbury!W21="","",Shaftesbury!W21)</f>
        <v>21.52</v>
      </c>
      <c r="U483" s="41">
        <f>IF(Shaftesbury!X21="","",Shaftesbury!X21)</f>
        <v>21.26</v>
      </c>
      <c r="V483" s="41">
        <f>IF(Shaftesbury!Y21="","",Shaftesbury!Y21)</f>
        <v>22.77</v>
      </c>
      <c r="W483" s="249">
        <f>IF(Shaftesbury!AA21=0,"",Shaftesbury!AA21)</f>
        <v>1</v>
      </c>
      <c r="X483" s="244">
        <f>IF(Shaftesbury!AB21=0,"",Shaftesbury!AB21)</f>
        <v>20.936923076923076</v>
      </c>
      <c r="Y483" s="245">
        <f>IF(Shaftesbury!AC21=0,"",Shaftesbury!AC21)</f>
        <v>29.936923076923076</v>
      </c>
      <c r="AA483" s="246">
        <f>Y483</f>
        <v>29.936923076923076</v>
      </c>
      <c r="AB483" s="243">
        <f>X483</f>
        <v>20.936923076923076</v>
      </c>
      <c r="AC483" s="185" t="str">
        <f>C483</f>
        <v>Tim Gill</v>
      </c>
      <c r="AD483" s="185" t="str">
        <f>LEFT($B$469,3)</f>
        <v>Sha</v>
      </c>
      <c r="AE483" s="185">
        <f t="shared" ref="AE483:AY483" si="238">E483</f>
        <v>13</v>
      </c>
      <c r="AF483" s="185">
        <f t="shared" si="238"/>
        <v>9</v>
      </c>
      <c r="AG483" s="247">
        <f t="shared" si="238"/>
        <v>4</v>
      </c>
      <c r="AH483" s="247">
        <f t="shared" si="238"/>
        <v>42</v>
      </c>
      <c r="AI483" s="247">
        <f t="shared" si="238"/>
        <v>24</v>
      </c>
      <c r="AJ483" s="243">
        <f t="shared" si="238"/>
        <v>22.77</v>
      </c>
      <c r="AK483" s="243">
        <f t="shared" si="238"/>
        <v>16.14</v>
      </c>
      <c r="AL483" s="243">
        <f t="shared" si="238"/>
        <v>23.77</v>
      </c>
      <c r="AM483" s="243">
        <f t="shared" si="238"/>
        <v>22.53</v>
      </c>
      <c r="AN483" s="243">
        <f t="shared" si="238"/>
        <v>20.94</v>
      </c>
      <c r="AO483" s="243">
        <f t="shared" si="238"/>
        <v>18.559999999999999</v>
      </c>
      <c r="AP483" s="243">
        <f t="shared" si="238"/>
        <v>17.899999999999999</v>
      </c>
      <c r="AQ483" s="243">
        <f t="shared" si="238"/>
        <v>22.77</v>
      </c>
      <c r="AR483" s="243">
        <f t="shared" si="238"/>
        <v>22.77</v>
      </c>
      <c r="AS483" s="243">
        <f t="shared" si="238"/>
        <v>18.48</v>
      </c>
      <c r="AT483" s="243">
        <f t="shared" si="238"/>
        <v>21.52</v>
      </c>
      <c r="AU483" s="243">
        <f t="shared" si="238"/>
        <v>21.26</v>
      </c>
      <c r="AV483" s="243">
        <f t="shared" si="238"/>
        <v>22.77</v>
      </c>
      <c r="AW483" s="247">
        <f t="shared" si="238"/>
        <v>1</v>
      </c>
      <c r="AX483" s="243">
        <f t="shared" si="238"/>
        <v>20.936923076923076</v>
      </c>
      <c r="AY483" s="248">
        <f t="shared" si="238"/>
        <v>29.936923076923076</v>
      </c>
    </row>
    <row r="484" spans="2:51" ht="12" customHeight="1" x14ac:dyDescent="0.2">
      <c r="B484" s="266"/>
      <c r="C484" s="235"/>
      <c r="D484" s="235"/>
      <c r="E484" s="239"/>
      <c r="F484" s="182"/>
      <c r="G484" s="182"/>
      <c r="H484" s="182"/>
      <c r="I484" s="233"/>
      <c r="J484" s="163" t="str">
        <f>IF(Shaftesbury!M22="","",Shaftesbury!M22)</f>
        <v>4*0</v>
      </c>
      <c r="K484" s="41" t="str">
        <f>IF(Shaftesbury!N22="","",Shaftesbury!N22)</f>
        <v>4*2</v>
      </c>
      <c r="L484" s="41" t="str">
        <f>IF(Shaftesbury!O22="","",Shaftesbury!O22)</f>
        <v>1*4</v>
      </c>
      <c r="M484" s="41" t="str">
        <f>IF(Shaftesbury!P22="","",Shaftesbury!P22)</f>
        <v>4*1(1)</v>
      </c>
      <c r="N484" s="41" t="str">
        <f>IF(Shaftesbury!Q22="","",Shaftesbury!Q22)</f>
        <v>3*4</v>
      </c>
      <c r="O484" s="41" t="str">
        <f>IF(Shaftesbury!R22="","",Shaftesbury!R22)</f>
        <v>4*0</v>
      </c>
      <c r="P484" s="41" t="str">
        <f>IF(Shaftesbury!S22="","",Shaftesbury!S22)</f>
        <v>4*3</v>
      </c>
      <c r="Q484" s="41" t="str">
        <f>IF(Shaftesbury!T22="","",Shaftesbury!T22)</f>
        <v>4*0</v>
      </c>
      <c r="R484" s="41" t="str">
        <f>IF(Shaftesbury!U22="","",Shaftesbury!U22)</f>
        <v>4*0</v>
      </c>
      <c r="S484" s="41" t="str">
        <f>IF(Shaftesbury!V22="","",Shaftesbury!V22)</f>
        <v>1*4</v>
      </c>
      <c r="T484" s="41" t="str">
        <f>IF(Shaftesbury!W22="","",Shaftesbury!W22)</f>
        <v>4*2</v>
      </c>
      <c r="U484" s="41" t="str">
        <f>IF(Shaftesbury!X22="","",Shaftesbury!X22)</f>
        <v>1*4</v>
      </c>
      <c r="V484" s="41" t="str">
        <f>IF(Shaftesbury!Y22="","",Shaftesbury!Y22)</f>
        <v>4*0</v>
      </c>
      <c r="W484" s="201"/>
      <c r="X484" s="182"/>
      <c r="Y484" s="233"/>
      <c r="AA484" s="239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233"/>
    </row>
    <row r="485" spans="2:51" ht="12" customHeight="1" x14ac:dyDescent="0.2">
      <c r="B485" s="266"/>
      <c r="C485" s="263" t="str">
        <f>IF(Shaftesbury!E23="","",Shaftesbury!E23)</f>
        <v>Peter Rigler</v>
      </c>
      <c r="D485" s="259" t="str">
        <f>LEFT($B$469,3)</f>
        <v>Sha</v>
      </c>
      <c r="E485" s="251">
        <f>IF(Shaftesbury!G23="","",Shaftesbury!G23)</f>
        <v>1</v>
      </c>
      <c r="F485" s="181" t="str">
        <f>IF(Shaftesbury!H23=0,"",Shaftesbury!H23)</f>
        <v/>
      </c>
      <c r="G485" s="186">
        <f>IF(Shaftesbury!I23=0,"",Shaftesbury!I23)</f>
        <v>1</v>
      </c>
      <c r="H485" s="181" t="str">
        <f>IF(Shaftesbury!J23=0,"",Shaftesbury!J23)</f>
        <v/>
      </c>
      <c r="I485" s="252">
        <f>IF(Shaftesbury!K23=0,"",Shaftesbury!K23)</f>
        <v>4</v>
      </c>
      <c r="J485" s="163" t="str">
        <f>IF(Shaftesbury!M23="","",Shaftesbury!M23)</f>
        <v/>
      </c>
      <c r="K485" s="41">
        <f>IF(Shaftesbury!N23="","",Shaftesbury!N23)</f>
        <v>19.54</v>
      </c>
      <c r="L485" s="41" t="str">
        <f>IF(Shaftesbury!O23="","",Shaftesbury!O23)</f>
        <v/>
      </c>
      <c r="M485" s="41" t="str">
        <f>IF(Shaftesbury!P23="","",Shaftesbury!P23)</f>
        <v/>
      </c>
      <c r="N485" s="41" t="str">
        <f>IF(Shaftesbury!Q23="","",Shaftesbury!Q23)</f>
        <v/>
      </c>
      <c r="O485" s="41" t="str">
        <f>IF(Shaftesbury!R23="","",Shaftesbury!R23)</f>
        <v/>
      </c>
      <c r="P485" s="41" t="str">
        <f>IF(Shaftesbury!S23="","",Shaftesbury!S23)</f>
        <v/>
      </c>
      <c r="Q485" s="41" t="str">
        <f>IF(Shaftesbury!T23="","",Shaftesbury!T23)</f>
        <v/>
      </c>
      <c r="R485" s="41" t="str">
        <f>IF(Shaftesbury!U23="","",Shaftesbury!U23)</f>
        <v/>
      </c>
      <c r="S485" s="41" t="str">
        <f>IF(Shaftesbury!V23="","",Shaftesbury!V23)</f>
        <v/>
      </c>
      <c r="T485" s="41" t="str">
        <f>IF(Shaftesbury!W23="","",Shaftesbury!W23)</f>
        <v/>
      </c>
      <c r="U485" s="41" t="str">
        <f>IF(Shaftesbury!X23="","",Shaftesbury!X23)</f>
        <v/>
      </c>
      <c r="V485" s="41" t="str">
        <f>IF(Shaftesbury!Y23="","",Shaftesbury!Y23)</f>
        <v/>
      </c>
      <c r="W485" s="249" t="str">
        <f>IF(Shaftesbury!AA23=0,"",Shaftesbury!AA23)</f>
        <v/>
      </c>
      <c r="X485" s="244">
        <f>IF(Shaftesbury!AB23=0,"",Shaftesbury!AB23)</f>
        <v>19.54</v>
      </c>
      <c r="Y485" s="245">
        <f>IF(Shaftesbury!AC23=0,"",Shaftesbury!AC23)</f>
        <v>19.54</v>
      </c>
      <c r="AA485" s="246">
        <f>Y485</f>
        <v>19.54</v>
      </c>
      <c r="AB485" s="243">
        <f>X485</f>
        <v>19.54</v>
      </c>
      <c r="AC485" s="185" t="str">
        <f>C485</f>
        <v>Peter Rigler</v>
      </c>
      <c r="AD485" s="185" t="str">
        <f>LEFT($B$469,3)</f>
        <v>Sha</v>
      </c>
      <c r="AE485" s="185">
        <f t="shared" ref="AE485:AY485" si="239">E485</f>
        <v>1</v>
      </c>
      <c r="AF485" s="185" t="str">
        <f t="shared" si="239"/>
        <v/>
      </c>
      <c r="AG485" s="247">
        <f t="shared" si="239"/>
        <v>1</v>
      </c>
      <c r="AH485" s="185" t="str">
        <f t="shared" si="239"/>
        <v/>
      </c>
      <c r="AI485" s="247">
        <f t="shared" si="239"/>
        <v>4</v>
      </c>
      <c r="AJ485" s="243" t="str">
        <f t="shared" si="239"/>
        <v/>
      </c>
      <c r="AK485" s="243">
        <f t="shared" si="239"/>
        <v>19.54</v>
      </c>
      <c r="AL485" s="243" t="str">
        <f t="shared" si="239"/>
        <v/>
      </c>
      <c r="AM485" s="243" t="str">
        <f t="shared" si="239"/>
        <v/>
      </c>
      <c r="AN485" s="243" t="str">
        <f t="shared" si="239"/>
        <v/>
      </c>
      <c r="AO485" s="243" t="str">
        <f t="shared" si="239"/>
        <v/>
      </c>
      <c r="AP485" s="243" t="str">
        <f t="shared" si="239"/>
        <v/>
      </c>
      <c r="AQ485" s="243" t="str">
        <f t="shared" si="239"/>
        <v/>
      </c>
      <c r="AR485" s="243" t="str">
        <f t="shared" si="239"/>
        <v/>
      </c>
      <c r="AS485" s="243" t="str">
        <f t="shared" si="239"/>
        <v/>
      </c>
      <c r="AT485" s="243" t="str">
        <f t="shared" si="239"/>
        <v/>
      </c>
      <c r="AU485" s="243" t="str">
        <f t="shared" si="239"/>
        <v/>
      </c>
      <c r="AV485" s="243" t="str">
        <f t="shared" si="239"/>
        <v/>
      </c>
      <c r="AW485" s="247" t="str">
        <f t="shared" si="239"/>
        <v/>
      </c>
      <c r="AX485" s="243">
        <f t="shared" si="239"/>
        <v>19.54</v>
      </c>
      <c r="AY485" s="248">
        <f t="shared" si="239"/>
        <v>19.54</v>
      </c>
    </row>
    <row r="486" spans="2:51" ht="12" customHeight="1" x14ac:dyDescent="0.2">
      <c r="B486" s="266"/>
      <c r="C486" s="235"/>
      <c r="D486" s="235"/>
      <c r="E486" s="239"/>
      <c r="F486" s="182"/>
      <c r="G486" s="182"/>
      <c r="H486" s="182"/>
      <c r="I486" s="233"/>
      <c r="J486" s="163" t="str">
        <f>IF(Shaftesbury!M24="","",Shaftesbury!M24)</f>
        <v/>
      </c>
      <c r="K486" s="41" t="str">
        <f>IF(Shaftesbury!N24="","",Shaftesbury!N24)</f>
        <v>0*4</v>
      </c>
      <c r="L486" s="41" t="str">
        <f>IF(Shaftesbury!O24="","",Shaftesbury!O24)</f>
        <v/>
      </c>
      <c r="M486" s="41" t="str">
        <f>IF(Shaftesbury!P24="","",Shaftesbury!P24)</f>
        <v/>
      </c>
      <c r="N486" s="41" t="str">
        <f>IF(Shaftesbury!Q24="","",Shaftesbury!Q24)</f>
        <v/>
      </c>
      <c r="O486" s="41" t="str">
        <f>IF(Shaftesbury!R24="","",Shaftesbury!R24)</f>
        <v/>
      </c>
      <c r="P486" s="41" t="str">
        <f>IF(Shaftesbury!S24="","",Shaftesbury!S24)</f>
        <v/>
      </c>
      <c r="Q486" s="41" t="str">
        <f>IF(Shaftesbury!T24="","",Shaftesbury!T24)</f>
        <v/>
      </c>
      <c r="R486" s="41" t="str">
        <f>IF(Shaftesbury!U24="","",Shaftesbury!U24)</f>
        <v/>
      </c>
      <c r="S486" s="41" t="str">
        <f>IF(Shaftesbury!V24="","",Shaftesbury!V24)</f>
        <v/>
      </c>
      <c r="T486" s="41" t="str">
        <f>IF(Shaftesbury!W24="","",Shaftesbury!W24)</f>
        <v/>
      </c>
      <c r="U486" s="41" t="str">
        <f>IF(Shaftesbury!X24="","",Shaftesbury!X24)</f>
        <v/>
      </c>
      <c r="V486" s="41" t="str">
        <f>IF(Shaftesbury!Y24="","",Shaftesbury!Y24)</f>
        <v/>
      </c>
      <c r="W486" s="201"/>
      <c r="X486" s="182"/>
      <c r="Y486" s="233"/>
      <c r="AA486" s="239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233"/>
    </row>
    <row r="487" spans="2:51" ht="12" customHeight="1" x14ac:dyDescent="0.2">
      <c r="B487" s="266"/>
      <c r="C487" s="263" t="str">
        <f>IF(Shaftesbury!E25="","",Shaftesbury!E25)</f>
        <v>Steve Stone</v>
      </c>
      <c r="D487" s="259" t="str">
        <f>LEFT($B$469,3)</f>
        <v>Sha</v>
      </c>
      <c r="E487" s="251">
        <f>IF(Shaftesbury!G25="","",Shaftesbury!G25)</f>
        <v>2</v>
      </c>
      <c r="F487" s="181" t="str">
        <f>IF(Shaftesbury!H25=0,"",Shaftesbury!H25)</f>
        <v/>
      </c>
      <c r="G487" s="186">
        <f>IF(Shaftesbury!I25=0,"",Shaftesbury!I25)</f>
        <v>2</v>
      </c>
      <c r="H487" s="186">
        <f>IF(Shaftesbury!J25=0,"",Shaftesbury!J25)</f>
        <v>2</v>
      </c>
      <c r="I487" s="252">
        <f>IF(Shaftesbury!K25=0,"",Shaftesbury!K25)</f>
        <v>8</v>
      </c>
      <c r="J487" s="163" t="str">
        <f>IF(Shaftesbury!M25="","",Shaftesbury!M25)</f>
        <v/>
      </c>
      <c r="K487" s="41" t="str">
        <f>IF(Shaftesbury!N25="","",Shaftesbury!N25)</f>
        <v/>
      </c>
      <c r="L487" s="41" t="str">
        <f>IF(Shaftesbury!O25="","",Shaftesbury!O25)</f>
        <v/>
      </c>
      <c r="M487" s="41" t="str">
        <f>IF(Shaftesbury!P25="","",Shaftesbury!P25)</f>
        <v/>
      </c>
      <c r="N487" s="41">
        <f>IF(Shaftesbury!Q25="","",Shaftesbury!Q25)</f>
        <v>21.79</v>
      </c>
      <c r="O487" s="41" t="str">
        <f>IF(Shaftesbury!R25="","",Shaftesbury!R25)</f>
        <v/>
      </c>
      <c r="P487" s="41" t="str">
        <f>IF(Shaftesbury!S25="","",Shaftesbury!S25)</f>
        <v/>
      </c>
      <c r="Q487" s="41">
        <f>IF(Shaftesbury!T25="","",Shaftesbury!T25)</f>
        <v>19.5</v>
      </c>
      <c r="R487" s="41" t="str">
        <f>IF(Shaftesbury!U25="","",Shaftesbury!U25)</f>
        <v/>
      </c>
      <c r="S487" s="41" t="str">
        <f>IF(Shaftesbury!V25="","",Shaftesbury!V25)</f>
        <v/>
      </c>
      <c r="T487" s="41" t="str">
        <f>IF(Shaftesbury!W25="","",Shaftesbury!W25)</f>
        <v/>
      </c>
      <c r="U487" s="41" t="str">
        <f>IF(Shaftesbury!X25="","",Shaftesbury!X25)</f>
        <v/>
      </c>
      <c r="V487" s="41" t="str">
        <f>IF(Shaftesbury!Y25="","",Shaftesbury!Y25)</f>
        <v/>
      </c>
      <c r="W487" s="249" t="str">
        <f>IF(Shaftesbury!AA25=0,"",Shaftesbury!AA25)</f>
        <v/>
      </c>
      <c r="X487" s="244">
        <f>IF(Shaftesbury!AB25=0,"",Shaftesbury!AB25)</f>
        <v>20.645</v>
      </c>
      <c r="Y487" s="245">
        <f>IF(Shaftesbury!AC25=0,"",Shaftesbury!AC25)</f>
        <v>20.645</v>
      </c>
      <c r="AA487" s="246">
        <f>Y487</f>
        <v>20.645</v>
      </c>
      <c r="AB487" s="243">
        <f>X487</f>
        <v>20.645</v>
      </c>
      <c r="AC487" s="185" t="str">
        <f>C487</f>
        <v>Steve Stone</v>
      </c>
      <c r="AD487" s="185" t="str">
        <f>LEFT($B$469,3)</f>
        <v>Sha</v>
      </c>
      <c r="AE487" s="185">
        <f t="shared" ref="AE487:AY487" si="240">E487</f>
        <v>2</v>
      </c>
      <c r="AF487" s="185" t="str">
        <f t="shared" si="240"/>
        <v/>
      </c>
      <c r="AG487" s="247">
        <f t="shared" si="240"/>
        <v>2</v>
      </c>
      <c r="AH487" s="247">
        <f t="shared" si="240"/>
        <v>2</v>
      </c>
      <c r="AI487" s="247">
        <f t="shared" si="240"/>
        <v>8</v>
      </c>
      <c r="AJ487" s="243" t="str">
        <f t="shared" si="240"/>
        <v/>
      </c>
      <c r="AK487" s="243" t="str">
        <f t="shared" si="240"/>
        <v/>
      </c>
      <c r="AL487" s="243" t="str">
        <f t="shared" si="240"/>
        <v/>
      </c>
      <c r="AM487" s="243" t="str">
        <f t="shared" si="240"/>
        <v/>
      </c>
      <c r="AN487" s="243">
        <f t="shared" si="240"/>
        <v>21.79</v>
      </c>
      <c r="AO487" s="243" t="str">
        <f t="shared" si="240"/>
        <v/>
      </c>
      <c r="AP487" s="243" t="str">
        <f t="shared" si="240"/>
        <v/>
      </c>
      <c r="AQ487" s="243">
        <f t="shared" si="240"/>
        <v>19.5</v>
      </c>
      <c r="AR487" s="243" t="str">
        <f t="shared" si="240"/>
        <v/>
      </c>
      <c r="AS487" s="243" t="str">
        <f t="shared" si="240"/>
        <v/>
      </c>
      <c r="AT487" s="243" t="str">
        <f t="shared" si="240"/>
        <v/>
      </c>
      <c r="AU487" s="243" t="str">
        <f t="shared" si="240"/>
        <v/>
      </c>
      <c r="AV487" s="243" t="str">
        <f t="shared" si="240"/>
        <v/>
      </c>
      <c r="AW487" s="247" t="str">
        <f t="shared" si="240"/>
        <v/>
      </c>
      <c r="AX487" s="243">
        <f t="shared" si="240"/>
        <v>20.645</v>
      </c>
      <c r="AY487" s="248">
        <f t="shared" si="240"/>
        <v>20.645</v>
      </c>
    </row>
    <row r="488" spans="2:51" ht="12" customHeight="1" x14ac:dyDescent="0.2">
      <c r="B488" s="266"/>
      <c r="C488" s="235"/>
      <c r="D488" s="235"/>
      <c r="E488" s="239"/>
      <c r="F488" s="182"/>
      <c r="G488" s="182"/>
      <c r="H488" s="182"/>
      <c r="I488" s="233"/>
      <c r="J488" s="163" t="str">
        <f>IF(Shaftesbury!M26="","",Shaftesbury!M26)</f>
        <v/>
      </c>
      <c r="K488" s="41" t="str">
        <f>IF(Shaftesbury!N26="","",Shaftesbury!N26)</f>
        <v/>
      </c>
      <c r="L488" s="41" t="str">
        <f>IF(Shaftesbury!O26="","",Shaftesbury!O26)</f>
        <v/>
      </c>
      <c r="M488" s="41" t="str">
        <f>IF(Shaftesbury!P26="","",Shaftesbury!P26)</f>
        <v/>
      </c>
      <c r="N488" s="41" t="str">
        <f>IF(Shaftesbury!Q26="","",Shaftesbury!Q26)</f>
        <v>0*4</v>
      </c>
      <c r="O488" s="41" t="str">
        <f>IF(Shaftesbury!R26="","",Shaftesbury!R26)</f>
        <v/>
      </c>
      <c r="P488" s="41" t="str">
        <f>IF(Shaftesbury!S26="","",Shaftesbury!S26)</f>
        <v/>
      </c>
      <c r="Q488" s="41" t="str">
        <f>IF(Shaftesbury!T26="","",Shaftesbury!T26)</f>
        <v>2*4</v>
      </c>
      <c r="R488" s="41" t="str">
        <f>IF(Shaftesbury!U26="","",Shaftesbury!U26)</f>
        <v/>
      </c>
      <c r="S488" s="41" t="str">
        <f>IF(Shaftesbury!V26="","",Shaftesbury!V26)</f>
        <v/>
      </c>
      <c r="T488" s="41" t="str">
        <f>IF(Shaftesbury!W26="","",Shaftesbury!W26)</f>
        <v/>
      </c>
      <c r="U488" s="41" t="str">
        <f>IF(Shaftesbury!X26="","",Shaftesbury!X26)</f>
        <v/>
      </c>
      <c r="V488" s="41" t="str">
        <f>IF(Shaftesbury!Y26="","",Shaftesbury!Y26)</f>
        <v/>
      </c>
      <c r="W488" s="201"/>
      <c r="X488" s="182"/>
      <c r="Y488" s="233"/>
      <c r="AA488" s="239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233"/>
    </row>
    <row r="489" spans="2:51" ht="12" customHeight="1" x14ac:dyDescent="0.2">
      <c r="B489" s="266"/>
      <c r="C489" s="263" t="str">
        <f>IF(Shaftesbury!E27="","",Shaftesbury!E27)</f>
        <v>Owen Bowden</v>
      </c>
      <c r="D489" s="259" t="str">
        <f>LEFT($B$469,3)</f>
        <v>Sha</v>
      </c>
      <c r="E489" s="251">
        <f>IF(Shaftesbury!G27="","",Shaftesbury!G27)</f>
        <v>5</v>
      </c>
      <c r="F489" s="181">
        <f>IF(Shaftesbury!H27=0,"",Shaftesbury!H27)</f>
        <v>4</v>
      </c>
      <c r="G489" s="181">
        <f>IF(Shaftesbury!I27=0,"",Shaftesbury!I27)</f>
        <v>1</v>
      </c>
      <c r="H489" s="186">
        <f>IF(Shaftesbury!J27=0,"",Shaftesbury!J27)</f>
        <v>19</v>
      </c>
      <c r="I489" s="252">
        <f>IF(Shaftesbury!K27=0,"",Shaftesbury!K27)</f>
        <v>10</v>
      </c>
      <c r="J489" s="163" t="str">
        <f>IF(Shaftesbury!M27="","",Shaftesbury!M27)</f>
        <v/>
      </c>
      <c r="K489" s="41" t="str">
        <f>IF(Shaftesbury!N27="","",Shaftesbury!N27)</f>
        <v/>
      </c>
      <c r="L489" s="41" t="str">
        <f>IF(Shaftesbury!O27="","",Shaftesbury!O27)</f>
        <v/>
      </c>
      <c r="M489" s="41" t="str">
        <f>IF(Shaftesbury!P27="","",Shaftesbury!P27)</f>
        <v/>
      </c>
      <c r="N489" s="41" t="str">
        <f>IF(Shaftesbury!Q27="","",Shaftesbury!Q27)</f>
        <v/>
      </c>
      <c r="O489" s="41" t="str">
        <f>IF(Shaftesbury!R27="","",Shaftesbury!R27)</f>
        <v/>
      </c>
      <c r="P489" s="41">
        <f>IF(Shaftesbury!S27="","",Shaftesbury!S27)</f>
        <v>26.54</v>
      </c>
      <c r="Q489" s="41" t="str">
        <f>IF(Shaftesbury!T27="","",Shaftesbury!T27)</f>
        <v/>
      </c>
      <c r="R489" s="41" t="str">
        <f>IF(Shaftesbury!U27="","",Shaftesbury!U27)</f>
        <v/>
      </c>
      <c r="S489" s="41">
        <f>IF(Shaftesbury!V27="","",Shaftesbury!V27)</f>
        <v>28.1</v>
      </c>
      <c r="T489" s="41">
        <f>IF(Shaftesbury!W27="","",Shaftesbury!W27)</f>
        <v>26.05</v>
      </c>
      <c r="U489" s="41">
        <f>IF(Shaftesbury!X27="","",Shaftesbury!X27)</f>
        <v>23.32</v>
      </c>
      <c r="V489" s="41">
        <f>IF(Shaftesbury!Y27="","",Shaftesbury!Y27)</f>
        <v>24.51</v>
      </c>
      <c r="W489" s="249">
        <f>IF(Shaftesbury!AA27=0,"",Shaftesbury!AA27)</f>
        <v>6</v>
      </c>
      <c r="X489" s="244">
        <f>IF(Shaftesbury!AB27=0,"",Shaftesbury!AB27)</f>
        <v>25.703999999999997</v>
      </c>
      <c r="Y489" s="245">
        <f>IF(Shaftesbury!AC27=0,"",Shaftesbury!AC27)</f>
        <v>29.703999999999997</v>
      </c>
      <c r="AA489" s="246">
        <f>Y489</f>
        <v>29.703999999999997</v>
      </c>
      <c r="AB489" s="243">
        <f>X489</f>
        <v>25.703999999999997</v>
      </c>
      <c r="AC489" s="185" t="str">
        <f>C489</f>
        <v>Owen Bowden</v>
      </c>
      <c r="AD489" s="185" t="str">
        <f>LEFT($B$469,3)</f>
        <v>Sha</v>
      </c>
      <c r="AE489" s="185">
        <f t="shared" ref="AE489:AY489" si="241">E489</f>
        <v>5</v>
      </c>
      <c r="AF489" s="185">
        <f t="shared" si="241"/>
        <v>4</v>
      </c>
      <c r="AG489" s="185">
        <f t="shared" si="241"/>
        <v>1</v>
      </c>
      <c r="AH489" s="247">
        <f t="shared" si="241"/>
        <v>19</v>
      </c>
      <c r="AI489" s="247">
        <f t="shared" si="241"/>
        <v>10</v>
      </c>
      <c r="AJ489" s="243" t="str">
        <f t="shared" si="241"/>
        <v/>
      </c>
      <c r="AK489" s="243" t="str">
        <f t="shared" si="241"/>
        <v/>
      </c>
      <c r="AL489" s="243" t="str">
        <f t="shared" si="241"/>
        <v/>
      </c>
      <c r="AM489" s="243" t="str">
        <f t="shared" si="241"/>
        <v/>
      </c>
      <c r="AN489" s="243" t="str">
        <f t="shared" si="241"/>
        <v/>
      </c>
      <c r="AO489" s="243" t="str">
        <f t="shared" si="241"/>
        <v/>
      </c>
      <c r="AP489" s="243">
        <f t="shared" si="241"/>
        <v>26.54</v>
      </c>
      <c r="AQ489" s="243" t="str">
        <f t="shared" si="241"/>
        <v/>
      </c>
      <c r="AR489" s="243" t="str">
        <f t="shared" si="241"/>
        <v/>
      </c>
      <c r="AS489" s="243">
        <f t="shared" si="241"/>
        <v>28.1</v>
      </c>
      <c r="AT489" s="243">
        <f t="shared" si="241"/>
        <v>26.05</v>
      </c>
      <c r="AU489" s="243">
        <f t="shared" si="241"/>
        <v>23.32</v>
      </c>
      <c r="AV489" s="243">
        <f t="shared" si="241"/>
        <v>24.51</v>
      </c>
      <c r="AW489" s="247">
        <f t="shared" si="241"/>
        <v>6</v>
      </c>
      <c r="AX489" s="243">
        <f t="shared" si="241"/>
        <v>25.703999999999997</v>
      </c>
      <c r="AY489" s="248">
        <f t="shared" si="241"/>
        <v>29.703999999999997</v>
      </c>
    </row>
    <row r="490" spans="2:51" ht="12" customHeight="1" x14ac:dyDescent="0.2">
      <c r="B490" s="266"/>
      <c r="C490" s="235"/>
      <c r="D490" s="235"/>
      <c r="E490" s="239"/>
      <c r="F490" s="182"/>
      <c r="G490" s="182"/>
      <c r="H490" s="182"/>
      <c r="I490" s="233"/>
      <c r="J490" s="163" t="str">
        <f>IF(Shaftesbury!M28="","",Shaftesbury!M28)</f>
        <v/>
      </c>
      <c r="K490" s="41" t="str">
        <f>IF(Shaftesbury!N28="","",Shaftesbury!N28)</f>
        <v/>
      </c>
      <c r="L490" s="41" t="str">
        <f>IF(Shaftesbury!O28="","",Shaftesbury!O28)</f>
        <v/>
      </c>
      <c r="M490" s="41" t="str">
        <f>IF(Shaftesbury!P28="","",Shaftesbury!P28)</f>
        <v/>
      </c>
      <c r="N490" s="41" t="str">
        <f>IF(Shaftesbury!Q28="","",Shaftesbury!Q28)</f>
        <v/>
      </c>
      <c r="O490" s="41" t="str">
        <f>IF(Shaftesbury!R28="","",Shaftesbury!R28)</f>
        <v/>
      </c>
      <c r="P490" s="41" t="str">
        <f>IF(Shaftesbury!S28="","",Shaftesbury!S28)</f>
        <v>4*2</v>
      </c>
      <c r="Q490" s="41" t="str">
        <f>IF(Shaftesbury!T28="","",Shaftesbury!T28)</f>
        <v/>
      </c>
      <c r="R490" s="41" t="str">
        <f>IF(Shaftesbury!U28="","",Shaftesbury!U28)</f>
        <v/>
      </c>
      <c r="S490" s="41" t="str">
        <f>IF(Shaftesbury!V28="","",Shaftesbury!V28)</f>
        <v>4*1</v>
      </c>
      <c r="T490" s="41" t="str">
        <f>IF(Shaftesbury!W28="","",Shaftesbury!W28)</f>
        <v>4*2(1)</v>
      </c>
      <c r="U490" s="41" t="str">
        <f>IF(Shaftesbury!X28="","",Shaftesbury!X28)</f>
        <v>4*1(2)</v>
      </c>
      <c r="V490" s="41" t="str">
        <f>IF(Shaftesbury!Y28="","",Shaftesbury!Y28)</f>
        <v>3*4(3)</v>
      </c>
      <c r="W490" s="201"/>
      <c r="X490" s="182"/>
      <c r="Y490" s="233"/>
      <c r="AA490" s="239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233"/>
    </row>
    <row r="491" spans="2:51" ht="12" customHeight="1" x14ac:dyDescent="0.2">
      <c r="B491" s="266"/>
      <c r="C491" s="263" t="str">
        <f>IF(Shaftesbury!E29="","",Shaftesbury!E29)</f>
        <v>Andy Crane</v>
      </c>
      <c r="D491" s="259" t="str">
        <f>LEFT($B$469,3)</f>
        <v>Sha</v>
      </c>
      <c r="E491" s="251">
        <f>IF(Shaftesbury!G29="","",Shaftesbury!G29)</f>
        <v>1</v>
      </c>
      <c r="F491" s="181" t="str">
        <f>IF(Shaftesbury!H29=0,"",Shaftesbury!H29)</f>
        <v/>
      </c>
      <c r="G491" s="181">
        <f>IF(Shaftesbury!I29=0,"",Shaftesbury!I29)</f>
        <v>1</v>
      </c>
      <c r="H491" s="181">
        <f>IF(Shaftesbury!J29=0,"",Shaftesbury!J29)</f>
        <v>1</v>
      </c>
      <c r="I491" s="250">
        <f>IF(Shaftesbury!K29=0,"",Shaftesbury!K29)</f>
        <v>4</v>
      </c>
      <c r="J491" s="163" t="str">
        <f>IF(Shaftesbury!M29="","",Shaftesbury!M29)</f>
        <v/>
      </c>
      <c r="K491" s="41" t="str">
        <f>IF(Shaftesbury!N29="","",Shaftesbury!N29)</f>
        <v/>
      </c>
      <c r="L491" s="41" t="str">
        <f>IF(Shaftesbury!O29="","",Shaftesbury!O29)</f>
        <v/>
      </c>
      <c r="M491" s="41" t="str">
        <f>IF(Shaftesbury!P29="","",Shaftesbury!P29)</f>
        <v/>
      </c>
      <c r="N491" s="41" t="str">
        <f>IF(Shaftesbury!Q29="","",Shaftesbury!Q29)</f>
        <v/>
      </c>
      <c r="O491" s="41">
        <f>IF(Shaftesbury!R29="","",Shaftesbury!R29)</f>
        <v>22.31</v>
      </c>
      <c r="P491" s="41" t="str">
        <f>IF(Shaftesbury!S29="","",Shaftesbury!S29)</f>
        <v/>
      </c>
      <c r="Q491" s="41" t="str">
        <f>IF(Shaftesbury!T29="","",Shaftesbury!T29)</f>
        <v/>
      </c>
      <c r="R491" s="41" t="str">
        <f>IF(Shaftesbury!U29="","",Shaftesbury!U29)</f>
        <v/>
      </c>
      <c r="S491" s="41" t="str">
        <f>IF(Shaftesbury!V29="","",Shaftesbury!V29)</f>
        <v/>
      </c>
      <c r="T491" s="41" t="str">
        <f>IF(Shaftesbury!W29="","",Shaftesbury!W29)</f>
        <v/>
      </c>
      <c r="U491" s="41" t="str">
        <f>IF(Shaftesbury!X29="","",Shaftesbury!X29)</f>
        <v/>
      </c>
      <c r="V491" s="41" t="str">
        <f>IF(Shaftesbury!Y29="","",Shaftesbury!Y29)</f>
        <v/>
      </c>
      <c r="W491" s="249">
        <f>IF(Shaftesbury!AA29=0,"",Shaftesbury!AA29)</f>
        <v>1</v>
      </c>
      <c r="X491" s="244">
        <f>IF(Shaftesbury!AB29=0,"",Shaftesbury!AB29)</f>
        <v>22.31</v>
      </c>
      <c r="Y491" s="245">
        <f>IF(Shaftesbury!AC29=0,"",Shaftesbury!AC29)</f>
        <v>22.31</v>
      </c>
      <c r="AA491" s="246">
        <f>Y491</f>
        <v>22.31</v>
      </c>
      <c r="AB491" s="243">
        <f>X491</f>
        <v>22.31</v>
      </c>
      <c r="AC491" s="185" t="str">
        <f>C491</f>
        <v>Andy Crane</v>
      </c>
      <c r="AD491" s="185" t="str">
        <f>LEFT($B$469,3)</f>
        <v>Sha</v>
      </c>
      <c r="AE491" s="185">
        <f t="shared" ref="AE491:AY491" si="242">E491</f>
        <v>1</v>
      </c>
      <c r="AF491" s="185" t="str">
        <f t="shared" si="242"/>
        <v/>
      </c>
      <c r="AG491" s="185">
        <f t="shared" si="242"/>
        <v>1</v>
      </c>
      <c r="AH491" s="185">
        <f t="shared" si="242"/>
        <v>1</v>
      </c>
      <c r="AI491" s="185">
        <f t="shared" si="242"/>
        <v>4</v>
      </c>
      <c r="AJ491" s="243" t="str">
        <f t="shared" si="242"/>
        <v/>
      </c>
      <c r="AK491" s="243" t="str">
        <f t="shared" si="242"/>
        <v/>
      </c>
      <c r="AL491" s="243" t="str">
        <f t="shared" si="242"/>
        <v/>
      </c>
      <c r="AM491" s="243" t="str">
        <f t="shared" si="242"/>
        <v/>
      </c>
      <c r="AN491" s="243" t="str">
        <f t="shared" si="242"/>
        <v/>
      </c>
      <c r="AO491" s="243">
        <f t="shared" si="242"/>
        <v>22.31</v>
      </c>
      <c r="AP491" s="243" t="str">
        <f t="shared" si="242"/>
        <v/>
      </c>
      <c r="AQ491" s="243" t="str">
        <f t="shared" si="242"/>
        <v/>
      </c>
      <c r="AR491" s="243" t="str">
        <f t="shared" si="242"/>
        <v/>
      </c>
      <c r="AS491" s="243" t="str">
        <f t="shared" si="242"/>
        <v/>
      </c>
      <c r="AT491" s="243" t="str">
        <f t="shared" si="242"/>
        <v/>
      </c>
      <c r="AU491" s="243" t="str">
        <f t="shared" si="242"/>
        <v/>
      </c>
      <c r="AV491" s="243" t="str">
        <f t="shared" si="242"/>
        <v/>
      </c>
      <c r="AW491" s="247">
        <f t="shared" si="242"/>
        <v>1</v>
      </c>
      <c r="AX491" s="243">
        <f t="shared" si="242"/>
        <v>22.31</v>
      </c>
      <c r="AY491" s="248">
        <f t="shared" si="242"/>
        <v>22.31</v>
      </c>
    </row>
    <row r="492" spans="2:51" ht="12" customHeight="1" x14ac:dyDescent="0.2">
      <c r="B492" s="266"/>
      <c r="C492" s="235"/>
      <c r="D492" s="235"/>
      <c r="E492" s="239"/>
      <c r="F492" s="182"/>
      <c r="G492" s="182"/>
      <c r="H492" s="182"/>
      <c r="I492" s="233"/>
      <c r="J492" s="163" t="str">
        <f>IF(Shaftesbury!M30="","",Shaftesbury!M30)</f>
        <v/>
      </c>
      <c r="K492" s="41" t="str">
        <f>IF(Shaftesbury!N30="","",Shaftesbury!N30)</f>
        <v/>
      </c>
      <c r="L492" s="41" t="str">
        <f>IF(Shaftesbury!O30="","",Shaftesbury!O30)</f>
        <v/>
      </c>
      <c r="M492" s="41" t="str">
        <f>IF(Shaftesbury!P30="","",Shaftesbury!P30)</f>
        <v/>
      </c>
      <c r="N492" s="41" t="str">
        <f>IF(Shaftesbury!Q30="","",Shaftesbury!Q30)</f>
        <v/>
      </c>
      <c r="O492" s="41" t="str">
        <f>IF(Shaftesbury!R30="","",Shaftesbury!R30)</f>
        <v>1*4(1)</v>
      </c>
      <c r="P492" s="41" t="str">
        <f>IF(Shaftesbury!S30="","",Shaftesbury!S30)</f>
        <v/>
      </c>
      <c r="Q492" s="41" t="str">
        <f>IF(Shaftesbury!T30="","",Shaftesbury!T30)</f>
        <v/>
      </c>
      <c r="R492" s="41" t="str">
        <f>IF(Shaftesbury!U30="","",Shaftesbury!U30)</f>
        <v/>
      </c>
      <c r="S492" s="41" t="str">
        <f>IF(Shaftesbury!V30="","",Shaftesbury!V30)</f>
        <v/>
      </c>
      <c r="T492" s="41" t="str">
        <f>IF(Shaftesbury!W30="","",Shaftesbury!W30)</f>
        <v/>
      </c>
      <c r="U492" s="41" t="str">
        <f>IF(Shaftesbury!X30="","",Shaftesbury!X30)</f>
        <v/>
      </c>
      <c r="V492" s="41" t="str">
        <f>IF(Shaftesbury!Y30="","",Shaftesbury!Y30)</f>
        <v/>
      </c>
      <c r="W492" s="201"/>
      <c r="X492" s="182"/>
      <c r="Y492" s="233"/>
      <c r="AA492" s="239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233"/>
    </row>
    <row r="493" spans="2:51" ht="12" customHeight="1" x14ac:dyDescent="0.2">
      <c r="B493" s="266"/>
      <c r="C493" s="263" t="str">
        <f>IF(Shaftesbury!E31="","",Shaftesbury!E31)</f>
        <v>Luke Sargeant</v>
      </c>
      <c r="D493" s="259" t="str">
        <f>LEFT($B$469,3)</f>
        <v>Sha</v>
      </c>
      <c r="E493" s="251">
        <f>IF(Shaftesbury!G31="","",Shaftesbury!G31)</f>
        <v>1</v>
      </c>
      <c r="F493" s="181" t="str">
        <f>IF(Shaftesbury!H31=0,"",Shaftesbury!H31)</f>
        <v/>
      </c>
      <c r="G493" s="181">
        <f>IF(Shaftesbury!I31=0,"",Shaftesbury!I31)</f>
        <v>1</v>
      </c>
      <c r="H493" s="181" t="str">
        <f>IF(Shaftesbury!J31=0,"",Shaftesbury!J31)</f>
        <v/>
      </c>
      <c r="I493" s="250">
        <f>IF(Shaftesbury!K31=0,"",Shaftesbury!K31)</f>
        <v>4</v>
      </c>
      <c r="J493" s="163" t="str">
        <f>IF(Shaftesbury!M31="","",Shaftesbury!M31)</f>
        <v/>
      </c>
      <c r="K493" s="41" t="str">
        <f>IF(Shaftesbury!N31="","",Shaftesbury!N31)</f>
        <v/>
      </c>
      <c r="L493" s="41" t="str">
        <f>IF(Shaftesbury!O31="","",Shaftesbury!O31)</f>
        <v/>
      </c>
      <c r="M493" s="41" t="str">
        <f>IF(Shaftesbury!P31="","",Shaftesbury!P31)</f>
        <v/>
      </c>
      <c r="N493" s="41" t="str">
        <f>IF(Shaftesbury!Q31="","",Shaftesbury!Q31)</f>
        <v/>
      </c>
      <c r="O493" s="41">
        <f>IF(Shaftesbury!R31="","",Shaftesbury!R31)</f>
        <v>20.85</v>
      </c>
      <c r="P493" s="41" t="str">
        <f>IF(Shaftesbury!S31="","",Shaftesbury!S31)</f>
        <v/>
      </c>
      <c r="Q493" s="41" t="str">
        <f>IF(Shaftesbury!T31="","",Shaftesbury!T31)</f>
        <v/>
      </c>
      <c r="R493" s="41" t="str">
        <f>IF(Shaftesbury!U31="","",Shaftesbury!U31)</f>
        <v/>
      </c>
      <c r="S493" s="41" t="str">
        <f>IF(Shaftesbury!V31="","",Shaftesbury!V31)</f>
        <v/>
      </c>
      <c r="T493" s="41" t="str">
        <f>IF(Shaftesbury!W31="","",Shaftesbury!W31)</f>
        <v/>
      </c>
      <c r="U493" s="41" t="str">
        <f>IF(Shaftesbury!X31="","",Shaftesbury!X31)</f>
        <v/>
      </c>
      <c r="V493" s="41" t="str">
        <f>IF(Shaftesbury!Y31="","",Shaftesbury!Y31)</f>
        <v/>
      </c>
      <c r="W493" s="249" t="str">
        <f>IF(Shaftesbury!AA31=0,"",Shaftesbury!AA31)</f>
        <v/>
      </c>
      <c r="X493" s="244">
        <f>IF(Shaftesbury!AB31=0,"",Shaftesbury!AB31)</f>
        <v>20.85</v>
      </c>
      <c r="Y493" s="245">
        <f>IF(Shaftesbury!AC31=0,"",Shaftesbury!AC31)</f>
        <v>20.85</v>
      </c>
      <c r="AA493" s="246">
        <f>Y493</f>
        <v>20.85</v>
      </c>
      <c r="AB493" s="243">
        <f>X493</f>
        <v>20.85</v>
      </c>
      <c r="AC493" s="185" t="str">
        <f>C493</f>
        <v>Luke Sargeant</v>
      </c>
      <c r="AD493" s="185" t="str">
        <f>LEFT($B$469,3)</f>
        <v>Sha</v>
      </c>
      <c r="AE493" s="185">
        <f t="shared" ref="AE493:AY493" si="243">E493</f>
        <v>1</v>
      </c>
      <c r="AF493" s="185" t="str">
        <f t="shared" si="243"/>
        <v/>
      </c>
      <c r="AG493" s="185">
        <f t="shared" si="243"/>
        <v>1</v>
      </c>
      <c r="AH493" s="185" t="str">
        <f t="shared" si="243"/>
        <v/>
      </c>
      <c r="AI493" s="185">
        <f t="shared" si="243"/>
        <v>4</v>
      </c>
      <c r="AJ493" s="243" t="str">
        <f t="shared" si="243"/>
        <v/>
      </c>
      <c r="AK493" s="243" t="str">
        <f t="shared" si="243"/>
        <v/>
      </c>
      <c r="AL493" s="243" t="str">
        <f t="shared" si="243"/>
        <v/>
      </c>
      <c r="AM493" s="243" t="str">
        <f t="shared" si="243"/>
        <v/>
      </c>
      <c r="AN493" s="243" t="str">
        <f t="shared" si="243"/>
        <v/>
      </c>
      <c r="AO493" s="243">
        <f t="shared" si="243"/>
        <v>20.85</v>
      </c>
      <c r="AP493" s="243" t="str">
        <f t="shared" si="243"/>
        <v/>
      </c>
      <c r="AQ493" s="243" t="str">
        <f t="shared" si="243"/>
        <v/>
      </c>
      <c r="AR493" s="243" t="str">
        <f t="shared" si="243"/>
        <v/>
      </c>
      <c r="AS493" s="243" t="str">
        <f t="shared" si="243"/>
        <v/>
      </c>
      <c r="AT493" s="243" t="str">
        <f t="shared" si="243"/>
        <v/>
      </c>
      <c r="AU493" s="243" t="str">
        <f t="shared" si="243"/>
        <v/>
      </c>
      <c r="AV493" s="243" t="str">
        <f t="shared" si="243"/>
        <v/>
      </c>
      <c r="AW493" s="247" t="str">
        <f t="shared" si="243"/>
        <v/>
      </c>
      <c r="AX493" s="243">
        <f t="shared" si="243"/>
        <v>20.85</v>
      </c>
      <c r="AY493" s="248">
        <f t="shared" si="243"/>
        <v>20.85</v>
      </c>
    </row>
    <row r="494" spans="2:51" ht="12" customHeight="1" x14ac:dyDescent="0.2">
      <c r="B494" s="266"/>
      <c r="C494" s="235"/>
      <c r="D494" s="235"/>
      <c r="E494" s="239"/>
      <c r="F494" s="182"/>
      <c r="G494" s="182"/>
      <c r="H494" s="182"/>
      <c r="I494" s="233"/>
      <c r="J494" s="163" t="str">
        <f>IF(Shaftesbury!M32="","",Shaftesbury!M32)</f>
        <v/>
      </c>
      <c r="K494" s="41" t="str">
        <f>IF(Shaftesbury!N32="","",Shaftesbury!N32)</f>
        <v/>
      </c>
      <c r="L494" s="41" t="str">
        <f>IF(Shaftesbury!O32="","",Shaftesbury!O32)</f>
        <v/>
      </c>
      <c r="M494" s="41" t="str">
        <f>IF(Shaftesbury!P32="","",Shaftesbury!P32)</f>
        <v/>
      </c>
      <c r="N494" s="41" t="str">
        <f>IF(Shaftesbury!Q32="","",Shaftesbury!Q32)</f>
        <v/>
      </c>
      <c r="O494" s="41" t="str">
        <f>IF(Shaftesbury!R32="","",Shaftesbury!R32)</f>
        <v>0*4</v>
      </c>
      <c r="P494" s="41" t="str">
        <f>IF(Shaftesbury!S32="","",Shaftesbury!S32)</f>
        <v/>
      </c>
      <c r="Q494" s="41" t="str">
        <f>IF(Shaftesbury!T32="","",Shaftesbury!T32)</f>
        <v/>
      </c>
      <c r="R494" s="41" t="str">
        <f>IF(Shaftesbury!U32="","",Shaftesbury!U32)</f>
        <v/>
      </c>
      <c r="S494" s="41" t="str">
        <f>IF(Shaftesbury!V32="","",Shaftesbury!V32)</f>
        <v/>
      </c>
      <c r="T494" s="41" t="str">
        <f>IF(Shaftesbury!W32="","",Shaftesbury!W32)</f>
        <v/>
      </c>
      <c r="U494" s="41" t="str">
        <f>IF(Shaftesbury!X32="","",Shaftesbury!X32)</f>
        <v/>
      </c>
      <c r="V494" s="41" t="str">
        <f>IF(Shaftesbury!Y32="","",Shaftesbury!Y32)</f>
        <v/>
      </c>
      <c r="W494" s="201"/>
      <c r="X494" s="182"/>
      <c r="Y494" s="233"/>
      <c r="AA494" s="239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233"/>
    </row>
    <row r="495" spans="2:51" ht="12" customHeight="1" x14ac:dyDescent="0.2">
      <c r="B495" s="266"/>
      <c r="C495" s="263" t="str">
        <f>IF(Shaftesbury!E33="","",Shaftesbury!E33)</f>
        <v/>
      </c>
      <c r="D495" s="259" t="str">
        <f>LEFT($B$469,3)</f>
        <v>Sha</v>
      </c>
      <c r="E495" s="251" t="str">
        <f>IF(Shaftesbury!G33="","",Shaftesbury!G33)</f>
        <v/>
      </c>
      <c r="F495" s="181" t="str">
        <f>IF(Shaftesbury!H33=0,"",Shaftesbury!H33)</f>
        <v/>
      </c>
      <c r="G495" s="181" t="str">
        <f>IF(Shaftesbury!I33=0,"",Shaftesbury!I33)</f>
        <v/>
      </c>
      <c r="H495" s="181" t="str">
        <f>IF(Shaftesbury!J33=0,"",Shaftesbury!J33)</f>
        <v/>
      </c>
      <c r="I495" s="250" t="str">
        <f>IF(Shaftesbury!K33=0,"",Shaftesbury!K33)</f>
        <v/>
      </c>
      <c r="J495" s="163" t="str">
        <f>IF(Shaftesbury!M33="","",Shaftesbury!M33)</f>
        <v/>
      </c>
      <c r="K495" s="41" t="str">
        <f>IF(Shaftesbury!N33="","",Shaftesbury!N33)</f>
        <v/>
      </c>
      <c r="L495" s="41" t="str">
        <f>IF(Shaftesbury!O33="","",Shaftesbury!O33)</f>
        <v/>
      </c>
      <c r="M495" s="41" t="str">
        <f>IF(Shaftesbury!P33="","",Shaftesbury!P33)</f>
        <v/>
      </c>
      <c r="N495" s="41" t="str">
        <f>IF(Shaftesbury!Q33="","",Shaftesbury!Q33)</f>
        <v/>
      </c>
      <c r="O495" s="41" t="str">
        <f>IF(Shaftesbury!R33="","",Shaftesbury!R33)</f>
        <v/>
      </c>
      <c r="P495" s="41" t="str">
        <f>IF(Shaftesbury!S33="","",Shaftesbury!S33)</f>
        <v/>
      </c>
      <c r="Q495" s="41" t="str">
        <f>IF(Shaftesbury!T33="","",Shaftesbury!T33)</f>
        <v/>
      </c>
      <c r="R495" s="41" t="str">
        <f>IF(Shaftesbury!U33="","",Shaftesbury!U33)</f>
        <v/>
      </c>
      <c r="S495" s="41" t="str">
        <f>IF(Shaftesbury!V33="","",Shaftesbury!V33)</f>
        <v/>
      </c>
      <c r="T495" s="41" t="str">
        <f>IF(Shaftesbury!W33="","",Shaftesbury!W33)</f>
        <v/>
      </c>
      <c r="U495" s="41" t="str">
        <f>IF(Shaftesbury!X33="","",Shaftesbury!X33)</f>
        <v/>
      </c>
      <c r="V495" s="41" t="str">
        <f>IF(Shaftesbury!Y33="","",Shaftesbury!Y33)</f>
        <v/>
      </c>
      <c r="W495" s="249" t="str">
        <f>IF(Shaftesbury!AA33=0,"",Shaftesbury!AA33)</f>
        <v/>
      </c>
      <c r="X495" s="244" t="str">
        <f>IF(Shaftesbury!AB33=0,"",Shaftesbury!AB33)</f>
        <v/>
      </c>
      <c r="Y495" s="245" t="str">
        <f>IF(Shaftesbury!AC33=0,"",Shaftesbury!AC33)</f>
        <v/>
      </c>
      <c r="AA495" s="246" t="str">
        <f>Y495</f>
        <v/>
      </c>
      <c r="AB495" s="243" t="str">
        <f>X495</f>
        <v/>
      </c>
      <c r="AC495" s="185" t="str">
        <f>C495</f>
        <v/>
      </c>
      <c r="AD495" s="185" t="str">
        <f>LEFT($B$469,3)</f>
        <v>Sha</v>
      </c>
      <c r="AE495" s="185" t="str">
        <f t="shared" ref="AE495:AY495" si="244">E495</f>
        <v/>
      </c>
      <c r="AF495" s="185" t="str">
        <f t="shared" si="244"/>
        <v/>
      </c>
      <c r="AG495" s="185" t="str">
        <f t="shared" si="244"/>
        <v/>
      </c>
      <c r="AH495" s="185" t="str">
        <f t="shared" si="244"/>
        <v/>
      </c>
      <c r="AI495" s="185" t="str">
        <f t="shared" si="244"/>
        <v/>
      </c>
      <c r="AJ495" s="243" t="str">
        <f t="shared" si="244"/>
        <v/>
      </c>
      <c r="AK495" s="243" t="str">
        <f t="shared" si="244"/>
        <v/>
      </c>
      <c r="AL495" s="243" t="str">
        <f t="shared" si="244"/>
        <v/>
      </c>
      <c r="AM495" s="243" t="str">
        <f t="shared" si="244"/>
        <v/>
      </c>
      <c r="AN495" s="243" t="str">
        <f t="shared" si="244"/>
        <v/>
      </c>
      <c r="AO495" s="243" t="str">
        <f t="shared" si="244"/>
        <v/>
      </c>
      <c r="AP495" s="243" t="str">
        <f t="shared" si="244"/>
        <v/>
      </c>
      <c r="AQ495" s="243" t="str">
        <f t="shared" si="244"/>
        <v/>
      </c>
      <c r="AR495" s="243" t="str">
        <f t="shared" si="244"/>
        <v/>
      </c>
      <c r="AS495" s="243" t="str">
        <f t="shared" si="244"/>
        <v/>
      </c>
      <c r="AT495" s="243" t="str">
        <f t="shared" si="244"/>
        <v/>
      </c>
      <c r="AU495" s="243" t="str">
        <f t="shared" si="244"/>
        <v/>
      </c>
      <c r="AV495" s="243" t="str">
        <f t="shared" si="244"/>
        <v/>
      </c>
      <c r="AW495" s="247" t="str">
        <f t="shared" si="244"/>
        <v/>
      </c>
      <c r="AX495" s="243" t="str">
        <f t="shared" si="244"/>
        <v/>
      </c>
      <c r="AY495" s="248" t="str">
        <f t="shared" si="244"/>
        <v/>
      </c>
    </row>
    <row r="496" spans="2:51" ht="12" customHeight="1" x14ac:dyDescent="0.2">
      <c r="B496" s="266"/>
      <c r="C496" s="235"/>
      <c r="D496" s="235"/>
      <c r="E496" s="239"/>
      <c r="F496" s="182"/>
      <c r="G496" s="182"/>
      <c r="H496" s="182"/>
      <c r="I496" s="233"/>
      <c r="J496" s="163" t="str">
        <f>IF(Shaftesbury!M34="","",Shaftesbury!M34)</f>
        <v/>
      </c>
      <c r="K496" s="41" t="str">
        <f>IF(Shaftesbury!N34="","",Shaftesbury!N34)</f>
        <v/>
      </c>
      <c r="L496" s="41" t="str">
        <f>IF(Shaftesbury!O34="","",Shaftesbury!O34)</f>
        <v/>
      </c>
      <c r="M496" s="41" t="str">
        <f>IF(Shaftesbury!P34="","",Shaftesbury!P34)</f>
        <v/>
      </c>
      <c r="N496" s="41" t="str">
        <f>IF(Shaftesbury!Q34="","",Shaftesbury!Q34)</f>
        <v/>
      </c>
      <c r="O496" s="41" t="str">
        <f>IF(Shaftesbury!R34="","",Shaftesbury!R34)</f>
        <v/>
      </c>
      <c r="P496" s="41" t="str">
        <f>IF(Shaftesbury!S34="","",Shaftesbury!S34)</f>
        <v/>
      </c>
      <c r="Q496" s="41" t="str">
        <f>IF(Shaftesbury!T34="","",Shaftesbury!T34)</f>
        <v/>
      </c>
      <c r="R496" s="41" t="str">
        <f>IF(Shaftesbury!U34="","",Shaftesbury!U34)</f>
        <v/>
      </c>
      <c r="S496" s="41" t="str">
        <f>IF(Shaftesbury!V34="","",Shaftesbury!V34)</f>
        <v/>
      </c>
      <c r="T496" s="41" t="str">
        <f>IF(Shaftesbury!W34="","",Shaftesbury!W34)</f>
        <v/>
      </c>
      <c r="U496" s="41" t="str">
        <f>IF(Shaftesbury!X34="","",Shaftesbury!X34)</f>
        <v/>
      </c>
      <c r="V496" s="41" t="str">
        <f>IF(Shaftesbury!Y34="","",Shaftesbury!Y34)</f>
        <v/>
      </c>
      <c r="W496" s="201"/>
      <c r="X496" s="182"/>
      <c r="Y496" s="233"/>
      <c r="AA496" s="239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233"/>
    </row>
    <row r="497" spans="2:51" ht="12" customHeight="1" x14ac:dyDescent="0.2">
      <c r="B497" s="266"/>
      <c r="C497" s="263" t="str">
        <f>IF(Shaftesbury!E35="","",Shaftesbury!E35)</f>
        <v/>
      </c>
      <c r="D497" s="259" t="str">
        <f>LEFT($B$469,3)</f>
        <v>Sha</v>
      </c>
      <c r="E497" s="251" t="str">
        <f>IF(Shaftesbury!G35="","",Shaftesbury!G35)</f>
        <v/>
      </c>
      <c r="F497" s="181" t="str">
        <f>IF(Shaftesbury!H35=0,"",Shaftesbury!H35)</f>
        <v/>
      </c>
      <c r="G497" s="181" t="str">
        <f>IF(Shaftesbury!I35=0,"",Shaftesbury!I35)</f>
        <v/>
      </c>
      <c r="H497" s="181" t="str">
        <f>IF(Shaftesbury!J35=0,"",Shaftesbury!J35)</f>
        <v/>
      </c>
      <c r="I497" s="250" t="str">
        <f>IF(Shaftesbury!K35=0,"",Shaftesbury!K35)</f>
        <v/>
      </c>
      <c r="J497" s="163" t="str">
        <f>IF(Shaftesbury!M35="","",Shaftesbury!M35)</f>
        <v/>
      </c>
      <c r="K497" s="41" t="str">
        <f>IF(Shaftesbury!N35="","",Shaftesbury!N35)</f>
        <v/>
      </c>
      <c r="L497" s="41" t="str">
        <f>IF(Shaftesbury!O35="","",Shaftesbury!O35)</f>
        <v/>
      </c>
      <c r="M497" s="41" t="str">
        <f>IF(Shaftesbury!P35="","",Shaftesbury!P35)</f>
        <v/>
      </c>
      <c r="N497" s="41" t="str">
        <f>IF(Shaftesbury!Q35="","",Shaftesbury!Q35)</f>
        <v/>
      </c>
      <c r="O497" s="41" t="str">
        <f>IF(Shaftesbury!R35="","",Shaftesbury!R35)</f>
        <v/>
      </c>
      <c r="P497" s="41" t="str">
        <f>IF(Shaftesbury!S35="","",Shaftesbury!S35)</f>
        <v/>
      </c>
      <c r="Q497" s="41" t="str">
        <f>IF(Shaftesbury!T35="","",Shaftesbury!T35)</f>
        <v/>
      </c>
      <c r="R497" s="41" t="str">
        <f>IF(Shaftesbury!U35="","",Shaftesbury!U35)</f>
        <v/>
      </c>
      <c r="S497" s="41" t="str">
        <f>IF(Shaftesbury!V35="","",Shaftesbury!V35)</f>
        <v/>
      </c>
      <c r="T497" s="41" t="str">
        <f>IF(Shaftesbury!W35="","",Shaftesbury!W35)</f>
        <v/>
      </c>
      <c r="U497" s="41" t="str">
        <f>IF(Shaftesbury!X35="","",Shaftesbury!X35)</f>
        <v/>
      </c>
      <c r="V497" s="41" t="str">
        <f>IF(Shaftesbury!Y35="","",Shaftesbury!Y35)</f>
        <v/>
      </c>
      <c r="W497" s="249" t="str">
        <f>IF(Shaftesbury!AA35=0,"",Shaftesbury!AA35)</f>
        <v/>
      </c>
      <c r="X497" s="244" t="str">
        <f>IF(Shaftesbury!AB35=0,"",Shaftesbury!AB35)</f>
        <v/>
      </c>
      <c r="Y497" s="245" t="str">
        <f>IF(Shaftesbury!AC35=0,"",Shaftesbury!AC35)</f>
        <v/>
      </c>
      <c r="AA497" s="246" t="str">
        <f>Y497</f>
        <v/>
      </c>
      <c r="AB497" s="243" t="str">
        <f>X497</f>
        <v/>
      </c>
      <c r="AC497" s="185" t="str">
        <f>C497</f>
        <v/>
      </c>
      <c r="AD497" s="185" t="str">
        <f>LEFT($B$469,3)</f>
        <v>Sha</v>
      </c>
      <c r="AE497" s="185" t="str">
        <f t="shared" ref="AE497:AY497" si="245">E497</f>
        <v/>
      </c>
      <c r="AF497" s="185" t="str">
        <f t="shared" si="245"/>
        <v/>
      </c>
      <c r="AG497" s="185" t="str">
        <f t="shared" si="245"/>
        <v/>
      </c>
      <c r="AH497" s="185" t="str">
        <f t="shared" si="245"/>
        <v/>
      </c>
      <c r="AI497" s="185" t="str">
        <f t="shared" si="245"/>
        <v/>
      </c>
      <c r="AJ497" s="243" t="str">
        <f t="shared" si="245"/>
        <v/>
      </c>
      <c r="AK497" s="243" t="str">
        <f t="shared" si="245"/>
        <v/>
      </c>
      <c r="AL497" s="243" t="str">
        <f t="shared" si="245"/>
        <v/>
      </c>
      <c r="AM497" s="243" t="str">
        <f t="shared" si="245"/>
        <v/>
      </c>
      <c r="AN497" s="243" t="str">
        <f t="shared" si="245"/>
        <v/>
      </c>
      <c r="AO497" s="243" t="str">
        <f t="shared" si="245"/>
        <v/>
      </c>
      <c r="AP497" s="243" t="str">
        <f t="shared" si="245"/>
        <v/>
      </c>
      <c r="AQ497" s="243" t="str">
        <f t="shared" si="245"/>
        <v/>
      </c>
      <c r="AR497" s="243" t="str">
        <f t="shared" si="245"/>
        <v/>
      </c>
      <c r="AS497" s="243" t="str">
        <f t="shared" si="245"/>
        <v/>
      </c>
      <c r="AT497" s="243" t="str">
        <f t="shared" si="245"/>
        <v/>
      </c>
      <c r="AU497" s="243" t="str">
        <f t="shared" si="245"/>
        <v/>
      </c>
      <c r="AV497" s="243" t="str">
        <f t="shared" si="245"/>
        <v/>
      </c>
      <c r="AW497" s="247" t="str">
        <f t="shared" si="245"/>
        <v/>
      </c>
      <c r="AX497" s="243" t="str">
        <f t="shared" si="245"/>
        <v/>
      </c>
      <c r="AY497" s="248" t="str">
        <f t="shared" si="245"/>
        <v/>
      </c>
    </row>
    <row r="498" spans="2:51" ht="12" customHeight="1" x14ac:dyDescent="0.2">
      <c r="B498" s="266"/>
      <c r="C498" s="235"/>
      <c r="D498" s="235"/>
      <c r="E498" s="239"/>
      <c r="F498" s="182"/>
      <c r="G498" s="182"/>
      <c r="H498" s="182"/>
      <c r="I498" s="233"/>
      <c r="J498" s="163" t="str">
        <f>IF(Shaftesbury!M36="","",Shaftesbury!M36)</f>
        <v/>
      </c>
      <c r="K498" s="41" t="str">
        <f>IF(Shaftesbury!N36="","",Shaftesbury!N36)</f>
        <v/>
      </c>
      <c r="L498" s="41" t="str">
        <f>IF(Shaftesbury!O36="","",Shaftesbury!O36)</f>
        <v/>
      </c>
      <c r="M498" s="41" t="str">
        <f>IF(Shaftesbury!P36="","",Shaftesbury!P36)</f>
        <v/>
      </c>
      <c r="N498" s="41" t="str">
        <f>IF(Shaftesbury!Q36="","",Shaftesbury!Q36)</f>
        <v/>
      </c>
      <c r="O498" s="41" t="str">
        <f>IF(Shaftesbury!R36="","",Shaftesbury!R36)</f>
        <v/>
      </c>
      <c r="P498" s="41" t="str">
        <f>IF(Shaftesbury!S36="","",Shaftesbury!S36)</f>
        <v/>
      </c>
      <c r="Q498" s="41" t="str">
        <f>IF(Shaftesbury!T36="","",Shaftesbury!T36)</f>
        <v/>
      </c>
      <c r="R498" s="41" t="str">
        <f>IF(Shaftesbury!U36="","",Shaftesbury!U36)</f>
        <v/>
      </c>
      <c r="S498" s="41" t="str">
        <f>IF(Shaftesbury!V36="","",Shaftesbury!V36)</f>
        <v/>
      </c>
      <c r="T498" s="41" t="str">
        <f>IF(Shaftesbury!W36="","",Shaftesbury!W36)</f>
        <v/>
      </c>
      <c r="U498" s="41" t="str">
        <f>IF(Shaftesbury!X36="","",Shaftesbury!X36)</f>
        <v/>
      </c>
      <c r="V498" s="41" t="str">
        <f>IF(Shaftesbury!Y36="","",Shaftesbury!Y36)</f>
        <v/>
      </c>
      <c r="W498" s="201"/>
      <c r="X498" s="182"/>
      <c r="Y498" s="233"/>
      <c r="AA498" s="239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233"/>
    </row>
    <row r="499" spans="2:51" ht="12" customHeight="1" x14ac:dyDescent="0.2">
      <c r="B499" s="266"/>
      <c r="C499" s="263" t="str">
        <f>IF(Shaftesbury!E37="","",Shaftesbury!E37)</f>
        <v/>
      </c>
      <c r="D499" s="259" t="str">
        <f>LEFT($B$469,3)</f>
        <v>Sha</v>
      </c>
      <c r="E499" s="251" t="str">
        <f>IF(Shaftesbury!G37="","",Shaftesbury!G37)</f>
        <v/>
      </c>
      <c r="F499" s="181" t="str">
        <f>IF(Shaftesbury!H37=0,"",Shaftesbury!H37)</f>
        <v/>
      </c>
      <c r="G499" s="181" t="str">
        <f>IF(Shaftesbury!I37=0,"",Shaftesbury!I37)</f>
        <v/>
      </c>
      <c r="H499" s="181" t="str">
        <f>IF(Shaftesbury!J37=0,"",Shaftesbury!J37)</f>
        <v/>
      </c>
      <c r="I499" s="250" t="str">
        <f>IF(Shaftesbury!K37=0,"",Shaftesbury!K37)</f>
        <v/>
      </c>
      <c r="J499" s="163" t="str">
        <f>IF(Shaftesbury!M37="","",Shaftesbury!M37)</f>
        <v/>
      </c>
      <c r="K499" s="41" t="str">
        <f>IF(Shaftesbury!N37="","",Shaftesbury!N37)</f>
        <v/>
      </c>
      <c r="L499" s="41" t="str">
        <f>IF(Shaftesbury!O37="","",Shaftesbury!O37)</f>
        <v/>
      </c>
      <c r="M499" s="41" t="str">
        <f>IF(Shaftesbury!P37="","",Shaftesbury!P37)</f>
        <v/>
      </c>
      <c r="N499" s="41" t="str">
        <f>IF(Shaftesbury!Q37="","",Shaftesbury!Q37)</f>
        <v/>
      </c>
      <c r="O499" s="41" t="str">
        <f>IF(Shaftesbury!R37="","",Shaftesbury!R37)</f>
        <v/>
      </c>
      <c r="P499" s="41" t="str">
        <f>IF(Shaftesbury!S37="","",Shaftesbury!S37)</f>
        <v/>
      </c>
      <c r="Q499" s="41" t="str">
        <f>IF(Shaftesbury!T37="","",Shaftesbury!T37)</f>
        <v/>
      </c>
      <c r="R499" s="41" t="str">
        <f>IF(Shaftesbury!U37="","",Shaftesbury!U37)</f>
        <v/>
      </c>
      <c r="S499" s="41" t="str">
        <f>IF(Shaftesbury!V37="","",Shaftesbury!V37)</f>
        <v/>
      </c>
      <c r="T499" s="41" t="str">
        <f>IF(Shaftesbury!W37="","",Shaftesbury!W37)</f>
        <v/>
      </c>
      <c r="U499" s="41" t="str">
        <f>IF(Shaftesbury!X37="","",Shaftesbury!X37)</f>
        <v/>
      </c>
      <c r="V499" s="41" t="str">
        <f>IF(Shaftesbury!Y37="","",Shaftesbury!Y37)</f>
        <v/>
      </c>
      <c r="W499" s="249" t="str">
        <f>IF(Shaftesbury!AA37=0,"",Shaftesbury!AA37)</f>
        <v/>
      </c>
      <c r="X499" s="244" t="str">
        <f>IF(Shaftesbury!AB37=0,"",Shaftesbury!AB37)</f>
        <v/>
      </c>
      <c r="Y499" s="245" t="str">
        <f>IF(Shaftesbury!AC37=0,"",Shaftesbury!AC37)</f>
        <v/>
      </c>
      <c r="AA499" s="246" t="str">
        <f>Y499</f>
        <v/>
      </c>
      <c r="AB499" s="243" t="str">
        <f>X499</f>
        <v/>
      </c>
      <c r="AC499" s="185" t="str">
        <f>C499</f>
        <v/>
      </c>
      <c r="AD499" s="185" t="str">
        <f>LEFT($B$469,3)</f>
        <v>Sha</v>
      </c>
      <c r="AE499" s="185" t="str">
        <f t="shared" ref="AE499:AY499" si="246">E499</f>
        <v/>
      </c>
      <c r="AF499" s="185" t="str">
        <f t="shared" si="246"/>
        <v/>
      </c>
      <c r="AG499" s="185" t="str">
        <f t="shared" si="246"/>
        <v/>
      </c>
      <c r="AH499" s="185" t="str">
        <f t="shared" si="246"/>
        <v/>
      </c>
      <c r="AI499" s="185" t="str">
        <f t="shared" si="246"/>
        <v/>
      </c>
      <c r="AJ499" s="243" t="str">
        <f t="shared" si="246"/>
        <v/>
      </c>
      <c r="AK499" s="243" t="str">
        <f t="shared" si="246"/>
        <v/>
      </c>
      <c r="AL499" s="243" t="str">
        <f t="shared" si="246"/>
        <v/>
      </c>
      <c r="AM499" s="243" t="str">
        <f t="shared" si="246"/>
        <v/>
      </c>
      <c r="AN499" s="243" t="str">
        <f t="shared" si="246"/>
        <v/>
      </c>
      <c r="AO499" s="243" t="str">
        <f t="shared" si="246"/>
        <v/>
      </c>
      <c r="AP499" s="243" t="str">
        <f t="shared" si="246"/>
        <v/>
      </c>
      <c r="AQ499" s="243" t="str">
        <f t="shared" si="246"/>
        <v/>
      </c>
      <c r="AR499" s="243" t="str">
        <f t="shared" si="246"/>
        <v/>
      </c>
      <c r="AS499" s="243" t="str">
        <f t="shared" si="246"/>
        <v/>
      </c>
      <c r="AT499" s="243" t="str">
        <f t="shared" si="246"/>
        <v/>
      </c>
      <c r="AU499" s="243" t="str">
        <f t="shared" si="246"/>
        <v/>
      </c>
      <c r="AV499" s="243" t="str">
        <f t="shared" si="246"/>
        <v/>
      </c>
      <c r="AW499" s="247" t="str">
        <f t="shared" si="246"/>
        <v/>
      </c>
      <c r="AX499" s="243" t="str">
        <f t="shared" si="246"/>
        <v/>
      </c>
      <c r="AY499" s="248" t="str">
        <f t="shared" si="246"/>
        <v/>
      </c>
    </row>
    <row r="500" spans="2:51" ht="12" customHeight="1" x14ac:dyDescent="0.2">
      <c r="B500" s="266"/>
      <c r="C500" s="235"/>
      <c r="D500" s="235"/>
      <c r="E500" s="239"/>
      <c r="F500" s="182"/>
      <c r="G500" s="182"/>
      <c r="H500" s="182"/>
      <c r="I500" s="233"/>
      <c r="J500" s="163" t="str">
        <f>IF(Shaftesbury!M38="","",Shaftesbury!M38)</f>
        <v/>
      </c>
      <c r="K500" s="41" t="str">
        <f>IF(Shaftesbury!N38="","",Shaftesbury!N38)</f>
        <v/>
      </c>
      <c r="L500" s="41" t="str">
        <f>IF(Shaftesbury!O38="","",Shaftesbury!O38)</f>
        <v/>
      </c>
      <c r="M500" s="41" t="str">
        <f>IF(Shaftesbury!P38="","",Shaftesbury!P38)</f>
        <v/>
      </c>
      <c r="N500" s="41" t="str">
        <f>IF(Shaftesbury!Q38="","",Shaftesbury!Q38)</f>
        <v/>
      </c>
      <c r="O500" s="41" t="str">
        <f>IF(Shaftesbury!R38="","",Shaftesbury!R38)</f>
        <v/>
      </c>
      <c r="P500" s="41" t="str">
        <f>IF(Shaftesbury!S38="","",Shaftesbury!S38)</f>
        <v/>
      </c>
      <c r="Q500" s="41" t="str">
        <f>IF(Shaftesbury!T38="","",Shaftesbury!T38)</f>
        <v/>
      </c>
      <c r="R500" s="41" t="str">
        <f>IF(Shaftesbury!U38="","",Shaftesbury!U38)</f>
        <v/>
      </c>
      <c r="S500" s="41" t="str">
        <f>IF(Shaftesbury!V38="","",Shaftesbury!V38)</f>
        <v/>
      </c>
      <c r="T500" s="41" t="str">
        <f>IF(Shaftesbury!W38="","",Shaftesbury!W38)</f>
        <v/>
      </c>
      <c r="U500" s="41" t="str">
        <f>IF(Shaftesbury!X38="","",Shaftesbury!X38)</f>
        <v/>
      </c>
      <c r="V500" s="41" t="str">
        <f>IF(Shaftesbury!Y38="","",Shaftesbury!Y38)</f>
        <v/>
      </c>
      <c r="W500" s="201"/>
      <c r="X500" s="182"/>
      <c r="Y500" s="233"/>
      <c r="AA500" s="239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233"/>
    </row>
    <row r="501" spans="2:51" ht="12" customHeight="1" x14ac:dyDescent="0.2">
      <c r="B501" s="266"/>
      <c r="C501" s="263" t="str">
        <f>IF(Shaftesbury!E39="","",Shaftesbury!E39)</f>
        <v/>
      </c>
      <c r="D501" s="259" t="str">
        <f>LEFT($B$469,3)</f>
        <v>Sha</v>
      </c>
      <c r="E501" s="251" t="str">
        <f>IF(Shaftesbury!G39="","",Shaftesbury!G39)</f>
        <v/>
      </c>
      <c r="F501" s="181" t="str">
        <f>IF(Shaftesbury!H39=0,"",Shaftesbury!H39)</f>
        <v/>
      </c>
      <c r="G501" s="181" t="str">
        <f>IF(Shaftesbury!I39=0,"",Shaftesbury!I39)</f>
        <v/>
      </c>
      <c r="H501" s="181" t="str">
        <f>IF(Shaftesbury!J39=0,"",Shaftesbury!J39)</f>
        <v/>
      </c>
      <c r="I501" s="250" t="str">
        <f>IF(Shaftesbury!K39=0,"",Shaftesbury!K39)</f>
        <v/>
      </c>
      <c r="J501" s="163" t="str">
        <f>IF(Shaftesbury!M39="","",Shaftesbury!M39)</f>
        <v/>
      </c>
      <c r="K501" s="41" t="str">
        <f>IF(Shaftesbury!N39="","",Shaftesbury!N39)</f>
        <v/>
      </c>
      <c r="L501" s="41" t="str">
        <f>IF(Shaftesbury!O39="","",Shaftesbury!O39)</f>
        <v/>
      </c>
      <c r="M501" s="41" t="str">
        <f>IF(Shaftesbury!P39="","",Shaftesbury!P39)</f>
        <v/>
      </c>
      <c r="N501" s="41" t="str">
        <f>IF(Shaftesbury!Q39="","",Shaftesbury!Q39)</f>
        <v/>
      </c>
      <c r="O501" s="41" t="str">
        <f>IF(Shaftesbury!R39="","",Shaftesbury!R39)</f>
        <v/>
      </c>
      <c r="P501" s="41" t="str">
        <f>IF(Shaftesbury!S39="","",Shaftesbury!S39)</f>
        <v/>
      </c>
      <c r="Q501" s="41" t="str">
        <f>IF(Shaftesbury!T39="","",Shaftesbury!T39)</f>
        <v/>
      </c>
      <c r="R501" s="41" t="str">
        <f>IF(Shaftesbury!U39="","",Shaftesbury!U39)</f>
        <v/>
      </c>
      <c r="S501" s="41" t="str">
        <f>IF(Shaftesbury!V39="","",Shaftesbury!V39)</f>
        <v/>
      </c>
      <c r="T501" s="41" t="str">
        <f>IF(Shaftesbury!W39="","",Shaftesbury!W39)</f>
        <v/>
      </c>
      <c r="U501" s="41" t="str">
        <f>IF(Shaftesbury!X39="","",Shaftesbury!X39)</f>
        <v/>
      </c>
      <c r="V501" s="41" t="str">
        <f>IF(Shaftesbury!Y39="","",Shaftesbury!Y39)</f>
        <v/>
      </c>
      <c r="W501" s="249" t="str">
        <f>IF(Shaftesbury!AA39=0,"",Shaftesbury!AA39)</f>
        <v/>
      </c>
      <c r="X501" s="244" t="str">
        <f>IF(Shaftesbury!AB39=0,"",Shaftesbury!AB39)</f>
        <v/>
      </c>
      <c r="Y501" s="245" t="str">
        <f>IF(Shaftesbury!AC39=0,"",Shaftesbury!AC39)</f>
        <v/>
      </c>
      <c r="AA501" s="246" t="str">
        <f>Y501</f>
        <v/>
      </c>
      <c r="AB501" s="243" t="str">
        <f>X501</f>
        <v/>
      </c>
      <c r="AC501" s="185" t="str">
        <f>C501</f>
        <v/>
      </c>
      <c r="AD501" s="185" t="str">
        <f>LEFT($B$469,3)</f>
        <v>Sha</v>
      </c>
      <c r="AE501" s="185" t="str">
        <f t="shared" ref="AE501:AY501" si="247">E501</f>
        <v/>
      </c>
      <c r="AF501" s="185" t="str">
        <f t="shared" si="247"/>
        <v/>
      </c>
      <c r="AG501" s="185" t="str">
        <f t="shared" si="247"/>
        <v/>
      </c>
      <c r="AH501" s="185" t="str">
        <f t="shared" si="247"/>
        <v/>
      </c>
      <c r="AI501" s="185" t="str">
        <f t="shared" si="247"/>
        <v/>
      </c>
      <c r="AJ501" s="243" t="str">
        <f t="shared" si="247"/>
        <v/>
      </c>
      <c r="AK501" s="243" t="str">
        <f t="shared" si="247"/>
        <v/>
      </c>
      <c r="AL501" s="243" t="str">
        <f t="shared" si="247"/>
        <v/>
      </c>
      <c r="AM501" s="243" t="str">
        <f t="shared" si="247"/>
        <v/>
      </c>
      <c r="AN501" s="243" t="str">
        <f t="shared" si="247"/>
        <v/>
      </c>
      <c r="AO501" s="243" t="str">
        <f t="shared" si="247"/>
        <v/>
      </c>
      <c r="AP501" s="243" t="str">
        <f t="shared" si="247"/>
        <v/>
      </c>
      <c r="AQ501" s="243" t="str">
        <f t="shared" si="247"/>
        <v/>
      </c>
      <c r="AR501" s="243" t="str">
        <f t="shared" si="247"/>
        <v/>
      </c>
      <c r="AS501" s="243" t="str">
        <f t="shared" si="247"/>
        <v/>
      </c>
      <c r="AT501" s="243" t="str">
        <f t="shared" si="247"/>
        <v/>
      </c>
      <c r="AU501" s="243" t="str">
        <f t="shared" si="247"/>
        <v/>
      </c>
      <c r="AV501" s="243" t="str">
        <f t="shared" si="247"/>
        <v/>
      </c>
      <c r="AW501" s="247" t="str">
        <f t="shared" si="247"/>
        <v/>
      </c>
      <c r="AX501" s="243" t="str">
        <f t="shared" si="247"/>
        <v/>
      </c>
      <c r="AY501" s="248" t="str">
        <f t="shared" si="247"/>
        <v/>
      </c>
    </row>
    <row r="502" spans="2:51" ht="12" customHeight="1" x14ac:dyDescent="0.2">
      <c r="B502" s="266"/>
      <c r="C502" s="235"/>
      <c r="D502" s="235"/>
      <c r="E502" s="239"/>
      <c r="F502" s="182"/>
      <c r="G502" s="182"/>
      <c r="H502" s="182"/>
      <c r="I502" s="233"/>
      <c r="J502" s="163" t="str">
        <f>IF(Shaftesbury!M40="","",Shaftesbury!M40)</f>
        <v/>
      </c>
      <c r="K502" s="41" t="str">
        <f>IF(Shaftesbury!N40="","",Shaftesbury!N40)</f>
        <v/>
      </c>
      <c r="L502" s="41" t="str">
        <f>IF(Shaftesbury!O40="","",Shaftesbury!O40)</f>
        <v/>
      </c>
      <c r="M502" s="41" t="str">
        <f>IF(Shaftesbury!P40="","",Shaftesbury!P40)</f>
        <v/>
      </c>
      <c r="N502" s="41" t="str">
        <f>IF(Shaftesbury!Q40="","",Shaftesbury!Q40)</f>
        <v/>
      </c>
      <c r="O502" s="41" t="str">
        <f>IF(Shaftesbury!R40="","",Shaftesbury!R40)</f>
        <v/>
      </c>
      <c r="P502" s="41" t="str">
        <f>IF(Shaftesbury!S40="","",Shaftesbury!S40)</f>
        <v/>
      </c>
      <c r="Q502" s="41" t="str">
        <f>IF(Shaftesbury!T40="","",Shaftesbury!T40)</f>
        <v/>
      </c>
      <c r="R502" s="41" t="str">
        <f>IF(Shaftesbury!U40="","",Shaftesbury!U40)</f>
        <v/>
      </c>
      <c r="S502" s="41" t="str">
        <f>IF(Shaftesbury!V40="","",Shaftesbury!V40)</f>
        <v/>
      </c>
      <c r="T502" s="41" t="str">
        <f>IF(Shaftesbury!W40="","",Shaftesbury!W40)</f>
        <v/>
      </c>
      <c r="U502" s="41" t="str">
        <f>IF(Shaftesbury!X40="","",Shaftesbury!X40)</f>
        <v/>
      </c>
      <c r="V502" s="41" t="str">
        <f>IF(Shaftesbury!Y40="","",Shaftesbury!Y40)</f>
        <v/>
      </c>
      <c r="W502" s="201"/>
      <c r="X502" s="182"/>
      <c r="Y502" s="233"/>
      <c r="AA502" s="239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233"/>
    </row>
    <row r="503" spans="2:51" ht="12" customHeight="1" x14ac:dyDescent="0.2">
      <c r="B503" s="266"/>
      <c r="C503" s="263" t="str">
        <f>IF(Shaftesbury!E41="","",Shaftesbury!E41)</f>
        <v/>
      </c>
      <c r="D503" s="259" t="str">
        <f>LEFT($B$469,3)</f>
        <v>Sha</v>
      </c>
      <c r="E503" s="251" t="str">
        <f>IF(Shaftesbury!G41="","",Shaftesbury!G41)</f>
        <v/>
      </c>
      <c r="F503" s="181" t="str">
        <f>IF(Shaftesbury!H41=0,"",Shaftesbury!H41)</f>
        <v/>
      </c>
      <c r="G503" s="181" t="str">
        <f>IF(Shaftesbury!I41=0,"",Shaftesbury!I41)</f>
        <v/>
      </c>
      <c r="H503" s="181" t="str">
        <f>IF(Shaftesbury!J41=0,"",Shaftesbury!J41)</f>
        <v/>
      </c>
      <c r="I503" s="250" t="str">
        <f>IF(Shaftesbury!K41=0,"",Shaftesbury!K41)</f>
        <v/>
      </c>
      <c r="J503" s="163" t="str">
        <f>IF(Shaftesbury!M41="","",Shaftesbury!M41)</f>
        <v/>
      </c>
      <c r="K503" s="41" t="str">
        <f>IF(Shaftesbury!N41="","",Shaftesbury!N41)</f>
        <v/>
      </c>
      <c r="L503" s="41" t="str">
        <f>IF(Shaftesbury!O41="","",Shaftesbury!O41)</f>
        <v/>
      </c>
      <c r="M503" s="41" t="str">
        <f>IF(Shaftesbury!P41="","",Shaftesbury!P41)</f>
        <v/>
      </c>
      <c r="N503" s="41" t="str">
        <f>IF(Shaftesbury!Q41="","",Shaftesbury!Q41)</f>
        <v/>
      </c>
      <c r="O503" s="41" t="str">
        <f>IF(Shaftesbury!R41="","",Shaftesbury!R41)</f>
        <v/>
      </c>
      <c r="P503" s="41" t="str">
        <f>IF(Shaftesbury!S41="","",Shaftesbury!S41)</f>
        <v/>
      </c>
      <c r="Q503" s="41" t="str">
        <f>IF(Shaftesbury!T41="","",Shaftesbury!T41)</f>
        <v/>
      </c>
      <c r="R503" s="41" t="str">
        <f>IF(Shaftesbury!U41="","",Shaftesbury!U41)</f>
        <v/>
      </c>
      <c r="S503" s="41" t="str">
        <f>IF(Shaftesbury!V41="","",Shaftesbury!V41)</f>
        <v/>
      </c>
      <c r="T503" s="41" t="str">
        <f>IF(Shaftesbury!W41="","",Shaftesbury!W41)</f>
        <v/>
      </c>
      <c r="U503" s="41" t="str">
        <f>IF(Shaftesbury!X41="","",Shaftesbury!X41)</f>
        <v/>
      </c>
      <c r="V503" s="41" t="str">
        <f>IF(Shaftesbury!Y41="","",Shaftesbury!Y41)</f>
        <v/>
      </c>
      <c r="W503" s="249" t="str">
        <f>IF(Shaftesbury!AA41=0,"",Shaftesbury!AA41)</f>
        <v/>
      </c>
      <c r="X503" s="244" t="str">
        <f>IF(Shaftesbury!AB41=0,"",Shaftesbury!AB41)</f>
        <v/>
      </c>
      <c r="Y503" s="245" t="str">
        <f>IF(Shaftesbury!AC41=0,"",Shaftesbury!AC41)</f>
        <v/>
      </c>
      <c r="AA503" s="246" t="str">
        <f>Y503</f>
        <v/>
      </c>
      <c r="AB503" s="243" t="str">
        <f>X503</f>
        <v/>
      </c>
      <c r="AC503" s="185" t="str">
        <f>C503</f>
        <v/>
      </c>
      <c r="AD503" s="185" t="str">
        <f>LEFT($B$469,3)</f>
        <v>Sha</v>
      </c>
      <c r="AE503" s="185" t="str">
        <f t="shared" ref="AE503:AY503" si="248">E503</f>
        <v/>
      </c>
      <c r="AF503" s="185" t="str">
        <f t="shared" si="248"/>
        <v/>
      </c>
      <c r="AG503" s="185" t="str">
        <f t="shared" si="248"/>
        <v/>
      </c>
      <c r="AH503" s="185" t="str">
        <f t="shared" si="248"/>
        <v/>
      </c>
      <c r="AI503" s="185" t="str">
        <f t="shared" si="248"/>
        <v/>
      </c>
      <c r="AJ503" s="243" t="str">
        <f t="shared" si="248"/>
        <v/>
      </c>
      <c r="AK503" s="243" t="str">
        <f t="shared" si="248"/>
        <v/>
      </c>
      <c r="AL503" s="243" t="str">
        <f t="shared" si="248"/>
        <v/>
      </c>
      <c r="AM503" s="243" t="str">
        <f t="shared" si="248"/>
        <v/>
      </c>
      <c r="AN503" s="243" t="str">
        <f t="shared" si="248"/>
        <v/>
      </c>
      <c r="AO503" s="243" t="str">
        <f t="shared" si="248"/>
        <v/>
      </c>
      <c r="AP503" s="243" t="str">
        <f t="shared" si="248"/>
        <v/>
      </c>
      <c r="AQ503" s="243" t="str">
        <f t="shared" si="248"/>
        <v/>
      </c>
      <c r="AR503" s="243" t="str">
        <f t="shared" si="248"/>
        <v/>
      </c>
      <c r="AS503" s="243" t="str">
        <f t="shared" si="248"/>
        <v/>
      </c>
      <c r="AT503" s="243" t="str">
        <f t="shared" si="248"/>
        <v/>
      </c>
      <c r="AU503" s="243" t="str">
        <f t="shared" si="248"/>
        <v/>
      </c>
      <c r="AV503" s="243" t="str">
        <f t="shared" si="248"/>
        <v/>
      </c>
      <c r="AW503" s="247" t="str">
        <f t="shared" si="248"/>
        <v/>
      </c>
      <c r="AX503" s="243" t="str">
        <f t="shared" si="248"/>
        <v/>
      </c>
      <c r="AY503" s="248" t="str">
        <f t="shared" si="248"/>
        <v/>
      </c>
    </row>
    <row r="504" spans="2:51" ht="12" customHeight="1" x14ac:dyDescent="0.2">
      <c r="B504" s="266"/>
      <c r="C504" s="235"/>
      <c r="D504" s="235"/>
      <c r="E504" s="239"/>
      <c r="F504" s="182"/>
      <c r="G504" s="182"/>
      <c r="H504" s="182"/>
      <c r="I504" s="233"/>
      <c r="J504" s="163" t="str">
        <f>IF(Shaftesbury!M42="","",Shaftesbury!M42)</f>
        <v/>
      </c>
      <c r="K504" s="41" t="str">
        <f>IF(Shaftesbury!N42="","",Shaftesbury!N42)</f>
        <v/>
      </c>
      <c r="L504" s="41" t="str">
        <f>IF(Shaftesbury!O42="","",Shaftesbury!O42)</f>
        <v/>
      </c>
      <c r="M504" s="41" t="str">
        <f>IF(Shaftesbury!P42="","",Shaftesbury!P42)</f>
        <v/>
      </c>
      <c r="N504" s="41" t="str">
        <f>IF(Shaftesbury!Q42="","",Shaftesbury!Q42)</f>
        <v/>
      </c>
      <c r="O504" s="41" t="str">
        <f>IF(Shaftesbury!R42="","",Shaftesbury!R42)</f>
        <v/>
      </c>
      <c r="P504" s="41" t="str">
        <f>IF(Shaftesbury!S42="","",Shaftesbury!S42)</f>
        <v/>
      </c>
      <c r="Q504" s="41" t="str">
        <f>IF(Shaftesbury!T42="","",Shaftesbury!T42)</f>
        <v/>
      </c>
      <c r="R504" s="41" t="str">
        <f>IF(Shaftesbury!U42="","",Shaftesbury!U42)</f>
        <v/>
      </c>
      <c r="S504" s="41" t="str">
        <f>IF(Shaftesbury!V42="","",Shaftesbury!V42)</f>
        <v/>
      </c>
      <c r="T504" s="41" t="str">
        <f>IF(Shaftesbury!W42="","",Shaftesbury!W42)</f>
        <v/>
      </c>
      <c r="U504" s="41" t="str">
        <f>IF(Shaftesbury!X42="","",Shaftesbury!X42)</f>
        <v/>
      </c>
      <c r="V504" s="41" t="str">
        <f>IF(Shaftesbury!Y42="","",Shaftesbury!Y42)</f>
        <v/>
      </c>
      <c r="W504" s="201"/>
      <c r="X504" s="182"/>
      <c r="Y504" s="233"/>
      <c r="AA504" s="239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233"/>
    </row>
    <row r="505" spans="2:51" ht="12" customHeight="1" x14ac:dyDescent="0.2">
      <c r="B505" s="266"/>
      <c r="C505" s="263" t="str">
        <f>IF(Shaftesbury!E43="","",Shaftesbury!E43)</f>
        <v/>
      </c>
      <c r="D505" s="259" t="str">
        <f>LEFT($B$469,3)</f>
        <v>Sha</v>
      </c>
      <c r="E505" s="251" t="str">
        <f>IF(Shaftesbury!G43="","",Shaftesbury!G43)</f>
        <v/>
      </c>
      <c r="F505" s="181" t="str">
        <f>IF(Shaftesbury!H43=0,"",Shaftesbury!H43)</f>
        <v/>
      </c>
      <c r="G505" s="181" t="str">
        <f>IF(Shaftesbury!I43=0,"",Shaftesbury!I43)</f>
        <v/>
      </c>
      <c r="H505" s="181" t="str">
        <f>IF(Shaftesbury!J43=0,"",Shaftesbury!J43)</f>
        <v/>
      </c>
      <c r="I505" s="250" t="str">
        <f>IF(Shaftesbury!K43=0,"",Shaftesbury!K43)</f>
        <v/>
      </c>
      <c r="J505" s="163" t="str">
        <f>IF(Shaftesbury!M43="","",Shaftesbury!M43)</f>
        <v/>
      </c>
      <c r="K505" s="41" t="str">
        <f>IF(Shaftesbury!N43="","",Shaftesbury!N43)</f>
        <v/>
      </c>
      <c r="L505" s="41" t="str">
        <f>IF(Shaftesbury!O43="","",Shaftesbury!O43)</f>
        <v/>
      </c>
      <c r="M505" s="41" t="str">
        <f>IF(Shaftesbury!P43="","",Shaftesbury!P43)</f>
        <v/>
      </c>
      <c r="N505" s="41" t="str">
        <f>IF(Shaftesbury!Q43="","",Shaftesbury!Q43)</f>
        <v/>
      </c>
      <c r="O505" s="41" t="str">
        <f>IF(Shaftesbury!R43="","",Shaftesbury!R43)</f>
        <v/>
      </c>
      <c r="P505" s="41" t="str">
        <f>IF(Shaftesbury!S43="","",Shaftesbury!S43)</f>
        <v/>
      </c>
      <c r="Q505" s="41" t="str">
        <f>IF(Shaftesbury!T43="","",Shaftesbury!T43)</f>
        <v/>
      </c>
      <c r="R505" s="41" t="str">
        <f>IF(Shaftesbury!U43="","",Shaftesbury!U43)</f>
        <v/>
      </c>
      <c r="S505" s="41" t="str">
        <f>IF(Shaftesbury!V43="","",Shaftesbury!V43)</f>
        <v/>
      </c>
      <c r="T505" s="41" t="str">
        <f>IF(Shaftesbury!W43="","",Shaftesbury!W43)</f>
        <v/>
      </c>
      <c r="U505" s="41" t="str">
        <f>IF(Shaftesbury!X43="","",Shaftesbury!X43)</f>
        <v/>
      </c>
      <c r="V505" s="41" t="str">
        <f>IF(Shaftesbury!Y43="","",Shaftesbury!Y43)</f>
        <v/>
      </c>
      <c r="W505" s="249" t="str">
        <f>IF(Shaftesbury!AA43=0,"",Shaftesbury!AA43)</f>
        <v/>
      </c>
      <c r="X505" s="244" t="str">
        <f>IF(Shaftesbury!AB43=0,"",Shaftesbury!AB43)</f>
        <v/>
      </c>
      <c r="Y505" s="245" t="str">
        <f>IF(Shaftesbury!AC43=0,"",Shaftesbury!AC43)</f>
        <v/>
      </c>
      <c r="AA505" s="246" t="str">
        <f>Y505</f>
        <v/>
      </c>
      <c r="AB505" s="243" t="str">
        <f>X505</f>
        <v/>
      </c>
      <c r="AC505" s="185" t="str">
        <f>C505</f>
        <v/>
      </c>
      <c r="AD505" s="185" t="str">
        <f>LEFT($B$469,3)</f>
        <v>Sha</v>
      </c>
      <c r="AE505" s="185" t="str">
        <f t="shared" ref="AE505:AY505" si="249">E505</f>
        <v/>
      </c>
      <c r="AF505" s="185" t="str">
        <f t="shared" si="249"/>
        <v/>
      </c>
      <c r="AG505" s="185" t="str">
        <f t="shared" si="249"/>
        <v/>
      </c>
      <c r="AH505" s="185" t="str">
        <f t="shared" si="249"/>
        <v/>
      </c>
      <c r="AI505" s="185" t="str">
        <f t="shared" si="249"/>
        <v/>
      </c>
      <c r="AJ505" s="243" t="str">
        <f t="shared" si="249"/>
        <v/>
      </c>
      <c r="AK505" s="243" t="str">
        <f t="shared" si="249"/>
        <v/>
      </c>
      <c r="AL505" s="243" t="str">
        <f t="shared" si="249"/>
        <v/>
      </c>
      <c r="AM505" s="243" t="str">
        <f t="shared" si="249"/>
        <v/>
      </c>
      <c r="AN505" s="243" t="str">
        <f t="shared" si="249"/>
        <v/>
      </c>
      <c r="AO505" s="243" t="str">
        <f t="shared" si="249"/>
        <v/>
      </c>
      <c r="AP505" s="243" t="str">
        <f t="shared" si="249"/>
        <v/>
      </c>
      <c r="AQ505" s="243" t="str">
        <f t="shared" si="249"/>
        <v/>
      </c>
      <c r="AR505" s="243" t="str">
        <f t="shared" si="249"/>
        <v/>
      </c>
      <c r="AS505" s="243" t="str">
        <f t="shared" si="249"/>
        <v/>
      </c>
      <c r="AT505" s="243" t="str">
        <f t="shared" si="249"/>
        <v/>
      </c>
      <c r="AU505" s="243" t="str">
        <f t="shared" si="249"/>
        <v/>
      </c>
      <c r="AV505" s="243" t="str">
        <f t="shared" si="249"/>
        <v/>
      </c>
      <c r="AW505" s="247" t="str">
        <f t="shared" si="249"/>
        <v/>
      </c>
      <c r="AX505" s="243" t="str">
        <f t="shared" si="249"/>
        <v/>
      </c>
      <c r="AY505" s="248" t="str">
        <f t="shared" si="249"/>
        <v/>
      </c>
    </row>
    <row r="506" spans="2:51" ht="12" customHeight="1" x14ac:dyDescent="0.2">
      <c r="B506" s="266"/>
      <c r="C506" s="235"/>
      <c r="D506" s="235"/>
      <c r="E506" s="239"/>
      <c r="F506" s="182"/>
      <c r="G506" s="182"/>
      <c r="H506" s="182"/>
      <c r="I506" s="233"/>
      <c r="J506" s="163" t="str">
        <f>IF(Shaftesbury!M44="","",Shaftesbury!M44)</f>
        <v/>
      </c>
      <c r="K506" s="41" t="str">
        <f>IF(Shaftesbury!N44="","",Shaftesbury!N44)</f>
        <v/>
      </c>
      <c r="L506" s="41" t="str">
        <f>IF(Shaftesbury!O44="","",Shaftesbury!O44)</f>
        <v/>
      </c>
      <c r="M506" s="41" t="str">
        <f>IF(Shaftesbury!P44="","",Shaftesbury!P44)</f>
        <v/>
      </c>
      <c r="N506" s="41" t="str">
        <f>IF(Shaftesbury!Q44="","",Shaftesbury!Q44)</f>
        <v/>
      </c>
      <c r="O506" s="41" t="str">
        <f>IF(Shaftesbury!R44="","",Shaftesbury!R44)</f>
        <v/>
      </c>
      <c r="P506" s="41" t="str">
        <f>IF(Shaftesbury!S44="","",Shaftesbury!S44)</f>
        <v/>
      </c>
      <c r="Q506" s="41" t="str">
        <f>IF(Shaftesbury!T44="","",Shaftesbury!T44)</f>
        <v/>
      </c>
      <c r="R506" s="41" t="str">
        <f>IF(Shaftesbury!U44="","",Shaftesbury!U44)</f>
        <v/>
      </c>
      <c r="S506" s="41" t="str">
        <f>IF(Shaftesbury!V44="","",Shaftesbury!V44)</f>
        <v/>
      </c>
      <c r="T506" s="41" t="str">
        <f>IF(Shaftesbury!W44="","",Shaftesbury!W44)</f>
        <v/>
      </c>
      <c r="U506" s="41" t="str">
        <f>IF(Shaftesbury!X44="","",Shaftesbury!X44)</f>
        <v/>
      </c>
      <c r="V506" s="41" t="str">
        <f>IF(Shaftesbury!Y44="","",Shaftesbury!Y44)</f>
        <v/>
      </c>
      <c r="W506" s="201"/>
      <c r="X506" s="182"/>
      <c r="Y506" s="233"/>
      <c r="AA506" s="239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233"/>
    </row>
    <row r="507" spans="2:51" ht="12" customHeight="1" x14ac:dyDescent="0.2">
      <c r="B507" s="266"/>
      <c r="C507" s="263" t="str">
        <f>IF(Shaftesbury!E45="","",Shaftesbury!E45)</f>
        <v/>
      </c>
      <c r="D507" s="259" t="str">
        <f>LEFT($B$469,3)</f>
        <v>Sha</v>
      </c>
      <c r="E507" s="251" t="str">
        <f>IF(Shaftesbury!G45="","",Shaftesbury!G45)</f>
        <v/>
      </c>
      <c r="F507" s="181" t="str">
        <f>IF(Shaftesbury!H45=0,"",Shaftesbury!H45)</f>
        <v/>
      </c>
      <c r="G507" s="181" t="str">
        <f>IF(Shaftesbury!I45=0,"",Shaftesbury!I45)</f>
        <v/>
      </c>
      <c r="H507" s="181" t="str">
        <f>IF(Shaftesbury!J45=0,"",Shaftesbury!J45)</f>
        <v/>
      </c>
      <c r="I507" s="250" t="str">
        <f>IF(Shaftesbury!K45=0,"",Shaftesbury!K45)</f>
        <v/>
      </c>
      <c r="J507" s="163" t="str">
        <f>IF(Shaftesbury!M45="","",Shaftesbury!M45)</f>
        <v/>
      </c>
      <c r="K507" s="41" t="str">
        <f>IF(Shaftesbury!N45="","",Shaftesbury!N45)</f>
        <v/>
      </c>
      <c r="L507" s="41" t="str">
        <f>IF(Shaftesbury!O45="","",Shaftesbury!O45)</f>
        <v/>
      </c>
      <c r="M507" s="41" t="str">
        <f>IF(Shaftesbury!P45="","",Shaftesbury!P45)</f>
        <v/>
      </c>
      <c r="N507" s="41" t="str">
        <f>IF(Shaftesbury!Q45="","",Shaftesbury!Q45)</f>
        <v/>
      </c>
      <c r="O507" s="41" t="str">
        <f>IF(Shaftesbury!R45="","",Shaftesbury!R45)</f>
        <v/>
      </c>
      <c r="P507" s="41" t="str">
        <f>IF(Shaftesbury!S45="","",Shaftesbury!S45)</f>
        <v/>
      </c>
      <c r="Q507" s="41" t="str">
        <f>IF(Shaftesbury!T45="","",Shaftesbury!T45)</f>
        <v/>
      </c>
      <c r="R507" s="41" t="str">
        <f>IF(Shaftesbury!U45="","",Shaftesbury!U45)</f>
        <v/>
      </c>
      <c r="S507" s="41" t="str">
        <f>IF(Shaftesbury!V45="","",Shaftesbury!V45)</f>
        <v/>
      </c>
      <c r="T507" s="41" t="str">
        <f>IF(Shaftesbury!W45="","",Shaftesbury!W45)</f>
        <v/>
      </c>
      <c r="U507" s="41" t="str">
        <f>IF(Shaftesbury!X45="","",Shaftesbury!X45)</f>
        <v/>
      </c>
      <c r="V507" s="41" t="str">
        <f>IF(Shaftesbury!Y45="","",Shaftesbury!Y45)</f>
        <v/>
      </c>
      <c r="W507" s="249" t="str">
        <f>IF(Shaftesbury!AA45=0,"",Shaftesbury!AA45)</f>
        <v/>
      </c>
      <c r="X507" s="244" t="str">
        <f>IF(Shaftesbury!AB45=0,"",Shaftesbury!AB45)</f>
        <v/>
      </c>
      <c r="Y507" s="245" t="str">
        <f>IF(Shaftesbury!AC45=0,"",Shaftesbury!AC45)</f>
        <v/>
      </c>
      <c r="AA507" s="246" t="str">
        <f>Y507</f>
        <v/>
      </c>
      <c r="AB507" s="243" t="str">
        <f>X507</f>
        <v/>
      </c>
      <c r="AC507" s="185" t="str">
        <f>C507</f>
        <v/>
      </c>
      <c r="AD507" s="185" t="str">
        <f>LEFT($B$469,3)</f>
        <v>Sha</v>
      </c>
      <c r="AE507" s="185" t="str">
        <f t="shared" ref="AE507:AY507" si="250">E507</f>
        <v/>
      </c>
      <c r="AF507" s="185" t="str">
        <f t="shared" si="250"/>
        <v/>
      </c>
      <c r="AG507" s="185" t="str">
        <f t="shared" si="250"/>
        <v/>
      </c>
      <c r="AH507" s="185" t="str">
        <f t="shared" si="250"/>
        <v/>
      </c>
      <c r="AI507" s="185" t="str">
        <f t="shared" si="250"/>
        <v/>
      </c>
      <c r="AJ507" s="243" t="str">
        <f t="shared" si="250"/>
        <v/>
      </c>
      <c r="AK507" s="243" t="str">
        <f t="shared" si="250"/>
        <v/>
      </c>
      <c r="AL507" s="243" t="str">
        <f t="shared" si="250"/>
        <v/>
      </c>
      <c r="AM507" s="243" t="str">
        <f t="shared" si="250"/>
        <v/>
      </c>
      <c r="AN507" s="243" t="str">
        <f t="shared" si="250"/>
        <v/>
      </c>
      <c r="AO507" s="243" t="str">
        <f t="shared" si="250"/>
        <v/>
      </c>
      <c r="AP507" s="243" t="str">
        <f t="shared" si="250"/>
        <v/>
      </c>
      <c r="AQ507" s="243" t="str">
        <f t="shared" si="250"/>
        <v/>
      </c>
      <c r="AR507" s="243" t="str">
        <f t="shared" si="250"/>
        <v/>
      </c>
      <c r="AS507" s="243" t="str">
        <f t="shared" si="250"/>
        <v/>
      </c>
      <c r="AT507" s="243" t="str">
        <f t="shared" si="250"/>
        <v/>
      </c>
      <c r="AU507" s="243" t="str">
        <f t="shared" si="250"/>
        <v/>
      </c>
      <c r="AV507" s="243" t="str">
        <f t="shared" si="250"/>
        <v/>
      </c>
      <c r="AW507" s="247" t="str">
        <f t="shared" si="250"/>
        <v/>
      </c>
      <c r="AX507" s="243" t="str">
        <f t="shared" si="250"/>
        <v/>
      </c>
      <c r="AY507" s="248" t="str">
        <f t="shared" si="250"/>
        <v/>
      </c>
    </row>
    <row r="508" spans="2:51" ht="12" customHeight="1" x14ac:dyDescent="0.2">
      <c r="B508" s="266"/>
      <c r="C508" s="235"/>
      <c r="D508" s="235"/>
      <c r="E508" s="239"/>
      <c r="F508" s="182"/>
      <c r="G508" s="182"/>
      <c r="H508" s="182"/>
      <c r="I508" s="233"/>
      <c r="J508" s="163" t="str">
        <f>IF(Shaftesbury!M46="","",Shaftesbury!M46)</f>
        <v/>
      </c>
      <c r="K508" s="41" t="str">
        <f>IF(Shaftesbury!N46="","",Shaftesbury!N46)</f>
        <v/>
      </c>
      <c r="L508" s="41" t="str">
        <f>IF(Shaftesbury!O46="","",Shaftesbury!O46)</f>
        <v/>
      </c>
      <c r="M508" s="41" t="str">
        <f>IF(Shaftesbury!P46="","",Shaftesbury!P46)</f>
        <v/>
      </c>
      <c r="N508" s="41" t="str">
        <f>IF(Shaftesbury!Q46="","",Shaftesbury!Q46)</f>
        <v/>
      </c>
      <c r="O508" s="41" t="str">
        <f>IF(Shaftesbury!R46="","",Shaftesbury!R46)</f>
        <v/>
      </c>
      <c r="P508" s="41" t="str">
        <f>IF(Shaftesbury!S46="","",Shaftesbury!S46)</f>
        <v/>
      </c>
      <c r="Q508" s="41" t="str">
        <f>IF(Shaftesbury!T46="","",Shaftesbury!T46)</f>
        <v/>
      </c>
      <c r="R508" s="41" t="str">
        <f>IF(Shaftesbury!U46="","",Shaftesbury!U46)</f>
        <v/>
      </c>
      <c r="S508" s="41" t="str">
        <f>IF(Shaftesbury!V46="","",Shaftesbury!V46)</f>
        <v/>
      </c>
      <c r="T508" s="41" t="str">
        <f>IF(Shaftesbury!W46="","",Shaftesbury!W46)</f>
        <v/>
      </c>
      <c r="U508" s="41" t="str">
        <f>IF(Shaftesbury!X46="","",Shaftesbury!X46)</f>
        <v/>
      </c>
      <c r="V508" s="41" t="str">
        <f>IF(Shaftesbury!Y46="","",Shaftesbury!Y46)</f>
        <v/>
      </c>
      <c r="W508" s="201"/>
      <c r="X508" s="182"/>
      <c r="Y508" s="233"/>
      <c r="AA508" s="239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233"/>
    </row>
    <row r="509" spans="2:51" ht="12" customHeight="1" x14ac:dyDescent="0.2">
      <c r="B509" s="266"/>
      <c r="C509" s="263" t="str">
        <f>IF(Shaftesbury!E47="","",Shaftesbury!E47)</f>
        <v/>
      </c>
      <c r="D509" s="259" t="str">
        <f>LEFT($B$469,3)</f>
        <v>Sha</v>
      </c>
      <c r="E509" s="251" t="str">
        <f>IF(Shaftesbury!G47="","",Shaftesbury!G47)</f>
        <v/>
      </c>
      <c r="F509" s="181" t="str">
        <f>IF(Shaftesbury!H47=0,"",Shaftesbury!H47)</f>
        <v/>
      </c>
      <c r="G509" s="181" t="str">
        <f>IF(Shaftesbury!I47=0,"",Shaftesbury!I47)</f>
        <v/>
      </c>
      <c r="H509" s="181" t="str">
        <f>IF(Shaftesbury!J47=0,"",Shaftesbury!J47)</f>
        <v/>
      </c>
      <c r="I509" s="250" t="str">
        <f>IF(Shaftesbury!K47=0,"",Shaftesbury!K47)</f>
        <v/>
      </c>
      <c r="J509" s="163" t="str">
        <f>IF(Shaftesbury!M47="","",Shaftesbury!M47)</f>
        <v/>
      </c>
      <c r="K509" s="41" t="str">
        <f>IF(Shaftesbury!N47="","",Shaftesbury!N47)</f>
        <v/>
      </c>
      <c r="L509" s="41" t="str">
        <f>IF(Shaftesbury!O47="","",Shaftesbury!O47)</f>
        <v/>
      </c>
      <c r="M509" s="41" t="str">
        <f>IF(Shaftesbury!P47="","",Shaftesbury!P47)</f>
        <v/>
      </c>
      <c r="N509" s="41" t="str">
        <f>IF(Shaftesbury!Q47="","",Shaftesbury!Q47)</f>
        <v/>
      </c>
      <c r="O509" s="41" t="str">
        <f>IF(Shaftesbury!R47="","",Shaftesbury!R47)</f>
        <v/>
      </c>
      <c r="P509" s="41" t="str">
        <f>IF(Shaftesbury!S47="","",Shaftesbury!S47)</f>
        <v/>
      </c>
      <c r="Q509" s="41" t="str">
        <f>IF(Shaftesbury!T47="","",Shaftesbury!T47)</f>
        <v/>
      </c>
      <c r="R509" s="41" t="str">
        <f>IF(Shaftesbury!U47="","",Shaftesbury!U47)</f>
        <v/>
      </c>
      <c r="S509" s="41" t="str">
        <f>IF(Shaftesbury!V47="","",Shaftesbury!V47)</f>
        <v/>
      </c>
      <c r="T509" s="41" t="str">
        <f>IF(Shaftesbury!W47="","",Shaftesbury!W47)</f>
        <v/>
      </c>
      <c r="U509" s="41" t="str">
        <f>IF(Shaftesbury!X47="","",Shaftesbury!X47)</f>
        <v/>
      </c>
      <c r="V509" s="41" t="str">
        <f>IF(Shaftesbury!Y47="","",Shaftesbury!Y47)</f>
        <v/>
      </c>
      <c r="W509" s="249" t="str">
        <f>IF(Shaftesbury!AA47=0,"",Shaftesbury!AA47)</f>
        <v/>
      </c>
      <c r="X509" s="244" t="str">
        <f>IF(Shaftesbury!AB47=0,"",Shaftesbury!AB47)</f>
        <v/>
      </c>
      <c r="Y509" s="245" t="str">
        <f>IF(Shaftesbury!AC47=0,"",Shaftesbury!AC47)</f>
        <v/>
      </c>
      <c r="AA509" s="246" t="str">
        <f>Y509</f>
        <v/>
      </c>
      <c r="AB509" s="243" t="str">
        <f>X509</f>
        <v/>
      </c>
      <c r="AC509" s="185" t="str">
        <f>C509</f>
        <v/>
      </c>
      <c r="AD509" s="185" t="str">
        <f>LEFT($B$469,3)</f>
        <v>Sha</v>
      </c>
      <c r="AE509" s="185" t="str">
        <f t="shared" ref="AE509:AY509" si="251">E509</f>
        <v/>
      </c>
      <c r="AF509" s="185" t="str">
        <f t="shared" si="251"/>
        <v/>
      </c>
      <c r="AG509" s="185" t="str">
        <f t="shared" si="251"/>
        <v/>
      </c>
      <c r="AH509" s="185" t="str">
        <f t="shared" si="251"/>
        <v/>
      </c>
      <c r="AI509" s="185" t="str">
        <f t="shared" si="251"/>
        <v/>
      </c>
      <c r="AJ509" s="243" t="str">
        <f t="shared" si="251"/>
        <v/>
      </c>
      <c r="AK509" s="243" t="str">
        <f t="shared" si="251"/>
        <v/>
      </c>
      <c r="AL509" s="243" t="str">
        <f t="shared" si="251"/>
        <v/>
      </c>
      <c r="AM509" s="243" t="str">
        <f t="shared" si="251"/>
        <v/>
      </c>
      <c r="AN509" s="243" t="str">
        <f t="shared" si="251"/>
        <v/>
      </c>
      <c r="AO509" s="243" t="str">
        <f t="shared" si="251"/>
        <v/>
      </c>
      <c r="AP509" s="243" t="str">
        <f t="shared" si="251"/>
        <v/>
      </c>
      <c r="AQ509" s="243" t="str">
        <f t="shared" si="251"/>
        <v/>
      </c>
      <c r="AR509" s="243" t="str">
        <f t="shared" si="251"/>
        <v/>
      </c>
      <c r="AS509" s="243" t="str">
        <f t="shared" si="251"/>
        <v/>
      </c>
      <c r="AT509" s="243" t="str">
        <f t="shared" si="251"/>
        <v/>
      </c>
      <c r="AU509" s="243" t="str">
        <f t="shared" si="251"/>
        <v/>
      </c>
      <c r="AV509" s="243" t="str">
        <f t="shared" si="251"/>
        <v/>
      </c>
      <c r="AW509" s="247" t="str">
        <f t="shared" si="251"/>
        <v/>
      </c>
      <c r="AX509" s="243" t="str">
        <f t="shared" si="251"/>
        <v/>
      </c>
      <c r="AY509" s="248" t="str">
        <f t="shared" si="251"/>
        <v/>
      </c>
    </row>
    <row r="510" spans="2:51" ht="12.75" customHeight="1" x14ac:dyDescent="0.2">
      <c r="B510" s="211"/>
      <c r="C510" s="211"/>
      <c r="D510" s="211"/>
      <c r="E510" s="223"/>
      <c r="F510" s="225"/>
      <c r="G510" s="225"/>
      <c r="H510" s="225"/>
      <c r="I510" s="228"/>
      <c r="J510" s="164" t="str">
        <f>IF(Shaftesbury!M48="","",Shaftesbury!M48)</f>
        <v/>
      </c>
      <c r="K510" s="165" t="str">
        <f>IF(Shaftesbury!N48="","",Shaftesbury!N48)</f>
        <v/>
      </c>
      <c r="L510" s="165" t="str">
        <f>IF(Shaftesbury!O48="","",Shaftesbury!O48)</f>
        <v/>
      </c>
      <c r="M510" s="165" t="str">
        <f>IF(Shaftesbury!P48="","",Shaftesbury!P48)</f>
        <v/>
      </c>
      <c r="N510" s="165" t="str">
        <f>IF(Shaftesbury!Q48="","",Shaftesbury!Q48)</f>
        <v/>
      </c>
      <c r="O510" s="165" t="str">
        <f>IF(Shaftesbury!R48="","",Shaftesbury!R48)</f>
        <v/>
      </c>
      <c r="P510" s="165" t="str">
        <f>IF(Shaftesbury!S48="","",Shaftesbury!S48)</f>
        <v/>
      </c>
      <c r="Q510" s="165" t="str">
        <f>IF(Shaftesbury!T48="","",Shaftesbury!T48)</f>
        <v/>
      </c>
      <c r="R510" s="165" t="str">
        <f>IF(Shaftesbury!U48="","",Shaftesbury!U48)</f>
        <v/>
      </c>
      <c r="S510" s="165" t="str">
        <f>IF(Shaftesbury!V48="","",Shaftesbury!V48)</f>
        <v/>
      </c>
      <c r="T510" s="165" t="str">
        <f>IF(Shaftesbury!W48="","",Shaftesbury!W48)</f>
        <v/>
      </c>
      <c r="U510" s="165" t="str">
        <f>IF(Shaftesbury!X48="","",Shaftesbury!X48)</f>
        <v/>
      </c>
      <c r="V510" s="165" t="str">
        <f>IF(Shaftesbury!Y48="","",Shaftesbury!Y48)</f>
        <v/>
      </c>
      <c r="W510" s="261"/>
      <c r="X510" s="225"/>
      <c r="Y510" s="228"/>
      <c r="AA510" s="239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233"/>
    </row>
    <row r="511" spans="2:51" ht="12.75" customHeight="1" x14ac:dyDescent="0.2">
      <c r="B511" s="265" t="s">
        <v>26</v>
      </c>
      <c r="C511" s="264" t="str">
        <f>IF(Swanage!E7="","",Swanage!E7)</f>
        <v>John Hampton</v>
      </c>
      <c r="D511" s="260" t="str">
        <f>LEFT($B$511,3)</f>
        <v>Swa</v>
      </c>
      <c r="E511" s="256">
        <f>IF(Swanage!G7="","",Swanage!G7)</f>
        <v>3</v>
      </c>
      <c r="F511" s="257">
        <f>IF(Swanage!H7=0,"",Swanage!H7)</f>
        <v>1</v>
      </c>
      <c r="G511" s="253">
        <f>IF(Swanage!I7=0,"",Swanage!I7)</f>
        <v>2</v>
      </c>
      <c r="H511" s="253">
        <f>IF(Swanage!J7=0,"",Swanage!J7)</f>
        <v>7</v>
      </c>
      <c r="I511" s="258">
        <f>IF(Swanage!K7=0,"",Swanage!K7)</f>
        <v>11</v>
      </c>
      <c r="J511" s="161" t="str">
        <f>IF(Swanage!M7="","",Swanage!M7)</f>
        <v/>
      </c>
      <c r="K511" s="162" t="str">
        <f>IF(Swanage!N7="","",Swanage!N7)</f>
        <v/>
      </c>
      <c r="L511" s="162" t="str">
        <f>IF(Swanage!O7="","",Swanage!O7)</f>
        <v/>
      </c>
      <c r="M511" s="162" t="str">
        <f>IF(Swanage!P7="","",Swanage!P7)</f>
        <v/>
      </c>
      <c r="N511" s="162" t="str">
        <f>IF(Swanage!Q7="","",Swanage!Q7)</f>
        <v/>
      </c>
      <c r="O511" s="162" t="str">
        <f>IF(Swanage!R7="","",Swanage!R7)</f>
        <v/>
      </c>
      <c r="P511" s="162" t="str">
        <f>IF(Swanage!S7="","",Swanage!S7)</f>
        <v/>
      </c>
      <c r="Q511" s="162" t="str">
        <f>IF(Swanage!T7="","",Swanage!T7)</f>
        <v/>
      </c>
      <c r="R511" s="162" t="str">
        <f>IF(Swanage!U7="","",Swanage!U7)</f>
        <v/>
      </c>
      <c r="S511" s="162">
        <f>IF(Swanage!V7="","",Swanage!V7)</f>
        <v>21.12</v>
      </c>
      <c r="T511" s="162" t="str">
        <f>IF(Swanage!W7="","",Swanage!W7)</f>
        <v/>
      </c>
      <c r="U511" s="162">
        <f>IF(Swanage!X7="","",Swanage!X7)</f>
        <v>17.48</v>
      </c>
      <c r="V511" s="162">
        <f>IF(Swanage!Y7="","",Swanage!Y7)</f>
        <v>18.22</v>
      </c>
      <c r="W511" s="262" t="str">
        <f>IF(Swanage!AA7=0,"",Swanage!AA7)</f>
        <v/>
      </c>
      <c r="X511" s="254">
        <f>IF(Swanage!AB7=0,"",Swanage!AB7)</f>
        <v>18.940000000000001</v>
      </c>
      <c r="Y511" s="255">
        <f>IF(Swanage!AC7=0,"",Swanage!AC7)</f>
        <v>19.940000000000001</v>
      </c>
      <c r="AA511" s="246">
        <f>Y511</f>
        <v>19.940000000000001</v>
      </c>
      <c r="AB511" s="243">
        <f>X511</f>
        <v>18.940000000000001</v>
      </c>
      <c r="AC511" s="185" t="str">
        <f>C511</f>
        <v>John Hampton</v>
      </c>
      <c r="AD511" s="185" t="str">
        <f>LEFT($B$511,3)</f>
        <v>Swa</v>
      </c>
      <c r="AE511" s="185">
        <f t="shared" ref="AE511:AY511" si="252">E511</f>
        <v>3</v>
      </c>
      <c r="AF511" s="185">
        <f t="shared" si="252"/>
        <v>1</v>
      </c>
      <c r="AG511" s="247">
        <f t="shared" si="252"/>
        <v>2</v>
      </c>
      <c r="AH511" s="247">
        <f t="shared" si="252"/>
        <v>7</v>
      </c>
      <c r="AI511" s="247">
        <f t="shared" si="252"/>
        <v>11</v>
      </c>
      <c r="AJ511" s="243" t="str">
        <f t="shared" si="252"/>
        <v/>
      </c>
      <c r="AK511" s="243" t="str">
        <f t="shared" si="252"/>
        <v/>
      </c>
      <c r="AL511" s="243" t="str">
        <f t="shared" si="252"/>
        <v/>
      </c>
      <c r="AM511" s="243" t="str">
        <f t="shared" si="252"/>
        <v/>
      </c>
      <c r="AN511" s="243" t="str">
        <f t="shared" si="252"/>
        <v/>
      </c>
      <c r="AO511" s="243" t="str">
        <f t="shared" si="252"/>
        <v/>
      </c>
      <c r="AP511" s="243" t="str">
        <f t="shared" si="252"/>
        <v/>
      </c>
      <c r="AQ511" s="243" t="str">
        <f t="shared" si="252"/>
        <v/>
      </c>
      <c r="AR511" s="243" t="str">
        <f t="shared" si="252"/>
        <v/>
      </c>
      <c r="AS511" s="243">
        <f t="shared" si="252"/>
        <v>21.12</v>
      </c>
      <c r="AT511" s="243" t="str">
        <f t="shared" si="252"/>
        <v/>
      </c>
      <c r="AU511" s="243">
        <f t="shared" si="252"/>
        <v>17.48</v>
      </c>
      <c r="AV511" s="243">
        <f t="shared" si="252"/>
        <v>18.22</v>
      </c>
      <c r="AW511" s="247" t="str">
        <f t="shared" si="252"/>
        <v/>
      </c>
      <c r="AX511" s="243">
        <f t="shared" si="252"/>
        <v>18.940000000000001</v>
      </c>
      <c r="AY511" s="248">
        <f t="shared" si="252"/>
        <v>19.940000000000001</v>
      </c>
    </row>
    <row r="512" spans="2:51" ht="12" customHeight="1" x14ac:dyDescent="0.2">
      <c r="B512" s="266"/>
      <c r="C512" s="235"/>
      <c r="D512" s="235"/>
      <c r="E512" s="239"/>
      <c r="F512" s="182"/>
      <c r="G512" s="182"/>
      <c r="H512" s="182"/>
      <c r="I512" s="233"/>
      <c r="J512" s="163" t="str">
        <f>IF(Swanage!M8="","",Swanage!M8)</f>
        <v/>
      </c>
      <c r="K512" s="41" t="str">
        <f>IF(Swanage!N8="","",Swanage!N8)</f>
        <v/>
      </c>
      <c r="L512" s="41" t="str">
        <f>IF(Swanage!O8="","",Swanage!O8)</f>
        <v/>
      </c>
      <c r="M512" s="41" t="str">
        <f>IF(Swanage!P8="","",Swanage!P8)</f>
        <v/>
      </c>
      <c r="N512" s="41" t="str">
        <f>IF(Swanage!Q8="","",Swanage!Q8)</f>
        <v/>
      </c>
      <c r="O512" s="41" t="str">
        <f>IF(Swanage!R8="","",Swanage!R8)</f>
        <v/>
      </c>
      <c r="P512" s="41" t="str">
        <f>IF(Swanage!S8="","",Swanage!S8)</f>
        <v/>
      </c>
      <c r="Q512" s="41" t="str">
        <f>IF(Swanage!T8="","",Swanage!T8)</f>
        <v/>
      </c>
      <c r="R512" s="41" t="str">
        <f>IF(Swanage!U8="","",Swanage!U8)</f>
        <v/>
      </c>
      <c r="S512" s="41" t="str">
        <f>IF(Swanage!V8="","",Swanage!V8)</f>
        <v>0*4</v>
      </c>
      <c r="T512" s="41" t="str">
        <f>IF(Swanage!W8="","",Swanage!W8)</f>
        <v/>
      </c>
      <c r="U512" s="41" t="str">
        <f>IF(Swanage!X8="","",Swanage!X8)</f>
        <v>3*4</v>
      </c>
      <c r="V512" s="41" t="str">
        <f>IF(Swanage!Y8="","",Swanage!Y8)</f>
        <v>4*3</v>
      </c>
      <c r="W512" s="201"/>
      <c r="X512" s="182"/>
      <c r="Y512" s="233"/>
      <c r="AA512" s="239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233"/>
    </row>
    <row r="513" spans="2:51" ht="12" customHeight="1" x14ac:dyDescent="0.2">
      <c r="B513" s="266"/>
      <c r="C513" s="263" t="str">
        <f>IF(Swanage!E9="","",Swanage!E9)</f>
        <v>Roy Pidgeon</v>
      </c>
      <c r="D513" s="259" t="str">
        <f>LEFT($B$511,3)</f>
        <v>Swa</v>
      </c>
      <c r="E513" s="251">
        <f>IF(Swanage!G9="","",Swanage!G9)</f>
        <v>7</v>
      </c>
      <c r="F513" s="181">
        <f>IF(Swanage!H9=0,"",Swanage!H9)</f>
        <v>4</v>
      </c>
      <c r="G513" s="186">
        <f>IF(Swanage!I9=0,"",Swanage!I9)</f>
        <v>3</v>
      </c>
      <c r="H513" s="186">
        <f>IF(Swanage!J9=0,"",Swanage!J9)</f>
        <v>24</v>
      </c>
      <c r="I513" s="252">
        <f>IF(Swanage!K9=0,"",Swanage!K9)</f>
        <v>20</v>
      </c>
      <c r="J513" s="163">
        <f>IF(Swanage!M9="","",Swanage!M9)</f>
        <v>23.02</v>
      </c>
      <c r="K513" s="41">
        <f>IF(Swanage!N9="","",Swanage!N9)</f>
        <v>20.43</v>
      </c>
      <c r="L513" s="41" t="str">
        <f>IF(Swanage!O9="","",Swanage!O9)</f>
        <v/>
      </c>
      <c r="M513" s="41">
        <f>IF(Swanage!P9="","",Swanage!P9)</f>
        <v>20.67</v>
      </c>
      <c r="N513" s="41">
        <f>IF(Swanage!Q9="","",Swanage!Q9)</f>
        <v>21.06</v>
      </c>
      <c r="O513" s="41">
        <f>IF(Swanage!R9="","",Swanage!R9)</f>
        <v>21.06</v>
      </c>
      <c r="P513" s="41">
        <f>IF(Swanage!S9="","",Swanage!S9)</f>
        <v>23.51</v>
      </c>
      <c r="Q513" s="41">
        <f>IF(Swanage!T9="","",Swanage!T9)</f>
        <v>23.65</v>
      </c>
      <c r="R513" s="41" t="str">
        <f>IF(Swanage!U9="","",Swanage!U9)</f>
        <v/>
      </c>
      <c r="S513" s="41" t="str">
        <f>IF(Swanage!V9="","",Swanage!V9)</f>
        <v/>
      </c>
      <c r="T513" s="41" t="str">
        <f>IF(Swanage!W9="","",Swanage!W9)</f>
        <v/>
      </c>
      <c r="U513" s="41" t="str">
        <f>IF(Swanage!X9="","",Swanage!X9)</f>
        <v/>
      </c>
      <c r="V513" s="41" t="str">
        <f>IF(Swanage!Y9="","",Swanage!Y9)</f>
        <v/>
      </c>
      <c r="W513" s="249" t="str">
        <f>IF(Swanage!AA9=0,"",Swanage!AA9)</f>
        <v/>
      </c>
      <c r="X513" s="244">
        <f>IF(Swanage!AB9=0,"",Swanage!AB9)</f>
        <v>21.914285714285715</v>
      </c>
      <c r="Y513" s="245">
        <f>IF(Swanage!AC9=0,"",Swanage!AC9)</f>
        <v>25.914285714285715</v>
      </c>
      <c r="AA513" s="246">
        <f>Y513</f>
        <v>25.914285714285715</v>
      </c>
      <c r="AB513" s="243">
        <f>X513</f>
        <v>21.914285714285715</v>
      </c>
      <c r="AC513" s="185" t="str">
        <f>C513</f>
        <v>Roy Pidgeon</v>
      </c>
      <c r="AD513" s="185" t="str">
        <f>LEFT($B$511,3)</f>
        <v>Swa</v>
      </c>
      <c r="AE513" s="185">
        <f t="shared" ref="AE513:AY513" si="253">E513</f>
        <v>7</v>
      </c>
      <c r="AF513" s="185">
        <f t="shared" si="253"/>
        <v>4</v>
      </c>
      <c r="AG513" s="247">
        <f t="shared" si="253"/>
        <v>3</v>
      </c>
      <c r="AH513" s="247">
        <f t="shared" si="253"/>
        <v>24</v>
      </c>
      <c r="AI513" s="247">
        <f t="shared" si="253"/>
        <v>20</v>
      </c>
      <c r="AJ513" s="243">
        <f t="shared" si="253"/>
        <v>23.02</v>
      </c>
      <c r="AK513" s="243">
        <f t="shared" si="253"/>
        <v>20.43</v>
      </c>
      <c r="AL513" s="243" t="str">
        <f t="shared" si="253"/>
        <v/>
      </c>
      <c r="AM513" s="243">
        <f t="shared" si="253"/>
        <v>20.67</v>
      </c>
      <c r="AN513" s="243">
        <f t="shared" si="253"/>
        <v>21.06</v>
      </c>
      <c r="AO513" s="243">
        <f t="shared" si="253"/>
        <v>21.06</v>
      </c>
      <c r="AP513" s="243">
        <f t="shared" si="253"/>
        <v>23.51</v>
      </c>
      <c r="AQ513" s="243">
        <f t="shared" si="253"/>
        <v>23.65</v>
      </c>
      <c r="AR513" s="243" t="str">
        <f t="shared" si="253"/>
        <v/>
      </c>
      <c r="AS513" s="243" t="str">
        <f t="shared" si="253"/>
        <v/>
      </c>
      <c r="AT513" s="243" t="str">
        <f t="shared" si="253"/>
        <v/>
      </c>
      <c r="AU513" s="243" t="str">
        <f t="shared" si="253"/>
        <v/>
      </c>
      <c r="AV513" s="243" t="str">
        <f t="shared" si="253"/>
        <v/>
      </c>
      <c r="AW513" s="247" t="str">
        <f t="shared" si="253"/>
        <v/>
      </c>
      <c r="AX513" s="243">
        <f t="shared" si="253"/>
        <v>21.914285714285715</v>
      </c>
      <c r="AY513" s="248">
        <f t="shared" si="253"/>
        <v>25.914285714285715</v>
      </c>
    </row>
    <row r="514" spans="2:51" ht="12" customHeight="1" x14ac:dyDescent="0.2">
      <c r="B514" s="266"/>
      <c r="C514" s="235"/>
      <c r="D514" s="235"/>
      <c r="E514" s="239"/>
      <c r="F514" s="182"/>
      <c r="G514" s="182"/>
      <c r="H514" s="182"/>
      <c r="I514" s="233"/>
      <c r="J514" s="163" t="str">
        <f>IF(Swanage!M10="","",Swanage!M10)</f>
        <v>4*0</v>
      </c>
      <c r="K514" s="41" t="str">
        <f>IF(Swanage!N10="","",Swanage!N10)</f>
        <v>4*2</v>
      </c>
      <c r="L514" s="41" t="str">
        <f>IF(Swanage!O10="","",Swanage!O10)</f>
        <v/>
      </c>
      <c r="M514" s="41" t="str">
        <f>IF(Swanage!P10="","",Swanage!P10)</f>
        <v>2*4</v>
      </c>
      <c r="N514" s="41" t="str">
        <f>IF(Swanage!Q10="","",Swanage!Q10)</f>
        <v>4*3</v>
      </c>
      <c r="O514" s="41" t="str">
        <f>IF(Swanage!R10="","",Swanage!R10)</f>
        <v>3*4</v>
      </c>
      <c r="P514" s="41" t="str">
        <f>IF(Swanage!S10="","",Swanage!S10)</f>
        <v>4*3</v>
      </c>
      <c r="Q514" s="41" t="str">
        <f>IF(Swanage!T10="","",Swanage!T10)</f>
        <v>3*4</v>
      </c>
      <c r="R514" s="41" t="str">
        <f>IF(Swanage!U10="","",Swanage!U10)</f>
        <v/>
      </c>
      <c r="S514" s="41" t="str">
        <f>IF(Swanage!V10="","",Swanage!V10)</f>
        <v/>
      </c>
      <c r="T514" s="41" t="str">
        <f>IF(Swanage!W10="","",Swanage!W10)</f>
        <v/>
      </c>
      <c r="U514" s="41" t="str">
        <f>IF(Swanage!X10="","",Swanage!X10)</f>
        <v/>
      </c>
      <c r="V514" s="41" t="str">
        <f>IF(Swanage!Y10="","",Swanage!Y10)</f>
        <v/>
      </c>
      <c r="W514" s="201"/>
      <c r="X514" s="182"/>
      <c r="Y514" s="233"/>
      <c r="AA514" s="239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233"/>
    </row>
    <row r="515" spans="2:51" ht="12" customHeight="1" x14ac:dyDescent="0.2">
      <c r="B515" s="266"/>
      <c r="C515" s="263" t="str">
        <f>IF(Swanage!E11="","",Swanage!E11)</f>
        <v>Colin Littlecott</v>
      </c>
      <c r="D515" s="259" t="str">
        <f>LEFT($B$511,3)</f>
        <v>Swa</v>
      </c>
      <c r="E515" s="251">
        <f>IF(Swanage!G11="","",Swanage!G11)</f>
        <v>11</v>
      </c>
      <c r="F515" s="181">
        <f>IF(Swanage!H11=0,"",Swanage!H11)</f>
        <v>6</v>
      </c>
      <c r="G515" s="186">
        <f>IF(Swanage!I11=0,"",Swanage!I11)</f>
        <v>5</v>
      </c>
      <c r="H515" s="186">
        <f>IF(Swanage!J11=0,"",Swanage!J11)</f>
        <v>38</v>
      </c>
      <c r="I515" s="252">
        <f>IF(Swanage!K11=0,"",Swanage!K11)</f>
        <v>30</v>
      </c>
      <c r="J515" s="163">
        <f>IF(Swanage!M11="","",Swanage!M11)</f>
        <v>21.83</v>
      </c>
      <c r="K515" s="41">
        <f>IF(Swanage!N11="","",Swanage!N11)</f>
        <v>20.309999999999999</v>
      </c>
      <c r="L515" s="41">
        <f>IF(Swanage!O11="","",Swanage!O11)</f>
        <v>22.05</v>
      </c>
      <c r="M515" s="41">
        <f>IF(Swanage!P11="","",Swanage!P11)</f>
        <v>21.19</v>
      </c>
      <c r="N515" s="41">
        <f>IF(Swanage!Q11="","",Swanage!Q11)</f>
        <v>21.58</v>
      </c>
      <c r="O515" s="41">
        <f>IF(Swanage!R11="","",Swanage!R11)</f>
        <v>21.86</v>
      </c>
      <c r="P515" s="41">
        <f>IF(Swanage!S11="","",Swanage!S11)</f>
        <v>22.18</v>
      </c>
      <c r="Q515" s="41">
        <f>IF(Swanage!T11="","",Swanage!T11)</f>
        <v>24.48</v>
      </c>
      <c r="R515" s="41">
        <f>IF(Swanage!U11="","",Swanage!U11)</f>
        <v>22.41</v>
      </c>
      <c r="S515" s="41" t="str">
        <f>IF(Swanage!V11="","",Swanage!V11)</f>
        <v/>
      </c>
      <c r="T515" s="41">
        <f>IF(Swanage!W11="","",Swanage!W11)</f>
        <v>21.14</v>
      </c>
      <c r="U515" s="41">
        <f>IF(Swanage!X11="","",Swanage!X11)</f>
        <v>21.16</v>
      </c>
      <c r="V515" s="41" t="str">
        <f>IF(Swanage!Y11="","",Swanage!Y11)</f>
        <v/>
      </c>
      <c r="W515" s="249">
        <f>IF(Swanage!AA11=0,"",Swanage!AA11)</f>
        <v>2</v>
      </c>
      <c r="X515" s="244">
        <f>IF(Swanage!AB11=0,"",Swanage!AB11)</f>
        <v>21.835454545454542</v>
      </c>
      <c r="Y515" s="245">
        <f>IF(Swanage!AC11=0,"",Swanage!AC11)</f>
        <v>27.835454545454542</v>
      </c>
      <c r="AA515" s="246">
        <f>Y515</f>
        <v>27.835454545454542</v>
      </c>
      <c r="AB515" s="243">
        <f>X515</f>
        <v>21.835454545454542</v>
      </c>
      <c r="AC515" s="185" t="str">
        <f>C515</f>
        <v>Colin Littlecott</v>
      </c>
      <c r="AD515" s="185" t="str">
        <f>LEFT($B$511,3)</f>
        <v>Swa</v>
      </c>
      <c r="AE515" s="185">
        <f t="shared" ref="AE515:AY515" si="254">E515</f>
        <v>11</v>
      </c>
      <c r="AF515" s="185">
        <f t="shared" si="254"/>
        <v>6</v>
      </c>
      <c r="AG515" s="247">
        <f t="shared" si="254"/>
        <v>5</v>
      </c>
      <c r="AH515" s="247">
        <f t="shared" si="254"/>
        <v>38</v>
      </c>
      <c r="AI515" s="247">
        <f t="shared" si="254"/>
        <v>30</v>
      </c>
      <c r="AJ515" s="243">
        <f t="shared" si="254"/>
        <v>21.83</v>
      </c>
      <c r="AK515" s="243">
        <f t="shared" si="254"/>
        <v>20.309999999999999</v>
      </c>
      <c r="AL515" s="243">
        <f t="shared" si="254"/>
        <v>22.05</v>
      </c>
      <c r="AM515" s="243">
        <f t="shared" si="254"/>
        <v>21.19</v>
      </c>
      <c r="AN515" s="243">
        <f t="shared" si="254"/>
        <v>21.58</v>
      </c>
      <c r="AO515" s="243">
        <f t="shared" si="254"/>
        <v>21.86</v>
      </c>
      <c r="AP515" s="243">
        <f t="shared" si="254"/>
        <v>22.18</v>
      </c>
      <c r="AQ515" s="243">
        <f t="shared" si="254"/>
        <v>24.48</v>
      </c>
      <c r="AR515" s="243">
        <f t="shared" si="254"/>
        <v>22.41</v>
      </c>
      <c r="AS515" s="243" t="str">
        <f t="shared" si="254"/>
        <v/>
      </c>
      <c r="AT515" s="243">
        <f t="shared" si="254"/>
        <v>21.14</v>
      </c>
      <c r="AU515" s="243">
        <f t="shared" si="254"/>
        <v>21.16</v>
      </c>
      <c r="AV515" s="243" t="str">
        <f t="shared" si="254"/>
        <v/>
      </c>
      <c r="AW515" s="247">
        <f t="shared" si="254"/>
        <v>2</v>
      </c>
      <c r="AX515" s="243">
        <f t="shared" si="254"/>
        <v>21.835454545454542</v>
      </c>
      <c r="AY515" s="248">
        <f t="shared" si="254"/>
        <v>27.835454545454542</v>
      </c>
    </row>
    <row r="516" spans="2:51" ht="12" customHeight="1" x14ac:dyDescent="0.2">
      <c r="B516" s="266"/>
      <c r="C516" s="235"/>
      <c r="D516" s="235"/>
      <c r="E516" s="239"/>
      <c r="F516" s="182"/>
      <c r="G516" s="182"/>
      <c r="H516" s="182"/>
      <c r="I516" s="233"/>
      <c r="J516" s="163" t="str">
        <f>IF(Swanage!M12="","",Swanage!M12)</f>
        <v>3*4(1)</v>
      </c>
      <c r="K516" s="41" t="str">
        <f>IF(Swanage!N12="","",Swanage!N12)</f>
        <v>4*2</v>
      </c>
      <c r="L516" s="41" t="str">
        <f>IF(Swanage!O12="","",Swanage!O12)</f>
        <v>3*4</v>
      </c>
      <c r="M516" s="41" t="str">
        <f>IF(Swanage!P12="","",Swanage!P12)</f>
        <v>4*1</v>
      </c>
      <c r="N516" s="41" t="str">
        <f>IF(Swanage!Q12="","",Swanage!Q12)</f>
        <v>4*3</v>
      </c>
      <c r="O516" s="41" t="str">
        <f>IF(Swanage!R12="","",Swanage!R12)</f>
        <v>2*4</v>
      </c>
      <c r="P516" s="41" t="str">
        <f>IF(Swanage!S12="","",Swanage!S12)</f>
        <v>4*2</v>
      </c>
      <c r="Q516" s="41" t="str">
        <f>IF(Swanage!T12="","",Swanage!T12)</f>
        <v>4*1(1)</v>
      </c>
      <c r="R516" s="41" t="str">
        <f>IF(Swanage!U12="","",Swanage!U12)</f>
        <v>4*1</v>
      </c>
      <c r="S516" s="41" t="str">
        <f>IF(Swanage!V12="","",Swanage!V12)</f>
        <v/>
      </c>
      <c r="T516" s="41" t="str">
        <f>IF(Swanage!W12="","",Swanage!W12)</f>
        <v>3*4</v>
      </c>
      <c r="U516" s="41" t="str">
        <f>IF(Swanage!X12="","",Swanage!X12)</f>
        <v>3*4</v>
      </c>
      <c r="V516" s="41" t="str">
        <f>IF(Swanage!Y12="","",Swanage!Y12)</f>
        <v/>
      </c>
      <c r="W516" s="201"/>
      <c r="X516" s="182"/>
      <c r="Y516" s="233"/>
      <c r="AA516" s="239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233"/>
    </row>
    <row r="517" spans="2:51" ht="12" customHeight="1" x14ac:dyDescent="0.2">
      <c r="B517" s="266"/>
      <c r="C517" s="263" t="str">
        <f>IF(Swanage!E13="","",Swanage!E13)</f>
        <v>Richard Onions</v>
      </c>
      <c r="D517" s="259" t="str">
        <f>LEFT($B$511,3)</f>
        <v>Swa</v>
      </c>
      <c r="E517" s="251">
        <f>IF(Swanage!G13="","",Swanage!G13)</f>
        <v>7</v>
      </c>
      <c r="F517" s="181">
        <f>IF(Swanage!H13=0,"",Swanage!H13)</f>
        <v>1</v>
      </c>
      <c r="G517" s="186">
        <f>IF(Swanage!I13=0,"",Swanage!I13)</f>
        <v>6</v>
      </c>
      <c r="H517" s="186">
        <f>IF(Swanage!J13=0,"",Swanage!J13)</f>
        <v>9</v>
      </c>
      <c r="I517" s="252">
        <f>IF(Swanage!K13=0,"",Swanage!K13)</f>
        <v>27</v>
      </c>
      <c r="J517" s="163">
        <f>IF(Swanage!M13="","",Swanage!M13)</f>
        <v>17.36</v>
      </c>
      <c r="K517" s="41">
        <f>IF(Swanage!N13="","",Swanage!N13)</f>
        <v>17.39</v>
      </c>
      <c r="L517" s="41">
        <f>IF(Swanage!O13="","",Swanage!O13)</f>
        <v>18.47</v>
      </c>
      <c r="M517" s="41" t="str">
        <f>IF(Swanage!P13="","",Swanage!P13)</f>
        <v/>
      </c>
      <c r="N517" s="41" t="str">
        <f>IF(Swanage!Q13="","",Swanage!Q13)</f>
        <v/>
      </c>
      <c r="O517" s="41">
        <f>IF(Swanage!R13="","",Swanage!R13)</f>
        <v>16.21</v>
      </c>
      <c r="P517" s="41" t="str">
        <f>IF(Swanage!S13="","",Swanage!S13)</f>
        <v/>
      </c>
      <c r="Q517" s="41" t="str">
        <f>IF(Swanage!T13="","",Swanage!T13)</f>
        <v/>
      </c>
      <c r="R517" s="41">
        <f>IF(Swanage!U13="","",Swanage!U13)</f>
        <v>18.89</v>
      </c>
      <c r="S517" s="41">
        <f>IF(Swanage!V13="","",Swanage!V13)</f>
        <v>19</v>
      </c>
      <c r="T517" s="41" t="str">
        <f>IF(Swanage!W13="","",Swanage!W13)</f>
        <v/>
      </c>
      <c r="U517" s="41" t="str">
        <f>IF(Swanage!X13="","",Swanage!X13)</f>
        <v/>
      </c>
      <c r="V517" s="41">
        <f>IF(Swanage!Y13="","",Swanage!Y13)</f>
        <v>16.05</v>
      </c>
      <c r="W517" s="249" t="str">
        <f>IF(Swanage!AA13=0,"",Swanage!AA13)</f>
        <v/>
      </c>
      <c r="X517" s="244">
        <f>IF(Swanage!AB13=0,"",Swanage!AB13)</f>
        <v>17.624285714285715</v>
      </c>
      <c r="Y517" s="245">
        <f>IF(Swanage!AC13=0,"",Swanage!AC13)</f>
        <v>18.624285714285715</v>
      </c>
      <c r="AA517" s="246">
        <f>Y517</f>
        <v>18.624285714285715</v>
      </c>
      <c r="AB517" s="243">
        <f>X517</f>
        <v>17.624285714285715</v>
      </c>
      <c r="AC517" s="185" t="str">
        <f>C517</f>
        <v>Richard Onions</v>
      </c>
      <c r="AD517" s="185" t="str">
        <f>LEFT($B$511,3)</f>
        <v>Swa</v>
      </c>
      <c r="AE517" s="185">
        <f t="shared" ref="AE517:AY517" si="255">E517</f>
        <v>7</v>
      </c>
      <c r="AF517" s="185">
        <f t="shared" si="255"/>
        <v>1</v>
      </c>
      <c r="AG517" s="247">
        <f t="shared" si="255"/>
        <v>6</v>
      </c>
      <c r="AH517" s="247">
        <f t="shared" si="255"/>
        <v>9</v>
      </c>
      <c r="AI517" s="247">
        <f t="shared" si="255"/>
        <v>27</v>
      </c>
      <c r="AJ517" s="243">
        <f t="shared" si="255"/>
        <v>17.36</v>
      </c>
      <c r="AK517" s="243">
        <f t="shared" si="255"/>
        <v>17.39</v>
      </c>
      <c r="AL517" s="243">
        <f t="shared" si="255"/>
        <v>18.47</v>
      </c>
      <c r="AM517" s="243" t="str">
        <f t="shared" si="255"/>
        <v/>
      </c>
      <c r="AN517" s="243" t="str">
        <f t="shared" si="255"/>
        <v/>
      </c>
      <c r="AO517" s="243">
        <f t="shared" si="255"/>
        <v>16.21</v>
      </c>
      <c r="AP517" s="243" t="str">
        <f t="shared" si="255"/>
        <v/>
      </c>
      <c r="AQ517" s="243" t="str">
        <f t="shared" si="255"/>
        <v/>
      </c>
      <c r="AR517" s="243">
        <f t="shared" si="255"/>
        <v>18.89</v>
      </c>
      <c r="AS517" s="243">
        <f t="shared" si="255"/>
        <v>19</v>
      </c>
      <c r="AT517" s="243" t="str">
        <f t="shared" si="255"/>
        <v/>
      </c>
      <c r="AU517" s="243" t="str">
        <f t="shared" si="255"/>
        <v/>
      </c>
      <c r="AV517" s="243">
        <f t="shared" si="255"/>
        <v>16.05</v>
      </c>
      <c r="AW517" s="247" t="str">
        <f t="shared" si="255"/>
        <v/>
      </c>
      <c r="AX517" s="243">
        <f t="shared" si="255"/>
        <v>17.624285714285715</v>
      </c>
      <c r="AY517" s="248">
        <f t="shared" si="255"/>
        <v>18.624285714285715</v>
      </c>
    </row>
    <row r="518" spans="2:51" ht="12" customHeight="1" x14ac:dyDescent="0.2">
      <c r="B518" s="266"/>
      <c r="C518" s="235"/>
      <c r="D518" s="235"/>
      <c r="E518" s="239"/>
      <c r="F518" s="182"/>
      <c r="G518" s="182"/>
      <c r="H518" s="182"/>
      <c r="I518" s="233"/>
      <c r="J518" s="163" t="str">
        <f>IF(Swanage!M14="","",Swanage!M14)</f>
        <v>4*3</v>
      </c>
      <c r="K518" s="41" t="str">
        <f>IF(Swanage!N14="","",Swanage!N14)</f>
        <v>0*4</v>
      </c>
      <c r="L518" s="41" t="str">
        <f>IF(Swanage!O14="","",Swanage!O14)</f>
        <v>1*4</v>
      </c>
      <c r="M518" s="41" t="str">
        <f>IF(Swanage!P14="","",Swanage!P14)</f>
        <v/>
      </c>
      <c r="N518" s="41" t="str">
        <f>IF(Swanage!Q14="","",Swanage!Q14)</f>
        <v/>
      </c>
      <c r="O518" s="41" t="str">
        <f>IF(Swanage!R14="","",Swanage!R14)</f>
        <v>1*4</v>
      </c>
      <c r="P518" s="41" t="str">
        <f>IF(Swanage!S14="","",Swanage!S14)</f>
        <v/>
      </c>
      <c r="Q518" s="41" t="str">
        <f>IF(Swanage!T14="","",Swanage!T14)</f>
        <v/>
      </c>
      <c r="R518" s="41" t="str">
        <f>IF(Swanage!U14="","",Swanage!U14)</f>
        <v>1*4</v>
      </c>
      <c r="S518" s="41" t="str">
        <f>IF(Swanage!V14="","",Swanage!V14)</f>
        <v>0*4</v>
      </c>
      <c r="T518" s="41" t="str">
        <f>IF(Swanage!W14="","",Swanage!W14)</f>
        <v/>
      </c>
      <c r="U518" s="41" t="str">
        <f>IF(Swanage!X14="","",Swanage!X14)</f>
        <v/>
      </c>
      <c r="V518" s="41" t="str">
        <f>IF(Swanage!Y14="","",Swanage!Y14)</f>
        <v>2*4</v>
      </c>
      <c r="W518" s="201"/>
      <c r="X518" s="182"/>
      <c r="Y518" s="233"/>
      <c r="AA518" s="239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233"/>
    </row>
    <row r="519" spans="2:51" ht="12" customHeight="1" x14ac:dyDescent="0.2">
      <c r="B519" s="266"/>
      <c r="C519" s="263" t="str">
        <f>IF(Swanage!E15="","",Swanage!E15)</f>
        <v>Ricky King</v>
      </c>
      <c r="D519" s="259" t="str">
        <f>LEFT($B$511,3)</f>
        <v>Swa</v>
      </c>
      <c r="E519" s="251">
        <f>IF(Swanage!G15="","",Swanage!G15)</f>
        <v>11</v>
      </c>
      <c r="F519" s="181">
        <f>IF(Swanage!H15=0,"",Swanage!H15)</f>
        <v>10</v>
      </c>
      <c r="G519" s="186">
        <f>IF(Swanage!I15=0,"",Swanage!I15)</f>
        <v>1</v>
      </c>
      <c r="H519" s="186">
        <f>IF(Swanage!J15=0,"",Swanage!J15)</f>
        <v>43</v>
      </c>
      <c r="I519" s="252">
        <f>IF(Swanage!K15=0,"",Swanage!K15)</f>
        <v>20</v>
      </c>
      <c r="J519" s="163">
        <f>IF(Swanage!M15="","",Swanage!M15)</f>
        <v>25.37</v>
      </c>
      <c r="K519" s="41" t="str">
        <f>IF(Swanage!N15="","",Swanage!N15)</f>
        <v/>
      </c>
      <c r="L519" s="41">
        <f>IF(Swanage!O15="","",Swanage!O15)</f>
        <v>29.41</v>
      </c>
      <c r="M519" s="41">
        <f>IF(Swanage!P15="","",Swanage!P15)</f>
        <v>23.7</v>
      </c>
      <c r="N519" s="41">
        <f>IF(Swanage!Q15="","",Swanage!Q15)</f>
        <v>27.64</v>
      </c>
      <c r="O519" s="41" t="str">
        <f>IF(Swanage!R15="","",Swanage!R15)</f>
        <v/>
      </c>
      <c r="P519" s="41">
        <f>IF(Swanage!S15="","",Swanage!S15)</f>
        <v>24.56</v>
      </c>
      <c r="Q519" s="41">
        <f>IF(Swanage!T15="","",Swanage!T15)</f>
        <v>25.99</v>
      </c>
      <c r="R519" s="41">
        <f>IF(Swanage!U15="","",Swanage!U15)</f>
        <v>24.46</v>
      </c>
      <c r="S519" s="41">
        <f>IF(Swanage!V15="","",Swanage!V15)</f>
        <v>28.48</v>
      </c>
      <c r="T519" s="41">
        <f>IF(Swanage!W15="","",Swanage!W15)</f>
        <v>27.79</v>
      </c>
      <c r="U519" s="41">
        <f>IF(Swanage!X15="","",Swanage!X15)</f>
        <v>26.25</v>
      </c>
      <c r="V519" s="41">
        <f>IF(Swanage!Y15="","",Swanage!Y15)</f>
        <v>25.85</v>
      </c>
      <c r="W519" s="249">
        <f>IF(Swanage!AA15=0,"",Swanage!AA15)</f>
        <v>8</v>
      </c>
      <c r="X519" s="244">
        <f>IF(Swanage!AB15=0,"",Swanage!AB15)</f>
        <v>26.318181818181817</v>
      </c>
      <c r="Y519" s="245">
        <f>IF(Swanage!AC15=0,"",Swanage!AC15)</f>
        <v>36.318181818181813</v>
      </c>
      <c r="AA519" s="246">
        <f>Y519</f>
        <v>36.318181818181813</v>
      </c>
      <c r="AB519" s="243">
        <f>X519</f>
        <v>26.318181818181817</v>
      </c>
      <c r="AC519" s="185" t="str">
        <f>C519</f>
        <v>Ricky King</v>
      </c>
      <c r="AD519" s="185" t="str">
        <f>LEFT($B$511,3)</f>
        <v>Swa</v>
      </c>
      <c r="AE519" s="185">
        <f t="shared" ref="AE519:AY519" si="256">E519</f>
        <v>11</v>
      </c>
      <c r="AF519" s="185">
        <f t="shared" si="256"/>
        <v>10</v>
      </c>
      <c r="AG519" s="247">
        <f t="shared" si="256"/>
        <v>1</v>
      </c>
      <c r="AH519" s="247">
        <f t="shared" si="256"/>
        <v>43</v>
      </c>
      <c r="AI519" s="247">
        <f t="shared" si="256"/>
        <v>20</v>
      </c>
      <c r="AJ519" s="243">
        <f t="shared" si="256"/>
        <v>25.37</v>
      </c>
      <c r="AK519" s="243" t="str">
        <f t="shared" si="256"/>
        <v/>
      </c>
      <c r="AL519" s="243">
        <f t="shared" si="256"/>
        <v>29.41</v>
      </c>
      <c r="AM519" s="243">
        <f t="shared" si="256"/>
        <v>23.7</v>
      </c>
      <c r="AN519" s="243">
        <f t="shared" si="256"/>
        <v>27.64</v>
      </c>
      <c r="AO519" s="243" t="str">
        <f t="shared" si="256"/>
        <v/>
      </c>
      <c r="AP519" s="243">
        <f t="shared" si="256"/>
        <v>24.56</v>
      </c>
      <c r="AQ519" s="243">
        <f t="shared" si="256"/>
        <v>25.99</v>
      </c>
      <c r="AR519" s="243">
        <f t="shared" si="256"/>
        <v>24.46</v>
      </c>
      <c r="AS519" s="243">
        <f t="shared" si="256"/>
        <v>28.48</v>
      </c>
      <c r="AT519" s="243">
        <f t="shared" si="256"/>
        <v>27.79</v>
      </c>
      <c r="AU519" s="243">
        <f t="shared" si="256"/>
        <v>26.25</v>
      </c>
      <c r="AV519" s="243">
        <f t="shared" si="256"/>
        <v>25.85</v>
      </c>
      <c r="AW519" s="247">
        <f t="shared" si="256"/>
        <v>8</v>
      </c>
      <c r="AX519" s="243">
        <f t="shared" si="256"/>
        <v>26.318181818181817</v>
      </c>
      <c r="AY519" s="248">
        <f t="shared" si="256"/>
        <v>36.318181818181813</v>
      </c>
    </row>
    <row r="520" spans="2:51" ht="12" customHeight="1" x14ac:dyDescent="0.2">
      <c r="B520" s="266"/>
      <c r="C520" s="235"/>
      <c r="D520" s="235"/>
      <c r="E520" s="239"/>
      <c r="F520" s="182"/>
      <c r="G520" s="182"/>
      <c r="H520" s="182"/>
      <c r="I520" s="233"/>
      <c r="J520" s="163" t="str">
        <f>IF(Swanage!M16="","",Swanage!M16)</f>
        <v>4*3</v>
      </c>
      <c r="K520" s="41" t="str">
        <f>IF(Swanage!N16="","",Swanage!N16)</f>
        <v/>
      </c>
      <c r="L520" s="41" t="str">
        <f>IF(Swanage!O16="","",Swanage!O16)</f>
        <v>4*1(1)</v>
      </c>
      <c r="M520" s="41" t="str">
        <f>IF(Swanage!P16="","",Swanage!P16)</f>
        <v>4*1</v>
      </c>
      <c r="N520" s="41" t="str">
        <f>IF(Swanage!Q16="","",Swanage!Q16)</f>
        <v>4*1(2)</v>
      </c>
      <c r="O520" s="41" t="str">
        <f>IF(Swanage!R16="","",Swanage!R16)</f>
        <v/>
      </c>
      <c r="P520" s="41" t="str">
        <f>IF(Swanage!S16="","",Swanage!S16)</f>
        <v>4*3</v>
      </c>
      <c r="Q520" s="41" t="str">
        <f>IF(Swanage!T16="","",Swanage!T16)</f>
        <v>4*1(1)</v>
      </c>
      <c r="R520" s="41" t="str">
        <f>IF(Swanage!U16="","",Swanage!U16)</f>
        <v>4*1(1)</v>
      </c>
      <c r="S520" s="41" t="str">
        <f>IF(Swanage!V16="","",Swanage!V16)</f>
        <v>3*4</v>
      </c>
      <c r="T520" s="41" t="str">
        <f>IF(Swanage!W16="","",Swanage!W16)</f>
        <v>4*1(1)</v>
      </c>
      <c r="U520" s="41" t="str">
        <f>IF(Swanage!X16="","",Swanage!X16)</f>
        <v>4*2</v>
      </c>
      <c r="V520" s="41" t="str">
        <f>IF(Swanage!Y16="","",Swanage!Y16)</f>
        <v>4*2(2)</v>
      </c>
      <c r="W520" s="201"/>
      <c r="X520" s="182"/>
      <c r="Y520" s="233"/>
      <c r="AA520" s="239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233"/>
    </row>
    <row r="521" spans="2:51" ht="12" customHeight="1" x14ac:dyDescent="0.2">
      <c r="B521" s="266"/>
      <c r="C521" s="263" t="str">
        <f>IF(Swanage!E17="","",Swanage!E17)</f>
        <v>Graham Churchill</v>
      </c>
      <c r="D521" s="259" t="str">
        <f>LEFT($B$511,3)</f>
        <v>Swa</v>
      </c>
      <c r="E521" s="251">
        <f>IF(Swanage!G17="","",Swanage!G17)</f>
        <v>11</v>
      </c>
      <c r="F521" s="181">
        <f>IF(Swanage!H17=0,"",Swanage!H17)</f>
        <v>7</v>
      </c>
      <c r="G521" s="186">
        <f>IF(Swanage!I17=0,"",Swanage!I17)</f>
        <v>4</v>
      </c>
      <c r="H521" s="186">
        <f>IF(Swanage!J17=0,"",Swanage!J17)</f>
        <v>36</v>
      </c>
      <c r="I521" s="252">
        <f>IF(Swanage!K17=0,"",Swanage!K17)</f>
        <v>29</v>
      </c>
      <c r="J521" s="163" t="str">
        <f>IF(Swanage!M17="","",Swanage!M17)</f>
        <v/>
      </c>
      <c r="K521" s="41">
        <f>IF(Swanage!N17="","",Swanage!N17)</f>
        <v>26.24</v>
      </c>
      <c r="L521" s="41">
        <f>IF(Swanage!O17="","",Swanage!O17)</f>
        <v>20.94</v>
      </c>
      <c r="M521" s="41">
        <f>IF(Swanage!P17="","",Swanage!P17)</f>
        <v>20.74</v>
      </c>
      <c r="N521" s="41">
        <f>IF(Swanage!Q17="","",Swanage!Q17)</f>
        <v>20.04</v>
      </c>
      <c r="O521" s="41">
        <f>IF(Swanage!R17="","",Swanage!R17)</f>
        <v>18.579999999999998</v>
      </c>
      <c r="P521" s="41">
        <f>IF(Swanage!S17="","",Swanage!S17)</f>
        <v>20.92</v>
      </c>
      <c r="Q521" s="41" t="str">
        <f>IF(Swanage!T17="","",Swanage!T17)</f>
        <v/>
      </c>
      <c r="R521" s="41">
        <f>IF(Swanage!U17="","",Swanage!U17)</f>
        <v>22.48</v>
      </c>
      <c r="S521" s="41">
        <f>IF(Swanage!V17="","",Swanage!V17)</f>
        <v>19.190000000000001</v>
      </c>
      <c r="T521" s="41">
        <f>IF(Swanage!W17="","",Swanage!W17)</f>
        <v>20.46</v>
      </c>
      <c r="U521" s="41">
        <f>IF(Swanage!X17="","",Swanage!X17)</f>
        <v>18.77</v>
      </c>
      <c r="V521" s="41">
        <f>IF(Swanage!Y17="","",Swanage!Y17)</f>
        <v>20.93</v>
      </c>
      <c r="W521" s="249">
        <f>IF(Swanage!AA17=0,"",Swanage!AA17)</f>
        <v>4</v>
      </c>
      <c r="X521" s="244">
        <f>IF(Swanage!AB17=0,"",Swanage!AB17)</f>
        <v>20.844545454545457</v>
      </c>
      <c r="Y521" s="245">
        <f>IF(Swanage!AC17=0,"",Swanage!AC17)</f>
        <v>27.844545454545457</v>
      </c>
      <c r="AA521" s="246">
        <f>Y521</f>
        <v>27.844545454545457</v>
      </c>
      <c r="AB521" s="243">
        <f>X521</f>
        <v>20.844545454545457</v>
      </c>
      <c r="AC521" s="185" t="str">
        <f>C521</f>
        <v>Graham Churchill</v>
      </c>
      <c r="AD521" s="185" t="str">
        <f>LEFT($B$511,3)</f>
        <v>Swa</v>
      </c>
      <c r="AE521" s="185">
        <f t="shared" ref="AE521:AY521" si="257">E521</f>
        <v>11</v>
      </c>
      <c r="AF521" s="185">
        <f t="shared" si="257"/>
        <v>7</v>
      </c>
      <c r="AG521" s="247">
        <f t="shared" si="257"/>
        <v>4</v>
      </c>
      <c r="AH521" s="247">
        <f t="shared" si="257"/>
        <v>36</v>
      </c>
      <c r="AI521" s="247">
        <f t="shared" si="257"/>
        <v>29</v>
      </c>
      <c r="AJ521" s="243" t="str">
        <f t="shared" si="257"/>
        <v/>
      </c>
      <c r="AK521" s="243">
        <f t="shared" si="257"/>
        <v>26.24</v>
      </c>
      <c r="AL521" s="243">
        <f t="shared" si="257"/>
        <v>20.94</v>
      </c>
      <c r="AM521" s="243">
        <f t="shared" si="257"/>
        <v>20.74</v>
      </c>
      <c r="AN521" s="243">
        <f t="shared" si="257"/>
        <v>20.04</v>
      </c>
      <c r="AO521" s="243">
        <f t="shared" si="257"/>
        <v>18.579999999999998</v>
      </c>
      <c r="AP521" s="243">
        <f t="shared" si="257"/>
        <v>20.92</v>
      </c>
      <c r="AQ521" s="243" t="str">
        <f t="shared" si="257"/>
        <v/>
      </c>
      <c r="AR521" s="243">
        <f t="shared" si="257"/>
        <v>22.48</v>
      </c>
      <c r="AS521" s="243">
        <f t="shared" si="257"/>
        <v>19.190000000000001</v>
      </c>
      <c r="AT521" s="243">
        <f t="shared" si="257"/>
        <v>20.46</v>
      </c>
      <c r="AU521" s="243">
        <f t="shared" si="257"/>
        <v>18.77</v>
      </c>
      <c r="AV521" s="243">
        <f t="shared" si="257"/>
        <v>20.93</v>
      </c>
      <c r="AW521" s="247">
        <f t="shared" si="257"/>
        <v>4</v>
      </c>
      <c r="AX521" s="243">
        <f t="shared" si="257"/>
        <v>20.844545454545457</v>
      </c>
      <c r="AY521" s="248">
        <f t="shared" si="257"/>
        <v>27.844545454545457</v>
      </c>
    </row>
    <row r="522" spans="2:51" ht="12" customHeight="1" x14ac:dyDescent="0.2">
      <c r="B522" s="266"/>
      <c r="C522" s="235"/>
      <c r="D522" s="235"/>
      <c r="E522" s="239"/>
      <c r="F522" s="182"/>
      <c r="G522" s="182"/>
      <c r="H522" s="182"/>
      <c r="I522" s="233"/>
      <c r="J522" s="163" t="str">
        <f>IF(Swanage!M18="","",Swanage!M18)</f>
        <v/>
      </c>
      <c r="K522" s="41" t="str">
        <f>IF(Swanage!N18="","",Swanage!N18)</f>
        <v>0*4(2)</v>
      </c>
      <c r="L522" s="41" t="str">
        <f>IF(Swanage!O18="","",Swanage!O18)</f>
        <v>4*3</v>
      </c>
      <c r="M522" s="41" t="str">
        <f>IF(Swanage!P18="","",Swanage!P18)</f>
        <v>3*4</v>
      </c>
      <c r="N522" s="41" t="str">
        <f>IF(Swanage!Q18="","",Swanage!Q18)</f>
        <v>4*0</v>
      </c>
      <c r="O522" s="41" t="str">
        <f>IF(Swanage!R18="","",Swanage!R18)</f>
        <v>4*2</v>
      </c>
      <c r="P522" s="41" t="str">
        <f>IF(Swanage!S18="","",Swanage!S18)</f>
        <v>4*1(1)</v>
      </c>
      <c r="Q522" s="41" t="str">
        <f>IF(Swanage!T18="","",Swanage!T18)</f>
        <v/>
      </c>
      <c r="R522" s="41" t="str">
        <f>IF(Swanage!U18="","",Swanage!U18)</f>
        <v>4*1</v>
      </c>
      <c r="S522" s="41" t="str">
        <f>IF(Swanage!V18="","",Swanage!V18)</f>
        <v>2*4</v>
      </c>
      <c r="T522" s="41" t="str">
        <f>IF(Swanage!W18="","",Swanage!W18)</f>
        <v>4*3</v>
      </c>
      <c r="U522" s="41" t="str">
        <f>IF(Swanage!X18="","",Swanage!X18)</f>
        <v>3*4</v>
      </c>
      <c r="V522" s="41" t="str">
        <f>IF(Swanage!Y18="","",Swanage!Y18)</f>
        <v>4*3(1)</v>
      </c>
      <c r="W522" s="201"/>
      <c r="X522" s="182"/>
      <c r="Y522" s="233"/>
      <c r="AA522" s="239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233"/>
    </row>
    <row r="523" spans="2:51" ht="12" customHeight="1" x14ac:dyDescent="0.2">
      <c r="B523" s="266"/>
      <c r="C523" s="263" t="str">
        <f>IF(Swanage!E19="","",Swanage!E19)</f>
        <v>Jamie Elm</v>
      </c>
      <c r="D523" s="259" t="str">
        <f>LEFT($B$511,3)</f>
        <v>Swa</v>
      </c>
      <c r="E523" s="251">
        <f>IF(Swanage!G19="","",Swanage!G19)</f>
        <v>2</v>
      </c>
      <c r="F523" s="181">
        <f>IF(Swanage!H19=0,"",Swanage!H19)</f>
        <v>2</v>
      </c>
      <c r="G523" s="181" t="str">
        <f>IF(Swanage!I19=0,"",Swanage!I19)</f>
        <v/>
      </c>
      <c r="H523" s="186">
        <f>IF(Swanage!J19=0,"",Swanage!J19)</f>
        <v>8</v>
      </c>
      <c r="I523" s="252">
        <f>IF(Swanage!K19=0,"",Swanage!K19)</f>
        <v>3</v>
      </c>
      <c r="J523" s="163" t="str">
        <f>IF(Swanage!M19="","",Swanage!M19)</f>
        <v/>
      </c>
      <c r="K523" s="41">
        <f>IF(Swanage!N19="","",Swanage!N19)</f>
        <v>24.63</v>
      </c>
      <c r="L523" s="41">
        <f>IF(Swanage!O19="","",Swanage!O19)</f>
        <v>18.73</v>
      </c>
      <c r="M523" s="41" t="str">
        <f>IF(Swanage!P19="","",Swanage!P19)</f>
        <v/>
      </c>
      <c r="N523" s="41" t="str">
        <f>IF(Swanage!Q19="","",Swanage!Q19)</f>
        <v/>
      </c>
      <c r="O523" s="41" t="str">
        <f>IF(Swanage!R19="","",Swanage!R19)</f>
        <v/>
      </c>
      <c r="P523" s="41" t="str">
        <f>IF(Swanage!S19="","",Swanage!S19)</f>
        <v/>
      </c>
      <c r="Q523" s="41" t="str">
        <f>IF(Swanage!T19="","",Swanage!T19)</f>
        <v/>
      </c>
      <c r="R523" s="41" t="str">
        <f>IF(Swanage!U19="","",Swanage!U19)</f>
        <v/>
      </c>
      <c r="S523" s="41" t="str">
        <f>IF(Swanage!V19="","",Swanage!V19)</f>
        <v/>
      </c>
      <c r="T523" s="41" t="str">
        <f>IF(Swanage!W19="","",Swanage!W19)</f>
        <v/>
      </c>
      <c r="U523" s="41" t="str">
        <f>IF(Swanage!X19="","",Swanage!X19)</f>
        <v/>
      </c>
      <c r="V523" s="41" t="str">
        <f>IF(Swanage!Y19="","",Swanage!Y19)</f>
        <v/>
      </c>
      <c r="W523" s="249">
        <f>IF(Swanage!AA19=0,"",Swanage!AA19)</f>
        <v>1</v>
      </c>
      <c r="X523" s="244">
        <f>IF(Swanage!AB19=0,"",Swanage!AB19)</f>
        <v>21.68</v>
      </c>
      <c r="Y523" s="245">
        <f>IF(Swanage!AC19=0,"",Swanage!AC19)</f>
        <v>23.68</v>
      </c>
      <c r="AA523" s="246">
        <f>Y523</f>
        <v>23.68</v>
      </c>
      <c r="AB523" s="243">
        <f>X523</f>
        <v>21.68</v>
      </c>
      <c r="AC523" s="185" t="str">
        <f>C523</f>
        <v>Jamie Elm</v>
      </c>
      <c r="AD523" s="185" t="str">
        <f>LEFT($B$511,3)</f>
        <v>Swa</v>
      </c>
      <c r="AE523" s="185">
        <f t="shared" ref="AE523:AY523" si="258">E523</f>
        <v>2</v>
      </c>
      <c r="AF523" s="185">
        <f t="shared" si="258"/>
        <v>2</v>
      </c>
      <c r="AG523" s="185" t="str">
        <f t="shared" si="258"/>
        <v/>
      </c>
      <c r="AH523" s="247">
        <f t="shared" si="258"/>
        <v>8</v>
      </c>
      <c r="AI523" s="247">
        <f t="shared" si="258"/>
        <v>3</v>
      </c>
      <c r="AJ523" s="243" t="str">
        <f t="shared" si="258"/>
        <v/>
      </c>
      <c r="AK523" s="243">
        <f t="shared" si="258"/>
        <v>24.63</v>
      </c>
      <c r="AL523" s="243">
        <f t="shared" si="258"/>
        <v>18.73</v>
      </c>
      <c r="AM523" s="243" t="str">
        <f t="shared" si="258"/>
        <v/>
      </c>
      <c r="AN523" s="243" t="str">
        <f t="shared" si="258"/>
        <v/>
      </c>
      <c r="AO523" s="243" t="str">
        <f t="shared" si="258"/>
        <v/>
      </c>
      <c r="AP523" s="243" t="str">
        <f t="shared" si="258"/>
        <v/>
      </c>
      <c r="AQ523" s="243" t="str">
        <f t="shared" si="258"/>
        <v/>
      </c>
      <c r="AR523" s="243" t="str">
        <f t="shared" si="258"/>
        <v/>
      </c>
      <c r="AS523" s="243" t="str">
        <f t="shared" si="258"/>
        <v/>
      </c>
      <c r="AT523" s="243" t="str">
        <f t="shared" si="258"/>
        <v/>
      </c>
      <c r="AU523" s="243" t="str">
        <f t="shared" si="258"/>
        <v/>
      </c>
      <c r="AV523" s="243" t="str">
        <f t="shared" si="258"/>
        <v/>
      </c>
      <c r="AW523" s="247">
        <f t="shared" si="258"/>
        <v>1</v>
      </c>
      <c r="AX523" s="243">
        <f t="shared" si="258"/>
        <v>21.68</v>
      </c>
      <c r="AY523" s="248">
        <f t="shared" si="258"/>
        <v>23.68</v>
      </c>
    </row>
    <row r="524" spans="2:51" ht="12" customHeight="1" x14ac:dyDescent="0.2">
      <c r="B524" s="266"/>
      <c r="C524" s="235"/>
      <c r="D524" s="235"/>
      <c r="E524" s="239"/>
      <c r="F524" s="182"/>
      <c r="G524" s="182"/>
      <c r="H524" s="182"/>
      <c r="I524" s="233"/>
      <c r="J524" s="163" t="str">
        <f>IF(Swanage!M20="","",Swanage!M20)</f>
        <v/>
      </c>
      <c r="K524" s="41" t="str">
        <f>IF(Swanage!N20="","",Swanage!N20)</f>
        <v>4*3(1)</v>
      </c>
      <c r="L524" s="41" t="str">
        <f>IF(Swanage!O20="","",Swanage!O20)</f>
        <v>4*0</v>
      </c>
      <c r="M524" s="41" t="str">
        <f>IF(Swanage!P20="","",Swanage!P20)</f>
        <v/>
      </c>
      <c r="N524" s="41" t="str">
        <f>IF(Swanage!Q20="","",Swanage!Q20)</f>
        <v/>
      </c>
      <c r="O524" s="41" t="str">
        <f>IF(Swanage!R20="","",Swanage!R20)</f>
        <v/>
      </c>
      <c r="P524" s="41" t="str">
        <f>IF(Swanage!S20="","",Swanage!S20)</f>
        <v/>
      </c>
      <c r="Q524" s="41" t="str">
        <f>IF(Swanage!T20="","",Swanage!T20)</f>
        <v/>
      </c>
      <c r="R524" s="41" t="str">
        <f>IF(Swanage!U20="","",Swanage!U20)</f>
        <v/>
      </c>
      <c r="S524" s="41" t="str">
        <f>IF(Swanage!V20="","",Swanage!V20)</f>
        <v/>
      </c>
      <c r="T524" s="41" t="str">
        <f>IF(Swanage!W20="","",Swanage!W20)</f>
        <v/>
      </c>
      <c r="U524" s="41" t="str">
        <f>IF(Swanage!X20="","",Swanage!X20)</f>
        <v/>
      </c>
      <c r="V524" s="41" t="str">
        <f>IF(Swanage!Y20="","",Swanage!Y20)</f>
        <v/>
      </c>
      <c r="W524" s="201"/>
      <c r="X524" s="182"/>
      <c r="Y524" s="233"/>
      <c r="AA524" s="239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233"/>
    </row>
    <row r="525" spans="2:51" ht="12" customHeight="1" x14ac:dyDescent="0.2">
      <c r="B525" s="266"/>
      <c r="C525" s="263" t="str">
        <f>IF(Swanage!E21="","",Swanage!E21)</f>
        <v>David Elm</v>
      </c>
      <c r="D525" s="259" t="str">
        <f>LEFT($B$511,3)</f>
        <v>Swa</v>
      </c>
      <c r="E525" s="251">
        <f>IF(Swanage!G21="","",Swanage!G21)</f>
        <v>8</v>
      </c>
      <c r="F525" s="181">
        <f>IF(Swanage!H21=0,"",Swanage!H21)</f>
        <v>7</v>
      </c>
      <c r="G525" s="186">
        <f>IF(Swanage!I21=0,"",Swanage!I21)</f>
        <v>1</v>
      </c>
      <c r="H525" s="186">
        <f>IF(Swanage!J21=0,"",Swanage!J21)</f>
        <v>30</v>
      </c>
      <c r="I525" s="252">
        <f>IF(Swanage!K21=0,"",Swanage!K21)</f>
        <v>11</v>
      </c>
      <c r="J525" s="163" t="str">
        <f>IF(Swanage!M21="","",Swanage!M21)</f>
        <v/>
      </c>
      <c r="K525" s="41" t="str">
        <f>IF(Swanage!N21="","",Swanage!N21)</f>
        <v/>
      </c>
      <c r="L525" s="41">
        <f>IF(Swanage!O21="","",Swanage!O21)</f>
        <v>27.94</v>
      </c>
      <c r="M525" s="41">
        <f>IF(Swanage!P21="","",Swanage!P21)</f>
        <v>21.97</v>
      </c>
      <c r="N525" s="41">
        <f>IF(Swanage!Q21="","",Swanage!Q21)</f>
        <v>26.03</v>
      </c>
      <c r="O525" s="41" t="str">
        <f>IF(Swanage!R21="","",Swanage!R21)</f>
        <v/>
      </c>
      <c r="P525" s="41">
        <f>IF(Swanage!S21="","",Swanage!S21)</f>
        <v>22.02</v>
      </c>
      <c r="Q525" s="41">
        <f>IF(Swanage!T21="","",Swanage!T21)</f>
        <v>22.97</v>
      </c>
      <c r="R525" s="41">
        <f>IF(Swanage!U21="","",Swanage!U21)</f>
        <v>23.15</v>
      </c>
      <c r="S525" s="41" t="str">
        <f>IF(Swanage!V21="","",Swanage!V21)</f>
        <v/>
      </c>
      <c r="T525" s="41">
        <f>IF(Swanage!W21="","",Swanage!W21)</f>
        <v>25.69</v>
      </c>
      <c r="U525" s="41" t="str">
        <f>IF(Swanage!X21="","",Swanage!X21)</f>
        <v/>
      </c>
      <c r="V525" s="41">
        <f>IF(Swanage!Y21="","",Swanage!Y21)</f>
        <v>26.72</v>
      </c>
      <c r="W525" s="249">
        <f>IF(Swanage!AA21=0,"",Swanage!AA21)</f>
        <v>5</v>
      </c>
      <c r="X525" s="244">
        <f>IF(Swanage!AB21=0,"",Swanage!AB21)</f>
        <v>24.561249999999998</v>
      </c>
      <c r="Y525" s="245">
        <f>IF(Swanage!AC21=0,"",Swanage!AC21)</f>
        <v>31.561249999999998</v>
      </c>
      <c r="AA525" s="246">
        <f>Y525</f>
        <v>31.561249999999998</v>
      </c>
      <c r="AB525" s="243">
        <f>X525</f>
        <v>24.561249999999998</v>
      </c>
      <c r="AC525" s="185" t="str">
        <f>C525</f>
        <v>David Elm</v>
      </c>
      <c r="AD525" s="185" t="str">
        <f>LEFT($B$511,3)</f>
        <v>Swa</v>
      </c>
      <c r="AE525" s="185">
        <f t="shared" ref="AE525:AY525" si="259">E525</f>
        <v>8</v>
      </c>
      <c r="AF525" s="185">
        <f t="shared" si="259"/>
        <v>7</v>
      </c>
      <c r="AG525" s="247">
        <f t="shared" si="259"/>
        <v>1</v>
      </c>
      <c r="AH525" s="247">
        <f t="shared" si="259"/>
        <v>30</v>
      </c>
      <c r="AI525" s="247">
        <f t="shared" si="259"/>
        <v>11</v>
      </c>
      <c r="AJ525" s="243" t="str">
        <f t="shared" si="259"/>
        <v/>
      </c>
      <c r="AK525" s="243" t="str">
        <f t="shared" si="259"/>
        <v/>
      </c>
      <c r="AL525" s="243">
        <f t="shared" si="259"/>
        <v>27.94</v>
      </c>
      <c r="AM525" s="243">
        <f t="shared" si="259"/>
        <v>21.97</v>
      </c>
      <c r="AN525" s="243">
        <f t="shared" si="259"/>
        <v>26.03</v>
      </c>
      <c r="AO525" s="243" t="str">
        <f t="shared" si="259"/>
        <v/>
      </c>
      <c r="AP525" s="243">
        <f t="shared" si="259"/>
        <v>22.02</v>
      </c>
      <c r="AQ525" s="243">
        <f t="shared" si="259"/>
        <v>22.97</v>
      </c>
      <c r="AR525" s="243">
        <f t="shared" si="259"/>
        <v>23.15</v>
      </c>
      <c r="AS525" s="243" t="str">
        <f t="shared" si="259"/>
        <v/>
      </c>
      <c r="AT525" s="243">
        <f t="shared" si="259"/>
        <v>25.69</v>
      </c>
      <c r="AU525" s="243" t="str">
        <f t="shared" si="259"/>
        <v/>
      </c>
      <c r="AV525" s="243">
        <f t="shared" si="259"/>
        <v>26.72</v>
      </c>
      <c r="AW525" s="247">
        <f t="shared" si="259"/>
        <v>5</v>
      </c>
      <c r="AX525" s="243">
        <f t="shared" si="259"/>
        <v>24.561249999999998</v>
      </c>
      <c r="AY525" s="248">
        <f t="shared" si="259"/>
        <v>31.561249999999998</v>
      </c>
    </row>
    <row r="526" spans="2:51" ht="12" customHeight="1" x14ac:dyDescent="0.2">
      <c r="B526" s="266"/>
      <c r="C526" s="235"/>
      <c r="D526" s="235"/>
      <c r="E526" s="239"/>
      <c r="F526" s="182"/>
      <c r="G526" s="182"/>
      <c r="H526" s="182"/>
      <c r="I526" s="233"/>
      <c r="J526" s="163" t="str">
        <f>IF(Swanage!M22="","",Swanage!M22)</f>
        <v/>
      </c>
      <c r="K526" s="41" t="str">
        <f>IF(Swanage!N22="","",Swanage!N22)</f>
        <v/>
      </c>
      <c r="L526" s="41" t="str">
        <f>IF(Swanage!O22="","",Swanage!O22)</f>
        <v>4*2</v>
      </c>
      <c r="M526" s="41" t="str">
        <f>IF(Swanage!P22="","",Swanage!P22)</f>
        <v>4*2</v>
      </c>
      <c r="N526" s="41" t="str">
        <f>IF(Swanage!Q22="","",Swanage!Q22)</f>
        <v>4*0(1)</v>
      </c>
      <c r="O526" s="41" t="str">
        <f>IF(Swanage!R22="","",Swanage!R22)</f>
        <v/>
      </c>
      <c r="P526" s="41" t="str">
        <f>IF(Swanage!S22="","",Swanage!S22)</f>
        <v>4*0</v>
      </c>
      <c r="Q526" s="41" t="str">
        <f>IF(Swanage!T22="","",Swanage!T22)</f>
        <v>2*4(2)</v>
      </c>
      <c r="R526" s="41" t="str">
        <f>IF(Swanage!U22="","",Swanage!U22)</f>
        <v>4*2</v>
      </c>
      <c r="S526" s="41" t="str">
        <f>IF(Swanage!V22="","",Swanage!V22)</f>
        <v/>
      </c>
      <c r="T526" s="41" t="str">
        <f>IF(Swanage!W22="","",Swanage!W22)</f>
        <v>4*0(1)</v>
      </c>
      <c r="U526" s="41" t="str">
        <f>IF(Swanage!X22="","",Swanage!X22)</f>
        <v/>
      </c>
      <c r="V526" s="41" t="str">
        <f>IF(Swanage!Y22="","",Swanage!Y22)</f>
        <v>4*1(1)</v>
      </c>
      <c r="W526" s="201"/>
      <c r="X526" s="182"/>
      <c r="Y526" s="233"/>
      <c r="AA526" s="239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233"/>
    </row>
    <row r="527" spans="2:51" ht="12" customHeight="1" x14ac:dyDescent="0.2">
      <c r="B527" s="266"/>
      <c r="C527" s="263" t="str">
        <f>IF(Swanage!E23="","",Swanage!E23)</f>
        <v>Colin Mutter</v>
      </c>
      <c r="D527" s="259" t="str">
        <f>LEFT($B$511,3)</f>
        <v>Swa</v>
      </c>
      <c r="E527" s="251">
        <f>IF(Swanage!G23="","",Swanage!G23)</f>
        <v>12</v>
      </c>
      <c r="F527" s="181">
        <f>IF(Swanage!H23=0,"",Swanage!H23)</f>
        <v>7</v>
      </c>
      <c r="G527" s="186">
        <f>IF(Swanage!I23=0,"",Swanage!I23)</f>
        <v>5</v>
      </c>
      <c r="H527" s="186">
        <f>IF(Swanage!J23=0,"",Swanage!J23)</f>
        <v>38</v>
      </c>
      <c r="I527" s="252">
        <f>IF(Swanage!K23=0,"",Swanage!K23)</f>
        <v>22</v>
      </c>
      <c r="J527" s="163">
        <f>IF(Swanage!M23="","",Swanage!M23)</f>
        <v>22.02</v>
      </c>
      <c r="K527" s="41">
        <f>IF(Swanage!N23="","",Swanage!N23)</f>
        <v>22.32</v>
      </c>
      <c r="L527" s="41">
        <f>IF(Swanage!O23="","",Swanage!O23)</f>
        <v>22.89</v>
      </c>
      <c r="M527" s="41">
        <f>IF(Swanage!P23="","",Swanage!P23)</f>
        <v>20.12</v>
      </c>
      <c r="N527" s="41">
        <f>IF(Swanage!Q23="","",Swanage!Q23)</f>
        <v>27.08</v>
      </c>
      <c r="O527" s="41">
        <f>IF(Swanage!R23="","",Swanage!R23)</f>
        <v>19.350000000000001</v>
      </c>
      <c r="P527" s="41">
        <f>IF(Swanage!S23="","",Swanage!S23)</f>
        <v>22.76</v>
      </c>
      <c r="Q527" s="41">
        <f>IF(Swanage!T23="","",Swanage!T23)</f>
        <v>23.14</v>
      </c>
      <c r="R527" s="41">
        <f>IF(Swanage!U23="","",Swanage!U23)</f>
        <v>21.55</v>
      </c>
      <c r="S527" s="41" t="str">
        <f>IF(Swanage!V23="","",Swanage!V23)</f>
        <v/>
      </c>
      <c r="T527" s="41">
        <f>IF(Swanage!W23="","",Swanage!W23)</f>
        <v>19.09</v>
      </c>
      <c r="U527" s="41">
        <f>IF(Swanage!X23="","",Swanage!X23)</f>
        <v>23.57</v>
      </c>
      <c r="V527" s="41">
        <f>IF(Swanage!Y23="","",Swanage!Y23)</f>
        <v>22.64</v>
      </c>
      <c r="W527" s="249">
        <f>IF(Swanage!AA23=0,"",Swanage!AA23)</f>
        <v>1</v>
      </c>
      <c r="X527" s="244">
        <f>IF(Swanage!AB23=0,"",Swanage!AB23)</f>
        <v>22.210833333333337</v>
      </c>
      <c r="Y527" s="245">
        <f>IF(Swanage!AC23=0,"",Swanage!AC23)</f>
        <v>29.210833333333337</v>
      </c>
      <c r="AA527" s="246">
        <f>Y527</f>
        <v>29.210833333333337</v>
      </c>
      <c r="AB527" s="243">
        <f>X527</f>
        <v>22.210833333333337</v>
      </c>
      <c r="AC527" s="185" t="str">
        <f>C527</f>
        <v>Colin Mutter</v>
      </c>
      <c r="AD527" s="185" t="str">
        <f>LEFT($B$511,3)</f>
        <v>Swa</v>
      </c>
      <c r="AE527" s="185">
        <f t="shared" ref="AE527:AY527" si="260">E527</f>
        <v>12</v>
      </c>
      <c r="AF527" s="185">
        <f t="shared" si="260"/>
        <v>7</v>
      </c>
      <c r="AG527" s="247">
        <f t="shared" si="260"/>
        <v>5</v>
      </c>
      <c r="AH527" s="247">
        <f t="shared" si="260"/>
        <v>38</v>
      </c>
      <c r="AI527" s="247">
        <f t="shared" si="260"/>
        <v>22</v>
      </c>
      <c r="AJ527" s="243">
        <f t="shared" si="260"/>
        <v>22.02</v>
      </c>
      <c r="AK527" s="243">
        <f t="shared" si="260"/>
        <v>22.32</v>
      </c>
      <c r="AL527" s="243">
        <f t="shared" si="260"/>
        <v>22.89</v>
      </c>
      <c r="AM527" s="243">
        <f t="shared" si="260"/>
        <v>20.12</v>
      </c>
      <c r="AN527" s="243">
        <f t="shared" si="260"/>
        <v>27.08</v>
      </c>
      <c r="AO527" s="243">
        <f t="shared" si="260"/>
        <v>19.350000000000001</v>
      </c>
      <c r="AP527" s="243">
        <f t="shared" si="260"/>
        <v>22.76</v>
      </c>
      <c r="AQ527" s="243">
        <f t="shared" si="260"/>
        <v>23.14</v>
      </c>
      <c r="AR527" s="243">
        <f t="shared" si="260"/>
        <v>21.55</v>
      </c>
      <c r="AS527" s="243" t="str">
        <f t="shared" si="260"/>
        <v/>
      </c>
      <c r="AT527" s="243">
        <f t="shared" si="260"/>
        <v>19.09</v>
      </c>
      <c r="AU527" s="243">
        <f t="shared" si="260"/>
        <v>23.57</v>
      </c>
      <c r="AV527" s="243">
        <f t="shared" si="260"/>
        <v>22.64</v>
      </c>
      <c r="AW527" s="247">
        <f t="shared" si="260"/>
        <v>1</v>
      </c>
      <c r="AX527" s="243">
        <f t="shared" si="260"/>
        <v>22.210833333333337</v>
      </c>
      <c r="AY527" s="248">
        <f t="shared" si="260"/>
        <v>29.210833333333337</v>
      </c>
    </row>
    <row r="528" spans="2:51" ht="12" customHeight="1" x14ac:dyDescent="0.2">
      <c r="B528" s="266"/>
      <c r="C528" s="235"/>
      <c r="D528" s="235"/>
      <c r="E528" s="239"/>
      <c r="F528" s="182"/>
      <c r="G528" s="182"/>
      <c r="H528" s="182"/>
      <c r="I528" s="233"/>
      <c r="J528" s="163" t="str">
        <f>IF(Swanage!M24="","",Swanage!M24)</f>
        <v>4*0</v>
      </c>
      <c r="K528" s="41" t="str">
        <f>IF(Swanage!N24="","",Swanage!N24)</f>
        <v>4*2</v>
      </c>
      <c r="L528" s="41" t="str">
        <f>IF(Swanage!O24="","",Swanage!O24)</f>
        <v>4*0</v>
      </c>
      <c r="M528" s="41" t="str">
        <f>IF(Swanage!P24="","",Swanage!P24)</f>
        <v>4*0</v>
      </c>
      <c r="N528" s="41" t="str">
        <f>IF(Swanage!Q24="","",Swanage!Q24)</f>
        <v>4*0</v>
      </c>
      <c r="O528" s="41" t="str">
        <f>IF(Swanage!R24="","",Swanage!R24)</f>
        <v>3*4</v>
      </c>
      <c r="P528" s="41" t="str">
        <f>IF(Swanage!S24="","",Swanage!S24)</f>
        <v>0*4</v>
      </c>
      <c r="Q528" s="41" t="str">
        <f>IF(Swanage!T24="","",Swanage!T24)</f>
        <v>2*4</v>
      </c>
      <c r="R528" s="41" t="str">
        <f>IF(Swanage!U24="","",Swanage!U24)</f>
        <v>4*0</v>
      </c>
      <c r="S528" s="41" t="str">
        <f>IF(Swanage!V24="","",Swanage!V24)</f>
        <v/>
      </c>
      <c r="T528" s="41" t="str">
        <f>IF(Swanage!W24="","",Swanage!W24)</f>
        <v>4*0</v>
      </c>
      <c r="U528" s="41" t="str">
        <f>IF(Swanage!X24="","",Swanage!X24)</f>
        <v>3*4(1)</v>
      </c>
      <c r="V528" s="41" t="str">
        <f>IF(Swanage!Y24="","",Swanage!Y24)</f>
        <v>2*4</v>
      </c>
      <c r="W528" s="201"/>
      <c r="X528" s="182"/>
      <c r="Y528" s="233"/>
      <c r="AA528" s="239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233"/>
    </row>
    <row r="529" spans="2:51" ht="12" customHeight="1" x14ac:dyDescent="0.2">
      <c r="B529" s="266"/>
      <c r="C529" s="263" t="str">
        <f>IF(Swanage!E25="","",Swanage!E25)</f>
        <v>Rich Sawyer</v>
      </c>
      <c r="D529" s="259" t="str">
        <f>LEFT($B$511,3)</f>
        <v>Swa</v>
      </c>
      <c r="E529" s="251">
        <f>IF(Swanage!G25="","",Swanage!G25)</f>
        <v>1</v>
      </c>
      <c r="F529" s="181" t="str">
        <f>IF(Swanage!H25=0,"",Swanage!H25)</f>
        <v/>
      </c>
      <c r="G529" s="186">
        <f>IF(Swanage!I25=0,"",Swanage!I25)</f>
        <v>1</v>
      </c>
      <c r="H529" s="181" t="str">
        <f>IF(Swanage!J25=0,"",Swanage!J25)</f>
        <v/>
      </c>
      <c r="I529" s="252">
        <f>IF(Swanage!K25=0,"",Swanage!K25)</f>
        <v>4</v>
      </c>
      <c r="J529" s="163">
        <f>IF(Swanage!M25="","",Swanage!M25)</f>
        <v>17.29</v>
      </c>
      <c r="K529" s="41" t="str">
        <f>IF(Swanage!N25="","",Swanage!N25)</f>
        <v/>
      </c>
      <c r="L529" s="41" t="str">
        <f>IF(Swanage!O25="","",Swanage!O25)</f>
        <v/>
      </c>
      <c r="M529" s="41" t="str">
        <f>IF(Swanage!P25="","",Swanage!P25)</f>
        <v/>
      </c>
      <c r="N529" s="41" t="str">
        <f>IF(Swanage!Q25="","",Swanage!Q25)</f>
        <v/>
      </c>
      <c r="O529" s="41" t="str">
        <f>IF(Swanage!R25="","",Swanage!R25)</f>
        <v/>
      </c>
      <c r="P529" s="41" t="str">
        <f>IF(Swanage!S25="","",Swanage!S25)</f>
        <v/>
      </c>
      <c r="Q529" s="41" t="str">
        <f>IF(Swanage!T25="","",Swanage!T25)</f>
        <v/>
      </c>
      <c r="R529" s="41" t="str">
        <f>IF(Swanage!U25="","",Swanage!U25)</f>
        <v/>
      </c>
      <c r="S529" s="41" t="str">
        <f>IF(Swanage!V25="","",Swanage!V25)</f>
        <v/>
      </c>
      <c r="T529" s="41" t="str">
        <f>IF(Swanage!W25="","",Swanage!W25)</f>
        <v/>
      </c>
      <c r="U529" s="41" t="str">
        <f>IF(Swanage!X25="","",Swanage!X25)</f>
        <v/>
      </c>
      <c r="V529" s="41" t="str">
        <f>IF(Swanage!Y25="","",Swanage!Y25)</f>
        <v/>
      </c>
      <c r="W529" s="249" t="str">
        <f>IF(Swanage!AA25=0,"",Swanage!AA25)</f>
        <v/>
      </c>
      <c r="X529" s="244">
        <f>IF(Swanage!AB25=0,"",Swanage!AB25)</f>
        <v>17.29</v>
      </c>
      <c r="Y529" s="245">
        <f>IF(Swanage!AC25=0,"",Swanage!AC25)</f>
        <v>17.29</v>
      </c>
      <c r="AA529" s="246">
        <f>Y529</f>
        <v>17.29</v>
      </c>
      <c r="AB529" s="243">
        <f>X529</f>
        <v>17.29</v>
      </c>
      <c r="AC529" s="185" t="str">
        <f>C529</f>
        <v>Rich Sawyer</v>
      </c>
      <c r="AD529" s="185" t="str">
        <f>LEFT($B$511,3)</f>
        <v>Swa</v>
      </c>
      <c r="AE529" s="185">
        <f t="shared" ref="AE529:AY529" si="261">E529</f>
        <v>1</v>
      </c>
      <c r="AF529" s="185" t="str">
        <f t="shared" si="261"/>
        <v/>
      </c>
      <c r="AG529" s="247">
        <f t="shared" si="261"/>
        <v>1</v>
      </c>
      <c r="AH529" s="185" t="str">
        <f t="shared" si="261"/>
        <v/>
      </c>
      <c r="AI529" s="247">
        <f t="shared" si="261"/>
        <v>4</v>
      </c>
      <c r="AJ529" s="243">
        <f t="shared" si="261"/>
        <v>17.29</v>
      </c>
      <c r="AK529" s="243" t="str">
        <f t="shared" si="261"/>
        <v/>
      </c>
      <c r="AL529" s="243" t="str">
        <f t="shared" si="261"/>
        <v/>
      </c>
      <c r="AM529" s="243" t="str">
        <f t="shared" si="261"/>
        <v/>
      </c>
      <c r="AN529" s="243" t="str">
        <f t="shared" si="261"/>
        <v/>
      </c>
      <c r="AO529" s="243" t="str">
        <f t="shared" si="261"/>
        <v/>
      </c>
      <c r="AP529" s="243" t="str">
        <f t="shared" si="261"/>
        <v/>
      </c>
      <c r="AQ529" s="243" t="str">
        <f t="shared" si="261"/>
        <v/>
      </c>
      <c r="AR529" s="243" t="str">
        <f t="shared" si="261"/>
        <v/>
      </c>
      <c r="AS529" s="243" t="str">
        <f t="shared" si="261"/>
        <v/>
      </c>
      <c r="AT529" s="243" t="str">
        <f t="shared" si="261"/>
        <v/>
      </c>
      <c r="AU529" s="243" t="str">
        <f t="shared" si="261"/>
        <v/>
      </c>
      <c r="AV529" s="243" t="str">
        <f t="shared" si="261"/>
        <v/>
      </c>
      <c r="AW529" s="247" t="str">
        <f t="shared" si="261"/>
        <v/>
      </c>
      <c r="AX529" s="243">
        <f t="shared" si="261"/>
        <v>17.29</v>
      </c>
      <c r="AY529" s="248">
        <f t="shared" si="261"/>
        <v>17.29</v>
      </c>
    </row>
    <row r="530" spans="2:51" ht="12" customHeight="1" x14ac:dyDescent="0.2">
      <c r="B530" s="266"/>
      <c r="C530" s="235"/>
      <c r="D530" s="235"/>
      <c r="E530" s="239"/>
      <c r="F530" s="182"/>
      <c r="G530" s="182"/>
      <c r="H530" s="182"/>
      <c r="I530" s="233"/>
      <c r="J530" s="163" t="str">
        <f>IF(Swanage!M26="","",Swanage!M26)</f>
        <v>0*4</v>
      </c>
      <c r="K530" s="41" t="str">
        <f>IF(Swanage!N26="","",Swanage!N26)</f>
        <v/>
      </c>
      <c r="L530" s="41" t="str">
        <f>IF(Swanage!O26="","",Swanage!O26)</f>
        <v/>
      </c>
      <c r="M530" s="41" t="str">
        <f>IF(Swanage!P26="","",Swanage!P26)</f>
        <v/>
      </c>
      <c r="N530" s="41" t="str">
        <f>IF(Swanage!Q26="","",Swanage!Q26)</f>
        <v/>
      </c>
      <c r="O530" s="41" t="str">
        <f>IF(Swanage!R26="","",Swanage!R26)</f>
        <v/>
      </c>
      <c r="P530" s="41" t="str">
        <f>IF(Swanage!S26="","",Swanage!S26)</f>
        <v/>
      </c>
      <c r="Q530" s="41" t="str">
        <f>IF(Swanage!T26="","",Swanage!T26)</f>
        <v/>
      </c>
      <c r="R530" s="41" t="str">
        <f>IF(Swanage!U26="","",Swanage!U26)</f>
        <v/>
      </c>
      <c r="S530" s="41" t="str">
        <f>IF(Swanage!V26="","",Swanage!V26)</f>
        <v/>
      </c>
      <c r="T530" s="41" t="str">
        <f>IF(Swanage!W26="","",Swanage!W26)</f>
        <v/>
      </c>
      <c r="U530" s="41" t="str">
        <f>IF(Swanage!X26="","",Swanage!X26)</f>
        <v/>
      </c>
      <c r="V530" s="41" t="str">
        <f>IF(Swanage!Y26="","",Swanage!Y26)</f>
        <v/>
      </c>
      <c r="W530" s="201"/>
      <c r="X530" s="182"/>
      <c r="Y530" s="233"/>
      <c r="AA530" s="239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233"/>
    </row>
    <row r="531" spans="2:51" ht="12" customHeight="1" x14ac:dyDescent="0.2">
      <c r="B531" s="266"/>
      <c r="C531" s="263" t="str">
        <f>IF(Swanage!E27="","",Swanage!E27)</f>
        <v>Ryan Norman</v>
      </c>
      <c r="D531" s="259" t="str">
        <f>LEFT($B$511,3)</f>
        <v>Swa</v>
      </c>
      <c r="E531" s="251">
        <f>IF(Swanage!G27="","",Swanage!G27)</f>
        <v>10</v>
      </c>
      <c r="F531" s="181">
        <f>IF(Swanage!H27=0,"",Swanage!H27)</f>
        <v>3</v>
      </c>
      <c r="G531" s="186">
        <f>IF(Swanage!I27=0,"",Swanage!I27)</f>
        <v>7</v>
      </c>
      <c r="H531" s="186">
        <f>IF(Swanage!J27=0,"",Swanage!J27)</f>
        <v>21</v>
      </c>
      <c r="I531" s="252">
        <f>IF(Swanage!K27=0,"",Swanage!K27)</f>
        <v>32</v>
      </c>
      <c r="J531" s="163">
        <f>IF(Swanage!M27="","",Swanage!M27)</f>
        <v>16.39</v>
      </c>
      <c r="K531" s="41">
        <f>IF(Swanage!N27="","",Swanage!N27)</f>
        <v>20.2</v>
      </c>
      <c r="L531" s="41" t="str">
        <f>IF(Swanage!O27="","",Swanage!O27)</f>
        <v/>
      </c>
      <c r="M531" s="41">
        <f>IF(Swanage!P27="","",Swanage!P27)</f>
        <v>17.53</v>
      </c>
      <c r="N531" s="41">
        <f>IF(Swanage!Q27="","",Swanage!Q27)</f>
        <v>18.38</v>
      </c>
      <c r="O531" s="41">
        <f>IF(Swanage!R27="","",Swanage!R27)</f>
        <v>20.89</v>
      </c>
      <c r="P531" s="41" t="str">
        <f>IF(Swanage!S27="","",Swanage!S27)</f>
        <v/>
      </c>
      <c r="Q531" s="41">
        <f>IF(Swanage!T27="","",Swanage!T27)</f>
        <v>23.93</v>
      </c>
      <c r="R531" s="41">
        <f>IF(Swanage!U27="","",Swanage!U27)</f>
        <v>20.86</v>
      </c>
      <c r="S531" s="41">
        <f>IF(Swanage!V27="","",Swanage!V27)</f>
        <v>19.170000000000002</v>
      </c>
      <c r="T531" s="41" t="str">
        <f>IF(Swanage!W27="","",Swanage!W27)</f>
        <v/>
      </c>
      <c r="U531" s="41">
        <f>IF(Swanage!X27="","",Swanage!X27)</f>
        <v>18.22</v>
      </c>
      <c r="V531" s="41">
        <f>IF(Swanage!Y27="","",Swanage!Y27)</f>
        <v>21.17</v>
      </c>
      <c r="W531" s="249">
        <f>IF(Swanage!AA27=0,"",Swanage!AA27)</f>
        <v>3</v>
      </c>
      <c r="X531" s="244">
        <f>IF(Swanage!AB27=0,"",Swanage!AB27)</f>
        <v>19.673999999999999</v>
      </c>
      <c r="Y531" s="245">
        <f>IF(Swanage!AC27=0,"",Swanage!AC27)</f>
        <v>22.673999999999999</v>
      </c>
      <c r="AA531" s="246">
        <f>Y531</f>
        <v>22.673999999999999</v>
      </c>
      <c r="AB531" s="243">
        <f>X531</f>
        <v>19.673999999999999</v>
      </c>
      <c r="AC531" s="185" t="str">
        <f>C531</f>
        <v>Ryan Norman</v>
      </c>
      <c r="AD531" s="185" t="str">
        <f>LEFT($B$511,3)</f>
        <v>Swa</v>
      </c>
      <c r="AE531" s="185">
        <f t="shared" ref="AE531:AY531" si="262">E531</f>
        <v>10</v>
      </c>
      <c r="AF531" s="185">
        <f t="shared" si="262"/>
        <v>3</v>
      </c>
      <c r="AG531" s="247">
        <f t="shared" si="262"/>
        <v>7</v>
      </c>
      <c r="AH531" s="247">
        <f t="shared" si="262"/>
        <v>21</v>
      </c>
      <c r="AI531" s="247">
        <f t="shared" si="262"/>
        <v>32</v>
      </c>
      <c r="AJ531" s="243">
        <f t="shared" si="262"/>
        <v>16.39</v>
      </c>
      <c r="AK531" s="243">
        <f t="shared" si="262"/>
        <v>20.2</v>
      </c>
      <c r="AL531" s="243" t="str">
        <f t="shared" si="262"/>
        <v/>
      </c>
      <c r="AM531" s="243">
        <f t="shared" si="262"/>
        <v>17.53</v>
      </c>
      <c r="AN531" s="243">
        <f t="shared" si="262"/>
        <v>18.38</v>
      </c>
      <c r="AO531" s="243">
        <f t="shared" si="262"/>
        <v>20.89</v>
      </c>
      <c r="AP531" s="243" t="str">
        <f t="shared" si="262"/>
        <v/>
      </c>
      <c r="AQ531" s="243">
        <f t="shared" si="262"/>
        <v>23.93</v>
      </c>
      <c r="AR531" s="243">
        <f t="shared" si="262"/>
        <v>20.86</v>
      </c>
      <c r="AS531" s="243">
        <f t="shared" si="262"/>
        <v>19.170000000000002</v>
      </c>
      <c r="AT531" s="243" t="str">
        <f t="shared" si="262"/>
        <v/>
      </c>
      <c r="AU531" s="243">
        <f t="shared" si="262"/>
        <v>18.22</v>
      </c>
      <c r="AV531" s="243">
        <f t="shared" si="262"/>
        <v>21.17</v>
      </c>
      <c r="AW531" s="247">
        <f t="shared" si="262"/>
        <v>3</v>
      </c>
      <c r="AX531" s="243">
        <f t="shared" si="262"/>
        <v>19.673999999999999</v>
      </c>
      <c r="AY531" s="248">
        <f t="shared" si="262"/>
        <v>22.673999999999999</v>
      </c>
    </row>
    <row r="532" spans="2:51" ht="12" customHeight="1" x14ac:dyDescent="0.2">
      <c r="B532" s="266"/>
      <c r="C532" s="235"/>
      <c r="D532" s="235"/>
      <c r="E532" s="239"/>
      <c r="F532" s="182"/>
      <c r="G532" s="182"/>
      <c r="H532" s="182"/>
      <c r="I532" s="233"/>
      <c r="J532" s="163" t="str">
        <f>IF(Swanage!M28="","",Swanage!M28)</f>
        <v>4*3</v>
      </c>
      <c r="K532" s="41" t="str">
        <f>IF(Swanage!N28="","",Swanage!N28)</f>
        <v>0*4</v>
      </c>
      <c r="L532" s="41" t="str">
        <f>IF(Swanage!O28="","",Swanage!O28)</f>
        <v/>
      </c>
      <c r="M532" s="41" t="str">
        <f>IF(Swanage!P28="","",Swanage!P28)</f>
        <v>0*4</v>
      </c>
      <c r="N532" s="41" t="str">
        <f>IF(Swanage!Q28="","",Swanage!Q28)</f>
        <v>1*4</v>
      </c>
      <c r="O532" s="41" t="str">
        <f>IF(Swanage!R28="","",Swanage!R28)</f>
        <v>0*4</v>
      </c>
      <c r="P532" s="41" t="str">
        <f>IF(Swanage!S28="","",Swanage!S28)</f>
        <v/>
      </c>
      <c r="Q532" s="41" t="str">
        <f>IF(Swanage!T28="","",Swanage!T28)</f>
        <v>3*4(1)</v>
      </c>
      <c r="R532" s="41" t="str">
        <f>IF(Swanage!U28="","",Swanage!U28)</f>
        <v>4*1</v>
      </c>
      <c r="S532" s="41" t="str">
        <f>IF(Swanage!V28="","",Swanage!V28)</f>
        <v>2*4(1)</v>
      </c>
      <c r="T532" s="41" t="str">
        <f>IF(Swanage!W28="","",Swanage!W28)</f>
        <v/>
      </c>
      <c r="U532" s="41" t="str">
        <f>IF(Swanage!X28="","",Swanage!X28)</f>
        <v>4*0</v>
      </c>
      <c r="V532" s="41" t="str">
        <f>IF(Swanage!Y28="","",Swanage!Y28)</f>
        <v>3*4(1)</v>
      </c>
      <c r="W532" s="201"/>
      <c r="X532" s="182"/>
      <c r="Y532" s="233"/>
      <c r="AA532" s="239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233"/>
    </row>
    <row r="533" spans="2:51" ht="12" customHeight="1" x14ac:dyDescent="0.2">
      <c r="B533" s="266"/>
      <c r="C533" s="263" t="str">
        <f>IF(Swanage!E29="","",Swanage!E29)</f>
        <v>James Green</v>
      </c>
      <c r="D533" s="259" t="str">
        <f>LEFT($B$511,3)</f>
        <v>Swa</v>
      </c>
      <c r="E533" s="251">
        <f>IF(Swanage!G29="","",Swanage!G29)</f>
        <v>12</v>
      </c>
      <c r="F533" s="181">
        <f>IF(Swanage!H29=0,"",Swanage!H29)</f>
        <v>7</v>
      </c>
      <c r="G533" s="186">
        <f>IF(Swanage!I29=0,"",Swanage!I29)</f>
        <v>5</v>
      </c>
      <c r="H533" s="186">
        <f>IF(Swanage!J29=0,"",Swanage!J29)</f>
        <v>37</v>
      </c>
      <c r="I533" s="252">
        <f>IF(Swanage!K29=0,"",Swanage!K29)</f>
        <v>28</v>
      </c>
      <c r="J533" s="163">
        <f>IF(Swanage!M29="","",Swanage!M29)</f>
        <v>19.940000000000001</v>
      </c>
      <c r="K533" s="41">
        <f>IF(Swanage!N29="","",Swanage!N29)</f>
        <v>23.97</v>
      </c>
      <c r="L533" s="41">
        <f>IF(Swanage!O29="","",Swanage!O29)</f>
        <v>21.55</v>
      </c>
      <c r="M533" s="41">
        <f>IF(Swanage!P29="","",Swanage!P29)</f>
        <v>20.21</v>
      </c>
      <c r="N533" s="41">
        <f>IF(Swanage!Q29="","",Swanage!Q29)</f>
        <v>22.72</v>
      </c>
      <c r="O533" s="41">
        <f>IF(Swanage!R29="","",Swanage!R29)</f>
        <v>23.5</v>
      </c>
      <c r="P533" s="41">
        <f>IF(Swanage!S29="","",Swanage!S29)</f>
        <v>25.61</v>
      </c>
      <c r="Q533" s="41">
        <f>IF(Swanage!T29="","",Swanage!T29)</f>
        <v>23.48</v>
      </c>
      <c r="R533" s="41">
        <f>IF(Swanage!U29="","",Swanage!U29)</f>
        <v>24.74</v>
      </c>
      <c r="S533" s="41">
        <f>IF(Swanage!V29="","",Swanage!V29)</f>
        <v>25.01</v>
      </c>
      <c r="T533" s="41">
        <f>IF(Swanage!W29="","",Swanage!W29)</f>
        <v>22.06</v>
      </c>
      <c r="U533" s="41">
        <f>IF(Swanage!X29="","",Swanage!X29)</f>
        <v>25.29</v>
      </c>
      <c r="V533" s="41" t="str">
        <f>IF(Swanage!Y29="","",Swanage!Y29)</f>
        <v/>
      </c>
      <c r="W533" s="249">
        <f>IF(Swanage!AA29=0,"",Swanage!AA29)</f>
        <v>2</v>
      </c>
      <c r="X533" s="244">
        <f>IF(Swanage!AB29=0,"",Swanage!AB29)</f>
        <v>23.173333333333332</v>
      </c>
      <c r="Y533" s="245">
        <f>IF(Swanage!AC29=0,"",Swanage!AC29)</f>
        <v>30.173333333333332</v>
      </c>
      <c r="AA533" s="246">
        <f>Y533</f>
        <v>30.173333333333332</v>
      </c>
      <c r="AB533" s="243">
        <f>X533</f>
        <v>23.173333333333332</v>
      </c>
      <c r="AC533" s="185" t="str">
        <f>C533</f>
        <v>James Green</v>
      </c>
      <c r="AD533" s="185" t="str">
        <f>LEFT($B$511,3)</f>
        <v>Swa</v>
      </c>
      <c r="AE533" s="185">
        <f t="shared" ref="AE533:AY533" si="263">E533</f>
        <v>12</v>
      </c>
      <c r="AF533" s="185">
        <f t="shared" si="263"/>
        <v>7</v>
      </c>
      <c r="AG533" s="247">
        <f t="shared" si="263"/>
        <v>5</v>
      </c>
      <c r="AH533" s="247">
        <f t="shared" si="263"/>
        <v>37</v>
      </c>
      <c r="AI533" s="247">
        <f t="shared" si="263"/>
        <v>28</v>
      </c>
      <c r="AJ533" s="243">
        <f t="shared" si="263"/>
        <v>19.940000000000001</v>
      </c>
      <c r="AK533" s="243">
        <f t="shared" si="263"/>
        <v>23.97</v>
      </c>
      <c r="AL533" s="243">
        <f t="shared" si="263"/>
        <v>21.55</v>
      </c>
      <c r="AM533" s="243">
        <f t="shared" si="263"/>
        <v>20.21</v>
      </c>
      <c r="AN533" s="243">
        <f t="shared" si="263"/>
        <v>22.72</v>
      </c>
      <c r="AO533" s="243">
        <f t="shared" si="263"/>
        <v>23.5</v>
      </c>
      <c r="AP533" s="243">
        <f t="shared" si="263"/>
        <v>25.61</v>
      </c>
      <c r="AQ533" s="243">
        <f t="shared" si="263"/>
        <v>23.48</v>
      </c>
      <c r="AR533" s="243">
        <f t="shared" si="263"/>
        <v>24.74</v>
      </c>
      <c r="AS533" s="243">
        <f t="shared" si="263"/>
        <v>25.01</v>
      </c>
      <c r="AT533" s="243">
        <f t="shared" si="263"/>
        <v>22.06</v>
      </c>
      <c r="AU533" s="243">
        <f t="shared" si="263"/>
        <v>25.29</v>
      </c>
      <c r="AV533" s="243" t="str">
        <f t="shared" si="263"/>
        <v/>
      </c>
      <c r="AW533" s="247">
        <f t="shared" si="263"/>
        <v>2</v>
      </c>
      <c r="AX533" s="243">
        <f t="shared" si="263"/>
        <v>23.173333333333332</v>
      </c>
      <c r="AY533" s="248">
        <f t="shared" si="263"/>
        <v>30.173333333333332</v>
      </c>
    </row>
    <row r="534" spans="2:51" ht="12" customHeight="1" x14ac:dyDescent="0.2">
      <c r="B534" s="266"/>
      <c r="C534" s="235"/>
      <c r="D534" s="235"/>
      <c r="E534" s="239"/>
      <c r="F534" s="182"/>
      <c r="G534" s="182"/>
      <c r="H534" s="182"/>
      <c r="I534" s="233"/>
      <c r="J534" s="163" t="str">
        <f>IF(Swanage!M30="","",Swanage!M30)</f>
        <v>4*2(1)</v>
      </c>
      <c r="K534" s="41" t="str">
        <f>IF(Swanage!N30="","",Swanage!N30)</f>
        <v>3*4</v>
      </c>
      <c r="L534" s="41" t="str">
        <f>IF(Swanage!O30="","",Swanage!O30)</f>
        <v>4*0</v>
      </c>
      <c r="M534" s="41" t="str">
        <f>IF(Swanage!P30="","",Swanage!P30)</f>
        <v>1*4</v>
      </c>
      <c r="N534" s="41" t="str">
        <f>IF(Swanage!Q30="","",Swanage!Q30)</f>
        <v>4*1</v>
      </c>
      <c r="O534" s="41" t="str">
        <f>IF(Swanage!R30="","",Swanage!R30)</f>
        <v>4*3(1)</v>
      </c>
      <c r="P534" s="41" t="str">
        <f>IF(Swanage!S30="","",Swanage!S30)</f>
        <v>3*4</v>
      </c>
      <c r="Q534" s="41" t="str">
        <f>IF(Swanage!T30="","",Swanage!T30)</f>
        <v>4*1</v>
      </c>
      <c r="R534" s="41" t="str">
        <f>IF(Swanage!U30="","",Swanage!U30)</f>
        <v>4*0</v>
      </c>
      <c r="S534" s="41" t="str">
        <f>IF(Swanage!V30="","",Swanage!V30)</f>
        <v>0*4</v>
      </c>
      <c r="T534" s="41" t="str">
        <f>IF(Swanage!W30="","",Swanage!W30)</f>
        <v>2*4</v>
      </c>
      <c r="U534" s="41" t="str">
        <f>IF(Swanage!X30="","",Swanage!X30)</f>
        <v>4*1</v>
      </c>
      <c r="V534" s="41" t="str">
        <f>IF(Swanage!Y30="","",Swanage!Y30)</f>
        <v/>
      </c>
      <c r="W534" s="201"/>
      <c r="X534" s="182"/>
      <c r="Y534" s="233"/>
      <c r="AA534" s="239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233"/>
    </row>
    <row r="535" spans="2:51" ht="12" customHeight="1" x14ac:dyDescent="0.2">
      <c r="B535" s="266"/>
      <c r="C535" s="263" t="str">
        <f>IF(Swanage!E31="","",Swanage!E31)</f>
        <v>Marc Plummer</v>
      </c>
      <c r="D535" s="259" t="str">
        <f>LEFT($B$511,3)</f>
        <v>Swa</v>
      </c>
      <c r="E535" s="251">
        <f>IF(Swanage!G31="","",Swanage!G31)</f>
        <v>5</v>
      </c>
      <c r="F535" s="181" t="str">
        <f>IF(Swanage!H31=0,"",Swanage!H31)</f>
        <v/>
      </c>
      <c r="G535" s="186">
        <f>IF(Swanage!I31=0,"",Swanage!I31)</f>
        <v>5</v>
      </c>
      <c r="H535" s="186">
        <f>IF(Swanage!J31=0,"",Swanage!J31)</f>
        <v>4</v>
      </c>
      <c r="I535" s="252">
        <f>IF(Swanage!K31=0,"",Swanage!K31)</f>
        <v>20</v>
      </c>
      <c r="J535" s="163" t="str">
        <f>IF(Swanage!M31="","",Swanage!M31)</f>
        <v/>
      </c>
      <c r="K535" s="41" t="str">
        <f>IF(Swanage!N31="","",Swanage!N31)</f>
        <v/>
      </c>
      <c r="L535" s="41" t="str">
        <f>IF(Swanage!O31="","",Swanage!O31)</f>
        <v/>
      </c>
      <c r="M535" s="41" t="str">
        <f>IF(Swanage!P31="","",Swanage!P31)</f>
        <v/>
      </c>
      <c r="N535" s="41" t="str">
        <f>IF(Swanage!Q31="","",Swanage!Q31)</f>
        <v/>
      </c>
      <c r="O535" s="41">
        <f>IF(Swanage!R31="","",Swanage!R31)</f>
        <v>19.64</v>
      </c>
      <c r="P535" s="41">
        <f>IF(Swanage!S31="","",Swanage!S31)</f>
        <v>17.940000000000001</v>
      </c>
      <c r="Q535" s="41">
        <f>IF(Swanage!T31="","",Swanage!T31)</f>
        <v>15.62</v>
      </c>
      <c r="R535" s="41" t="str">
        <f>IF(Swanage!U31="","",Swanage!U31)</f>
        <v/>
      </c>
      <c r="S535" s="41">
        <f>IF(Swanage!V31="","",Swanage!V31)</f>
        <v>19.7</v>
      </c>
      <c r="T535" s="41">
        <f>IF(Swanage!W31="","",Swanage!W31)</f>
        <v>17.600000000000001</v>
      </c>
      <c r="U535" s="41" t="str">
        <f>IF(Swanage!X31="","",Swanage!X31)</f>
        <v/>
      </c>
      <c r="V535" s="41" t="str">
        <f>IF(Swanage!Y31="","",Swanage!Y31)</f>
        <v/>
      </c>
      <c r="W535" s="249">
        <f>IF(Swanage!AA31=0,"",Swanage!AA31)</f>
        <v>1</v>
      </c>
      <c r="X535" s="244">
        <f>IF(Swanage!AB31=0,"",Swanage!AB31)</f>
        <v>18.100000000000001</v>
      </c>
      <c r="Y535" s="245">
        <f>IF(Swanage!AC31=0,"",Swanage!AC31)</f>
        <v>18.100000000000001</v>
      </c>
      <c r="AA535" s="246">
        <f>Y535</f>
        <v>18.100000000000001</v>
      </c>
      <c r="AB535" s="243">
        <f>X535</f>
        <v>18.100000000000001</v>
      </c>
      <c r="AC535" s="185" t="str">
        <f>C535</f>
        <v>Marc Plummer</v>
      </c>
      <c r="AD535" s="185" t="str">
        <f>LEFT($B$511,3)</f>
        <v>Swa</v>
      </c>
      <c r="AE535" s="185">
        <f t="shared" ref="AE535:AY535" si="264">E535</f>
        <v>5</v>
      </c>
      <c r="AF535" s="185" t="str">
        <f t="shared" si="264"/>
        <v/>
      </c>
      <c r="AG535" s="247">
        <f t="shared" si="264"/>
        <v>5</v>
      </c>
      <c r="AH535" s="247">
        <f t="shared" si="264"/>
        <v>4</v>
      </c>
      <c r="AI535" s="247">
        <f t="shared" si="264"/>
        <v>20</v>
      </c>
      <c r="AJ535" s="243" t="str">
        <f t="shared" si="264"/>
        <v/>
      </c>
      <c r="AK535" s="243" t="str">
        <f t="shared" si="264"/>
        <v/>
      </c>
      <c r="AL535" s="243" t="str">
        <f t="shared" si="264"/>
        <v/>
      </c>
      <c r="AM535" s="243" t="str">
        <f t="shared" si="264"/>
        <v/>
      </c>
      <c r="AN535" s="243" t="str">
        <f t="shared" si="264"/>
        <v/>
      </c>
      <c r="AO535" s="243">
        <f t="shared" si="264"/>
        <v>19.64</v>
      </c>
      <c r="AP535" s="243">
        <f t="shared" si="264"/>
        <v>17.940000000000001</v>
      </c>
      <c r="AQ535" s="243">
        <f t="shared" si="264"/>
        <v>15.62</v>
      </c>
      <c r="AR535" s="243" t="str">
        <f t="shared" si="264"/>
        <v/>
      </c>
      <c r="AS535" s="243">
        <f t="shared" si="264"/>
        <v>19.7</v>
      </c>
      <c r="AT535" s="243">
        <f t="shared" si="264"/>
        <v>17.600000000000001</v>
      </c>
      <c r="AU535" s="243" t="str">
        <f t="shared" si="264"/>
        <v/>
      </c>
      <c r="AV535" s="243" t="str">
        <f t="shared" si="264"/>
        <v/>
      </c>
      <c r="AW535" s="247">
        <f t="shared" si="264"/>
        <v>1</v>
      </c>
      <c r="AX535" s="243">
        <f t="shared" si="264"/>
        <v>18.100000000000001</v>
      </c>
      <c r="AY535" s="248">
        <f t="shared" si="264"/>
        <v>18.100000000000001</v>
      </c>
    </row>
    <row r="536" spans="2:51" ht="12" customHeight="1" x14ac:dyDescent="0.2">
      <c r="B536" s="266"/>
      <c r="C536" s="235"/>
      <c r="D536" s="235"/>
      <c r="E536" s="239"/>
      <c r="F536" s="182"/>
      <c r="G536" s="182"/>
      <c r="H536" s="182"/>
      <c r="I536" s="233"/>
      <c r="J536" s="163" t="str">
        <f>IF(Swanage!M32="","",Swanage!M32)</f>
        <v/>
      </c>
      <c r="K536" s="41" t="str">
        <f>IF(Swanage!N32="","",Swanage!N32)</f>
        <v/>
      </c>
      <c r="L536" s="41" t="str">
        <f>IF(Swanage!O32="","",Swanage!O32)</f>
        <v/>
      </c>
      <c r="M536" s="41" t="str">
        <f>IF(Swanage!P32="","",Swanage!P32)</f>
        <v/>
      </c>
      <c r="N536" s="41" t="str">
        <f>IF(Swanage!Q32="","",Swanage!Q32)</f>
        <v/>
      </c>
      <c r="O536" s="41" t="str">
        <f>IF(Swanage!R32="","",Swanage!R32)</f>
        <v>1*4</v>
      </c>
      <c r="P536" s="41" t="str">
        <f>IF(Swanage!S32="","",Swanage!S32)</f>
        <v>1*4</v>
      </c>
      <c r="Q536" s="41" t="str">
        <f>IF(Swanage!T32="","",Swanage!T32)</f>
        <v>0*4</v>
      </c>
      <c r="R536" s="41" t="str">
        <f>IF(Swanage!U32="","",Swanage!U32)</f>
        <v/>
      </c>
      <c r="S536" s="41" t="str">
        <f>IF(Swanage!V32="","",Swanage!V32)</f>
        <v>1*4(1)</v>
      </c>
      <c r="T536" s="41" t="str">
        <f>IF(Swanage!W32="","",Swanage!W32)</f>
        <v>1*4</v>
      </c>
      <c r="U536" s="41" t="str">
        <f>IF(Swanage!X32="","",Swanage!X32)</f>
        <v/>
      </c>
      <c r="V536" s="41" t="str">
        <f>IF(Swanage!Y32="","",Swanage!Y32)</f>
        <v/>
      </c>
      <c r="W536" s="201"/>
      <c r="X536" s="182"/>
      <c r="Y536" s="233"/>
      <c r="AA536" s="239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233"/>
    </row>
    <row r="537" spans="2:51" ht="12" customHeight="1" x14ac:dyDescent="0.2">
      <c r="B537" s="266"/>
      <c r="C537" s="263" t="str">
        <f>IF(Swanage!E33="","",Swanage!E33)</f>
        <v xml:space="preserve">Tom Moon </v>
      </c>
      <c r="D537" s="259" t="str">
        <f>LEFT($B$511,3)</f>
        <v>Swa</v>
      </c>
      <c r="E537" s="251">
        <f>IF(Swanage!G33="","",Swanage!G33)</f>
        <v>2</v>
      </c>
      <c r="F537" s="181">
        <f>IF(Swanage!H33=0,"",Swanage!H33)</f>
        <v>1</v>
      </c>
      <c r="G537" s="186">
        <f>IF(Swanage!I33=0,"",Swanage!I33)</f>
        <v>1</v>
      </c>
      <c r="H537" s="186">
        <f>IF(Swanage!J33=0,"",Swanage!J33)</f>
        <v>6</v>
      </c>
      <c r="I537" s="252">
        <f>IF(Swanage!K33=0,"",Swanage!K33)</f>
        <v>7</v>
      </c>
      <c r="J537" s="163" t="str">
        <f>IF(Swanage!M33="","",Swanage!M33)</f>
        <v/>
      </c>
      <c r="K537" s="41" t="str">
        <f>IF(Swanage!N33="","",Swanage!N33)</f>
        <v/>
      </c>
      <c r="L537" s="41" t="str">
        <f>IF(Swanage!O33="","",Swanage!O33)</f>
        <v/>
      </c>
      <c r="M537" s="41" t="str">
        <f>IF(Swanage!P33="","",Swanage!P33)</f>
        <v/>
      </c>
      <c r="N537" s="41" t="str">
        <f>IF(Swanage!Q33="","",Swanage!Q33)</f>
        <v/>
      </c>
      <c r="O537" s="41" t="str">
        <f>IF(Swanage!R33="","",Swanage!R33)</f>
        <v/>
      </c>
      <c r="P537" s="41" t="str">
        <f>IF(Swanage!S33="","",Swanage!S33)</f>
        <v/>
      </c>
      <c r="Q537" s="41" t="str">
        <f>IF(Swanage!T33="","",Swanage!T33)</f>
        <v/>
      </c>
      <c r="R537" s="41" t="str">
        <f>IF(Swanage!U33="","",Swanage!U33)</f>
        <v/>
      </c>
      <c r="S537" s="41">
        <f>IF(Swanage!V33="","",Swanage!V33)</f>
        <v>23.04</v>
      </c>
      <c r="T537" s="41">
        <f>IF(Swanage!W33="","",Swanage!W33)</f>
        <v>21.7</v>
      </c>
      <c r="U537" s="41" t="str">
        <f>IF(Swanage!X33="","",Swanage!X33)</f>
        <v/>
      </c>
      <c r="V537" s="41" t="str">
        <f>IF(Swanage!Y33="","",Swanage!Y33)</f>
        <v/>
      </c>
      <c r="W537" s="249" t="str">
        <f>IF(Swanage!AA33=0,"",Swanage!AA33)</f>
        <v/>
      </c>
      <c r="X537" s="244">
        <f>IF(Swanage!AB33=0,"",Swanage!AB33)</f>
        <v>22.369999999999997</v>
      </c>
      <c r="Y537" s="245">
        <f>IF(Swanage!AC33=0,"",Swanage!AC33)</f>
        <v>23.369999999999997</v>
      </c>
      <c r="AA537" s="246">
        <f>Y537</f>
        <v>23.369999999999997</v>
      </c>
      <c r="AB537" s="243">
        <f>X537</f>
        <v>22.369999999999997</v>
      </c>
      <c r="AC537" s="185" t="str">
        <f>C537</f>
        <v xml:space="preserve">Tom Moon </v>
      </c>
      <c r="AD537" s="185" t="str">
        <f>LEFT($B$511,3)</f>
        <v>Swa</v>
      </c>
      <c r="AE537" s="185">
        <f t="shared" ref="AE537:AY537" si="265">E537</f>
        <v>2</v>
      </c>
      <c r="AF537" s="185">
        <f t="shared" si="265"/>
        <v>1</v>
      </c>
      <c r="AG537" s="247">
        <f t="shared" si="265"/>
        <v>1</v>
      </c>
      <c r="AH537" s="247">
        <f t="shared" si="265"/>
        <v>6</v>
      </c>
      <c r="AI537" s="247">
        <f t="shared" si="265"/>
        <v>7</v>
      </c>
      <c r="AJ537" s="243" t="str">
        <f t="shared" si="265"/>
        <v/>
      </c>
      <c r="AK537" s="243" t="str">
        <f t="shared" si="265"/>
        <v/>
      </c>
      <c r="AL537" s="243" t="str">
        <f t="shared" si="265"/>
        <v/>
      </c>
      <c r="AM537" s="243" t="str">
        <f t="shared" si="265"/>
        <v/>
      </c>
      <c r="AN537" s="243" t="str">
        <f t="shared" si="265"/>
        <v/>
      </c>
      <c r="AO537" s="243" t="str">
        <f t="shared" si="265"/>
        <v/>
      </c>
      <c r="AP537" s="243" t="str">
        <f t="shared" si="265"/>
        <v/>
      </c>
      <c r="AQ537" s="243" t="str">
        <f t="shared" si="265"/>
        <v/>
      </c>
      <c r="AR537" s="243" t="str">
        <f t="shared" si="265"/>
        <v/>
      </c>
      <c r="AS537" s="243">
        <f t="shared" si="265"/>
        <v>23.04</v>
      </c>
      <c r="AT537" s="243">
        <f t="shared" si="265"/>
        <v>21.7</v>
      </c>
      <c r="AU537" s="243" t="str">
        <f t="shared" si="265"/>
        <v/>
      </c>
      <c r="AV537" s="243" t="str">
        <f t="shared" si="265"/>
        <v/>
      </c>
      <c r="AW537" s="247" t="str">
        <f t="shared" si="265"/>
        <v/>
      </c>
      <c r="AX537" s="243">
        <f t="shared" si="265"/>
        <v>22.369999999999997</v>
      </c>
      <c r="AY537" s="248">
        <f t="shared" si="265"/>
        <v>23.369999999999997</v>
      </c>
    </row>
    <row r="538" spans="2:51" ht="12" customHeight="1" x14ac:dyDescent="0.2">
      <c r="B538" s="266"/>
      <c r="C538" s="235"/>
      <c r="D538" s="235"/>
      <c r="E538" s="239"/>
      <c r="F538" s="182"/>
      <c r="G538" s="182"/>
      <c r="H538" s="182"/>
      <c r="I538" s="233"/>
      <c r="J538" s="163" t="str">
        <f>IF(Swanage!M34="","",Swanage!M34)</f>
        <v/>
      </c>
      <c r="K538" s="41" t="str">
        <f>IF(Swanage!N34="","",Swanage!N34)</f>
        <v/>
      </c>
      <c r="L538" s="41" t="str">
        <f>IF(Swanage!O34="","",Swanage!O34)</f>
        <v/>
      </c>
      <c r="M538" s="41" t="str">
        <f>IF(Swanage!P34="","",Swanage!P34)</f>
        <v/>
      </c>
      <c r="N538" s="41" t="str">
        <f>IF(Swanage!Q34="","",Swanage!Q34)</f>
        <v/>
      </c>
      <c r="O538" s="41" t="str">
        <f>IF(Swanage!R34="","",Swanage!R34)</f>
        <v/>
      </c>
      <c r="P538" s="41" t="str">
        <f>IF(Swanage!S34="","",Swanage!S34)</f>
        <v/>
      </c>
      <c r="Q538" s="41" t="str">
        <f>IF(Swanage!T34="","",Swanage!T34)</f>
        <v/>
      </c>
      <c r="R538" s="41" t="str">
        <f>IF(Swanage!U34="","",Swanage!U34)</f>
        <v/>
      </c>
      <c r="S538" s="41" t="str">
        <f>IF(Swanage!V34="","",Swanage!V34)</f>
        <v>2*4</v>
      </c>
      <c r="T538" s="41" t="str">
        <f>IF(Swanage!W34="","",Swanage!W34)</f>
        <v>4*3</v>
      </c>
      <c r="U538" s="41" t="str">
        <f>IF(Swanage!X34="","",Swanage!X34)</f>
        <v/>
      </c>
      <c r="V538" s="41" t="str">
        <f>IF(Swanage!Y34="","",Swanage!Y34)</f>
        <v/>
      </c>
      <c r="W538" s="201"/>
      <c r="X538" s="182"/>
      <c r="Y538" s="233"/>
      <c r="AA538" s="239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233"/>
    </row>
    <row r="539" spans="2:51" ht="12" customHeight="1" x14ac:dyDescent="0.2">
      <c r="B539" s="266"/>
      <c r="C539" s="263" t="str">
        <f>IF(Swanage!E35="","",Swanage!E35)</f>
        <v>Kaine Pragnell</v>
      </c>
      <c r="D539" s="259" t="str">
        <f>LEFT($B$511,3)</f>
        <v>Swa</v>
      </c>
      <c r="E539" s="251">
        <f>IF(Swanage!G35="","",Swanage!G35)</f>
        <v>2</v>
      </c>
      <c r="F539" s="181">
        <f>IF(Swanage!H35=0,"",Swanage!H35)</f>
        <v>1</v>
      </c>
      <c r="G539" s="186">
        <f>IF(Swanage!I35=0,"",Swanage!I35)</f>
        <v>1</v>
      </c>
      <c r="H539" s="181">
        <f>IF(Swanage!J35=0,"",Swanage!J35)</f>
        <v>4</v>
      </c>
      <c r="I539" s="252">
        <f>IF(Swanage!K35=0,"",Swanage!K35)</f>
        <v>6</v>
      </c>
      <c r="J539" s="163" t="str">
        <f>IF(Swanage!M35="","",Swanage!M35)</f>
        <v/>
      </c>
      <c r="K539" s="41" t="str">
        <f>IF(Swanage!N35="","",Swanage!N35)</f>
        <v/>
      </c>
      <c r="L539" s="41" t="str">
        <f>IF(Swanage!O35="","",Swanage!O35)</f>
        <v/>
      </c>
      <c r="M539" s="41" t="str">
        <f>IF(Swanage!P35="","",Swanage!P35)</f>
        <v/>
      </c>
      <c r="N539" s="41" t="str">
        <f>IF(Swanage!Q35="","",Swanage!Q35)</f>
        <v/>
      </c>
      <c r="O539" s="41" t="str">
        <f>IF(Swanage!R35="","",Swanage!R35)</f>
        <v/>
      </c>
      <c r="P539" s="41" t="str">
        <f>IF(Swanage!S35="","",Swanage!S35)</f>
        <v/>
      </c>
      <c r="Q539" s="41" t="str">
        <f>IF(Swanage!T35="","",Swanage!T35)</f>
        <v/>
      </c>
      <c r="R539" s="41" t="str">
        <f>IF(Swanage!U35="","",Swanage!U35)</f>
        <v/>
      </c>
      <c r="S539" s="41" t="str">
        <f>IF(Swanage!V35="","",Swanage!V35)</f>
        <v/>
      </c>
      <c r="T539" s="41" t="str">
        <f>IF(Swanage!W35="","",Swanage!W35)</f>
        <v/>
      </c>
      <c r="U539" s="41">
        <f>IF(Swanage!X35="","",Swanage!X35)</f>
        <v>19.690000000000001</v>
      </c>
      <c r="V539" s="41">
        <f>IF(Swanage!Y35="","",Swanage!Y35)</f>
        <v>19.45</v>
      </c>
      <c r="W539" s="249" t="str">
        <f>IF(Swanage!AA35=0,"",Swanage!AA35)</f>
        <v/>
      </c>
      <c r="X539" s="244">
        <f>IF(Swanage!AB35=0,"",Swanage!AB35)</f>
        <v>19.57</v>
      </c>
      <c r="Y539" s="245">
        <f>IF(Swanage!AC35=0,"",Swanage!AC35)</f>
        <v>20.57</v>
      </c>
      <c r="AA539" s="246">
        <f>Y539</f>
        <v>20.57</v>
      </c>
      <c r="AB539" s="243">
        <f>X539</f>
        <v>19.57</v>
      </c>
      <c r="AC539" s="185" t="str">
        <f>C539</f>
        <v>Kaine Pragnell</v>
      </c>
      <c r="AD539" s="185" t="str">
        <f>LEFT($B$511,3)</f>
        <v>Swa</v>
      </c>
      <c r="AE539" s="185">
        <f t="shared" ref="AE539:AY539" si="266">E539</f>
        <v>2</v>
      </c>
      <c r="AF539" s="185">
        <f t="shared" si="266"/>
        <v>1</v>
      </c>
      <c r="AG539" s="247">
        <f t="shared" si="266"/>
        <v>1</v>
      </c>
      <c r="AH539" s="185">
        <f t="shared" si="266"/>
        <v>4</v>
      </c>
      <c r="AI539" s="247">
        <f t="shared" si="266"/>
        <v>6</v>
      </c>
      <c r="AJ539" s="243" t="str">
        <f t="shared" si="266"/>
        <v/>
      </c>
      <c r="AK539" s="243" t="str">
        <f t="shared" si="266"/>
        <v/>
      </c>
      <c r="AL539" s="243" t="str">
        <f t="shared" si="266"/>
        <v/>
      </c>
      <c r="AM539" s="243" t="str">
        <f t="shared" si="266"/>
        <v/>
      </c>
      <c r="AN539" s="243" t="str">
        <f t="shared" si="266"/>
        <v/>
      </c>
      <c r="AO539" s="243" t="str">
        <f t="shared" si="266"/>
        <v/>
      </c>
      <c r="AP539" s="243" t="str">
        <f t="shared" si="266"/>
        <v/>
      </c>
      <c r="AQ539" s="243" t="str">
        <f t="shared" si="266"/>
        <v/>
      </c>
      <c r="AR539" s="243" t="str">
        <f t="shared" si="266"/>
        <v/>
      </c>
      <c r="AS539" s="243" t="str">
        <f t="shared" si="266"/>
        <v/>
      </c>
      <c r="AT539" s="243" t="str">
        <f t="shared" si="266"/>
        <v/>
      </c>
      <c r="AU539" s="243">
        <f t="shared" si="266"/>
        <v>19.690000000000001</v>
      </c>
      <c r="AV539" s="243">
        <f t="shared" si="266"/>
        <v>19.45</v>
      </c>
      <c r="AW539" s="247" t="str">
        <f t="shared" si="266"/>
        <v/>
      </c>
      <c r="AX539" s="243">
        <f t="shared" si="266"/>
        <v>19.57</v>
      </c>
      <c r="AY539" s="248">
        <f t="shared" si="266"/>
        <v>20.57</v>
      </c>
    </row>
    <row r="540" spans="2:51" ht="12" customHeight="1" x14ac:dyDescent="0.2">
      <c r="B540" s="266"/>
      <c r="C540" s="235"/>
      <c r="D540" s="235"/>
      <c r="E540" s="239"/>
      <c r="F540" s="182"/>
      <c r="G540" s="182"/>
      <c r="H540" s="182"/>
      <c r="I540" s="233"/>
      <c r="J540" s="163" t="str">
        <f>IF(Swanage!M36="","",Swanage!M36)</f>
        <v/>
      </c>
      <c r="K540" s="41" t="str">
        <f>IF(Swanage!N36="","",Swanage!N36)</f>
        <v/>
      </c>
      <c r="L540" s="41" t="str">
        <f>IF(Swanage!O36="","",Swanage!O36)</f>
        <v/>
      </c>
      <c r="M540" s="41" t="str">
        <f>IF(Swanage!P36="","",Swanage!P36)</f>
        <v/>
      </c>
      <c r="N540" s="41" t="str">
        <f>IF(Swanage!Q36="","",Swanage!Q36)</f>
        <v/>
      </c>
      <c r="O540" s="41" t="str">
        <f>IF(Swanage!R36="","",Swanage!R36)</f>
        <v/>
      </c>
      <c r="P540" s="41" t="str">
        <f>IF(Swanage!S36="","",Swanage!S36)</f>
        <v/>
      </c>
      <c r="Q540" s="41" t="str">
        <f>IF(Swanage!T36="","",Swanage!T36)</f>
        <v/>
      </c>
      <c r="R540" s="41" t="str">
        <f>IF(Swanage!U36="","",Swanage!U36)</f>
        <v/>
      </c>
      <c r="S540" s="41" t="str">
        <f>IF(Swanage!V36="","",Swanage!V36)</f>
        <v/>
      </c>
      <c r="T540" s="41" t="str">
        <f>IF(Swanage!W36="","",Swanage!W36)</f>
        <v/>
      </c>
      <c r="U540" s="41" t="str">
        <f>IF(Swanage!X36="","",Swanage!X36)</f>
        <v>0*4</v>
      </c>
      <c r="V540" s="41" t="str">
        <f>IF(Swanage!Y36="","",Swanage!Y36)</f>
        <v>4*2</v>
      </c>
      <c r="W540" s="201"/>
      <c r="X540" s="182"/>
      <c r="Y540" s="233"/>
      <c r="AA540" s="239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233"/>
    </row>
    <row r="541" spans="2:51" ht="12" customHeight="1" x14ac:dyDescent="0.2">
      <c r="B541" s="266"/>
      <c r="C541" s="263" t="str">
        <f>IF(Swanage!E37="","",Swanage!E37)</f>
        <v/>
      </c>
      <c r="D541" s="259" t="str">
        <f>LEFT($B$511,3)</f>
        <v>Swa</v>
      </c>
      <c r="E541" s="251" t="str">
        <f>IF(Swanage!G37="","",Swanage!G37)</f>
        <v/>
      </c>
      <c r="F541" s="181" t="str">
        <f>IF(Swanage!H37=0,"",Swanage!H37)</f>
        <v/>
      </c>
      <c r="G541" s="181" t="str">
        <f>IF(Swanage!I37=0,"",Swanage!I37)</f>
        <v/>
      </c>
      <c r="H541" s="181" t="str">
        <f>IF(Swanage!J37=0,"",Swanage!J37)</f>
        <v/>
      </c>
      <c r="I541" s="250" t="str">
        <f>IF(Swanage!K37=0,"",Swanage!K37)</f>
        <v/>
      </c>
      <c r="J541" s="163" t="str">
        <f>IF(Swanage!M37="","",Swanage!M37)</f>
        <v/>
      </c>
      <c r="K541" s="41" t="str">
        <f>IF(Swanage!N37="","",Swanage!N37)</f>
        <v/>
      </c>
      <c r="L541" s="41" t="str">
        <f>IF(Swanage!O37="","",Swanage!O37)</f>
        <v/>
      </c>
      <c r="M541" s="41" t="str">
        <f>IF(Swanage!P37="","",Swanage!P37)</f>
        <v/>
      </c>
      <c r="N541" s="41" t="str">
        <f>IF(Swanage!Q37="","",Swanage!Q37)</f>
        <v/>
      </c>
      <c r="O541" s="41" t="str">
        <f>IF(Swanage!R37="","",Swanage!R37)</f>
        <v/>
      </c>
      <c r="P541" s="41" t="str">
        <f>IF(Swanage!S37="","",Swanage!S37)</f>
        <v/>
      </c>
      <c r="Q541" s="41" t="str">
        <f>IF(Swanage!T37="","",Swanage!T37)</f>
        <v/>
      </c>
      <c r="R541" s="41" t="str">
        <f>IF(Swanage!U37="","",Swanage!U37)</f>
        <v/>
      </c>
      <c r="S541" s="41" t="str">
        <f>IF(Swanage!V37="","",Swanage!V37)</f>
        <v/>
      </c>
      <c r="T541" s="41" t="str">
        <f>IF(Swanage!W37="","",Swanage!W37)</f>
        <v/>
      </c>
      <c r="U541" s="41" t="str">
        <f>IF(Swanage!X37="","",Swanage!X37)</f>
        <v/>
      </c>
      <c r="V541" s="41" t="str">
        <f>IF(Swanage!Y37="","",Swanage!Y37)</f>
        <v/>
      </c>
      <c r="W541" s="249" t="str">
        <f>IF(Swanage!AA37=0,"",Swanage!AA37)</f>
        <v/>
      </c>
      <c r="X541" s="244" t="str">
        <f>IF(Swanage!AB37=0,"",Swanage!AB37)</f>
        <v/>
      </c>
      <c r="Y541" s="245" t="str">
        <f>IF(Swanage!AC37=0,"",Swanage!AC37)</f>
        <v/>
      </c>
      <c r="AA541" s="246" t="str">
        <f>Y541</f>
        <v/>
      </c>
      <c r="AB541" s="243" t="str">
        <f>X541</f>
        <v/>
      </c>
      <c r="AC541" s="185" t="str">
        <f>C541</f>
        <v/>
      </c>
      <c r="AD541" s="185" t="str">
        <f>LEFT($B$511,3)</f>
        <v>Swa</v>
      </c>
      <c r="AE541" s="185" t="str">
        <f t="shared" ref="AE541:AY541" si="267">E541</f>
        <v/>
      </c>
      <c r="AF541" s="185" t="str">
        <f t="shared" si="267"/>
        <v/>
      </c>
      <c r="AG541" s="185" t="str">
        <f t="shared" si="267"/>
        <v/>
      </c>
      <c r="AH541" s="185" t="str">
        <f t="shared" si="267"/>
        <v/>
      </c>
      <c r="AI541" s="185" t="str">
        <f t="shared" si="267"/>
        <v/>
      </c>
      <c r="AJ541" s="243" t="str">
        <f t="shared" si="267"/>
        <v/>
      </c>
      <c r="AK541" s="243" t="str">
        <f t="shared" si="267"/>
        <v/>
      </c>
      <c r="AL541" s="243" t="str">
        <f t="shared" si="267"/>
        <v/>
      </c>
      <c r="AM541" s="243" t="str">
        <f t="shared" si="267"/>
        <v/>
      </c>
      <c r="AN541" s="243" t="str">
        <f t="shared" si="267"/>
        <v/>
      </c>
      <c r="AO541" s="243" t="str">
        <f t="shared" si="267"/>
        <v/>
      </c>
      <c r="AP541" s="243" t="str">
        <f t="shared" si="267"/>
        <v/>
      </c>
      <c r="AQ541" s="243" t="str">
        <f t="shared" si="267"/>
        <v/>
      </c>
      <c r="AR541" s="243" t="str">
        <f t="shared" si="267"/>
        <v/>
      </c>
      <c r="AS541" s="243" t="str">
        <f t="shared" si="267"/>
        <v/>
      </c>
      <c r="AT541" s="243" t="str">
        <f t="shared" si="267"/>
        <v/>
      </c>
      <c r="AU541" s="243" t="str">
        <f t="shared" si="267"/>
        <v/>
      </c>
      <c r="AV541" s="243" t="str">
        <f t="shared" si="267"/>
        <v/>
      </c>
      <c r="AW541" s="247" t="str">
        <f t="shared" si="267"/>
        <v/>
      </c>
      <c r="AX541" s="243" t="str">
        <f t="shared" si="267"/>
        <v/>
      </c>
      <c r="AY541" s="248" t="str">
        <f t="shared" si="267"/>
        <v/>
      </c>
    </row>
    <row r="542" spans="2:51" ht="12" customHeight="1" x14ac:dyDescent="0.2">
      <c r="B542" s="266"/>
      <c r="C542" s="235"/>
      <c r="D542" s="235"/>
      <c r="E542" s="239"/>
      <c r="F542" s="182"/>
      <c r="G542" s="182"/>
      <c r="H542" s="182"/>
      <c r="I542" s="233"/>
      <c r="J542" s="163" t="str">
        <f>IF(Swanage!M38="","",Swanage!M38)</f>
        <v/>
      </c>
      <c r="K542" s="41" t="str">
        <f>IF(Swanage!N38="","",Swanage!N38)</f>
        <v/>
      </c>
      <c r="L542" s="41" t="str">
        <f>IF(Swanage!O38="","",Swanage!O38)</f>
        <v/>
      </c>
      <c r="M542" s="41" t="str">
        <f>IF(Swanage!P38="","",Swanage!P38)</f>
        <v/>
      </c>
      <c r="N542" s="41" t="str">
        <f>IF(Swanage!Q38="","",Swanage!Q38)</f>
        <v/>
      </c>
      <c r="O542" s="41" t="str">
        <f>IF(Swanage!R38="","",Swanage!R38)</f>
        <v/>
      </c>
      <c r="P542" s="41" t="str">
        <f>IF(Swanage!S38="","",Swanage!S38)</f>
        <v/>
      </c>
      <c r="Q542" s="41" t="str">
        <f>IF(Swanage!T38="","",Swanage!T38)</f>
        <v/>
      </c>
      <c r="R542" s="41" t="str">
        <f>IF(Swanage!U38="","",Swanage!U38)</f>
        <v/>
      </c>
      <c r="S542" s="41" t="str">
        <f>IF(Swanage!V38="","",Swanage!V38)</f>
        <v/>
      </c>
      <c r="T542" s="41" t="str">
        <f>IF(Swanage!W38="","",Swanage!W38)</f>
        <v/>
      </c>
      <c r="U542" s="41" t="str">
        <f>IF(Swanage!X38="","",Swanage!X38)</f>
        <v/>
      </c>
      <c r="V542" s="41" t="str">
        <f>IF(Swanage!Y38="","",Swanage!Y38)</f>
        <v/>
      </c>
      <c r="W542" s="201"/>
      <c r="X542" s="182"/>
      <c r="Y542" s="233"/>
      <c r="AA542" s="239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233"/>
    </row>
    <row r="543" spans="2:51" ht="12" customHeight="1" x14ac:dyDescent="0.2">
      <c r="B543" s="266"/>
      <c r="C543" s="263" t="str">
        <f>IF(Swanage!E39="","",Swanage!E39)</f>
        <v/>
      </c>
      <c r="D543" s="259" t="str">
        <f>LEFT($B$511,3)</f>
        <v>Swa</v>
      </c>
      <c r="E543" s="251" t="str">
        <f>IF(Swanage!G39="","",Swanage!G39)</f>
        <v/>
      </c>
      <c r="F543" s="181" t="str">
        <f>IF(Swanage!H39=0,"",Swanage!H39)</f>
        <v/>
      </c>
      <c r="G543" s="181" t="str">
        <f>IF(Swanage!I39=0,"",Swanage!I39)</f>
        <v/>
      </c>
      <c r="H543" s="181" t="str">
        <f>IF(Swanage!J39=0,"",Swanage!J39)</f>
        <v/>
      </c>
      <c r="I543" s="250" t="str">
        <f>IF(Swanage!K39=0,"",Swanage!K39)</f>
        <v/>
      </c>
      <c r="J543" s="163" t="str">
        <f>IF(Swanage!M39="","",Swanage!M39)</f>
        <v/>
      </c>
      <c r="K543" s="41" t="str">
        <f>IF(Swanage!N39="","",Swanage!N39)</f>
        <v/>
      </c>
      <c r="L543" s="41" t="str">
        <f>IF(Swanage!O39="","",Swanage!O39)</f>
        <v/>
      </c>
      <c r="M543" s="41" t="str">
        <f>IF(Swanage!P39="","",Swanage!P39)</f>
        <v/>
      </c>
      <c r="N543" s="41" t="str">
        <f>IF(Swanage!Q39="","",Swanage!Q39)</f>
        <v/>
      </c>
      <c r="O543" s="41" t="str">
        <f>IF(Swanage!R39="","",Swanage!R39)</f>
        <v/>
      </c>
      <c r="P543" s="41" t="str">
        <f>IF(Swanage!S39="","",Swanage!S39)</f>
        <v/>
      </c>
      <c r="Q543" s="41" t="str">
        <f>IF(Swanage!T39="","",Swanage!T39)</f>
        <v/>
      </c>
      <c r="R543" s="41" t="str">
        <f>IF(Swanage!U39="","",Swanage!U39)</f>
        <v/>
      </c>
      <c r="S543" s="41" t="str">
        <f>IF(Swanage!V39="","",Swanage!V39)</f>
        <v/>
      </c>
      <c r="T543" s="41" t="str">
        <f>IF(Swanage!W39="","",Swanage!W39)</f>
        <v/>
      </c>
      <c r="U543" s="41" t="str">
        <f>IF(Swanage!X39="","",Swanage!X39)</f>
        <v/>
      </c>
      <c r="V543" s="41" t="str">
        <f>IF(Swanage!Y39="","",Swanage!Y39)</f>
        <v/>
      </c>
      <c r="W543" s="249" t="str">
        <f>IF(Swanage!AA39=0,"",Swanage!AA39)</f>
        <v/>
      </c>
      <c r="X543" s="244" t="str">
        <f>IF(Swanage!AB39=0,"",Swanage!AB39)</f>
        <v/>
      </c>
      <c r="Y543" s="245" t="str">
        <f>IF(Swanage!AC39=0,"",Swanage!AC39)</f>
        <v/>
      </c>
      <c r="AA543" s="246" t="str">
        <f>Y543</f>
        <v/>
      </c>
      <c r="AB543" s="243" t="str">
        <f>X543</f>
        <v/>
      </c>
      <c r="AC543" s="185" t="str">
        <f>C543</f>
        <v/>
      </c>
      <c r="AD543" s="185" t="str">
        <f>LEFT($B$511,3)</f>
        <v>Swa</v>
      </c>
      <c r="AE543" s="185" t="str">
        <f t="shared" ref="AE543:AY543" si="268">E543</f>
        <v/>
      </c>
      <c r="AF543" s="185" t="str">
        <f t="shared" si="268"/>
        <v/>
      </c>
      <c r="AG543" s="185" t="str">
        <f t="shared" si="268"/>
        <v/>
      </c>
      <c r="AH543" s="185" t="str">
        <f t="shared" si="268"/>
        <v/>
      </c>
      <c r="AI543" s="185" t="str">
        <f t="shared" si="268"/>
        <v/>
      </c>
      <c r="AJ543" s="243" t="str">
        <f t="shared" si="268"/>
        <v/>
      </c>
      <c r="AK543" s="243" t="str">
        <f t="shared" si="268"/>
        <v/>
      </c>
      <c r="AL543" s="243" t="str">
        <f t="shared" si="268"/>
        <v/>
      </c>
      <c r="AM543" s="243" t="str">
        <f t="shared" si="268"/>
        <v/>
      </c>
      <c r="AN543" s="243" t="str">
        <f t="shared" si="268"/>
        <v/>
      </c>
      <c r="AO543" s="243" t="str">
        <f t="shared" si="268"/>
        <v/>
      </c>
      <c r="AP543" s="243" t="str">
        <f t="shared" si="268"/>
        <v/>
      </c>
      <c r="AQ543" s="243" t="str">
        <f t="shared" si="268"/>
        <v/>
      </c>
      <c r="AR543" s="243" t="str">
        <f t="shared" si="268"/>
        <v/>
      </c>
      <c r="AS543" s="243" t="str">
        <f t="shared" si="268"/>
        <v/>
      </c>
      <c r="AT543" s="243" t="str">
        <f t="shared" si="268"/>
        <v/>
      </c>
      <c r="AU543" s="243" t="str">
        <f t="shared" si="268"/>
        <v/>
      </c>
      <c r="AV543" s="243" t="str">
        <f t="shared" si="268"/>
        <v/>
      </c>
      <c r="AW543" s="247" t="str">
        <f t="shared" si="268"/>
        <v/>
      </c>
      <c r="AX543" s="243" t="str">
        <f t="shared" si="268"/>
        <v/>
      </c>
      <c r="AY543" s="248" t="str">
        <f t="shared" si="268"/>
        <v/>
      </c>
    </row>
    <row r="544" spans="2:51" ht="12" customHeight="1" x14ac:dyDescent="0.2">
      <c r="B544" s="266"/>
      <c r="C544" s="235"/>
      <c r="D544" s="235"/>
      <c r="E544" s="239"/>
      <c r="F544" s="182"/>
      <c r="G544" s="182"/>
      <c r="H544" s="182"/>
      <c r="I544" s="233"/>
      <c r="J544" s="163" t="str">
        <f>IF(Swanage!M40="","",Swanage!M40)</f>
        <v/>
      </c>
      <c r="K544" s="41" t="str">
        <f>IF(Swanage!N40="","",Swanage!N40)</f>
        <v/>
      </c>
      <c r="L544" s="41" t="str">
        <f>IF(Swanage!O40="","",Swanage!O40)</f>
        <v/>
      </c>
      <c r="M544" s="41" t="str">
        <f>IF(Swanage!P40="","",Swanage!P40)</f>
        <v/>
      </c>
      <c r="N544" s="41" t="str">
        <f>IF(Swanage!Q40="","",Swanage!Q40)</f>
        <v/>
      </c>
      <c r="O544" s="41" t="str">
        <f>IF(Swanage!R40="","",Swanage!R40)</f>
        <v/>
      </c>
      <c r="P544" s="41" t="str">
        <f>IF(Swanage!S40="","",Swanage!S40)</f>
        <v/>
      </c>
      <c r="Q544" s="41" t="str">
        <f>IF(Swanage!T40="","",Swanage!T40)</f>
        <v/>
      </c>
      <c r="R544" s="41" t="str">
        <f>IF(Swanage!U40="","",Swanage!U40)</f>
        <v/>
      </c>
      <c r="S544" s="41" t="str">
        <f>IF(Swanage!V40="","",Swanage!V40)</f>
        <v/>
      </c>
      <c r="T544" s="41" t="str">
        <f>IF(Swanage!W40="","",Swanage!W40)</f>
        <v/>
      </c>
      <c r="U544" s="41" t="str">
        <f>IF(Swanage!X40="","",Swanage!X40)</f>
        <v/>
      </c>
      <c r="V544" s="41" t="str">
        <f>IF(Swanage!Y40="","",Swanage!Y40)</f>
        <v/>
      </c>
      <c r="W544" s="201"/>
      <c r="X544" s="182"/>
      <c r="Y544" s="233"/>
      <c r="AA544" s="239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233"/>
    </row>
    <row r="545" spans="2:51" ht="12" customHeight="1" x14ac:dyDescent="0.2">
      <c r="B545" s="266"/>
      <c r="C545" s="263" t="str">
        <f>IF(Swanage!E41="","",Swanage!E41)</f>
        <v/>
      </c>
      <c r="D545" s="259" t="str">
        <f>LEFT($B$511,3)</f>
        <v>Swa</v>
      </c>
      <c r="E545" s="251" t="str">
        <f>IF(Swanage!G41="","",Swanage!G41)</f>
        <v/>
      </c>
      <c r="F545" s="181" t="str">
        <f>IF(Swanage!H41=0,"",Swanage!H41)</f>
        <v/>
      </c>
      <c r="G545" s="181" t="str">
        <f>IF(Swanage!I41=0,"",Swanage!I41)</f>
        <v/>
      </c>
      <c r="H545" s="181" t="str">
        <f>IF(Swanage!J41=0,"",Swanage!J41)</f>
        <v/>
      </c>
      <c r="I545" s="250" t="str">
        <f>IF(Swanage!K41=0,"",Swanage!K41)</f>
        <v/>
      </c>
      <c r="J545" s="163" t="str">
        <f>IF(Swanage!M41="","",Swanage!M41)</f>
        <v/>
      </c>
      <c r="K545" s="41" t="str">
        <f>IF(Swanage!N41="","",Swanage!N41)</f>
        <v/>
      </c>
      <c r="L545" s="41" t="str">
        <f>IF(Swanage!O41="","",Swanage!O41)</f>
        <v/>
      </c>
      <c r="M545" s="41" t="str">
        <f>IF(Swanage!P41="","",Swanage!P41)</f>
        <v/>
      </c>
      <c r="N545" s="41" t="str">
        <f>IF(Swanage!Q41="","",Swanage!Q41)</f>
        <v/>
      </c>
      <c r="O545" s="41" t="str">
        <f>IF(Swanage!R41="","",Swanage!R41)</f>
        <v/>
      </c>
      <c r="P545" s="41" t="str">
        <f>IF(Swanage!S41="","",Swanage!S41)</f>
        <v/>
      </c>
      <c r="Q545" s="41" t="str">
        <f>IF(Swanage!T41="","",Swanage!T41)</f>
        <v/>
      </c>
      <c r="R545" s="41" t="str">
        <f>IF(Swanage!U41="","",Swanage!U41)</f>
        <v/>
      </c>
      <c r="S545" s="41" t="str">
        <f>IF(Swanage!V41="","",Swanage!V41)</f>
        <v/>
      </c>
      <c r="T545" s="41" t="str">
        <f>IF(Swanage!W41="","",Swanage!W41)</f>
        <v/>
      </c>
      <c r="U545" s="41" t="str">
        <f>IF(Swanage!X41="","",Swanage!X41)</f>
        <v/>
      </c>
      <c r="V545" s="41" t="str">
        <f>IF(Swanage!Y41="","",Swanage!Y41)</f>
        <v/>
      </c>
      <c r="W545" s="249" t="str">
        <f>IF(Swanage!AA41=0,"",Swanage!AA41)</f>
        <v/>
      </c>
      <c r="X545" s="244" t="str">
        <f>IF(Swanage!AB41=0,"",Swanage!AB41)</f>
        <v/>
      </c>
      <c r="Y545" s="245" t="str">
        <f>IF(Swanage!AC41=0,"",Swanage!AC41)</f>
        <v/>
      </c>
      <c r="AA545" s="246" t="str">
        <f>Y545</f>
        <v/>
      </c>
      <c r="AB545" s="243" t="str">
        <f>X545</f>
        <v/>
      </c>
      <c r="AC545" s="185" t="str">
        <f>C545</f>
        <v/>
      </c>
      <c r="AD545" s="185" t="str">
        <f>LEFT($B$511,3)</f>
        <v>Swa</v>
      </c>
      <c r="AE545" s="185" t="str">
        <f t="shared" ref="AE545:AY545" si="269">E545</f>
        <v/>
      </c>
      <c r="AF545" s="185" t="str">
        <f t="shared" si="269"/>
        <v/>
      </c>
      <c r="AG545" s="185" t="str">
        <f t="shared" si="269"/>
        <v/>
      </c>
      <c r="AH545" s="185" t="str">
        <f t="shared" si="269"/>
        <v/>
      </c>
      <c r="AI545" s="185" t="str">
        <f t="shared" si="269"/>
        <v/>
      </c>
      <c r="AJ545" s="243" t="str">
        <f t="shared" si="269"/>
        <v/>
      </c>
      <c r="AK545" s="243" t="str">
        <f t="shared" si="269"/>
        <v/>
      </c>
      <c r="AL545" s="243" t="str">
        <f t="shared" si="269"/>
        <v/>
      </c>
      <c r="AM545" s="243" t="str">
        <f t="shared" si="269"/>
        <v/>
      </c>
      <c r="AN545" s="243" t="str">
        <f t="shared" si="269"/>
        <v/>
      </c>
      <c r="AO545" s="243" t="str">
        <f t="shared" si="269"/>
        <v/>
      </c>
      <c r="AP545" s="243" t="str">
        <f t="shared" si="269"/>
        <v/>
      </c>
      <c r="AQ545" s="243" t="str">
        <f t="shared" si="269"/>
        <v/>
      </c>
      <c r="AR545" s="243" t="str">
        <f t="shared" si="269"/>
        <v/>
      </c>
      <c r="AS545" s="243" t="str">
        <f t="shared" si="269"/>
        <v/>
      </c>
      <c r="AT545" s="243" t="str">
        <f t="shared" si="269"/>
        <v/>
      </c>
      <c r="AU545" s="243" t="str">
        <f t="shared" si="269"/>
        <v/>
      </c>
      <c r="AV545" s="243" t="str">
        <f t="shared" si="269"/>
        <v/>
      </c>
      <c r="AW545" s="247" t="str">
        <f t="shared" si="269"/>
        <v/>
      </c>
      <c r="AX545" s="243" t="str">
        <f t="shared" si="269"/>
        <v/>
      </c>
      <c r="AY545" s="248" t="str">
        <f t="shared" si="269"/>
        <v/>
      </c>
    </row>
    <row r="546" spans="2:51" ht="12" customHeight="1" x14ac:dyDescent="0.2">
      <c r="B546" s="266"/>
      <c r="C546" s="235"/>
      <c r="D546" s="235"/>
      <c r="E546" s="239"/>
      <c r="F546" s="182"/>
      <c r="G546" s="182"/>
      <c r="H546" s="182"/>
      <c r="I546" s="233"/>
      <c r="J546" s="163" t="str">
        <f>IF(Swanage!M42="","",Swanage!M42)</f>
        <v/>
      </c>
      <c r="K546" s="41" t="str">
        <f>IF(Swanage!N42="","",Swanage!N42)</f>
        <v/>
      </c>
      <c r="L546" s="41" t="str">
        <f>IF(Swanage!O42="","",Swanage!O42)</f>
        <v/>
      </c>
      <c r="M546" s="41" t="str">
        <f>IF(Swanage!P42="","",Swanage!P42)</f>
        <v/>
      </c>
      <c r="N546" s="41" t="str">
        <f>IF(Swanage!Q42="","",Swanage!Q42)</f>
        <v/>
      </c>
      <c r="O546" s="41" t="str">
        <f>IF(Swanage!R42="","",Swanage!R42)</f>
        <v/>
      </c>
      <c r="P546" s="41" t="str">
        <f>IF(Swanage!S42="","",Swanage!S42)</f>
        <v/>
      </c>
      <c r="Q546" s="41" t="str">
        <f>IF(Swanage!T42="","",Swanage!T42)</f>
        <v/>
      </c>
      <c r="R546" s="41" t="str">
        <f>IF(Swanage!U42="","",Swanage!U42)</f>
        <v/>
      </c>
      <c r="S546" s="41" t="str">
        <f>IF(Swanage!V42="","",Swanage!V42)</f>
        <v/>
      </c>
      <c r="T546" s="41" t="str">
        <f>IF(Swanage!W42="","",Swanage!W42)</f>
        <v/>
      </c>
      <c r="U546" s="41" t="str">
        <f>IF(Swanage!X42="","",Swanage!X42)</f>
        <v/>
      </c>
      <c r="V546" s="41" t="str">
        <f>IF(Swanage!Y42="","",Swanage!Y42)</f>
        <v/>
      </c>
      <c r="W546" s="201"/>
      <c r="X546" s="182"/>
      <c r="Y546" s="233"/>
      <c r="AA546" s="239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233"/>
    </row>
    <row r="547" spans="2:51" ht="12" customHeight="1" x14ac:dyDescent="0.2">
      <c r="B547" s="266"/>
      <c r="C547" s="263" t="str">
        <f>IF(Swanage!E43="","",Swanage!E43)</f>
        <v/>
      </c>
      <c r="D547" s="259" t="str">
        <f>LEFT($B$511,3)</f>
        <v>Swa</v>
      </c>
      <c r="E547" s="251" t="str">
        <f>IF(Swanage!G43="","",Swanage!G43)</f>
        <v/>
      </c>
      <c r="F547" s="181" t="str">
        <f>IF(Swanage!H43=0,"",Swanage!H43)</f>
        <v/>
      </c>
      <c r="G547" s="181" t="str">
        <f>IF(Swanage!I43=0,"",Swanage!I43)</f>
        <v/>
      </c>
      <c r="H547" s="181" t="str">
        <f>IF(Swanage!J43=0,"",Swanage!J43)</f>
        <v/>
      </c>
      <c r="I547" s="250" t="str">
        <f>IF(Swanage!K43=0,"",Swanage!K43)</f>
        <v/>
      </c>
      <c r="J547" s="163" t="str">
        <f>IF(Swanage!M43="","",Swanage!M43)</f>
        <v/>
      </c>
      <c r="K547" s="41" t="str">
        <f>IF(Swanage!N43="","",Swanage!N43)</f>
        <v/>
      </c>
      <c r="L547" s="41" t="str">
        <f>IF(Swanage!O43="","",Swanage!O43)</f>
        <v/>
      </c>
      <c r="M547" s="41" t="str">
        <f>IF(Swanage!P43="","",Swanage!P43)</f>
        <v/>
      </c>
      <c r="N547" s="41" t="str">
        <f>IF(Swanage!Q43="","",Swanage!Q43)</f>
        <v/>
      </c>
      <c r="O547" s="41" t="str">
        <f>IF(Swanage!R43="","",Swanage!R43)</f>
        <v/>
      </c>
      <c r="P547" s="41" t="str">
        <f>IF(Swanage!S43="","",Swanage!S43)</f>
        <v/>
      </c>
      <c r="Q547" s="41" t="str">
        <f>IF(Swanage!T43="","",Swanage!T43)</f>
        <v/>
      </c>
      <c r="R547" s="41" t="str">
        <f>IF(Swanage!U43="","",Swanage!U43)</f>
        <v/>
      </c>
      <c r="S547" s="41" t="str">
        <f>IF(Swanage!V43="","",Swanage!V43)</f>
        <v/>
      </c>
      <c r="T547" s="41" t="str">
        <f>IF(Swanage!W43="","",Swanage!W43)</f>
        <v/>
      </c>
      <c r="U547" s="41" t="str">
        <f>IF(Swanage!X43="","",Swanage!X43)</f>
        <v/>
      </c>
      <c r="V547" s="41" t="str">
        <f>IF(Swanage!Y43="","",Swanage!Y43)</f>
        <v/>
      </c>
      <c r="W547" s="249" t="str">
        <f>IF(Swanage!AA43=0,"",Swanage!AA43)</f>
        <v/>
      </c>
      <c r="X547" s="244" t="str">
        <f>IF(Swanage!AB43=0,"",Swanage!AB43)</f>
        <v/>
      </c>
      <c r="Y547" s="245" t="str">
        <f>IF(Swanage!AC43=0,"",Swanage!AC43)</f>
        <v/>
      </c>
      <c r="AA547" s="246" t="str">
        <f>Y547</f>
        <v/>
      </c>
      <c r="AB547" s="243" t="str">
        <f>X547</f>
        <v/>
      </c>
      <c r="AC547" s="185" t="str">
        <f>C547</f>
        <v/>
      </c>
      <c r="AD547" s="185" t="str">
        <f>LEFT($B$511,3)</f>
        <v>Swa</v>
      </c>
      <c r="AE547" s="185" t="str">
        <f t="shared" ref="AE547:AY547" si="270">E547</f>
        <v/>
      </c>
      <c r="AF547" s="185" t="str">
        <f t="shared" si="270"/>
        <v/>
      </c>
      <c r="AG547" s="185" t="str">
        <f t="shared" si="270"/>
        <v/>
      </c>
      <c r="AH547" s="185" t="str">
        <f t="shared" si="270"/>
        <v/>
      </c>
      <c r="AI547" s="185" t="str">
        <f t="shared" si="270"/>
        <v/>
      </c>
      <c r="AJ547" s="243" t="str">
        <f t="shared" si="270"/>
        <v/>
      </c>
      <c r="AK547" s="243" t="str">
        <f t="shared" si="270"/>
        <v/>
      </c>
      <c r="AL547" s="243" t="str">
        <f t="shared" si="270"/>
        <v/>
      </c>
      <c r="AM547" s="243" t="str">
        <f t="shared" si="270"/>
        <v/>
      </c>
      <c r="AN547" s="243" t="str">
        <f t="shared" si="270"/>
        <v/>
      </c>
      <c r="AO547" s="243" t="str">
        <f t="shared" si="270"/>
        <v/>
      </c>
      <c r="AP547" s="243" t="str">
        <f t="shared" si="270"/>
        <v/>
      </c>
      <c r="AQ547" s="243" t="str">
        <f t="shared" si="270"/>
        <v/>
      </c>
      <c r="AR547" s="243" t="str">
        <f t="shared" si="270"/>
        <v/>
      </c>
      <c r="AS547" s="243" t="str">
        <f t="shared" si="270"/>
        <v/>
      </c>
      <c r="AT547" s="243" t="str">
        <f t="shared" si="270"/>
        <v/>
      </c>
      <c r="AU547" s="243" t="str">
        <f t="shared" si="270"/>
        <v/>
      </c>
      <c r="AV547" s="243" t="str">
        <f t="shared" si="270"/>
        <v/>
      </c>
      <c r="AW547" s="247" t="str">
        <f t="shared" si="270"/>
        <v/>
      </c>
      <c r="AX547" s="243" t="str">
        <f t="shared" si="270"/>
        <v/>
      </c>
      <c r="AY547" s="248" t="str">
        <f t="shared" si="270"/>
        <v/>
      </c>
    </row>
    <row r="548" spans="2:51" ht="12" customHeight="1" x14ac:dyDescent="0.2">
      <c r="B548" s="266"/>
      <c r="C548" s="235"/>
      <c r="D548" s="235"/>
      <c r="E548" s="239"/>
      <c r="F548" s="182"/>
      <c r="G548" s="182"/>
      <c r="H548" s="182"/>
      <c r="I548" s="233"/>
      <c r="J548" s="163" t="str">
        <f>IF(Swanage!M44="","",Swanage!M44)</f>
        <v/>
      </c>
      <c r="K548" s="41" t="str">
        <f>IF(Swanage!N44="","",Swanage!N44)</f>
        <v/>
      </c>
      <c r="L548" s="41" t="str">
        <f>IF(Swanage!O44="","",Swanage!O44)</f>
        <v/>
      </c>
      <c r="M548" s="41" t="str">
        <f>IF(Swanage!P44="","",Swanage!P44)</f>
        <v/>
      </c>
      <c r="N548" s="41" t="str">
        <f>IF(Swanage!Q44="","",Swanage!Q44)</f>
        <v/>
      </c>
      <c r="O548" s="41" t="str">
        <f>IF(Swanage!R44="","",Swanage!R44)</f>
        <v/>
      </c>
      <c r="P548" s="41" t="str">
        <f>IF(Swanage!S44="","",Swanage!S44)</f>
        <v/>
      </c>
      <c r="Q548" s="41" t="str">
        <f>IF(Swanage!T44="","",Swanage!T44)</f>
        <v/>
      </c>
      <c r="R548" s="41" t="str">
        <f>IF(Swanage!U44="","",Swanage!U44)</f>
        <v/>
      </c>
      <c r="S548" s="41" t="str">
        <f>IF(Swanage!V44="","",Swanage!V44)</f>
        <v/>
      </c>
      <c r="T548" s="41" t="str">
        <f>IF(Swanage!W44="","",Swanage!W44)</f>
        <v/>
      </c>
      <c r="U548" s="41" t="str">
        <f>IF(Swanage!X44="","",Swanage!X44)</f>
        <v/>
      </c>
      <c r="V548" s="41" t="str">
        <f>IF(Swanage!Y44="","",Swanage!Y44)</f>
        <v/>
      </c>
      <c r="W548" s="201"/>
      <c r="X548" s="182"/>
      <c r="Y548" s="233"/>
      <c r="AA548" s="239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233"/>
    </row>
    <row r="549" spans="2:51" ht="12" customHeight="1" x14ac:dyDescent="0.2">
      <c r="B549" s="266"/>
      <c r="C549" s="263" t="str">
        <f>IF(Swanage!E45="","",Swanage!E45)</f>
        <v/>
      </c>
      <c r="D549" s="259" t="str">
        <f>LEFT($B$511,3)</f>
        <v>Swa</v>
      </c>
      <c r="E549" s="251" t="str">
        <f>IF(Swanage!G45="","",Swanage!G45)</f>
        <v/>
      </c>
      <c r="F549" s="181" t="str">
        <f>IF(Swanage!H45=0,"",Swanage!H45)</f>
        <v/>
      </c>
      <c r="G549" s="181" t="str">
        <f>IF(Swanage!I45=0,"",Swanage!I45)</f>
        <v/>
      </c>
      <c r="H549" s="181" t="str">
        <f>IF(Swanage!J45=0,"",Swanage!J45)</f>
        <v/>
      </c>
      <c r="I549" s="250" t="str">
        <f>IF(Swanage!K45=0,"",Swanage!K45)</f>
        <v/>
      </c>
      <c r="J549" s="163" t="str">
        <f>IF(Swanage!M45="","",Swanage!M45)</f>
        <v/>
      </c>
      <c r="K549" s="41" t="str">
        <f>IF(Swanage!N45="","",Swanage!N45)</f>
        <v/>
      </c>
      <c r="L549" s="41" t="str">
        <f>IF(Swanage!O45="","",Swanage!O45)</f>
        <v/>
      </c>
      <c r="M549" s="41" t="str">
        <f>IF(Swanage!P45="","",Swanage!P45)</f>
        <v/>
      </c>
      <c r="N549" s="41" t="str">
        <f>IF(Swanage!Q45="","",Swanage!Q45)</f>
        <v/>
      </c>
      <c r="O549" s="41" t="str">
        <f>IF(Swanage!R45="","",Swanage!R45)</f>
        <v/>
      </c>
      <c r="P549" s="41" t="str">
        <f>IF(Swanage!S45="","",Swanage!S45)</f>
        <v/>
      </c>
      <c r="Q549" s="41" t="str">
        <f>IF(Swanage!T45="","",Swanage!T45)</f>
        <v/>
      </c>
      <c r="R549" s="41" t="str">
        <f>IF(Swanage!U45="","",Swanage!U45)</f>
        <v/>
      </c>
      <c r="S549" s="41" t="str">
        <f>IF(Swanage!V45="","",Swanage!V45)</f>
        <v/>
      </c>
      <c r="T549" s="41" t="str">
        <f>IF(Swanage!W45="","",Swanage!W45)</f>
        <v/>
      </c>
      <c r="U549" s="41" t="str">
        <f>IF(Swanage!X45="","",Swanage!X45)</f>
        <v/>
      </c>
      <c r="V549" s="41" t="str">
        <f>IF(Swanage!Y45="","",Swanage!Y45)</f>
        <v/>
      </c>
      <c r="W549" s="249" t="str">
        <f>IF(Swanage!AA45=0,"",Swanage!AA45)</f>
        <v/>
      </c>
      <c r="X549" s="244" t="str">
        <f>IF(Swanage!AB45=0,"",Swanage!AB45)</f>
        <v/>
      </c>
      <c r="Y549" s="245" t="str">
        <f>IF(Swanage!AC45=0,"",Swanage!AC45)</f>
        <v/>
      </c>
      <c r="AA549" s="246" t="str">
        <f>Y549</f>
        <v/>
      </c>
      <c r="AB549" s="243" t="str">
        <f>X549</f>
        <v/>
      </c>
      <c r="AC549" s="185" t="str">
        <f>C549</f>
        <v/>
      </c>
      <c r="AD549" s="185" t="str">
        <f>LEFT($B$511,3)</f>
        <v>Swa</v>
      </c>
      <c r="AE549" s="185" t="str">
        <f t="shared" ref="AE549:AY549" si="271">E549</f>
        <v/>
      </c>
      <c r="AF549" s="185" t="str">
        <f t="shared" si="271"/>
        <v/>
      </c>
      <c r="AG549" s="185" t="str">
        <f t="shared" si="271"/>
        <v/>
      </c>
      <c r="AH549" s="185" t="str">
        <f t="shared" si="271"/>
        <v/>
      </c>
      <c r="AI549" s="185" t="str">
        <f t="shared" si="271"/>
        <v/>
      </c>
      <c r="AJ549" s="243" t="str">
        <f t="shared" si="271"/>
        <v/>
      </c>
      <c r="AK549" s="243" t="str">
        <f t="shared" si="271"/>
        <v/>
      </c>
      <c r="AL549" s="243" t="str">
        <f t="shared" si="271"/>
        <v/>
      </c>
      <c r="AM549" s="243" t="str">
        <f t="shared" si="271"/>
        <v/>
      </c>
      <c r="AN549" s="243" t="str">
        <f t="shared" si="271"/>
        <v/>
      </c>
      <c r="AO549" s="243" t="str">
        <f t="shared" si="271"/>
        <v/>
      </c>
      <c r="AP549" s="243" t="str">
        <f t="shared" si="271"/>
        <v/>
      </c>
      <c r="AQ549" s="243" t="str">
        <f t="shared" si="271"/>
        <v/>
      </c>
      <c r="AR549" s="243" t="str">
        <f t="shared" si="271"/>
        <v/>
      </c>
      <c r="AS549" s="243" t="str">
        <f t="shared" si="271"/>
        <v/>
      </c>
      <c r="AT549" s="243" t="str">
        <f t="shared" si="271"/>
        <v/>
      </c>
      <c r="AU549" s="243" t="str">
        <f t="shared" si="271"/>
        <v/>
      </c>
      <c r="AV549" s="243" t="str">
        <f t="shared" si="271"/>
        <v/>
      </c>
      <c r="AW549" s="247" t="str">
        <f t="shared" si="271"/>
        <v/>
      </c>
      <c r="AX549" s="243" t="str">
        <f t="shared" si="271"/>
        <v/>
      </c>
      <c r="AY549" s="248" t="str">
        <f t="shared" si="271"/>
        <v/>
      </c>
    </row>
    <row r="550" spans="2:51" ht="12" customHeight="1" x14ac:dyDescent="0.2">
      <c r="B550" s="266"/>
      <c r="C550" s="235"/>
      <c r="D550" s="235"/>
      <c r="E550" s="239"/>
      <c r="F550" s="182"/>
      <c r="G550" s="182"/>
      <c r="H550" s="182"/>
      <c r="I550" s="233"/>
      <c r="J550" s="163" t="str">
        <f>IF(Swanage!M46="","",Swanage!M46)</f>
        <v/>
      </c>
      <c r="K550" s="41" t="str">
        <f>IF(Swanage!N46="","",Swanage!N46)</f>
        <v/>
      </c>
      <c r="L550" s="41" t="str">
        <f>IF(Swanage!O46="","",Swanage!O46)</f>
        <v/>
      </c>
      <c r="M550" s="41" t="str">
        <f>IF(Swanage!P46="","",Swanage!P46)</f>
        <v/>
      </c>
      <c r="N550" s="41" t="str">
        <f>IF(Swanage!Q46="","",Swanage!Q46)</f>
        <v/>
      </c>
      <c r="O550" s="41" t="str">
        <f>IF(Swanage!R46="","",Swanage!R46)</f>
        <v/>
      </c>
      <c r="P550" s="41" t="str">
        <f>IF(Swanage!S46="","",Swanage!S46)</f>
        <v/>
      </c>
      <c r="Q550" s="41" t="str">
        <f>IF(Swanage!T46="","",Swanage!T46)</f>
        <v/>
      </c>
      <c r="R550" s="41" t="str">
        <f>IF(Swanage!U46="","",Swanage!U46)</f>
        <v/>
      </c>
      <c r="S550" s="41" t="str">
        <f>IF(Swanage!V46="","",Swanage!V46)</f>
        <v/>
      </c>
      <c r="T550" s="41" t="str">
        <f>IF(Swanage!W46="","",Swanage!W46)</f>
        <v/>
      </c>
      <c r="U550" s="41" t="str">
        <f>IF(Swanage!X46="","",Swanage!X46)</f>
        <v/>
      </c>
      <c r="V550" s="41" t="str">
        <f>IF(Swanage!Y46="","",Swanage!Y46)</f>
        <v/>
      </c>
      <c r="W550" s="201"/>
      <c r="X550" s="182"/>
      <c r="Y550" s="233"/>
      <c r="AA550" s="239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233"/>
    </row>
    <row r="551" spans="2:51" ht="12" customHeight="1" x14ac:dyDescent="0.2">
      <c r="B551" s="266"/>
      <c r="C551" s="263" t="str">
        <f>IF(Swanage!E47="","",Swanage!E47)</f>
        <v/>
      </c>
      <c r="D551" s="259" t="str">
        <f>LEFT($B$511,3)</f>
        <v>Swa</v>
      </c>
      <c r="E551" s="251" t="str">
        <f>IF(Swanage!G47="","",Swanage!G47)</f>
        <v/>
      </c>
      <c r="F551" s="181" t="str">
        <f>IF(Swanage!H47=0,"",Swanage!H47)</f>
        <v/>
      </c>
      <c r="G551" s="181" t="str">
        <f>IF(Swanage!I47=0,"",Swanage!I47)</f>
        <v/>
      </c>
      <c r="H551" s="181" t="str">
        <f>IF(Swanage!J47=0,"",Swanage!J47)</f>
        <v/>
      </c>
      <c r="I551" s="250" t="str">
        <f>IF(Swanage!K47=0,"",Swanage!K47)</f>
        <v/>
      </c>
      <c r="J551" s="163" t="str">
        <f>IF(Swanage!M47="","",Swanage!M47)</f>
        <v/>
      </c>
      <c r="K551" s="41" t="str">
        <f>IF(Swanage!N47="","",Swanage!N47)</f>
        <v/>
      </c>
      <c r="L551" s="41" t="str">
        <f>IF(Swanage!O47="","",Swanage!O47)</f>
        <v/>
      </c>
      <c r="M551" s="41" t="str">
        <f>IF(Swanage!P47="","",Swanage!P47)</f>
        <v/>
      </c>
      <c r="N551" s="41" t="str">
        <f>IF(Swanage!Q47="","",Swanage!Q47)</f>
        <v/>
      </c>
      <c r="O551" s="41" t="str">
        <f>IF(Swanage!R47="","",Swanage!R47)</f>
        <v/>
      </c>
      <c r="P551" s="41" t="str">
        <f>IF(Swanage!S47="","",Swanage!S47)</f>
        <v/>
      </c>
      <c r="Q551" s="41" t="str">
        <f>IF(Swanage!T47="","",Swanage!T47)</f>
        <v/>
      </c>
      <c r="R551" s="41" t="str">
        <f>IF(Swanage!U47="","",Swanage!U47)</f>
        <v/>
      </c>
      <c r="S551" s="41" t="str">
        <f>IF(Swanage!V47="","",Swanage!V47)</f>
        <v/>
      </c>
      <c r="T551" s="41" t="str">
        <f>IF(Swanage!W47="","",Swanage!W47)</f>
        <v/>
      </c>
      <c r="U551" s="41" t="str">
        <f>IF(Swanage!X47="","",Swanage!X47)</f>
        <v/>
      </c>
      <c r="V551" s="41" t="str">
        <f>IF(Swanage!Y47="","",Swanage!Y47)</f>
        <v/>
      </c>
      <c r="W551" s="249" t="str">
        <f>IF(Swanage!AA47=0,"",Swanage!AA47)</f>
        <v/>
      </c>
      <c r="X551" s="244" t="str">
        <f>IF(Swanage!AB47=0,"",Swanage!AB47)</f>
        <v/>
      </c>
      <c r="Y551" s="245" t="str">
        <f>IF(Swanage!AC47=0,"",Swanage!AC47)</f>
        <v/>
      </c>
      <c r="AA551" s="246" t="str">
        <f>Y551</f>
        <v/>
      </c>
      <c r="AB551" s="243" t="str">
        <f>X551</f>
        <v/>
      </c>
      <c r="AC551" s="185" t="str">
        <f>C551</f>
        <v/>
      </c>
      <c r="AD551" s="185" t="str">
        <f>LEFT($B$511,3)</f>
        <v>Swa</v>
      </c>
      <c r="AE551" s="185" t="str">
        <f t="shared" ref="AE551:AY551" si="272">E551</f>
        <v/>
      </c>
      <c r="AF551" s="185" t="str">
        <f t="shared" si="272"/>
        <v/>
      </c>
      <c r="AG551" s="185" t="str">
        <f t="shared" si="272"/>
        <v/>
      </c>
      <c r="AH551" s="185" t="str">
        <f t="shared" si="272"/>
        <v/>
      </c>
      <c r="AI551" s="185" t="str">
        <f t="shared" si="272"/>
        <v/>
      </c>
      <c r="AJ551" s="243" t="str">
        <f t="shared" si="272"/>
        <v/>
      </c>
      <c r="AK551" s="243" t="str">
        <f t="shared" si="272"/>
        <v/>
      </c>
      <c r="AL551" s="243" t="str">
        <f t="shared" si="272"/>
        <v/>
      </c>
      <c r="AM551" s="243" t="str">
        <f t="shared" si="272"/>
        <v/>
      </c>
      <c r="AN551" s="243" t="str">
        <f t="shared" si="272"/>
        <v/>
      </c>
      <c r="AO551" s="243" t="str">
        <f t="shared" si="272"/>
        <v/>
      </c>
      <c r="AP551" s="243" t="str">
        <f t="shared" si="272"/>
        <v/>
      </c>
      <c r="AQ551" s="243" t="str">
        <f t="shared" si="272"/>
        <v/>
      </c>
      <c r="AR551" s="243" t="str">
        <f t="shared" si="272"/>
        <v/>
      </c>
      <c r="AS551" s="243" t="str">
        <f t="shared" si="272"/>
        <v/>
      </c>
      <c r="AT551" s="243" t="str">
        <f t="shared" si="272"/>
        <v/>
      </c>
      <c r="AU551" s="243" t="str">
        <f t="shared" si="272"/>
        <v/>
      </c>
      <c r="AV551" s="243" t="str">
        <f t="shared" si="272"/>
        <v/>
      </c>
      <c r="AW551" s="247" t="str">
        <f t="shared" si="272"/>
        <v/>
      </c>
      <c r="AX551" s="243" t="str">
        <f t="shared" si="272"/>
        <v/>
      </c>
      <c r="AY551" s="248" t="str">
        <f t="shared" si="272"/>
        <v/>
      </c>
    </row>
    <row r="552" spans="2:51" ht="12.75" customHeight="1" x14ac:dyDescent="0.2">
      <c r="B552" s="211"/>
      <c r="C552" s="211"/>
      <c r="D552" s="211"/>
      <c r="E552" s="223"/>
      <c r="F552" s="225"/>
      <c r="G552" s="225"/>
      <c r="H552" s="225"/>
      <c r="I552" s="228"/>
      <c r="J552" s="164" t="str">
        <f>IF(Swanage!M48="","",Swanage!M48)</f>
        <v/>
      </c>
      <c r="K552" s="165" t="str">
        <f>IF(Swanage!N48="","",Swanage!N48)</f>
        <v/>
      </c>
      <c r="L552" s="165" t="str">
        <f>IF(Swanage!O48="","",Swanage!O48)</f>
        <v/>
      </c>
      <c r="M552" s="165" t="str">
        <f>IF(Swanage!P48="","",Swanage!P48)</f>
        <v/>
      </c>
      <c r="N552" s="165" t="str">
        <f>IF(Swanage!Q48="","",Swanage!Q48)</f>
        <v/>
      </c>
      <c r="O552" s="165" t="str">
        <f>IF(Swanage!R48="","",Swanage!R48)</f>
        <v/>
      </c>
      <c r="P552" s="165" t="str">
        <f>IF(Swanage!S48="","",Swanage!S48)</f>
        <v/>
      </c>
      <c r="Q552" s="165" t="str">
        <f>IF(Swanage!T48="","",Swanage!T48)</f>
        <v/>
      </c>
      <c r="R552" s="165" t="str">
        <f>IF(Swanage!U48="","",Swanage!U48)</f>
        <v/>
      </c>
      <c r="S552" s="165" t="str">
        <f>IF(Swanage!V48="","",Swanage!V48)</f>
        <v/>
      </c>
      <c r="T552" s="165" t="str">
        <f>IF(Swanage!W48="","",Swanage!W48)</f>
        <v/>
      </c>
      <c r="U552" s="165" t="str">
        <f>IF(Swanage!X48="","",Swanage!X48)</f>
        <v/>
      </c>
      <c r="V552" s="165" t="str">
        <f>IF(Swanage!Y48="","",Swanage!Y48)</f>
        <v/>
      </c>
      <c r="W552" s="261"/>
      <c r="X552" s="225"/>
      <c r="Y552" s="228"/>
      <c r="AA552" s="239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233"/>
    </row>
    <row r="553" spans="2:51" ht="13.5" customHeight="1" x14ac:dyDescent="0.2">
      <c r="B553" s="265" t="s">
        <v>17</v>
      </c>
      <c r="C553" s="264" t="str">
        <f>IF(Weymouth!E7="","",Weymouth!E7)</f>
        <v>Ryan Gowans</v>
      </c>
      <c r="D553" s="260" t="str">
        <f>LEFT($B$553,3)</f>
        <v>Wey</v>
      </c>
      <c r="E553" s="256">
        <f>IF(Weymouth!G7="","",Weymouth!G7)</f>
        <v>10</v>
      </c>
      <c r="F553" s="257">
        <f>IF(Weymouth!H7=0,"",Weymouth!H7)</f>
        <v>8</v>
      </c>
      <c r="G553" s="253">
        <f>IF(Weymouth!I7=0,"",Weymouth!I7)</f>
        <v>2</v>
      </c>
      <c r="H553" s="253">
        <f>IF(Weymouth!J7=0,"",Weymouth!J7)</f>
        <v>35</v>
      </c>
      <c r="I553" s="258">
        <f>IF(Weymouth!K7=0,"",Weymouth!K7)</f>
        <v>16</v>
      </c>
      <c r="J553" s="161">
        <f>IF(Weymouth!M7="","",Weymouth!M7)</f>
        <v>23.01</v>
      </c>
      <c r="K553" s="161">
        <f>IF(Weymouth!N7="","",Weymouth!N7)</f>
        <v>23.7</v>
      </c>
      <c r="L553" s="161">
        <f>IF(Weymouth!O7="","",Weymouth!O7)</f>
        <v>20.53</v>
      </c>
      <c r="M553" s="161">
        <f>IF(Weymouth!P7="","",Weymouth!P7)</f>
        <v>20.04</v>
      </c>
      <c r="N553" s="161">
        <f>IF(Weymouth!Q7="","",Weymouth!Q7)</f>
        <v>25.99</v>
      </c>
      <c r="O553" s="161" t="str">
        <f>IF(Weymouth!R7="","",Weymouth!R7)</f>
        <v/>
      </c>
      <c r="P553" s="161">
        <f>IF(Weymouth!S7="","",Weymouth!S7)</f>
        <v>25.2</v>
      </c>
      <c r="Q553" s="161">
        <f>IF(Weymouth!T7="","",Weymouth!T7)</f>
        <v>19.68</v>
      </c>
      <c r="R553" s="161" t="str">
        <f>IF(Weymouth!U7="","",Weymouth!U7)</f>
        <v/>
      </c>
      <c r="S553" s="161" t="str">
        <f>IF(Weymouth!V7="","",Weymouth!V7)</f>
        <v/>
      </c>
      <c r="T553" s="161">
        <f>IF(Weymouth!W7="","",Weymouth!W7)</f>
        <v>25.37</v>
      </c>
      <c r="U553" s="161">
        <f>IF(Weymouth!X7="","",Weymouth!X7)</f>
        <v>24.74</v>
      </c>
      <c r="V553" s="161">
        <f>IF(Weymouth!Y7="","",Weymouth!Y7)</f>
        <v>21.55</v>
      </c>
      <c r="W553" s="253">
        <f>IF(Weymouth!AA7=0,"",Weymouth!AA7)</f>
        <v>6</v>
      </c>
      <c r="X553" s="254">
        <f>IF(Weymouth!AB7=0,"",Weymouth!AB7)</f>
        <v>22.981000000000002</v>
      </c>
      <c r="Y553" s="255">
        <f>IF(Weymouth!AC7=0,"",Weymouth!AC7)</f>
        <v>30.981000000000002</v>
      </c>
      <c r="AA553" s="246">
        <f>Y553</f>
        <v>30.981000000000002</v>
      </c>
      <c r="AB553" s="243">
        <f>X553</f>
        <v>22.981000000000002</v>
      </c>
      <c r="AC553" s="185" t="str">
        <f>C553</f>
        <v>Ryan Gowans</v>
      </c>
      <c r="AD553" s="185" t="str">
        <f>LEFT($B$553,3)</f>
        <v>Wey</v>
      </c>
      <c r="AE553" s="185">
        <f t="shared" ref="AE553:AY553" si="273">E553</f>
        <v>10</v>
      </c>
      <c r="AF553" s="185">
        <f t="shared" si="273"/>
        <v>8</v>
      </c>
      <c r="AG553" s="247">
        <f t="shared" si="273"/>
        <v>2</v>
      </c>
      <c r="AH553" s="247">
        <f t="shared" si="273"/>
        <v>35</v>
      </c>
      <c r="AI553" s="247">
        <f t="shared" si="273"/>
        <v>16</v>
      </c>
      <c r="AJ553" s="243">
        <f t="shared" si="273"/>
        <v>23.01</v>
      </c>
      <c r="AK553" s="243">
        <f t="shared" si="273"/>
        <v>23.7</v>
      </c>
      <c r="AL553" s="243">
        <f t="shared" si="273"/>
        <v>20.53</v>
      </c>
      <c r="AM553" s="243">
        <f t="shared" si="273"/>
        <v>20.04</v>
      </c>
      <c r="AN553" s="243">
        <f t="shared" si="273"/>
        <v>25.99</v>
      </c>
      <c r="AO553" s="243" t="str">
        <f t="shared" si="273"/>
        <v/>
      </c>
      <c r="AP553" s="243">
        <f t="shared" si="273"/>
        <v>25.2</v>
      </c>
      <c r="AQ553" s="243">
        <f t="shared" si="273"/>
        <v>19.68</v>
      </c>
      <c r="AR553" s="243" t="str">
        <f t="shared" si="273"/>
        <v/>
      </c>
      <c r="AS553" s="243" t="str">
        <f t="shared" si="273"/>
        <v/>
      </c>
      <c r="AT553" s="243">
        <f t="shared" si="273"/>
        <v>25.37</v>
      </c>
      <c r="AU553" s="243">
        <f t="shared" si="273"/>
        <v>24.74</v>
      </c>
      <c r="AV553" s="243">
        <f t="shared" si="273"/>
        <v>21.55</v>
      </c>
      <c r="AW553" s="247">
        <f t="shared" si="273"/>
        <v>6</v>
      </c>
      <c r="AX553" s="243">
        <f t="shared" si="273"/>
        <v>22.981000000000002</v>
      </c>
      <c r="AY553" s="248">
        <f t="shared" si="273"/>
        <v>30.981000000000002</v>
      </c>
    </row>
    <row r="554" spans="2:51" ht="12" customHeight="1" x14ac:dyDescent="0.2">
      <c r="B554" s="266"/>
      <c r="C554" s="235"/>
      <c r="D554" s="235"/>
      <c r="E554" s="239"/>
      <c r="F554" s="182"/>
      <c r="G554" s="182"/>
      <c r="H554" s="182"/>
      <c r="I554" s="233"/>
      <c r="J554" s="163" t="str">
        <f>IF(Weymouth!M8="","",Weymouth!M8)</f>
        <v>4*3(1)</v>
      </c>
      <c r="K554" s="163" t="str">
        <f>IF(Weymouth!N8="","",Weymouth!N8)</f>
        <v>1*4</v>
      </c>
      <c r="L554" s="163" t="str">
        <f>IF(Weymouth!O8="","",Weymouth!O8)</f>
        <v>4*3</v>
      </c>
      <c r="M554" s="163" t="str">
        <f>IF(Weymouth!P8="","",Weymouth!P8)</f>
        <v>4*0</v>
      </c>
      <c r="N554" s="163" t="str">
        <f>IF(Weymouth!Q8="","",Weymouth!Q8)</f>
        <v>4*1</v>
      </c>
      <c r="O554" s="163" t="str">
        <f>IF(Weymouth!R8="","",Weymouth!R8)</f>
        <v/>
      </c>
      <c r="P554" s="163" t="str">
        <f>IF(Weymouth!S8="","",Weymouth!S8)</f>
        <v>2*4(1)</v>
      </c>
      <c r="Q554" s="163" t="str">
        <f>IF(Weymouth!T8="","",Weymouth!T8)</f>
        <v>4*1</v>
      </c>
      <c r="R554" s="163" t="str">
        <f>IF(Weymouth!U8="","",Weymouth!U8)</f>
        <v/>
      </c>
      <c r="S554" s="163" t="str">
        <f>IF(Weymouth!V8="","",Weymouth!V8)</f>
        <v/>
      </c>
      <c r="T554" s="163" t="str">
        <f>IF(Weymouth!W8="","",Weymouth!W8)</f>
        <v>4*0(1)</v>
      </c>
      <c r="U554" s="163" t="str">
        <f>IF(Weymouth!X8="","",Weymouth!X8)</f>
        <v>4*0(3)</v>
      </c>
      <c r="V554" s="163" t="str">
        <f>IF(Weymouth!Y8="","",Weymouth!Y8)</f>
        <v>4*0</v>
      </c>
      <c r="W554" s="182"/>
      <c r="X554" s="182"/>
      <c r="Y554" s="233"/>
      <c r="AA554" s="239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233"/>
    </row>
    <row r="555" spans="2:51" ht="12" customHeight="1" x14ac:dyDescent="0.2">
      <c r="B555" s="266"/>
      <c r="C555" s="263" t="str">
        <f>IF(Weymouth!E9="","",Weymouth!E9)</f>
        <v>Paul Farwell</v>
      </c>
      <c r="D555" s="259" t="str">
        <f>LEFT($B$553,3)</f>
        <v>Wey</v>
      </c>
      <c r="E555" s="251">
        <f>IF(Weymouth!G9="","",Weymouth!G9)</f>
        <v>10</v>
      </c>
      <c r="F555" s="181" t="str">
        <f>IF(Weymouth!H9=0,"",Weymouth!H9)</f>
        <v/>
      </c>
      <c r="G555" s="186">
        <f>IF(Weymouth!I9=0,"",Weymouth!I9)</f>
        <v>10</v>
      </c>
      <c r="H555" s="186">
        <f>IF(Weymouth!J9=0,"",Weymouth!J9)</f>
        <v>10</v>
      </c>
      <c r="I555" s="252">
        <f>IF(Weymouth!K9=0,"",Weymouth!K9)</f>
        <v>40</v>
      </c>
      <c r="J555" s="163">
        <f>IF(Weymouth!M9="","",Weymouth!M9)</f>
        <v>17.55</v>
      </c>
      <c r="K555" s="163">
        <f>IF(Weymouth!N9="","",Weymouth!N9)</f>
        <v>17.66</v>
      </c>
      <c r="L555" s="163">
        <f>IF(Weymouth!O9="","",Weymouth!O9)</f>
        <v>16.95</v>
      </c>
      <c r="M555" s="163">
        <f>IF(Weymouth!P9="","",Weymouth!P9)</f>
        <v>14.85</v>
      </c>
      <c r="N555" s="163">
        <f>IF(Weymouth!Q9="","",Weymouth!Q9)</f>
        <v>20.76</v>
      </c>
      <c r="O555" s="163">
        <f>IF(Weymouth!R9="","",Weymouth!R9)</f>
        <v>14.75</v>
      </c>
      <c r="P555" s="163" t="str">
        <f>IF(Weymouth!S9="","",Weymouth!S9)</f>
        <v/>
      </c>
      <c r="Q555" s="163">
        <f>IF(Weymouth!T9="","",Weymouth!T9)</f>
        <v>19.38</v>
      </c>
      <c r="R555" s="163">
        <f>IF(Weymouth!U9="","",Weymouth!U9)</f>
        <v>18.600000000000001</v>
      </c>
      <c r="S555" s="163">
        <f>IF(Weymouth!V9="","",Weymouth!V9)</f>
        <v>16.649999999999999</v>
      </c>
      <c r="T555" s="163">
        <f>IF(Weymouth!W9="","",Weymouth!W9)</f>
        <v>14.89</v>
      </c>
      <c r="U555" s="163" t="str">
        <f>IF(Weymouth!X9="","",Weymouth!X9)</f>
        <v/>
      </c>
      <c r="V555" s="163" t="str">
        <f>IF(Weymouth!Y9="","",Weymouth!Y9)</f>
        <v/>
      </c>
      <c r="W555" s="186" t="str">
        <f>IF(Weymouth!AA9=0,"",Weymouth!AA9)</f>
        <v/>
      </c>
      <c r="X555" s="244">
        <f>IF(Weymouth!AB9=0,"",Weymouth!AB9)</f>
        <v>17.204000000000001</v>
      </c>
      <c r="Y555" s="245">
        <f>IF(Weymouth!AC9=0,"",Weymouth!AC9)</f>
        <v>17.204000000000001</v>
      </c>
      <c r="AA555" s="246">
        <f>Y555</f>
        <v>17.204000000000001</v>
      </c>
      <c r="AB555" s="243">
        <f>X555</f>
        <v>17.204000000000001</v>
      </c>
      <c r="AC555" s="185" t="str">
        <f>C555</f>
        <v>Paul Farwell</v>
      </c>
      <c r="AD555" s="185" t="str">
        <f>LEFT($B$553,3)</f>
        <v>Wey</v>
      </c>
      <c r="AE555" s="185">
        <f t="shared" ref="AE555:AY555" si="274">E555</f>
        <v>10</v>
      </c>
      <c r="AF555" s="185" t="str">
        <f t="shared" si="274"/>
        <v/>
      </c>
      <c r="AG555" s="247">
        <f t="shared" si="274"/>
        <v>10</v>
      </c>
      <c r="AH555" s="247">
        <f t="shared" si="274"/>
        <v>10</v>
      </c>
      <c r="AI555" s="247">
        <f t="shared" si="274"/>
        <v>40</v>
      </c>
      <c r="AJ555" s="243">
        <f t="shared" si="274"/>
        <v>17.55</v>
      </c>
      <c r="AK555" s="243">
        <f t="shared" si="274"/>
        <v>17.66</v>
      </c>
      <c r="AL555" s="243">
        <f t="shared" si="274"/>
        <v>16.95</v>
      </c>
      <c r="AM555" s="243">
        <f t="shared" si="274"/>
        <v>14.85</v>
      </c>
      <c r="AN555" s="243">
        <f t="shared" si="274"/>
        <v>20.76</v>
      </c>
      <c r="AO555" s="243">
        <f t="shared" si="274"/>
        <v>14.75</v>
      </c>
      <c r="AP555" s="243" t="str">
        <f t="shared" si="274"/>
        <v/>
      </c>
      <c r="AQ555" s="243">
        <f t="shared" si="274"/>
        <v>19.38</v>
      </c>
      <c r="AR555" s="243">
        <f t="shared" si="274"/>
        <v>18.600000000000001</v>
      </c>
      <c r="AS555" s="243">
        <f t="shared" si="274"/>
        <v>16.649999999999999</v>
      </c>
      <c r="AT555" s="243">
        <f t="shared" si="274"/>
        <v>14.89</v>
      </c>
      <c r="AU555" s="243" t="str">
        <f t="shared" si="274"/>
        <v/>
      </c>
      <c r="AV555" s="243" t="str">
        <f t="shared" si="274"/>
        <v/>
      </c>
      <c r="AW555" s="247" t="str">
        <f t="shared" si="274"/>
        <v/>
      </c>
      <c r="AX555" s="243">
        <f t="shared" si="274"/>
        <v>17.204000000000001</v>
      </c>
      <c r="AY555" s="248">
        <f t="shared" si="274"/>
        <v>17.204000000000001</v>
      </c>
    </row>
    <row r="556" spans="2:51" ht="12" customHeight="1" x14ac:dyDescent="0.2">
      <c r="B556" s="266"/>
      <c r="C556" s="235"/>
      <c r="D556" s="235"/>
      <c r="E556" s="239"/>
      <c r="F556" s="182"/>
      <c r="G556" s="182"/>
      <c r="H556" s="182"/>
      <c r="I556" s="233"/>
      <c r="J556" s="163" t="str">
        <f>IF(Weymouth!M10="","",Weymouth!M10)</f>
        <v>3*4</v>
      </c>
      <c r="K556" s="163" t="str">
        <f>IF(Weymouth!N10="","",Weymouth!N10)</f>
        <v>2*4</v>
      </c>
      <c r="L556" s="163" t="str">
        <f>IF(Weymouth!O10="","",Weymouth!O10)</f>
        <v>1*4</v>
      </c>
      <c r="M556" s="163" t="str">
        <f>IF(Weymouth!P10="","",Weymouth!P10)</f>
        <v>1*4</v>
      </c>
      <c r="N556" s="163" t="str">
        <f>IF(Weymouth!Q10="","",Weymouth!Q10)</f>
        <v>0*4</v>
      </c>
      <c r="O556" s="163" t="str">
        <f>IF(Weymouth!R10="","",Weymouth!R10)</f>
        <v>0*4</v>
      </c>
      <c r="P556" s="163" t="str">
        <f>IF(Weymouth!S10="","",Weymouth!S10)</f>
        <v/>
      </c>
      <c r="Q556" s="163" t="str">
        <f>IF(Weymouth!T10="","",Weymouth!T10)</f>
        <v>2*4</v>
      </c>
      <c r="R556" s="163" t="str">
        <f>IF(Weymouth!U10="","",Weymouth!U10)</f>
        <v>1*4</v>
      </c>
      <c r="S556" s="163" t="str">
        <f>IF(Weymouth!V10="","",Weymouth!V10)</f>
        <v>0*4</v>
      </c>
      <c r="T556" s="163" t="str">
        <f>IF(Weymouth!W10="","",Weymouth!W10)</f>
        <v>0*4</v>
      </c>
      <c r="U556" s="163" t="str">
        <f>IF(Weymouth!X10="","",Weymouth!X10)</f>
        <v/>
      </c>
      <c r="V556" s="163" t="str">
        <f>IF(Weymouth!Y10="","",Weymouth!Y10)</f>
        <v/>
      </c>
      <c r="W556" s="182"/>
      <c r="X556" s="182"/>
      <c r="Y556" s="233"/>
      <c r="AA556" s="239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233"/>
    </row>
    <row r="557" spans="2:51" ht="12" customHeight="1" x14ac:dyDescent="0.2">
      <c r="B557" s="266"/>
      <c r="C557" s="263" t="str">
        <f>IF(Weymouth!E11="","",Weymouth!E11)</f>
        <v>Ray Atree</v>
      </c>
      <c r="D557" s="259" t="str">
        <f>LEFT($B$553,3)</f>
        <v>Wey</v>
      </c>
      <c r="E557" s="251">
        <f>IF(Weymouth!G11="","",Weymouth!G11)</f>
        <v>9</v>
      </c>
      <c r="F557" s="181">
        <f>IF(Weymouth!H11=0,"",Weymouth!H11)</f>
        <v>3</v>
      </c>
      <c r="G557" s="186">
        <f>IF(Weymouth!I11=0,"",Weymouth!I11)</f>
        <v>6</v>
      </c>
      <c r="H557" s="186">
        <f>IF(Weymouth!J11=0,"",Weymouth!J11)</f>
        <v>23</v>
      </c>
      <c r="I557" s="252">
        <f>IF(Weymouth!K11=0,"",Weymouth!K11)</f>
        <v>28</v>
      </c>
      <c r="J557" s="163">
        <f>IF(Weymouth!M11="","",Weymouth!M11)</f>
        <v>20.04</v>
      </c>
      <c r="K557" s="163">
        <f>IF(Weymouth!N11="","",Weymouth!N11)</f>
        <v>20.57</v>
      </c>
      <c r="L557" s="163">
        <f>IF(Weymouth!O11="","",Weymouth!O11)</f>
        <v>19.420000000000002</v>
      </c>
      <c r="M557" s="163" t="str">
        <f>IF(Weymouth!P11="","",Weymouth!P11)</f>
        <v/>
      </c>
      <c r="N557" s="163" t="str">
        <f>IF(Weymouth!Q11="","",Weymouth!Q11)</f>
        <v/>
      </c>
      <c r="O557" s="163">
        <f>IF(Weymouth!R11="","",Weymouth!R11)</f>
        <v>21.43</v>
      </c>
      <c r="P557" s="163">
        <f>IF(Weymouth!S11="","",Weymouth!S11)</f>
        <v>21.11</v>
      </c>
      <c r="Q557" s="163" t="str">
        <f>IF(Weymouth!T11="","",Weymouth!T11)</f>
        <v/>
      </c>
      <c r="R557" s="163">
        <f>IF(Weymouth!U11="","",Weymouth!U11)</f>
        <v>20.78</v>
      </c>
      <c r="S557" s="163">
        <f>IF(Weymouth!V11="","",Weymouth!V11)</f>
        <v>18.34</v>
      </c>
      <c r="T557" s="163" t="str">
        <f>IF(Weymouth!W11="","",Weymouth!W11)</f>
        <v/>
      </c>
      <c r="U557" s="163">
        <f>IF(Weymouth!X11="","",Weymouth!X11)</f>
        <v>22.85</v>
      </c>
      <c r="V557" s="163">
        <f>IF(Weymouth!Y11="","",Weymouth!Y11)</f>
        <v>16.57</v>
      </c>
      <c r="W557" s="186">
        <f>IF(Weymouth!AA11=0,"",Weymouth!AA11)</f>
        <v>7</v>
      </c>
      <c r="X557" s="244">
        <f>IF(Weymouth!AB11=0,"",Weymouth!AB11)</f>
        <v>20.123333333333331</v>
      </c>
      <c r="Y557" s="245">
        <f>IF(Weymouth!AC11=0,"",Weymouth!AC11)</f>
        <v>23.123333333333331</v>
      </c>
      <c r="AA557" s="246">
        <f>Y557</f>
        <v>23.123333333333331</v>
      </c>
      <c r="AB557" s="243">
        <f>X557</f>
        <v>20.123333333333331</v>
      </c>
      <c r="AC557" s="185" t="str">
        <f>C557</f>
        <v>Ray Atree</v>
      </c>
      <c r="AD557" s="185" t="str">
        <f>LEFT($B$553,3)</f>
        <v>Wey</v>
      </c>
      <c r="AE557" s="185">
        <f t="shared" ref="AE557:AY557" si="275">E557</f>
        <v>9</v>
      </c>
      <c r="AF557" s="185">
        <f t="shared" si="275"/>
        <v>3</v>
      </c>
      <c r="AG557" s="247">
        <f t="shared" si="275"/>
        <v>6</v>
      </c>
      <c r="AH557" s="247">
        <f t="shared" si="275"/>
        <v>23</v>
      </c>
      <c r="AI557" s="247">
        <f t="shared" si="275"/>
        <v>28</v>
      </c>
      <c r="AJ557" s="243">
        <f t="shared" si="275"/>
        <v>20.04</v>
      </c>
      <c r="AK557" s="243">
        <f t="shared" si="275"/>
        <v>20.57</v>
      </c>
      <c r="AL557" s="243">
        <f t="shared" si="275"/>
        <v>19.420000000000002</v>
      </c>
      <c r="AM557" s="243" t="str">
        <f t="shared" si="275"/>
        <v/>
      </c>
      <c r="AN557" s="243" t="str">
        <f t="shared" si="275"/>
        <v/>
      </c>
      <c r="AO557" s="243">
        <f t="shared" si="275"/>
        <v>21.43</v>
      </c>
      <c r="AP557" s="243">
        <f t="shared" si="275"/>
        <v>21.11</v>
      </c>
      <c r="AQ557" s="243" t="str">
        <f t="shared" si="275"/>
        <v/>
      </c>
      <c r="AR557" s="243">
        <f t="shared" si="275"/>
        <v>20.78</v>
      </c>
      <c r="AS557" s="243">
        <f t="shared" si="275"/>
        <v>18.34</v>
      </c>
      <c r="AT557" s="243" t="str">
        <f t="shared" si="275"/>
        <v/>
      </c>
      <c r="AU557" s="243">
        <f t="shared" si="275"/>
        <v>22.85</v>
      </c>
      <c r="AV557" s="243">
        <f t="shared" si="275"/>
        <v>16.57</v>
      </c>
      <c r="AW557" s="247">
        <f t="shared" si="275"/>
        <v>7</v>
      </c>
      <c r="AX557" s="243">
        <f t="shared" si="275"/>
        <v>20.123333333333331</v>
      </c>
      <c r="AY557" s="248">
        <f t="shared" si="275"/>
        <v>23.123333333333331</v>
      </c>
    </row>
    <row r="558" spans="2:51" ht="12" customHeight="1" x14ac:dyDescent="0.2">
      <c r="B558" s="266"/>
      <c r="C558" s="235"/>
      <c r="D558" s="235"/>
      <c r="E558" s="239"/>
      <c r="F558" s="182"/>
      <c r="G558" s="182"/>
      <c r="H558" s="182"/>
      <c r="I558" s="233"/>
      <c r="J558" s="163" t="str">
        <f>IF(Weymouth!M12="","",Weymouth!M12)</f>
        <v>4*0(1)</v>
      </c>
      <c r="K558" s="163" t="str">
        <f>IF(Weymouth!N12="","",Weymouth!N12)</f>
        <v>4*2</v>
      </c>
      <c r="L558" s="163" t="str">
        <f>IF(Weymouth!O12="","",Weymouth!O12)</f>
        <v>3*4</v>
      </c>
      <c r="M558" s="163" t="str">
        <f>IF(Weymouth!P12="","",Weymouth!P12)</f>
        <v/>
      </c>
      <c r="N558" s="163" t="str">
        <f>IF(Weymouth!Q12="","",Weymouth!Q12)</f>
        <v/>
      </c>
      <c r="O558" s="163" t="str">
        <f>IF(Weymouth!R12="","",Weymouth!R12)</f>
        <v>0*4(1)</v>
      </c>
      <c r="P558" s="163" t="str">
        <f>IF(Weymouth!S12="","",Weymouth!S12)</f>
        <v>3*4(1)</v>
      </c>
      <c r="Q558" s="163" t="str">
        <f>IF(Weymouth!T12="","",Weymouth!T12)</f>
        <v/>
      </c>
      <c r="R558" s="163" t="str">
        <f>IF(Weymouth!U12="","",Weymouth!U12)</f>
        <v>2*4(2)</v>
      </c>
      <c r="S558" s="163" t="str">
        <f>IF(Weymouth!V12="","",Weymouth!V12)</f>
        <v>4*2</v>
      </c>
      <c r="T558" s="163" t="str">
        <f>IF(Weymouth!W12="","",Weymouth!W12)</f>
        <v/>
      </c>
      <c r="U558" s="163" t="str">
        <f>IF(Weymouth!X12="","",Weymouth!X12)</f>
        <v>2*4(1)</v>
      </c>
      <c r="V558" s="163" t="str">
        <f>IF(Weymouth!Y12="","",Weymouth!Y12)</f>
        <v>1*4(1)</v>
      </c>
      <c r="W558" s="182"/>
      <c r="X558" s="182"/>
      <c r="Y558" s="233"/>
      <c r="AA558" s="239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233"/>
    </row>
    <row r="559" spans="2:51" ht="12" customHeight="1" x14ac:dyDescent="0.2">
      <c r="B559" s="266"/>
      <c r="C559" s="263" t="str">
        <f>IF(Weymouth!E13="","",Weymouth!E13)</f>
        <v>Mark Farwell</v>
      </c>
      <c r="D559" s="259" t="str">
        <f>LEFT($B$553,3)</f>
        <v>Wey</v>
      </c>
      <c r="E559" s="251" t="str">
        <f>IF(Weymouth!G13="","",Weymouth!G13)</f>
        <v/>
      </c>
      <c r="F559" s="181" t="str">
        <f>IF(Weymouth!H13=0,"",Weymouth!H13)</f>
        <v/>
      </c>
      <c r="G559" s="181" t="str">
        <f>IF(Weymouth!I13=0,"",Weymouth!I13)</f>
        <v/>
      </c>
      <c r="H559" s="181" t="str">
        <f>IF(Weymouth!J13=0,"",Weymouth!J13)</f>
        <v/>
      </c>
      <c r="I559" s="250" t="str">
        <f>IF(Weymouth!K13=0,"",Weymouth!K13)</f>
        <v/>
      </c>
      <c r="J559" s="163" t="str">
        <f>IF(Weymouth!M13="","",Weymouth!M13)</f>
        <v/>
      </c>
      <c r="K559" s="163" t="str">
        <f>IF(Weymouth!N13="","",Weymouth!N13)</f>
        <v/>
      </c>
      <c r="L559" s="163" t="str">
        <f>IF(Weymouth!O13="","",Weymouth!O13)</f>
        <v/>
      </c>
      <c r="M559" s="163" t="str">
        <f>IF(Weymouth!P13="","",Weymouth!P13)</f>
        <v/>
      </c>
      <c r="N559" s="163" t="str">
        <f>IF(Weymouth!Q13="","",Weymouth!Q13)</f>
        <v/>
      </c>
      <c r="O559" s="163" t="str">
        <f>IF(Weymouth!R13="","",Weymouth!R13)</f>
        <v/>
      </c>
      <c r="P559" s="163" t="str">
        <f>IF(Weymouth!S13="","",Weymouth!S13)</f>
        <v/>
      </c>
      <c r="Q559" s="163" t="str">
        <f>IF(Weymouth!T13="","",Weymouth!T13)</f>
        <v/>
      </c>
      <c r="R559" s="163" t="str">
        <f>IF(Weymouth!U13="","",Weymouth!U13)</f>
        <v/>
      </c>
      <c r="S559" s="163" t="str">
        <f>IF(Weymouth!V13="","",Weymouth!V13)</f>
        <v/>
      </c>
      <c r="T559" s="163" t="str">
        <f>IF(Weymouth!W13="","",Weymouth!W13)</f>
        <v/>
      </c>
      <c r="U559" s="163" t="str">
        <f>IF(Weymouth!X13="","",Weymouth!X13)</f>
        <v/>
      </c>
      <c r="V559" s="163" t="str">
        <f>IF(Weymouth!Y13="","",Weymouth!Y13)</f>
        <v/>
      </c>
      <c r="W559" s="186" t="str">
        <f>IF(Weymouth!AA13=0,"",Weymouth!AA13)</f>
        <v/>
      </c>
      <c r="X559" s="244" t="str">
        <f>IF(Weymouth!AB13=0,"",Weymouth!AB13)</f>
        <v/>
      </c>
      <c r="Y559" s="245" t="str">
        <f>IF(Weymouth!AC13=0,"",Weymouth!AC13)</f>
        <v/>
      </c>
      <c r="AA559" s="246" t="str">
        <f>Y559</f>
        <v/>
      </c>
      <c r="AB559" s="243" t="str">
        <f>X559</f>
        <v/>
      </c>
      <c r="AC559" s="185" t="str">
        <f>C559</f>
        <v>Mark Farwell</v>
      </c>
      <c r="AD559" s="185" t="str">
        <f>LEFT($B$553,3)</f>
        <v>Wey</v>
      </c>
      <c r="AE559" s="185" t="str">
        <f t="shared" ref="AE559:AY559" si="276">E559</f>
        <v/>
      </c>
      <c r="AF559" s="185" t="str">
        <f t="shared" si="276"/>
        <v/>
      </c>
      <c r="AG559" s="185" t="str">
        <f t="shared" si="276"/>
        <v/>
      </c>
      <c r="AH559" s="185" t="str">
        <f t="shared" si="276"/>
        <v/>
      </c>
      <c r="AI559" s="185" t="str">
        <f t="shared" si="276"/>
        <v/>
      </c>
      <c r="AJ559" s="243" t="str">
        <f t="shared" si="276"/>
        <v/>
      </c>
      <c r="AK559" s="243" t="str">
        <f t="shared" si="276"/>
        <v/>
      </c>
      <c r="AL559" s="243" t="str">
        <f t="shared" si="276"/>
        <v/>
      </c>
      <c r="AM559" s="243" t="str">
        <f t="shared" si="276"/>
        <v/>
      </c>
      <c r="AN559" s="243" t="str">
        <f t="shared" si="276"/>
        <v/>
      </c>
      <c r="AO559" s="243" t="str">
        <f t="shared" si="276"/>
        <v/>
      </c>
      <c r="AP559" s="243" t="str">
        <f t="shared" si="276"/>
        <v/>
      </c>
      <c r="AQ559" s="243" t="str">
        <f t="shared" si="276"/>
        <v/>
      </c>
      <c r="AR559" s="243" t="str">
        <f t="shared" si="276"/>
        <v/>
      </c>
      <c r="AS559" s="243" t="str">
        <f t="shared" si="276"/>
        <v/>
      </c>
      <c r="AT559" s="243" t="str">
        <f t="shared" si="276"/>
        <v/>
      </c>
      <c r="AU559" s="243" t="str">
        <f t="shared" si="276"/>
        <v/>
      </c>
      <c r="AV559" s="243" t="str">
        <f t="shared" si="276"/>
        <v/>
      </c>
      <c r="AW559" s="247" t="str">
        <f t="shared" si="276"/>
        <v/>
      </c>
      <c r="AX559" s="243" t="str">
        <f t="shared" si="276"/>
        <v/>
      </c>
      <c r="AY559" s="248" t="str">
        <f t="shared" si="276"/>
        <v/>
      </c>
    </row>
    <row r="560" spans="2:51" ht="12" customHeight="1" x14ac:dyDescent="0.2">
      <c r="B560" s="266"/>
      <c r="C560" s="235"/>
      <c r="D560" s="235"/>
      <c r="E560" s="239"/>
      <c r="F560" s="182"/>
      <c r="G560" s="182"/>
      <c r="H560" s="182"/>
      <c r="I560" s="233"/>
      <c r="J560" s="163" t="str">
        <f>IF(Weymouth!M14="","",Weymouth!M14)</f>
        <v/>
      </c>
      <c r="K560" s="163" t="str">
        <f>IF(Weymouth!N14="","",Weymouth!N14)</f>
        <v/>
      </c>
      <c r="L560" s="163" t="str">
        <f>IF(Weymouth!O14="","",Weymouth!O14)</f>
        <v/>
      </c>
      <c r="M560" s="163" t="str">
        <f>IF(Weymouth!P14="","",Weymouth!P14)</f>
        <v/>
      </c>
      <c r="N560" s="163" t="str">
        <f>IF(Weymouth!Q14="","",Weymouth!Q14)</f>
        <v/>
      </c>
      <c r="O560" s="163" t="str">
        <f>IF(Weymouth!R14="","",Weymouth!R14)</f>
        <v/>
      </c>
      <c r="P560" s="163" t="str">
        <f>IF(Weymouth!S14="","",Weymouth!S14)</f>
        <v/>
      </c>
      <c r="Q560" s="163" t="str">
        <f>IF(Weymouth!T14="","",Weymouth!T14)</f>
        <v/>
      </c>
      <c r="R560" s="163" t="str">
        <f>IF(Weymouth!U14="","",Weymouth!U14)</f>
        <v/>
      </c>
      <c r="S560" s="163" t="str">
        <f>IF(Weymouth!V14="","",Weymouth!V14)</f>
        <v/>
      </c>
      <c r="T560" s="163" t="str">
        <f>IF(Weymouth!W14="","",Weymouth!W14)</f>
        <v/>
      </c>
      <c r="U560" s="163" t="str">
        <f>IF(Weymouth!X14="","",Weymouth!X14)</f>
        <v/>
      </c>
      <c r="V560" s="163" t="str">
        <f>IF(Weymouth!Y14="","",Weymouth!Y14)</f>
        <v/>
      </c>
      <c r="W560" s="182"/>
      <c r="X560" s="182"/>
      <c r="Y560" s="233"/>
      <c r="AA560" s="239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233"/>
    </row>
    <row r="561" spans="2:51" ht="12" customHeight="1" x14ac:dyDescent="0.2">
      <c r="B561" s="266"/>
      <c r="C561" s="263" t="str">
        <f>IF(Weymouth!E15="","",Weymouth!E15)</f>
        <v>Frank Courage</v>
      </c>
      <c r="D561" s="259" t="str">
        <f>LEFT($B$553,3)</f>
        <v>Wey</v>
      </c>
      <c r="E561" s="251">
        <f>IF(Weymouth!G15="","",Weymouth!G15)</f>
        <v>5</v>
      </c>
      <c r="F561" s="181">
        <f>IF(Weymouth!H15=0,"",Weymouth!H15)</f>
        <v>1</v>
      </c>
      <c r="G561" s="186">
        <f>IF(Weymouth!I15=0,"",Weymouth!I15)</f>
        <v>4</v>
      </c>
      <c r="H561" s="186">
        <f>IF(Weymouth!J15=0,"",Weymouth!J15)</f>
        <v>11</v>
      </c>
      <c r="I561" s="252">
        <f>IF(Weymouth!K15=0,"",Weymouth!K15)</f>
        <v>19</v>
      </c>
      <c r="J561" s="163" t="str">
        <f>IF(Weymouth!M15="","",Weymouth!M15)</f>
        <v/>
      </c>
      <c r="K561" s="163">
        <f>IF(Weymouth!N15="","",Weymouth!N15)</f>
        <v>17.82</v>
      </c>
      <c r="L561" s="163" t="str">
        <f>IF(Weymouth!O15="","",Weymouth!O15)</f>
        <v/>
      </c>
      <c r="M561" s="163" t="str">
        <f>IF(Weymouth!P15="","",Weymouth!P15)</f>
        <v/>
      </c>
      <c r="N561" s="163" t="str">
        <f>IF(Weymouth!Q15="","",Weymouth!Q15)</f>
        <v/>
      </c>
      <c r="O561" s="163" t="str">
        <f>IF(Weymouth!R15="","",Weymouth!R15)</f>
        <v/>
      </c>
      <c r="P561" s="163" t="str">
        <f>IF(Weymouth!S15="","",Weymouth!S15)</f>
        <v/>
      </c>
      <c r="Q561" s="163" t="str">
        <f>IF(Weymouth!T15="","",Weymouth!T15)</f>
        <v/>
      </c>
      <c r="R561" s="163" t="str">
        <f>IF(Weymouth!U15="","",Weymouth!U15)</f>
        <v/>
      </c>
      <c r="S561" s="163">
        <f>IF(Weymouth!V15="","",Weymouth!V15)</f>
        <v>19.32</v>
      </c>
      <c r="T561" s="163">
        <f>IF(Weymouth!W15="","",Weymouth!W15)</f>
        <v>18.43</v>
      </c>
      <c r="U561" s="163">
        <f>IF(Weymouth!X15="","",Weymouth!X15)</f>
        <v>17.670000000000002</v>
      </c>
      <c r="V561" s="163">
        <f>IF(Weymouth!Y15="","",Weymouth!Y15)</f>
        <v>19.38</v>
      </c>
      <c r="W561" s="186" t="str">
        <f>IF(Weymouth!AA15=0,"",Weymouth!AA15)</f>
        <v/>
      </c>
      <c r="X561" s="244">
        <f>IF(Weymouth!AB15=0,"",Weymouth!AB15)</f>
        <v>18.524000000000001</v>
      </c>
      <c r="Y561" s="245">
        <f>IF(Weymouth!AC15=0,"",Weymouth!AC15)</f>
        <v>19.524000000000001</v>
      </c>
      <c r="AA561" s="246">
        <f>Y561</f>
        <v>19.524000000000001</v>
      </c>
      <c r="AB561" s="243">
        <f>X561</f>
        <v>18.524000000000001</v>
      </c>
      <c r="AC561" s="185" t="str">
        <f>C561</f>
        <v>Frank Courage</v>
      </c>
      <c r="AD561" s="185" t="str">
        <f>LEFT($B$553,3)</f>
        <v>Wey</v>
      </c>
      <c r="AE561" s="185">
        <f t="shared" ref="AE561:AY561" si="277">E561</f>
        <v>5</v>
      </c>
      <c r="AF561" s="185">
        <f t="shared" si="277"/>
        <v>1</v>
      </c>
      <c r="AG561" s="247">
        <f t="shared" si="277"/>
        <v>4</v>
      </c>
      <c r="AH561" s="247">
        <f t="shared" si="277"/>
        <v>11</v>
      </c>
      <c r="AI561" s="247">
        <f t="shared" si="277"/>
        <v>19</v>
      </c>
      <c r="AJ561" s="243" t="str">
        <f t="shared" si="277"/>
        <v/>
      </c>
      <c r="AK561" s="243">
        <f t="shared" si="277"/>
        <v>17.82</v>
      </c>
      <c r="AL561" s="243" t="str">
        <f t="shared" si="277"/>
        <v/>
      </c>
      <c r="AM561" s="243" t="str">
        <f t="shared" si="277"/>
        <v/>
      </c>
      <c r="AN561" s="243" t="str">
        <f t="shared" si="277"/>
        <v/>
      </c>
      <c r="AO561" s="243" t="str">
        <f t="shared" si="277"/>
        <v/>
      </c>
      <c r="AP561" s="243" t="str">
        <f t="shared" si="277"/>
        <v/>
      </c>
      <c r="AQ561" s="243" t="str">
        <f t="shared" si="277"/>
        <v/>
      </c>
      <c r="AR561" s="243" t="str">
        <f t="shared" si="277"/>
        <v/>
      </c>
      <c r="AS561" s="243">
        <f t="shared" si="277"/>
        <v>19.32</v>
      </c>
      <c r="AT561" s="243">
        <f t="shared" si="277"/>
        <v>18.43</v>
      </c>
      <c r="AU561" s="243">
        <f t="shared" si="277"/>
        <v>17.670000000000002</v>
      </c>
      <c r="AV561" s="243">
        <f t="shared" si="277"/>
        <v>19.38</v>
      </c>
      <c r="AW561" s="247" t="str">
        <f t="shared" si="277"/>
        <v/>
      </c>
      <c r="AX561" s="243">
        <f t="shared" si="277"/>
        <v>18.524000000000001</v>
      </c>
      <c r="AY561" s="248">
        <f t="shared" si="277"/>
        <v>19.524000000000001</v>
      </c>
    </row>
    <row r="562" spans="2:51" ht="12" customHeight="1" x14ac:dyDescent="0.2">
      <c r="B562" s="266"/>
      <c r="C562" s="235"/>
      <c r="D562" s="235"/>
      <c r="E562" s="239"/>
      <c r="F562" s="182"/>
      <c r="G562" s="182"/>
      <c r="H562" s="182"/>
      <c r="I562" s="233"/>
      <c r="J562" s="163" t="str">
        <f>IF(Weymouth!M16="","",Weymouth!M16)</f>
        <v/>
      </c>
      <c r="K562" s="163" t="str">
        <f>IF(Weymouth!N16="","",Weymouth!N16)</f>
        <v>3*4</v>
      </c>
      <c r="L562" s="163" t="str">
        <f>IF(Weymouth!O16="","",Weymouth!O16)</f>
        <v/>
      </c>
      <c r="M562" s="163" t="str">
        <f>IF(Weymouth!P16="","",Weymouth!P16)</f>
        <v/>
      </c>
      <c r="N562" s="163" t="str">
        <f>IF(Weymouth!Q16="","",Weymouth!Q16)</f>
        <v/>
      </c>
      <c r="O562" s="163" t="str">
        <f>IF(Weymouth!R16="","",Weymouth!R16)</f>
        <v/>
      </c>
      <c r="P562" s="163" t="str">
        <f>IF(Weymouth!S16="","",Weymouth!S16)</f>
        <v/>
      </c>
      <c r="Q562" s="163" t="str">
        <f>IF(Weymouth!T16="","",Weymouth!T16)</f>
        <v/>
      </c>
      <c r="R562" s="163" t="str">
        <f>IF(Weymouth!U16="","",Weymouth!U16)</f>
        <v/>
      </c>
      <c r="S562" s="163" t="str">
        <f>IF(Weymouth!V16="","",Weymouth!V16)</f>
        <v>1*4</v>
      </c>
      <c r="T562" s="163" t="str">
        <f>IF(Weymouth!W16="","",Weymouth!W16)</f>
        <v>4*3</v>
      </c>
      <c r="U562" s="163" t="str">
        <f>IF(Weymouth!X16="","",Weymouth!X16)</f>
        <v>0*4</v>
      </c>
      <c r="V562" s="163" t="str">
        <f>IF(Weymouth!Y16="","",Weymouth!Y16)</f>
        <v>3*4</v>
      </c>
      <c r="W562" s="182"/>
      <c r="X562" s="182"/>
      <c r="Y562" s="233"/>
      <c r="AA562" s="239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233"/>
    </row>
    <row r="563" spans="2:51" ht="12" customHeight="1" x14ac:dyDescent="0.2">
      <c r="B563" s="266"/>
      <c r="C563" s="263" t="str">
        <f>IF(Weymouth!E17="","",Weymouth!E17)</f>
        <v>Matt Brown</v>
      </c>
      <c r="D563" s="259" t="str">
        <f>LEFT($B$553,3)</f>
        <v>Wey</v>
      </c>
      <c r="E563" s="251">
        <f>IF(Weymouth!G17="","",Weymouth!G17)</f>
        <v>6</v>
      </c>
      <c r="F563" s="181">
        <f>IF(Weymouth!H17=0,"",Weymouth!H17)</f>
        <v>3</v>
      </c>
      <c r="G563" s="186">
        <f>IF(Weymouth!I17=0,"",Weymouth!I17)</f>
        <v>3</v>
      </c>
      <c r="H563" s="186">
        <f>IF(Weymouth!J17=0,"",Weymouth!J17)</f>
        <v>16</v>
      </c>
      <c r="I563" s="252">
        <f>IF(Weymouth!K17=0,"",Weymouth!K17)</f>
        <v>19</v>
      </c>
      <c r="J563" s="163" t="str">
        <f>IF(Weymouth!M17="","",Weymouth!M17)</f>
        <v/>
      </c>
      <c r="K563" s="163" t="str">
        <f>IF(Weymouth!N17="","",Weymouth!N17)</f>
        <v/>
      </c>
      <c r="L563" s="163" t="str">
        <f>IF(Weymouth!O17="","",Weymouth!O17)</f>
        <v/>
      </c>
      <c r="M563" s="163">
        <f>IF(Weymouth!P17="","",Weymouth!P17)</f>
        <v>18.399999999999999</v>
      </c>
      <c r="N563" s="163">
        <f>IF(Weymouth!Q17="","",Weymouth!Q17)</f>
        <v>19.21</v>
      </c>
      <c r="O563" s="163" t="str">
        <f>IF(Weymouth!R17="","",Weymouth!R17)</f>
        <v/>
      </c>
      <c r="P563" s="163">
        <f>IF(Weymouth!S17="","",Weymouth!S17)</f>
        <v>18.91</v>
      </c>
      <c r="Q563" s="163">
        <f>IF(Weymouth!T17="","",Weymouth!T17)</f>
        <v>18.239999999999998</v>
      </c>
      <c r="R563" s="163">
        <f>IF(Weymouth!U17="","",Weymouth!U17)</f>
        <v>20.29</v>
      </c>
      <c r="S563" s="163" t="str">
        <f>IF(Weymouth!V17="","",Weymouth!V17)</f>
        <v/>
      </c>
      <c r="T563" s="163" t="str">
        <f>IF(Weymouth!W17="","",Weymouth!W17)</f>
        <v/>
      </c>
      <c r="U563" s="163">
        <f>IF(Weymouth!X17="","",Weymouth!X17)</f>
        <v>19.34</v>
      </c>
      <c r="V563" s="163" t="str">
        <f>IF(Weymouth!Y17="","",Weymouth!Y17)</f>
        <v/>
      </c>
      <c r="W563" s="186" t="str">
        <f>IF(Weymouth!AA17=0,"",Weymouth!AA17)</f>
        <v/>
      </c>
      <c r="X563" s="244">
        <f>IF(Weymouth!AB17=0,"",Weymouth!AB17)</f>
        <v>19.064999999999998</v>
      </c>
      <c r="Y563" s="245">
        <f>IF(Weymouth!AC17=0,"",Weymouth!AC17)</f>
        <v>22.064999999999998</v>
      </c>
      <c r="AA563" s="246">
        <f>Y563</f>
        <v>22.064999999999998</v>
      </c>
      <c r="AB563" s="243">
        <f>X563</f>
        <v>19.064999999999998</v>
      </c>
      <c r="AC563" s="185" t="str">
        <f>C563</f>
        <v>Matt Brown</v>
      </c>
      <c r="AD563" s="185" t="str">
        <f>LEFT($B$553,3)</f>
        <v>Wey</v>
      </c>
      <c r="AE563" s="185">
        <f t="shared" ref="AE563:AY563" si="278">E563</f>
        <v>6</v>
      </c>
      <c r="AF563" s="185">
        <f t="shared" si="278"/>
        <v>3</v>
      </c>
      <c r="AG563" s="247">
        <f t="shared" si="278"/>
        <v>3</v>
      </c>
      <c r="AH563" s="247">
        <f t="shared" si="278"/>
        <v>16</v>
      </c>
      <c r="AI563" s="247">
        <f t="shared" si="278"/>
        <v>19</v>
      </c>
      <c r="AJ563" s="243" t="str">
        <f t="shared" si="278"/>
        <v/>
      </c>
      <c r="AK563" s="243" t="str">
        <f t="shared" si="278"/>
        <v/>
      </c>
      <c r="AL563" s="243" t="str">
        <f t="shared" si="278"/>
        <v/>
      </c>
      <c r="AM563" s="243">
        <f t="shared" si="278"/>
        <v>18.399999999999999</v>
      </c>
      <c r="AN563" s="243">
        <f t="shared" si="278"/>
        <v>19.21</v>
      </c>
      <c r="AO563" s="243" t="str">
        <f t="shared" si="278"/>
        <v/>
      </c>
      <c r="AP563" s="243">
        <f t="shared" si="278"/>
        <v>18.91</v>
      </c>
      <c r="AQ563" s="243">
        <f t="shared" si="278"/>
        <v>18.239999999999998</v>
      </c>
      <c r="AR563" s="243">
        <f t="shared" si="278"/>
        <v>20.29</v>
      </c>
      <c r="AS563" s="243" t="str">
        <f t="shared" si="278"/>
        <v/>
      </c>
      <c r="AT563" s="243" t="str">
        <f t="shared" si="278"/>
        <v/>
      </c>
      <c r="AU563" s="243">
        <f t="shared" si="278"/>
        <v>19.34</v>
      </c>
      <c r="AV563" s="243" t="str">
        <f t="shared" si="278"/>
        <v/>
      </c>
      <c r="AW563" s="247" t="str">
        <f t="shared" si="278"/>
        <v/>
      </c>
      <c r="AX563" s="243">
        <f t="shared" si="278"/>
        <v>19.064999999999998</v>
      </c>
      <c r="AY563" s="248">
        <f t="shared" si="278"/>
        <v>22.064999999999998</v>
      </c>
    </row>
    <row r="564" spans="2:51" ht="12" customHeight="1" x14ac:dyDescent="0.2">
      <c r="B564" s="266"/>
      <c r="C564" s="235"/>
      <c r="D564" s="235"/>
      <c r="E564" s="239"/>
      <c r="F564" s="182"/>
      <c r="G564" s="182"/>
      <c r="H564" s="182"/>
      <c r="I564" s="233"/>
      <c r="J564" s="163" t="str">
        <f>IF(Weymouth!M18="","",Weymouth!M18)</f>
        <v/>
      </c>
      <c r="K564" s="163" t="str">
        <f>IF(Weymouth!N18="","",Weymouth!N18)</f>
        <v/>
      </c>
      <c r="L564" s="163" t="str">
        <f>IF(Weymouth!O18="","",Weymouth!O18)</f>
        <v/>
      </c>
      <c r="M564" s="163" t="str">
        <f>IF(Weymouth!P18="","",Weymouth!P18)</f>
        <v>1*4</v>
      </c>
      <c r="N564" s="163" t="str">
        <f>IF(Weymouth!Q18="","",Weymouth!Q18)</f>
        <v>4*3</v>
      </c>
      <c r="O564" s="163" t="str">
        <f>IF(Weymouth!R18="","",Weymouth!R18)</f>
        <v/>
      </c>
      <c r="P564" s="163" t="str">
        <f>IF(Weymouth!S18="","",Weymouth!S18)</f>
        <v>3*4</v>
      </c>
      <c r="Q564" s="163" t="str">
        <f>IF(Weymouth!T18="","",Weymouth!T18)</f>
        <v>4*3</v>
      </c>
      <c r="R564" s="163" t="str">
        <f>IF(Weymouth!U18="","",Weymouth!U18)</f>
        <v>0*4</v>
      </c>
      <c r="S564" s="163" t="str">
        <f>IF(Weymouth!V18="","",Weymouth!V18)</f>
        <v/>
      </c>
      <c r="T564" s="163" t="str">
        <f>IF(Weymouth!W18="","",Weymouth!W18)</f>
        <v/>
      </c>
      <c r="U564" s="163" t="str">
        <f>IF(Weymouth!X18="","",Weymouth!X18)</f>
        <v>4*1</v>
      </c>
      <c r="V564" s="163" t="str">
        <f>IF(Weymouth!Y18="","",Weymouth!Y18)</f>
        <v/>
      </c>
      <c r="W564" s="182"/>
      <c r="X564" s="182"/>
      <c r="Y564" s="233"/>
      <c r="AA564" s="239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233"/>
    </row>
    <row r="565" spans="2:51" ht="12" customHeight="1" x14ac:dyDescent="0.2">
      <c r="B565" s="266"/>
      <c r="C565" s="263" t="str">
        <f>IF(Weymouth!E19="","",Weymouth!E19)</f>
        <v>Terry Gowans</v>
      </c>
      <c r="D565" s="259" t="str">
        <f>LEFT($B$553,3)</f>
        <v>Wey</v>
      </c>
      <c r="E565" s="251">
        <f>IF(Weymouth!G19="","",Weymouth!G19)</f>
        <v>13</v>
      </c>
      <c r="F565" s="181">
        <f>IF(Weymouth!H19=0,"",Weymouth!H19)</f>
        <v>5</v>
      </c>
      <c r="G565" s="186">
        <f>IF(Weymouth!I19=0,"",Weymouth!I19)</f>
        <v>8</v>
      </c>
      <c r="H565" s="186">
        <f>IF(Weymouth!J19=0,"",Weymouth!J19)</f>
        <v>34</v>
      </c>
      <c r="I565" s="252">
        <f>IF(Weymouth!K19=0,"",Weymouth!K19)</f>
        <v>37</v>
      </c>
      <c r="J565" s="163">
        <f>IF(Weymouth!M19="","",Weymouth!M19)</f>
        <v>20.75</v>
      </c>
      <c r="K565" s="163">
        <f>IF(Weymouth!N19="","",Weymouth!N19)</f>
        <v>20.83</v>
      </c>
      <c r="L565" s="163">
        <f>IF(Weymouth!O19="","",Weymouth!O19)</f>
        <v>22.08</v>
      </c>
      <c r="M565" s="163">
        <f>IF(Weymouth!P19="","",Weymouth!P19)</f>
        <v>17.18</v>
      </c>
      <c r="N565" s="163">
        <f>IF(Weymouth!Q19="","",Weymouth!Q19)</f>
        <v>20.5</v>
      </c>
      <c r="O565" s="163">
        <f>IF(Weymouth!R19="","",Weymouth!R19)</f>
        <v>21.02</v>
      </c>
      <c r="P565" s="163">
        <f>IF(Weymouth!S19="","",Weymouth!S19)</f>
        <v>20.3</v>
      </c>
      <c r="Q565" s="163">
        <f>IF(Weymouth!T19="","",Weymouth!T19)</f>
        <v>23.06</v>
      </c>
      <c r="R565" s="163">
        <f>IF(Weymouth!U19="","",Weymouth!U19)</f>
        <v>23.86</v>
      </c>
      <c r="S565" s="163">
        <f>IF(Weymouth!V19="","",Weymouth!V19)</f>
        <v>22.78</v>
      </c>
      <c r="T565" s="163">
        <f>IF(Weymouth!W19="","",Weymouth!W19)</f>
        <v>20.51</v>
      </c>
      <c r="U565" s="163">
        <f>IF(Weymouth!X19="","",Weymouth!X19)</f>
        <v>21.77</v>
      </c>
      <c r="V565" s="163">
        <f>IF(Weymouth!Y19="","",Weymouth!Y19)</f>
        <v>21.32</v>
      </c>
      <c r="W565" s="186">
        <f>IF(Weymouth!AA19=0,"",Weymouth!AA19)</f>
        <v>2</v>
      </c>
      <c r="X565" s="244">
        <f>IF(Weymouth!AB19=0,"",Weymouth!AB19)</f>
        <v>21.227692307692305</v>
      </c>
      <c r="Y565" s="245">
        <f>IF(Weymouth!AC19=0,"",Weymouth!AC19)</f>
        <v>26.227692307692305</v>
      </c>
      <c r="AA565" s="246">
        <f>Y565</f>
        <v>26.227692307692305</v>
      </c>
      <c r="AB565" s="243">
        <f>X565</f>
        <v>21.227692307692305</v>
      </c>
      <c r="AC565" s="185" t="str">
        <f>C565</f>
        <v>Terry Gowans</v>
      </c>
      <c r="AD565" s="185" t="str">
        <f>LEFT($B$553,3)</f>
        <v>Wey</v>
      </c>
      <c r="AE565" s="185">
        <f t="shared" ref="AE565:AY565" si="279">E565</f>
        <v>13</v>
      </c>
      <c r="AF565" s="185">
        <f t="shared" si="279"/>
        <v>5</v>
      </c>
      <c r="AG565" s="247">
        <f t="shared" si="279"/>
        <v>8</v>
      </c>
      <c r="AH565" s="247">
        <f t="shared" si="279"/>
        <v>34</v>
      </c>
      <c r="AI565" s="247">
        <f t="shared" si="279"/>
        <v>37</v>
      </c>
      <c r="AJ565" s="243">
        <f t="shared" si="279"/>
        <v>20.75</v>
      </c>
      <c r="AK565" s="243">
        <f t="shared" si="279"/>
        <v>20.83</v>
      </c>
      <c r="AL565" s="243">
        <f t="shared" si="279"/>
        <v>22.08</v>
      </c>
      <c r="AM565" s="243">
        <f t="shared" si="279"/>
        <v>17.18</v>
      </c>
      <c r="AN565" s="243">
        <f t="shared" si="279"/>
        <v>20.5</v>
      </c>
      <c r="AO565" s="243">
        <f t="shared" si="279"/>
        <v>21.02</v>
      </c>
      <c r="AP565" s="243">
        <f t="shared" si="279"/>
        <v>20.3</v>
      </c>
      <c r="AQ565" s="243">
        <f t="shared" si="279"/>
        <v>23.06</v>
      </c>
      <c r="AR565" s="243">
        <f t="shared" si="279"/>
        <v>23.86</v>
      </c>
      <c r="AS565" s="243">
        <f t="shared" si="279"/>
        <v>22.78</v>
      </c>
      <c r="AT565" s="243">
        <f t="shared" si="279"/>
        <v>20.51</v>
      </c>
      <c r="AU565" s="243">
        <f t="shared" si="279"/>
        <v>21.77</v>
      </c>
      <c r="AV565" s="243">
        <f t="shared" si="279"/>
        <v>21.32</v>
      </c>
      <c r="AW565" s="247">
        <f t="shared" si="279"/>
        <v>2</v>
      </c>
      <c r="AX565" s="243">
        <f t="shared" si="279"/>
        <v>21.227692307692305</v>
      </c>
      <c r="AY565" s="248">
        <f t="shared" si="279"/>
        <v>26.227692307692305</v>
      </c>
    </row>
    <row r="566" spans="2:51" ht="12" customHeight="1" x14ac:dyDescent="0.2">
      <c r="B566" s="266"/>
      <c r="C566" s="235"/>
      <c r="D566" s="235"/>
      <c r="E566" s="239"/>
      <c r="F566" s="182"/>
      <c r="G566" s="182"/>
      <c r="H566" s="182"/>
      <c r="I566" s="233"/>
      <c r="J566" s="163" t="str">
        <f>IF(Weymouth!M20="","",Weymouth!M20)</f>
        <v>0*4</v>
      </c>
      <c r="K566" s="163" t="str">
        <f>IF(Weymouth!N20="","",Weymouth!N20)</f>
        <v>2*4</v>
      </c>
      <c r="L566" s="163" t="str">
        <f>IF(Weymouth!O20="","",Weymouth!O20)</f>
        <v>4*1</v>
      </c>
      <c r="M566" s="163" t="str">
        <f>IF(Weymouth!P20="","",Weymouth!P20)</f>
        <v>4*1</v>
      </c>
      <c r="N566" s="163" t="str">
        <f>IF(Weymouth!Q20="","",Weymouth!Q20)</f>
        <v>4*3(1)</v>
      </c>
      <c r="O566" s="163" t="str">
        <f>IF(Weymouth!R20="","",Weymouth!R20)</f>
        <v>2*4</v>
      </c>
      <c r="P566" s="163" t="str">
        <f>IF(Weymouth!S20="","",Weymouth!S20)</f>
        <v>2*4</v>
      </c>
      <c r="Q566" s="163" t="str">
        <f>IF(Weymouth!T20="","",Weymouth!T20)</f>
        <v>2*4</v>
      </c>
      <c r="R566" s="163" t="str">
        <f>IF(Weymouth!U20="","",Weymouth!U20)</f>
        <v>4*0</v>
      </c>
      <c r="S566" s="163" t="str">
        <f>IF(Weymouth!V20="","",Weymouth!V20)</f>
        <v>2*4</v>
      </c>
      <c r="T566" s="163" t="str">
        <f>IF(Weymouth!W20="","",Weymouth!W20)</f>
        <v>2*4(1)</v>
      </c>
      <c r="U566" s="163" t="str">
        <f>IF(Weymouth!X20="","",Weymouth!X20)</f>
        <v>2*4</v>
      </c>
      <c r="V566" s="163" t="str">
        <f>IF(Weymouth!Y20="","",Weymouth!Y20)</f>
        <v>4*0</v>
      </c>
      <c r="W566" s="182"/>
      <c r="X566" s="182"/>
      <c r="Y566" s="233"/>
      <c r="AA566" s="239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233"/>
    </row>
    <row r="567" spans="2:51" ht="12" customHeight="1" x14ac:dyDescent="0.2">
      <c r="B567" s="266"/>
      <c r="C567" s="263" t="str">
        <f>IF(Weymouth!E21="","",Weymouth!E21)</f>
        <v>Dave Pay</v>
      </c>
      <c r="D567" s="259" t="str">
        <f>LEFT($B$553,3)</f>
        <v>Wey</v>
      </c>
      <c r="E567" s="251" t="str">
        <f>IF(Weymouth!G21="","",Weymouth!G21)</f>
        <v/>
      </c>
      <c r="F567" s="181" t="str">
        <f>IF(Weymouth!H21=0,"",Weymouth!H21)</f>
        <v/>
      </c>
      <c r="G567" s="181" t="str">
        <f>IF(Weymouth!I21=0,"",Weymouth!I21)</f>
        <v/>
      </c>
      <c r="H567" s="181" t="str">
        <f>IF(Weymouth!J21=0,"",Weymouth!J21)</f>
        <v/>
      </c>
      <c r="I567" s="250" t="str">
        <f>IF(Weymouth!K21=0,"",Weymouth!K21)</f>
        <v/>
      </c>
      <c r="J567" s="163" t="str">
        <f>IF(Weymouth!M21="","",Weymouth!M21)</f>
        <v/>
      </c>
      <c r="K567" s="163" t="str">
        <f>IF(Weymouth!N21="","",Weymouth!N21)</f>
        <v/>
      </c>
      <c r="L567" s="163" t="str">
        <f>IF(Weymouth!O21="","",Weymouth!O21)</f>
        <v/>
      </c>
      <c r="M567" s="163" t="str">
        <f>IF(Weymouth!P21="","",Weymouth!P21)</f>
        <v/>
      </c>
      <c r="N567" s="163" t="str">
        <f>IF(Weymouth!Q21="","",Weymouth!Q21)</f>
        <v/>
      </c>
      <c r="O567" s="163" t="str">
        <f>IF(Weymouth!R21="","",Weymouth!R21)</f>
        <v/>
      </c>
      <c r="P567" s="163" t="str">
        <f>IF(Weymouth!S21="","",Weymouth!S21)</f>
        <v/>
      </c>
      <c r="Q567" s="163" t="str">
        <f>IF(Weymouth!T21="","",Weymouth!T21)</f>
        <v/>
      </c>
      <c r="R567" s="163" t="str">
        <f>IF(Weymouth!U21="","",Weymouth!U21)</f>
        <v/>
      </c>
      <c r="S567" s="163" t="str">
        <f>IF(Weymouth!V21="","",Weymouth!V21)</f>
        <v/>
      </c>
      <c r="T567" s="163" t="str">
        <f>IF(Weymouth!W21="","",Weymouth!W21)</f>
        <v/>
      </c>
      <c r="U567" s="163" t="str">
        <f>IF(Weymouth!X21="","",Weymouth!X21)</f>
        <v/>
      </c>
      <c r="V567" s="163" t="str">
        <f>IF(Weymouth!Y21="","",Weymouth!Y21)</f>
        <v/>
      </c>
      <c r="W567" s="186" t="str">
        <f>IF(Weymouth!AA21=0,"",Weymouth!AA21)</f>
        <v/>
      </c>
      <c r="X567" s="244" t="str">
        <f>IF(Weymouth!AB21=0,"",Weymouth!AB21)</f>
        <v/>
      </c>
      <c r="Y567" s="245" t="str">
        <f>IF(Weymouth!AC21=0,"",Weymouth!AC21)</f>
        <v/>
      </c>
      <c r="AA567" s="246" t="str">
        <f>Y567</f>
        <v/>
      </c>
      <c r="AB567" s="243" t="str">
        <f>X567</f>
        <v/>
      </c>
      <c r="AC567" s="185" t="str">
        <f>C567</f>
        <v>Dave Pay</v>
      </c>
      <c r="AD567" s="185" t="str">
        <f>LEFT($B$553,3)</f>
        <v>Wey</v>
      </c>
      <c r="AE567" s="185" t="str">
        <f t="shared" ref="AE567:AY567" si="280">E567</f>
        <v/>
      </c>
      <c r="AF567" s="185" t="str">
        <f t="shared" si="280"/>
        <v/>
      </c>
      <c r="AG567" s="185" t="str">
        <f t="shared" si="280"/>
        <v/>
      </c>
      <c r="AH567" s="185" t="str">
        <f t="shared" si="280"/>
        <v/>
      </c>
      <c r="AI567" s="185" t="str">
        <f t="shared" si="280"/>
        <v/>
      </c>
      <c r="AJ567" s="243" t="str">
        <f t="shared" si="280"/>
        <v/>
      </c>
      <c r="AK567" s="243" t="str">
        <f t="shared" si="280"/>
        <v/>
      </c>
      <c r="AL567" s="243" t="str">
        <f t="shared" si="280"/>
        <v/>
      </c>
      <c r="AM567" s="243" t="str">
        <f t="shared" si="280"/>
        <v/>
      </c>
      <c r="AN567" s="243" t="str">
        <f t="shared" si="280"/>
        <v/>
      </c>
      <c r="AO567" s="243" t="str">
        <f t="shared" si="280"/>
        <v/>
      </c>
      <c r="AP567" s="243" t="str">
        <f t="shared" si="280"/>
        <v/>
      </c>
      <c r="AQ567" s="243" t="str">
        <f t="shared" si="280"/>
        <v/>
      </c>
      <c r="AR567" s="243" t="str">
        <f t="shared" si="280"/>
        <v/>
      </c>
      <c r="AS567" s="243" t="str">
        <f t="shared" si="280"/>
        <v/>
      </c>
      <c r="AT567" s="243" t="str">
        <f t="shared" si="280"/>
        <v/>
      </c>
      <c r="AU567" s="243" t="str">
        <f t="shared" si="280"/>
        <v/>
      </c>
      <c r="AV567" s="243" t="str">
        <f t="shared" si="280"/>
        <v/>
      </c>
      <c r="AW567" s="247" t="str">
        <f t="shared" si="280"/>
        <v/>
      </c>
      <c r="AX567" s="243" t="str">
        <f t="shared" si="280"/>
        <v/>
      </c>
      <c r="AY567" s="248" t="str">
        <f t="shared" si="280"/>
        <v/>
      </c>
    </row>
    <row r="568" spans="2:51" ht="12" customHeight="1" x14ac:dyDescent="0.2">
      <c r="B568" s="266"/>
      <c r="C568" s="235"/>
      <c r="D568" s="235"/>
      <c r="E568" s="239"/>
      <c r="F568" s="182"/>
      <c r="G568" s="182"/>
      <c r="H568" s="182"/>
      <c r="I568" s="233"/>
      <c r="J568" s="163" t="str">
        <f>IF(Weymouth!M22="","",Weymouth!M22)</f>
        <v/>
      </c>
      <c r="K568" s="163" t="str">
        <f>IF(Weymouth!N22="","",Weymouth!N22)</f>
        <v/>
      </c>
      <c r="L568" s="163" t="str">
        <f>IF(Weymouth!O22="","",Weymouth!O22)</f>
        <v/>
      </c>
      <c r="M568" s="163" t="str">
        <f>IF(Weymouth!P22="","",Weymouth!P22)</f>
        <v/>
      </c>
      <c r="N568" s="163" t="str">
        <f>IF(Weymouth!Q22="","",Weymouth!Q22)</f>
        <v/>
      </c>
      <c r="O568" s="163" t="str">
        <f>IF(Weymouth!R22="","",Weymouth!R22)</f>
        <v/>
      </c>
      <c r="P568" s="163" t="str">
        <f>IF(Weymouth!S22="","",Weymouth!S22)</f>
        <v/>
      </c>
      <c r="Q568" s="163" t="str">
        <f>IF(Weymouth!T22="","",Weymouth!T22)</f>
        <v/>
      </c>
      <c r="R568" s="163" t="str">
        <f>IF(Weymouth!U22="","",Weymouth!U22)</f>
        <v/>
      </c>
      <c r="S568" s="163" t="str">
        <f>IF(Weymouth!V22="","",Weymouth!V22)</f>
        <v/>
      </c>
      <c r="T568" s="163" t="str">
        <f>IF(Weymouth!W22="","",Weymouth!W22)</f>
        <v/>
      </c>
      <c r="U568" s="163" t="str">
        <f>IF(Weymouth!X22="","",Weymouth!X22)</f>
        <v/>
      </c>
      <c r="V568" s="163" t="str">
        <f>IF(Weymouth!Y22="","",Weymouth!Y22)</f>
        <v/>
      </c>
      <c r="W568" s="182"/>
      <c r="X568" s="182"/>
      <c r="Y568" s="233"/>
      <c r="AA568" s="239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233"/>
    </row>
    <row r="569" spans="2:51" ht="12" customHeight="1" x14ac:dyDescent="0.2">
      <c r="B569" s="266"/>
      <c r="C569" s="263" t="str">
        <f>IF(Weymouth!E23="","",Weymouth!E23)</f>
        <v>Richard Gomm</v>
      </c>
      <c r="D569" s="259" t="str">
        <f>LEFT($B$553,3)</f>
        <v>Wey</v>
      </c>
      <c r="E569" s="251">
        <f>IF(Weymouth!G23="","",Weymouth!G23)</f>
        <v>11</v>
      </c>
      <c r="F569" s="181">
        <f>IF(Weymouth!H23=0,"",Weymouth!H23)</f>
        <v>7</v>
      </c>
      <c r="G569" s="186">
        <f>IF(Weymouth!I23=0,"",Weymouth!I23)</f>
        <v>4</v>
      </c>
      <c r="H569" s="186">
        <f>IF(Weymouth!J23=0,"",Weymouth!J23)</f>
        <v>37</v>
      </c>
      <c r="I569" s="252">
        <f>IF(Weymouth!K23=0,"",Weymouth!K23)</f>
        <v>22</v>
      </c>
      <c r="J569" s="163">
        <f>IF(Weymouth!M23="","",Weymouth!M23)</f>
        <v>26.32</v>
      </c>
      <c r="K569" s="163" t="str">
        <f>IF(Weymouth!N23="","",Weymouth!N23)</f>
        <v/>
      </c>
      <c r="L569" s="163">
        <f>IF(Weymouth!O23="","",Weymouth!O23)</f>
        <v>18.68</v>
      </c>
      <c r="M569" s="163">
        <f>IF(Weymouth!P23="","",Weymouth!P23)</f>
        <v>20.07</v>
      </c>
      <c r="N569" s="163">
        <f>IF(Weymouth!Q23="","",Weymouth!Q23)</f>
        <v>25.85</v>
      </c>
      <c r="O569" s="163">
        <f>IF(Weymouth!R23="","",Weymouth!R23)</f>
        <v>22.52</v>
      </c>
      <c r="P569" s="163">
        <f>IF(Weymouth!S23="","",Weymouth!S23)</f>
        <v>19.940000000000001</v>
      </c>
      <c r="Q569" s="163">
        <f>IF(Weymouth!T23="","",Weymouth!T23)</f>
        <v>21.55</v>
      </c>
      <c r="R569" s="163">
        <f>IF(Weymouth!U23="","",Weymouth!U23)</f>
        <v>20.07</v>
      </c>
      <c r="S569" s="163">
        <f>IF(Weymouth!V23="","",Weymouth!V23)</f>
        <v>27.83</v>
      </c>
      <c r="T569" s="163">
        <f>IF(Weymouth!W23="","",Weymouth!W23)</f>
        <v>22.37</v>
      </c>
      <c r="U569" s="163">
        <f>IF(Weymouth!X23="","",Weymouth!X23)</f>
        <v>17.170000000000002</v>
      </c>
      <c r="V569" s="163" t="str">
        <f>IF(Weymouth!Y23="","",Weymouth!Y23)</f>
        <v/>
      </c>
      <c r="W569" s="186">
        <f>IF(Weymouth!AA23=0,"",Weymouth!AA23)</f>
        <v>5</v>
      </c>
      <c r="X569" s="244">
        <f>IF(Weymouth!AB23=0,"",Weymouth!AB23)</f>
        <v>22.033636363636365</v>
      </c>
      <c r="Y569" s="245">
        <f>IF(Weymouth!AC23=0,"",Weymouth!AC23)</f>
        <v>29.033636363636365</v>
      </c>
      <c r="AA569" s="246">
        <f>Y569</f>
        <v>29.033636363636365</v>
      </c>
      <c r="AB569" s="243">
        <f>X569</f>
        <v>22.033636363636365</v>
      </c>
      <c r="AC569" s="185" t="str">
        <f>C569</f>
        <v>Richard Gomm</v>
      </c>
      <c r="AD569" s="185" t="str">
        <f>LEFT($B$553,3)</f>
        <v>Wey</v>
      </c>
      <c r="AE569" s="185">
        <f t="shared" ref="AE569:AY569" si="281">E569</f>
        <v>11</v>
      </c>
      <c r="AF569" s="185">
        <f t="shared" si="281"/>
        <v>7</v>
      </c>
      <c r="AG569" s="247">
        <f t="shared" si="281"/>
        <v>4</v>
      </c>
      <c r="AH569" s="247">
        <f t="shared" si="281"/>
        <v>37</v>
      </c>
      <c r="AI569" s="247">
        <f t="shared" si="281"/>
        <v>22</v>
      </c>
      <c r="AJ569" s="243">
        <f t="shared" si="281"/>
        <v>26.32</v>
      </c>
      <c r="AK569" s="243" t="str">
        <f t="shared" si="281"/>
        <v/>
      </c>
      <c r="AL569" s="243">
        <f t="shared" si="281"/>
        <v>18.68</v>
      </c>
      <c r="AM569" s="243">
        <f t="shared" si="281"/>
        <v>20.07</v>
      </c>
      <c r="AN569" s="243">
        <f t="shared" si="281"/>
        <v>25.85</v>
      </c>
      <c r="AO569" s="243">
        <f t="shared" si="281"/>
        <v>22.52</v>
      </c>
      <c r="AP569" s="243">
        <f t="shared" si="281"/>
        <v>19.940000000000001</v>
      </c>
      <c r="AQ569" s="243">
        <f t="shared" si="281"/>
        <v>21.55</v>
      </c>
      <c r="AR569" s="243">
        <f t="shared" si="281"/>
        <v>20.07</v>
      </c>
      <c r="AS569" s="243">
        <f t="shared" si="281"/>
        <v>27.83</v>
      </c>
      <c r="AT569" s="243">
        <f t="shared" si="281"/>
        <v>22.37</v>
      </c>
      <c r="AU569" s="243">
        <f t="shared" si="281"/>
        <v>17.170000000000002</v>
      </c>
      <c r="AV569" s="243" t="str">
        <f t="shared" si="281"/>
        <v/>
      </c>
      <c r="AW569" s="247">
        <f t="shared" si="281"/>
        <v>5</v>
      </c>
      <c r="AX569" s="243">
        <f t="shared" si="281"/>
        <v>22.033636363636365</v>
      </c>
      <c r="AY569" s="248">
        <f t="shared" si="281"/>
        <v>29.033636363636365</v>
      </c>
    </row>
    <row r="570" spans="2:51" ht="12" customHeight="1" x14ac:dyDescent="0.2">
      <c r="B570" s="266"/>
      <c r="C570" s="235"/>
      <c r="D570" s="235"/>
      <c r="E570" s="239"/>
      <c r="F570" s="182"/>
      <c r="G570" s="182"/>
      <c r="H570" s="182"/>
      <c r="I570" s="233"/>
      <c r="J570" s="163" t="str">
        <f>IF(Weymouth!M24="","",Weymouth!M24)</f>
        <v>3*4</v>
      </c>
      <c r="K570" s="163" t="str">
        <f>IF(Weymouth!N24="","",Weymouth!N24)</f>
        <v/>
      </c>
      <c r="L570" s="163" t="str">
        <f>IF(Weymouth!O24="","",Weymouth!O24)</f>
        <v>4*2</v>
      </c>
      <c r="M570" s="163" t="str">
        <f>IF(Weymouth!P24="","",Weymouth!P24)</f>
        <v>1*4(1)</v>
      </c>
      <c r="N570" s="163" t="str">
        <f>IF(Weymouth!Q24="","",Weymouth!Q24)</f>
        <v>4*1(1)</v>
      </c>
      <c r="O570" s="163" t="str">
        <f>IF(Weymouth!R24="","",Weymouth!R24)</f>
        <v>4*0(1)</v>
      </c>
      <c r="P570" s="163" t="str">
        <f>IF(Weymouth!S24="","",Weymouth!S24)</f>
        <v>4*2</v>
      </c>
      <c r="Q570" s="163" t="str">
        <f>IF(Weymouth!T24="","",Weymouth!T24)</f>
        <v>4*0</v>
      </c>
      <c r="R570" s="163" t="str">
        <f>IF(Weymouth!U24="","",Weymouth!U24)</f>
        <v>4*1</v>
      </c>
      <c r="S570" s="163" t="str">
        <f>IF(Weymouth!V24="","",Weymouth!V24)</f>
        <v>4*0(1)</v>
      </c>
      <c r="T570" s="163" t="str">
        <f>IF(Weymouth!W24="","",Weymouth!W24)</f>
        <v>3*4(1)</v>
      </c>
      <c r="U570" s="163" t="str">
        <f>IF(Weymouth!X24="","",Weymouth!X24)</f>
        <v>2*4</v>
      </c>
      <c r="V570" s="163" t="str">
        <f>IF(Weymouth!Y24="","",Weymouth!Y24)</f>
        <v/>
      </c>
      <c r="W570" s="182"/>
      <c r="X570" s="182"/>
      <c r="Y570" s="233"/>
      <c r="AA570" s="239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233"/>
    </row>
    <row r="571" spans="2:51" ht="12" customHeight="1" x14ac:dyDescent="0.2">
      <c r="B571" s="266"/>
      <c r="C571" s="263" t="str">
        <f>IF(Weymouth!E25="","",Weymouth!E25)</f>
        <v>Ian Spann</v>
      </c>
      <c r="D571" s="259" t="str">
        <f>LEFT($B$553,3)</f>
        <v>Wey</v>
      </c>
      <c r="E571" s="251">
        <f>IF(Weymouth!G25="","",Weymouth!G25)</f>
        <v>11</v>
      </c>
      <c r="F571" s="181">
        <f>IF(Weymouth!H25=0,"",Weymouth!H25)</f>
        <v>9</v>
      </c>
      <c r="G571" s="186">
        <f>IF(Weymouth!I25=0,"",Weymouth!I25)</f>
        <v>2</v>
      </c>
      <c r="H571" s="186">
        <f>IF(Weymouth!J25=0,"",Weymouth!J25)</f>
        <v>39</v>
      </c>
      <c r="I571" s="252">
        <f>IF(Weymouth!K25=0,"",Weymouth!K25)</f>
        <v>26</v>
      </c>
      <c r="J571" s="163">
        <f>IF(Weymouth!M25="","",Weymouth!M25)</f>
        <v>19.989999999999998</v>
      </c>
      <c r="K571" s="163" t="str">
        <f>IF(Weymouth!N25="","",Weymouth!N25)</f>
        <v/>
      </c>
      <c r="L571" s="163">
        <f>IF(Weymouth!O25="","",Weymouth!O25)</f>
        <v>20.96</v>
      </c>
      <c r="M571" s="163">
        <f>IF(Weymouth!P25="","",Weymouth!P25)</f>
        <v>26.72</v>
      </c>
      <c r="N571" s="163" t="str">
        <f>IF(Weymouth!Q25="","",Weymouth!Q25)</f>
        <v/>
      </c>
      <c r="O571" s="163">
        <f>IF(Weymouth!R25="","",Weymouth!R25)</f>
        <v>24.73</v>
      </c>
      <c r="P571" s="163">
        <f>IF(Weymouth!S25="","",Weymouth!S25)</f>
        <v>21.97</v>
      </c>
      <c r="Q571" s="163">
        <f>IF(Weymouth!T25="","",Weymouth!T25)</f>
        <v>21.27</v>
      </c>
      <c r="R571" s="163">
        <f>IF(Weymouth!U25="","",Weymouth!U25)</f>
        <v>26.11</v>
      </c>
      <c r="S571" s="163">
        <f>IF(Weymouth!V25="","",Weymouth!V25)</f>
        <v>26.16</v>
      </c>
      <c r="T571" s="163">
        <f>IF(Weymouth!W25="","",Weymouth!W25)</f>
        <v>25.26</v>
      </c>
      <c r="U571" s="163">
        <f>IF(Weymouth!X25="","",Weymouth!X25)</f>
        <v>26.19</v>
      </c>
      <c r="V571" s="163">
        <f>IF(Weymouth!Y25="","",Weymouth!Y25)</f>
        <v>25.52</v>
      </c>
      <c r="W571" s="186">
        <f>IF(Weymouth!AA25=0,"",Weymouth!AA25)</f>
        <v>8</v>
      </c>
      <c r="X571" s="244">
        <f>IF(Weymouth!AB25=0,"",Weymouth!AB25)</f>
        <v>24.08</v>
      </c>
      <c r="Y571" s="245">
        <f>IF(Weymouth!AC25=0,"",Weymouth!AC25)</f>
        <v>33.08</v>
      </c>
      <c r="AA571" s="246">
        <f>Y571</f>
        <v>33.08</v>
      </c>
      <c r="AB571" s="243">
        <f>X571</f>
        <v>24.08</v>
      </c>
      <c r="AC571" s="185" t="str">
        <f>C571</f>
        <v>Ian Spann</v>
      </c>
      <c r="AD571" s="185" t="str">
        <f>LEFT($B$553,3)</f>
        <v>Wey</v>
      </c>
      <c r="AE571" s="185">
        <f t="shared" ref="AE571:AY571" si="282">E571</f>
        <v>11</v>
      </c>
      <c r="AF571" s="185">
        <f t="shared" si="282"/>
        <v>9</v>
      </c>
      <c r="AG571" s="247">
        <f t="shared" si="282"/>
        <v>2</v>
      </c>
      <c r="AH571" s="247">
        <f t="shared" si="282"/>
        <v>39</v>
      </c>
      <c r="AI571" s="247">
        <f t="shared" si="282"/>
        <v>26</v>
      </c>
      <c r="AJ571" s="243">
        <f t="shared" si="282"/>
        <v>19.989999999999998</v>
      </c>
      <c r="AK571" s="243" t="str">
        <f t="shared" si="282"/>
        <v/>
      </c>
      <c r="AL571" s="243">
        <f t="shared" si="282"/>
        <v>20.96</v>
      </c>
      <c r="AM571" s="243">
        <f t="shared" si="282"/>
        <v>26.72</v>
      </c>
      <c r="AN571" s="243" t="str">
        <f t="shared" si="282"/>
        <v/>
      </c>
      <c r="AO571" s="243">
        <f t="shared" si="282"/>
        <v>24.73</v>
      </c>
      <c r="AP571" s="243">
        <f t="shared" si="282"/>
        <v>21.97</v>
      </c>
      <c r="AQ571" s="243">
        <f t="shared" si="282"/>
        <v>21.27</v>
      </c>
      <c r="AR571" s="243">
        <f t="shared" si="282"/>
        <v>26.11</v>
      </c>
      <c r="AS571" s="243">
        <f t="shared" si="282"/>
        <v>26.16</v>
      </c>
      <c r="AT571" s="243">
        <f t="shared" si="282"/>
        <v>25.26</v>
      </c>
      <c r="AU571" s="243">
        <f t="shared" si="282"/>
        <v>26.19</v>
      </c>
      <c r="AV571" s="243">
        <f t="shared" si="282"/>
        <v>25.52</v>
      </c>
      <c r="AW571" s="247">
        <f t="shared" si="282"/>
        <v>8</v>
      </c>
      <c r="AX571" s="243">
        <f t="shared" si="282"/>
        <v>24.08</v>
      </c>
      <c r="AY571" s="248">
        <f t="shared" si="282"/>
        <v>33.08</v>
      </c>
    </row>
    <row r="572" spans="2:51" ht="12" customHeight="1" x14ac:dyDescent="0.2">
      <c r="B572" s="266"/>
      <c r="C572" s="235"/>
      <c r="D572" s="235"/>
      <c r="E572" s="239"/>
      <c r="F572" s="182"/>
      <c r="G572" s="182"/>
      <c r="H572" s="182"/>
      <c r="I572" s="233"/>
      <c r="J572" s="163" t="str">
        <f>IF(Weymouth!M26="","",Weymouth!M26)</f>
        <v>2*4</v>
      </c>
      <c r="K572" s="163" t="str">
        <f>IF(Weymouth!N26="","",Weymouth!N26)</f>
        <v/>
      </c>
      <c r="L572" s="163" t="str">
        <f>IF(Weymouth!O26="","",Weymouth!O26)</f>
        <v>4*3</v>
      </c>
      <c r="M572" s="163" t="str">
        <f>IF(Weymouth!P26="","",Weymouth!P26)</f>
        <v>4*1</v>
      </c>
      <c r="N572" s="163" t="str">
        <f>IF(Weymouth!Q26="","",Weymouth!Q26)</f>
        <v/>
      </c>
      <c r="O572" s="163" t="str">
        <f>IF(Weymouth!R26="","",Weymouth!R26)</f>
        <v>4*1(1)</v>
      </c>
      <c r="P572" s="163" t="str">
        <f>IF(Weymouth!S26="","",Weymouth!S26)</f>
        <v>4*3(3)</v>
      </c>
      <c r="Q572" s="163" t="str">
        <f>IF(Weymouth!T26="","",Weymouth!T26)</f>
        <v>4*3(2)</v>
      </c>
      <c r="R572" s="163" t="str">
        <f>IF(Weymouth!U26="","",Weymouth!U26)</f>
        <v>4*2</v>
      </c>
      <c r="S572" s="163" t="str">
        <f>IF(Weymouth!V26="","",Weymouth!V26)</f>
        <v>1*4</v>
      </c>
      <c r="T572" s="163" t="str">
        <f>IF(Weymouth!W26="","",Weymouth!W26)</f>
        <v>4*3</v>
      </c>
      <c r="U572" s="163" t="str">
        <f>IF(Weymouth!X26="","",Weymouth!X26)</f>
        <v>4*1</v>
      </c>
      <c r="V572" s="163" t="str">
        <f>IF(Weymouth!Y26="","",Weymouth!Y26)</f>
        <v>4*1(2)</v>
      </c>
      <c r="W572" s="182"/>
      <c r="X572" s="182"/>
      <c r="Y572" s="233"/>
      <c r="AA572" s="239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233"/>
    </row>
    <row r="573" spans="2:51" ht="12" customHeight="1" x14ac:dyDescent="0.2">
      <c r="B573" s="266"/>
      <c r="C573" s="263" t="str">
        <f>IF(Weymouth!E27="","",Weymouth!E27)</f>
        <v>Martin Attree</v>
      </c>
      <c r="D573" s="259" t="str">
        <f>LEFT($B$553,3)</f>
        <v>Wey</v>
      </c>
      <c r="E573" s="251">
        <f>IF(Weymouth!G27="","",Weymouth!G27)</f>
        <v>7</v>
      </c>
      <c r="F573" s="181">
        <f>IF(Weymouth!H27=0,"",Weymouth!H27)</f>
        <v>1</v>
      </c>
      <c r="G573" s="186">
        <f>IF(Weymouth!I27=0,"",Weymouth!I27)</f>
        <v>6</v>
      </c>
      <c r="H573" s="186">
        <f>IF(Weymouth!J27=0,"",Weymouth!J27)</f>
        <v>10</v>
      </c>
      <c r="I573" s="252">
        <f>IF(Weymouth!K27=0,"",Weymouth!K27)</f>
        <v>26</v>
      </c>
      <c r="J573" s="163">
        <f>IF(Weymouth!M27="","",Weymouth!M27)</f>
        <v>19.420000000000002</v>
      </c>
      <c r="K573" s="163" t="str">
        <f>IF(Weymouth!N27="","",Weymouth!N27)</f>
        <v/>
      </c>
      <c r="L573" s="163">
        <f>IF(Weymouth!O27="","",Weymouth!O27)</f>
        <v>16.690000000000001</v>
      </c>
      <c r="M573" s="163">
        <f>IF(Weymouth!P27="","",Weymouth!P27)</f>
        <v>19.53</v>
      </c>
      <c r="N573" s="163" t="str">
        <f>IF(Weymouth!Q27="","",Weymouth!Q27)</f>
        <v/>
      </c>
      <c r="O573" s="163">
        <f>IF(Weymouth!R27="","",Weymouth!R27)</f>
        <v>23.52</v>
      </c>
      <c r="P573" s="163">
        <f>IF(Weymouth!S27="","",Weymouth!S27)</f>
        <v>17.59</v>
      </c>
      <c r="Q573" s="163">
        <f>IF(Weymouth!T27="","",Weymouth!T27)</f>
        <v>20.170000000000002</v>
      </c>
      <c r="R573" s="163" t="str">
        <f>IF(Weymouth!U27="","",Weymouth!U27)</f>
        <v/>
      </c>
      <c r="S573" s="163">
        <f>IF(Weymouth!V27="","",Weymouth!V27)</f>
        <v>16.02</v>
      </c>
      <c r="T573" s="163" t="str">
        <f>IF(Weymouth!W27="","",Weymouth!W27)</f>
        <v/>
      </c>
      <c r="U573" s="163" t="str">
        <f>IF(Weymouth!X27="","",Weymouth!X27)</f>
        <v/>
      </c>
      <c r="V573" s="163" t="str">
        <f>IF(Weymouth!Y27="","",Weymouth!Y27)</f>
        <v/>
      </c>
      <c r="W573" s="186">
        <f>IF(Weymouth!AA27=0,"",Weymouth!AA27)</f>
        <v>2</v>
      </c>
      <c r="X573" s="244">
        <f>IF(Weymouth!AB27=0,"",Weymouth!AB27)</f>
        <v>18.991428571428571</v>
      </c>
      <c r="Y573" s="245">
        <f>IF(Weymouth!AC27=0,"",Weymouth!AC27)</f>
        <v>19.991428571428571</v>
      </c>
      <c r="AA573" s="246">
        <f>Y573</f>
        <v>19.991428571428571</v>
      </c>
      <c r="AB573" s="243">
        <f>X573</f>
        <v>18.991428571428571</v>
      </c>
      <c r="AC573" s="185" t="str">
        <f>C573</f>
        <v>Martin Attree</v>
      </c>
      <c r="AD573" s="185" t="str">
        <f>LEFT($B$553,3)</f>
        <v>Wey</v>
      </c>
      <c r="AE573" s="185">
        <f t="shared" ref="AE573:AY573" si="283">E573</f>
        <v>7</v>
      </c>
      <c r="AF573" s="185">
        <f t="shared" si="283"/>
        <v>1</v>
      </c>
      <c r="AG573" s="247">
        <f t="shared" si="283"/>
        <v>6</v>
      </c>
      <c r="AH573" s="247">
        <f t="shared" si="283"/>
        <v>10</v>
      </c>
      <c r="AI573" s="247">
        <f t="shared" si="283"/>
        <v>26</v>
      </c>
      <c r="AJ573" s="243">
        <f t="shared" si="283"/>
        <v>19.420000000000002</v>
      </c>
      <c r="AK573" s="243" t="str">
        <f t="shared" si="283"/>
        <v/>
      </c>
      <c r="AL573" s="243">
        <f t="shared" si="283"/>
        <v>16.690000000000001</v>
      </c>
      <c r="AM573" s="243">
        <f t="shared" si="283"/>
        <v>19.53</v>
      </c>
      <c r="AN573" s="243" t="str">
        <f t="shared" si="283"/>
        <v/>
      </c>
      <c r="AO573" s="243">
        <f t="shared" si="283"/>
        <v>23.52</v>
      </c>
      <c r="AP573" s="243">
        <f t="shared" si="283"/>
        <v>17.59</v>
      </c>
      <c r="AQ573" s="243">
        <f t="shared" si="283"/>
        <v>20.170000000000002</v>
      </c>
      <c r="AR573" s="243" t="str">
        <f t="shared" si="283"/>
        <v/>
      </c>
      <c r="AS573" s="243">
        <f t="shared" si="283"/>
        <v>16.02</v>
      </c>
      <c r="AT573" s="243" t="str">
        <f t="shared" si="283"/>
        <v/>
      </c>
      <c r="AU573" s="243" t="str">
        <f t="shared" si="283"/>
        <v/>
      </c>
      <c r="AV573" s="243" t="str">
        <f t="shared" si="283"/>
        <v/>
      </c>
      <c r="AW573" s="247">
        <f t="shared" si="283"/>
        <v>2</v>
      </c>
      <c r="AX573" s="243">
        <f t="shared" si="283"/>
        <v>18.991428571428571</v>
      </c>
      <c r="AY573" s="248">
        <f t="shared" si="283"/>
        <v>19.991428571428571</v>
      </c>
    </row>
    <row r="574" spans="2:51" ht="12" customHeight="1" x14ac:dyDescent="0.2">
      <c r="B574" s="266"/>
      <c r="C574" s="235"/>
      <c r="D574" s="235"/>
      <c r="E574" s="239"/>
      <c r="F574" s="182"/>
      <c r="G574" s="182"/>
      <c r="H574" s="182"/>
      <c r="I574" s="233"/>
      <c r="J574" s="163" t="str">
        <f>IF(Weymouth!M28="","",Weymouth!M28)</f>
        <v>0*4</v>
      </c>
      <c r="K574" s="163" t="str">
        <f>IF(Weymouth!N28="","",Weymouth!N28)</f>
        <v/>
      </c>
      <c r="L574" s="163" t="str">
        <f>IF(Weymouth!O28="","",Weymouth!O28)</f>
        <v>2*4</v>
      </c>
      <c r="M574" s="163" t="str">
        <f>IF(Weymouth!P28="","",Weymouth!P28)</f>
        <v>4*2(1)</v>
      </c>
      <c r="N574" s="163" t="str">
        <f>IF(Weymouth!Q28="","",Weymouth!Q28)</f>
        <v/>
      </c>
      <c r="O574" s="163" t="str">
        <f>IF(Weymouth!R28="","",Weymouth!R28)</f>
        <v>1*4</v>
      </c>
      <c r="P574" s="163" t="str">
        <f>IF(Weymouth!S28="","",Weymouth!S28)</f>
        <v>0*4</v>
      </c>
      <c r="Q574" s="163" t="str">
        <f>IF(Weymouth!T28="","",Weymouth!T28)</f>
        <v>3*4(1)</v>
      </c>
      <c r="R574" s="163" t="str">
        <f>IF(Weymouth!U28="","",Weymouth!U28)</f>
        <v/>
      </c>
      <c r="S574" s="163" t="str">
        <f>IF(Weymouth!V28="","",Weymouth!V28)</f>
        <v>0*4</v>
      </c>
      <c r="T574" s="163" t="str">
        <f>IF(Weymouth!W28="","",Weymouth!W28)</f>
        <v/>
      </c>
      <c r="U574" s="163" t="str">
        <f>IF(Weymouth!X28="","",Weymouth!X28)</f>
        <v/>
      </c>
      <c r="V574" s="163" t="str">
        <f>IF(Weymouth!Y28="","",Weymouth!Y28)</f>
        <v/>
      </c>
      <c r="W574" s="182"/>
      <c r="X574" s="182"/>
      <c r="Y574" s="233"/>
      <c r="AA574" s="239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233"/>
    </row>
    <row r="575" spans="2:51" ht="12" customHeight="1" x14ac:dyDescent="0.2">
      <c r="B575" s="266"/>
      <c r="C575" s="263" t="str">
        <f>IF(Weymouth!E29="","",Weymouth!E29)</f>
        <v>Jack Seymour</v>
      </c>
      <c r="D575" s="259" t="str">
        <f>LEFT($B$553,3)</f>
        <v>Wey</v>
      </c>
      <c r="E575" s="251">
        <f>IF(Weymouth!G29="","",Weymouth!G29)</f>
        <v>1</v>
      </c>
      <c r="F575" s="181" t="str">
        <f>IF(Weymouth!H29=0,"",Weymouth!H29)</f>
        <v/>
      </c>
      <c r="G575" s="186">
        <f>IF(Weymouth!I29=0,"",Weymouth!I29)</f>
        <v>1</v>
      </c>
      <c r="H575" s="186">
        <f>IF(Weymouth!J29=0,"",Weymouth!J29)</f>
        <v>3</v>
      </c>
      <c r="I575" s="252">
        <f>IF(Weymouth!K29=0,"",Weymouth!K29)</f>
        <v>4</v>
      </c>
      <c r="J575" s="163">
        <f>IF(Weymouth!M29="","",Weymouth!M29)</f>
        <v>19.72</v>
      </c>
      <c r="K575" s="163" t="str">
        <f>IF(Weymouth!N29="","",Weymouth!N29)</f>
        <v/>
      </c>
      <c r="L575" s="163" t="str">
        <f>IF(Weymouth!O29="","",Weymouth!O29)</f>
        <v/>
      </c>
      <c r="M575" s="163" t="str">
        <f>IF(Weymouth!P29="","",Weymouth!P29)</f>
        <v/>
      </c>
      <c r="N575" s="163" t="str">
        <f>IF(Weymouth!Q29="","",Weymouth!Q29)</f>
        <v/>
      </c>
      <c r="O575" s="163" t="str">
        <f>IF(Weymouth!R29="","",Weymouth!R29)</f>
        <v/>
      </c>
      <c r="P575" s="163" t="str">
        <f>IF(Weymouth!S29="","",Weymouth!S29)</f>
        <v/>
      </c>
      <c r="Q575" s="163" t="str">
        <f>IF(Weymouth!T29="","",Weymouth!T29)</f>
        <v/>
      </c>
      <c r="R575" s="163" t="str">
        <f>IF(Weymouth!U29="","",Weymouth!U29)</f>
        <v/>
      </c>
      <c r="S575" s="163" t="str">
        <f>IF(Weymouth!V29="","",Weymouth!V29)</f>
        <v/>
      </c>
      <c r="T575" s="163" t="str">
        <f>IF(Weymouth!W29="","",Weymouth!W29)</f>
        <v/>
      </c>
      <c r="U575" s="163" t="str">
        <f>IF(Weymouth!X29="","",Weymouth!X29)</f>
        <v/>
      </c>
      <c r="V575" s="163" t="str">
        <f>IF(Weymouth!Y29="","",Weymouth!Y29)</f>
        <v/>
      </c>
      <c r="W575" s="186" t="str">
        <f>IF(Weymouth!AA29=0,"",Weymouth!AA29)</f>
        <v/>
      </c>
      <c r="X575" s="244">
        <f>IF(Weymouth!AB29=0,"",Weymouth!AB29)</f>
        <v>19.72</v>
      </c>
      <c r="Y575" s="245">
        <f>IF(Weymouth!AC29=0,"",Weymouth!AC29)</f>
        <v>19.72</v>
      </c>
      <c r="AA575" s="246">
        <f>Y575</f>
        <v>19.72</v>
      </c>
      <c r="AB575" s="243">
        <f>X575</f>
        <v>19.72</v>
      </c>
      <c r="AC575" s="185" t="str">
        <f>C575</f>
        <v>Jack Seymour</v>
      </c>
      <c r="AD575" s="185" t="str">
        <f>LEFT($B$553,3)</f>
        <v>Wey</v>
      </c>
      <c r="AE575" s="185">
        <f t="shared" ref="AE575:AY575" si="284">E575</f>
        <v>1</v>
      </c>
      <c r="AF575" s="185" t="str">
        <f t="shared" si="284"/>
        <v/>
      </c>
      <c r="AG575" s="247">
        <f t="shared" si="284"/>
        <v>1</v>
      </c>
      <c r="AH575" s="247">
        <f t="shared" si="284"/>
        <v>3</v>
      </c>
      <c r="AI575" s="247">
        <f t="shared" si="284"/>
        <v>4</v>
      </c>
      <c r="AJ575" s="243">
        <f t="shared" si="284"/>
        <v>19.72</v>
      </c>
      <c r="AK575" s="243" t="str">
        <f t="shared" si="284"/>
        <v/>
      </c>
      <c r="AL575" s="243" t="str">
        <f t="shared" si="284"/>
        <v/>
      </c>
      <c r="AM575" s="243" t="str">
        <f t="shared" si="284"/>
        <v/>
      </c>
      <c r="AN575" s="243" t="str">
        <f t="shared" si="284"/>
        <v/>
      </c>
      <c r="AO575" s="243" t="str">
        <f t="shared" si="284"/>
        <v/>
      </c>
      <c r="AP575" s="243" t="str">
        <f t="shared" si="284"/>
        <v/>
      </c>
      <c r="AQ575" s="243" t="str">
        <f t="shared" si="284"/>
        <v/>
      </c>
      <c r="AR575" s="243" t="str">
        <f t="shared" si="284"/>
        <v/>
      </c>
      <c r="AS575" s="243" t="str">
        <f t="shared" si="284"/>
        <v/>
      </c>
      <c r="AT575" s="243" t="str">
        <f t="shared" si="284"/>
        <v/>
      </c>
      <c r="AU575" s="243" t="str">
        <f t="shared" si="284"/>
        <v/>
      </c>
      <c r="AV575" s="243" t="str">
        <f t="shared" si="284"/>
        <v/>
      </c>
      <c r="AW575" s="247" t="str">
        <f t="shared" si="284"/>
        <v/>
      </c>
      <c r="AX575" s="243">
        <f t="shared" si="284"/>
        <v>19.72</v>
      </c>
      <c r="AY575" s="248">
        <f t="shared" si="284"/>
        <v>19.72</v>
      </c>
    </row>
    <row r="576" spans="2:51" ht="12" customHeight="1" x14ac:dyDescent="0.2">
      <c r="B576" s="266"/>
      <c r="C576" s="235"/>
      <c r="D576" s="235"/>
      <c r="E576" s="239"/>
      <c r="F576" s="182"/>
      <c r="G576" s="182"/>
      <c r="H576" s="182"/>
      <c r="I576" s="233"/>
      <c r="J576" s="163" t="str">
        <f>IF(Weymouth!M30="","",Weymouth!M30)</f>
        <v>3*4</v>
      </c>
      <c r="K576" s="163" t="str">
        <f>IF(Weymouth!N30="","",Weymouth!N30)</f>
        <v/>
      </c>
      <c r="L576" s="163" t="str">
        <f>IF(Weymouth!O30="","",Weymouth!O30)</f>
        <v/>
      </c>
      <c r="M576" s="163" t="str">
        <f>IF(Weymouth!P30="","",Weymouth!P30)</f>
        <v/>
      </c>
      <c r="N576" s="163" t="str">
        <f>IF(Weymouth!Q30="","",Weymouth!Q30)</f>
        <v/>
      </c>
      <c r="O576" s="163" t="str">
        <f>IF(Weymouth!R30="","",Weymouth!R30)</f>
        <v/>
      </c>
      <c r="P576" s="163" t="str">
        <f>IF(Weymouth!S30="","",Weymouth!S30)</f>
        <v/>
      </c>
      <c r="Q576" s="163" t="str">
        <f>IF(Weymouth!T30="","",Weymouth!T30)</f>
        <v/>
      </c>
      <c r="R576" s="163" t="str">
        <f>IF(Weymouth!U30="","",Weymouth!U30)</f>
        <v/>
      </c>
      <c r="S576" s="163" t="str">
        <f>IF(Weymouth!V30="","",Weymouth!V30)</f>
        <v/>
      </c>
      <c r="T576" s="163" t="str">
        <f>IF(Weymouth!W30="","",Weymouth!W30)</f>
        <v/>
      </c>
      <c r="U576" s="163" t="str">
        <f>IF(Weymouth!X30="","",Weymouth!X30)</f>
        <v/>
      </c>
      <c r="V576" s="163" t="str">
        <f>IF(Weymouth!Y30="","",Weymouth!Y30)</f>
        <v/>
      </c>
      <c r="W576" s="182"/>
      <c r="X576" s="182"/>
      <c r="Y576" s="233"/>
      <c r="AA576" s="239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233"/>
    </row>
    <row r="577" spans="2:51" ht="12" customHeight="1" x14ac:dyDescent="0.2">
      <c r="B577" s="266"/>
      <c r="C577" s="263" t="str">
        <f>IF(Weymouth!E31="","",Weymouth!E31)</f>
        <v>Adam Mckay</v>
      </c>
      <c r="D577" s="259" t="str">
        <f>LEFT($B$553,3)</f>
        <v>Wey</v>
      </c>
      <c r="E577" s="251">
        <f>IF(Weymouth!G31="","",Weymouth!G31)</f>
        <v>7</v>
      </c>
      <c r="F577" s="181">
        <f>IF(Weymouth!H31=0,"",Weymouth!H31)</f>
        <v>1</v>
      </c>
      <c r="G577" s="186">
        <f>IF(Weymouth!I31=0,"",Weymouth!I31)</f>
        <v>6</v>
      </c>
      <c r="H577" s="186">
        <f>IF(Weymouth!J31=0,"",Weymouth!J31)</f>
        <v>17</v>
      </c>
      <c r="I577" s="252">
        <f>IF(Weymouth!K31=0,"",Weymouth!K31)</f>
        <v>27</v>
      </c>
      <c r="J577" s="163" t="str">
        <f>IF(Weymouth!M31="","",Weymouth!M31)</f>
        <v/>
      </c>
      <c r="K577" s="163" t="str">
        <f>IF(Weymouth!N31="","",Weymouth!N31)</f>
        <v/>
      </c>
      <c r="L577" s="163">
        <f>IF(Weymouth!O31="","",Weymouth!O31)</f>
        <v>19.350000000000001</v>
      </c>
      <c r="M577" s="163">
        <f>IF(Weymouth!P31="","",Weymouth!P31)</f>
        <v>21.24</v>
      </c>
      <c r="N577" s="163">
        <f>IF(Weymouth!Q31="","",Weymouth!Q31)</f>
        <v>25.9</v>
      </c>
      <c r="O577" s="163">
        <f>IF(Weymouth!R31="","",Weymouth!R31)</f>
        <v>20.37</v>
      </c>
      <c r="P577" s="163">
        <f>IF(Weymouth!S31="","",Weymouth!S31)</f>
        <v>17.72</v>
      </c>
      <c r="Q577" s="163">
        <f>IF(Weymouth!T31="","",Weymouth!T31)</f>
        <v>21.34</v>
      </c>
      <c r="R577" s="163">
        <f>IF(Weymouth!U31="","",Weymouth!U31)</f>
        <v>22.73</v>
      </c>
      <c r="S577" s="163" t="str">
        <f>IF(Weymouth!V31="","",Weymouth!V31)</f>
        <v/>
      </c>
      <c r="T577" s="163" t="str">
        <f>IF(Weymouth!W31="","",Weymouth!W31)</f>
        <v/>
      </c>
      <c r="U577" s="163" t="str">
        <f>IF(Weymouth!X31="","",Weymouth!X31)</f>
        <v/>
      </c>
      <c r="V577" s="163" t="str">
        <f>IF(Weymouth!Y31="","",Weymouth!Y31)</f>
        <v/>
      </c>
      <c r="W577" s="186">
        <f>IF(Weymouth!AA31=0,"",Weymouth!AA31)</f>
        <v>1</v>
      </c>
      <c r="X577" s="244">
        <f>IF(Weymouth!AB31=0,"",Weymouth!AB31)</f>
        <v>21.235714285714288</v>
      </c>
      <c r="Y577" s="245">
        <f>IF(Weymouth!AC31=0,"",Weymouth!AC31)</f>
        <v>22.235714285714288</v>
      </c>
      <c r="AA577" s="246">
        <f>Y577</f>
        <v>22.235714285714288</v>
      </c>
      <c r="AB577" s="243">
        <f>X577</f>
        <v>21.235714285714288</v>
      </c>
      <c r="AC577" s="185" t="str">
        <f>C577</f>
        <v>Adam Mckay</v>
      </c>
      <c r="AD577" s="185" t="str">
        <f>LEFT($B$553,3)</f>
        <v>Wey</v>
      </c>
      <c r="AE577" s="185">
        <f t="shared" ref="AE577:AY577" si="285">E577</f>
        <v>7</v>
      </c>
      <c r="AF577" s="185">
        <f t="shared" si="285"/>
        <v>1</v>
      </c>
      <c r="AG577" s="247">
        <f t="shared" si="285"/>
        <v>6</v>
      </c>
      <c r="AH577" s="247">
        <f t="shared" si="285"/>
        <v>17</v>
      </c>
      <c r="AI577" s="247">
        <f t="shared" si="285"/>
        <v>27</v>
      </c>
      <c r="AJ577" s="243" t="str">
        <f t="shared" si="285"/>
        <v/>
      </c>
      <c r="AK577" s="243" t="str">
        <f t="shared" si="285"/>
        <v/>
      </c>
      <c r="AL577" s="243">
        <f t="shared" si="285"/>
        <v>19.350000000000001</v>
      </c>
      <c r="AM577" s="243">
        <f t="shared" si="285"/>
        <v>21.24</v>
      </c>
      <c r="AN577" s="243">
        <f t="shared" si="285"/>
        <v>25.9</v>
      </c>
      <c r="AO577" s="243">
        <f t="shared" si="285"/>
        <v>20.37</v>
      </c>
      <c r="AP577" s="243">
        <f t="shared" si="285"/>
        <v>17.72</v>
      </c>
      <c r="AQ577" s="243">
        <f t="shared" si="285"/>
        <v>21.34</v>
      </c>
      <c r="AR577" s="243">
        <f t="shared" si="285"/>
        <v>22.73</v>
      </c>
      <c r="AS577" s="243" t="str">
        <f t="shared" si="285"/>
        <v/>
      </c>
      <c r="AT577" s="243" t="str">
        <f t="shared" si="285"/>
        <v/>
      </c>
      <c r="AU577" s="243" t="str">
        <f t="shared" si="285"/>
        <v/>
      </c>
      <c r="AV577" s="243" t="str">
        <f t="shared" si="285"/>
        <v/>
      </c>
      <c r="AW577" s="247">
        <f t="shared" si="285"/>
        <v>1</v>
      </c>
      <c r="AX577" s="243">
        <f t="shared" si="285"/>
        <v>21.235714285714288</v>
      </c>
      <c r="AY577" s="248">
        <f t="shared" si="285"/>
        <v>22.235714285714288</v>
      </c>
    </row>
    <row r="578" spans="2:51" ht="12" customHeight="1" x14ac:dyDescent="0.2">
      <c r="B578" s="266"/>
      <c r="C578" s="235"/>
      <c r="D578" s="235"/>
      <c r="E578" s="239"/>
      <c r="F578" s="182"/>
      <c r="G578" s="182"/>
      <c r="H578" s="182"/>
      <c r="I578" s="233"/>
      <c r="J578" s="163" t="str">
        <f>IF(Weymouth!M32="","",Weymouth!M32)</f>
        <v/>
      </c>
      <c r="K578" s="163" t="str">
        <f>IF(Weymouth!N32="","",Weymouth!N32)</f>
        <v/>
      </c>
      <c r="L578" s="163" t="str">
        <f>IF(Weymouth!O32="","",Weymouth!O32)</f>
        <v>4*3</v>
      </c>
      <c r="M578" s="163" t="str">
        <f>IF(Weymouth!P32="","",Weymouth!P32)</f>
        <v>3*4(1)</v>
      </c>
      <c r="N578" s="163" t="str">
        <f>IF(Weymouth!Q32="","",Weymouth!Q32)</f>
        <v>0*4</v>
      </c>
      <c r="O578" s="163" t="str">
        <f>IF(Weymouth!R32="","",Weymouth!R32)</f>
        <v>2*4</v>
      </c>
      <c r="P578" s="163" t="str">
        <f>IF(Weymouth!S32="","",Weymouth!S32)</f>
        <v>2*4</v>
      </c>
      <c r="Q578" s="163" t="str">
        <f>IF(Weymouth!T32="","",Weymouth!T32)</f>
        <v>3*4</v>
      </c>
      <c r="R578" s="163" t="str">
        <f>IF(Weymouth!U32="","",Weymouth!U32)</f>
        <v>3*4</v>
      </c>
      <c r="S578" s="163" t="str">
        <f>IF(Weymouth!V32="","",Weymouth!V32)</f>
        <v/>
      </c>
      <c r="T578" s="163" t="str">
        <f>IF(Weymouth!W32="","",Weymouth!W32)</f>
        <v/>
      </c>
      <c r="U578" s="163" t="str">
        <f>IF(Weymouth!X32="","",Weymouth!X32)</f>
        <v/>
      </c>
      <c r="V578" s="163" t="str">
        <f>IF(Weymouth!Y32="","",Weymouth!Y32)</f>
        <v/>
      </c>
      <c r="W578" s="182"/>
      <c r="X578" s="182"/>
      <c r="Y578" s="233"/>
      <c r="AA578" s="239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233"/>
    </row>
    <row r="579" spans="2:51" ht="12" customHeight="1" x14ac:dyDescent="0.2">
      <c r="B579" s="266"/>
      <c r="C579" s="263" t="str">
        <f>IF(Weymouth!E33="","",Weymouth!E33)</f>
        <v>Paul Dormer</v>
      </c>
      <c r="D579" s="259" t="str">
        <f>LEFT($B$553,3)</f>
        <v>Wey</v>
      </c>
      <c r="E579" s="251">
        <f>IF(Weymouth!G33="","",Weymouth!G33)</f>
        <v>1</v>
      </c>
      <c r="F579" s="181" t="str">
        <f>IF(Weymouth!H33=0,"",Weymouth!H33)</f>
        <v/>
      </c>
      <c r="G579" s="186">
        <f>IF(Weymouth!I33=0,"",Weymouth!I33)</f>
        <v>1</v>
      </c>
      <c r="H579" s="186">
        <f>IF(Weymouth!J33=0,"",Weymouth!J33)</f>
        <v>1</v>
      </c>
      <c r="I579" s="252">
        <f>IF(Weymouth!K33=0,"",Weymouth!K33)</f>
        <v>4</v>
      </c>
      <c r="J579" s="163" t="str">
        <f>IF(Weymouth!M33="","",Weymouth!M33)</f>
        <v/>
      </c>
      <c r="K579" s="163" t="str">
        <f>IF(Weymouth!N33="","",Weymouth!N33)</f>
        <v/>
      </c>
      <c r="L579" s="163" t="str">
        <f>IF(Weymouth!O33="","",Weymouth!O33)</f>
        <v/>
      </c>
      <c r="M579" s="163" t="str">
        <f>IF(Weymouth!P33="","",Weymouth!P33)</f>
        <v/>
      </c>
      <c r="N579" s="163">
        <f>IF(Weymouth!Q33="","",Weymouth!Q33)</f>
        <v>21.92</v>
      </c>
      <c r="O579" s="163" t="str">
        <f>IF(Weymouth!R33="","",Weymouth!R33)</f>
        <v/>
      </c>
      <c r="P579" s="163" t="str">
        <f>IF(Weymouth!S33="","",Weymouth!S33)</f>
        <v/>
      </c>
      <c r="Q579" s="163" t="str">
        <f>IF(Weymouth!T33="","",Weymouth!T33)</f>
        <v/>
      </c>
      <c r="R579" s="163" t="str">
        <f>IF(Weymouth!U33="","",Weymouth!U33)</f>
        <v/>
      </c>
      <c r="S579" s="163" t="str">
        <f>IF(Weymouth!V33="","",Weymouth!V33)</f>
        <v/>
      </c>
      <c r="T579" s="163" t="str">
        <f>IF(Weymouth!W33="","",Weymouth!W33)</f>
        <v/>
      </c>
      <c r="U579" s="163" t="str">
        <f>IF(Weymouth!X33="","",Weymouth!X33)</f>
        <v/>
      </c>
      <c r="V579" s="163" t="str">
        <f>IF(Weymouth!Y33="","",Weymouth!Y33)</f>
        <v/>
      </c>
      <c r="W579" s="186" t="str">
        <f>IF(Weymouth!AA33=0,"",Weymouth!AA33)</f>
        <v/>
      </c>
      <c r="X579" s="244">
        <f>IF(Weymouth!AB33=0,"",Weymouth!AB33)</f>
        <v>21.92</v>
      </c>
      <c r="Y579" s="245">
        <f>IF(Weymouth!AC33=0,"",Weymouth!AC33)</f>
        <v>21.92</v>
      </c>
      <c r="AA579" s="246">
        <f>Y579</f>
        <v>21.92</v>
      </c>
      <c r="AB579" s="243">
        <f>X579</f>
        <v>21.92</v>
      </c>
      <c r="AC579" s="185" t="str">
        <f>C579</f>
        <v>Paul Dormer</v>
      </c>
      <c r="AD579" s="185" t="str">
        <f>LEFT($B$553,3)</f>
        <v>Wey</v>
      </c>
      <c r="AE579" s="185">
        <f t="shared" ref="AE579:AY579" si="286">E579</f>
        <v>1</v>
      </c>
      <c r="AF579" s="185" t="str">
        <f t="shared" si="286"/>
        <v/>
      </c>
      <c r="AG579" s="247">
        <f t="shared" si="286"/>
        <v>1</v>
      </c>
      <c r="AH579" s="247">
        <f t="shared" si="286"/>
        <v>1</v>
      </c>
      <c r="AI579" s="247">
        <f t="shared" si="286"/>
        <v>4</v>
      </c>
      <c r="AJ579" s="243" t="str">
        <f t="shared" si="286"/>
        <v/>
      </c>
      <c r="AK579" s="243" t="str">
        <f t="shared" si="286"/>
        <v/>
      </c>
      <c r="AL579" s="243" t="str">
        <f t="shared" si="286"/>
        <v/>
      </c>
      <c r="AM579" s="243" t="str">
        <f t="shared" si="286"/>
        <v/>
      </c>
      <c r="AN579" s="243">
        <f t="shared" si="286"/>
        <v>21.92</v>
      </c>
      <c r="AO579" s="243" t="str">
        <f t="shared" si="286"/>
        <v/>
      </c>
      <c r="AP579" s="243" t="str">
        <f t="shared" si="286"/>
        <v/>
      </c>
      <c r="AQ579" s="243" t="str">
        <f t="shared" si="286"/>
        <v/>
      </c>
      <c r="AR579" s="243" t="str">
        <f t="shared" si="286"/>
        <v/>
      </c>
      <c r="AS579" s="243" t="str">
        <f t="shared" si="286"/>
        <v/>
      </c>
      <c r="AT579" s="243" t="str">
        <f t="shared" si="286"/>
        <v/>
      </c>
      <c r="AU579" s="243" t="str">
        <f t="shared" si="286"/>
        <v/>
      </c>
      <c r="AV579" s="243" t="str">
        <f t="shared" si="286"/>
        <v/>
      </c>
      <c r="AW579" s="247" t="str">
        <f t="shared" si="286"/>
        <v/>
      </c>
      <c r="AX579" s="243">
        <f t="shared" si="286"/>
        <v>21.92</v>
      </c>
      <c r="AY579" s="248">
        <f t="shared" si="286"/>
        <v>21.92</v>
      </c>
    </row>
    <row r="580" spans="2:51" ht="12" customHeight="1" x14ac:dyDescent="0.2">
      <c r="B580" s="266"/>
      <c r="C580" s="235"/>
      <c r="D580" s="235"/>
      <c r="E580" s="239"/>
      <c r="F580" s="182"/>
      <c r="G580" s="182"/>
      <c r="H580" s="182"/>
      <c r="I580" s="233"/>
      <c r="J580" s="163" t="str">
        <f>IF(Weymouth!M34="","",Weymouth!M34)</f>
        <v/>
      </c>
      <c r="K580" s="163" t="str">
        <f>IF(Weymouth!N34="","",Weymouth!N34)</f>
        <v/>
      </c>
      <c r="L580" s="163" t="str">
        <f>IF(Weymouth!O34="","",Weymouth!O34)</f>
        <v/>
      </c>
      <c r="M580" s="163" t="str">
        <f>IF(Weymouth!P34="","",Weymouth!P34)</f>
        <v/>
      </c>
      <c r="N580" s="163" t="str">
        <f>IF(Weymouth!Q34="","",Weymouth!Q34)</f>
        <v>1*4</v>
      </c>
      <c r="O580" s="163" t="str">
        <f>IF(Weymouth!R34="","",Weymouth!R34)</f>
        <v/>
      </c>
      <c r="P580" s="163" t="str">
        <f>IF(Weymouth!S34="","",Weymouth!S34)</f>
        <v/>
      </c>
      <c r="Q580" s="163" t="str">
        <f>IF(Weymouth!T34="","",Weymouth!T34)</f>
        <v/>
      </c>
      <c r="R580" s="163" t="str">
        <f>IF(Weymouth!U34="","",Weymouth!U34)</f>
        <v/>
      </c>
      <c r="S580" s="163" t="str">
        <f>IF(Weymouth!V34="","",Weymouth!V34)</f>
        <v/>
      </c>
      <c r="T580" s="163" t="str">
        <f>IF(Weymouth!W34="","",Weymouth!W34)</f>
        <v/>
      </c>
      <c r="U580" s="163" t="str">
        <f>IF(Weymouth!X34="","",Weymouth!X34)</f>
        <v/>
      </c>
      <c r="V580" s="163" t="str">
        <f>IF(Weymouth!Y34="","",Weymouth!Y34)</f>
        <v/>
      </c>
      <c r="W580" s="182"/>
      <c r="X580" s="182"/>
      <c r="Y580" s="233"/>
      <c r="AA580" s="239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233"/>
    </row>
    <row r="581" spans="2:51" ht="12" customHeight="1" x14ac:dyDescent="0.2">
      <c r="B581" s="266"/>
      <c r="C581" s="263" t="str">
        <f>IF(Weymouth!E35="","",Weymouth!E35)</f>
        <v>Trevor Stimpson</v>
      </c>
      <c r="D581" s="259" t="str">
        <f>LEFT($B$553,3)</f>
        <v>Wey</v>
      </c>
      <c r="E581" s="251">
        <f>IF(Weymouth!G35="","",Weymouth!G35)</f>
        <v>1</v>
      </c>
      <c r="F581" s="181" t="str">
        <f>IF(Weymouth!H35=0,"",Weymouth!H35)</f>
        <v/>
      </c>
      <c r="G581" s="186">
        <f>IF(Weymouth!I35=0,"",Weymouth!I35)</f>
        <v>1</v>
      </c>
      <c r="H581" s="186">
        <f>IF(Weymouth!J35=0,"",Weymouth!J35)</f>
        <v>1</v>
      </c>
      <c r="I581" s="252">
        <f>IF(Weymouth!K35=0,"",Weymouth!K35)</f>
        <v>4</v>
      </c>
      <c r="J581" s="163" t="str">
        <f>IF(Weymouth!M35="","",Weymouth!M35)</f>
        <v/>
      </c>
      <c r="K581" s="163" t="str">
        <f>IF(Weymouth!N35="","",Weymouth!N35)</f>
        <v/>
      </c>
      <c r="L581" s="163" t="str">
        <f>IF(Weymouth!O35="","",Weymouth!O35)</f>
        <v/>
      </c>
      <c r="M581" s="163" t="str">
        <f>IF(Weymouth!P35="","",Weymouth!P35)</f>
        <v/>
      </c>
      <c r="N581" s="163">
        <f>IF(Weymouth!Q35="","",Weymouth!Q35)</f>
        <v>19.41</v>
      </c>
      <c r="O581" s="163" t="str">
        <f>IF(Weymouth!R35="","",Weymouth!R35)</f>
        <v/>
      </c>
      <c r="P581" s="163" t="str">
        <f>IF(Weymouth!S35="","",Weymouth!S35)</f>
        <v/>
      </c>
      <c r="Q581" s="163" t="str">
        <f>IF(Weymouth!T35="","",Weymouth!T35)</f>
        <v/>
      </c>
      <c r="R581" s="163" t="str">
        <f>IF(Weymouth!U35="","",Weymouth!U35)</f>
        <v/>
      </c>
      <c r="S581" s="163" t="str">
        <f>IF(Weymouth!V35="","",Weymouth!V35)</f>
        <v/>
      </c>
      <c r="T581" s="163" t="str">
        <f>IF(Weymouth!W35="","",Weymouth!W35)</f>
        <v/>
      </c>
      <c r="U581" s="163" t="str">
        <f>IF(Weymouth!X35="","",Weymouth!X35)</f>
        <v/>
      </c>
      <c r="V581" s="163" t="str">
        <f>IF(Weymouth!Y35="","",Weymouth!Y35)</f>
        <v/>
      </c>
      <c r="W581" s="186" t="str">
        <f>IF(Weymouth!AA35=0,"",Weymouth!AA35)</f>
        <v/>
      </c>
      <c r="X581" s="244">
        <f>IF(Weymouth!AB35=0,"",Weymouth!AB35)</f>
        <v>19.41</v>
      </c>
      <c r="Y581" s="245">
        <f>IF(Weymouth!AC35=0,"",Weymouth!AC35)</f>
        <v>19.41</v>
      </c>
      <c r="AA581" s="246">
        <f>Y581</f>
        <v>19.41</v>
      </c>
      <c r="AB581" s="243">
        <f>X581</f>
        <v>19.41</v>
      </c>
      <c r="AC581" s="185" t="str">
        <f>C581</f>
        <v>Trevor Stimpson</v>
      </c>
      <c r="AD581" s="185" t="str">
        <f>LEFT($B$553,3)</f>
        <v>Wey</v>
      </c>
      <c r="AE581" s="185">
        <f t="shared" ref="AE581:AY581" si="287">E581</f>
        <v>1</v>
      </c>
      <c r="AF581" s="185" t="str">
        <f t="shared" si="287"/>
        <v/>
      </c>
      <c r="AG581" s="247">
        <f t="shared" si="287"/>
        <v>1</v>
      </c>
      <c r="AH581" s="247">
        <f t="shared" si="287"/>
        <v>1</v>
      </c>
      <c r="AI581" s="247">
        <f t="shared" si="287"/>
        <v>4</v>
      </c>
      <c r="AJ581" s="243" t="str">
        <f t="shared" si="287"/>
        <v/>
      </c>
      <c r="AK581" s="243" t="str">
        <f t="shared" si="287"/>
        <v/>
      </c>
      <c r="AL581" s="243" t="str">
        <f t="shared" si="287"/>
        <v/>
      </c>
      <c r="AM581" s="243" t="str">
        <f t="shared" si="287"/>
        <v/>
      </c>
      <c r="AN581" s="243">
        <f t="shared" si="287"/>
        <v>19.41</v>
      </c>
      <c r="AO581" s="243" t="str">
        <f t="shared" si="287"/>
        <v/>
      </c>
      <c r="AP581" s="243" t="str">
        <f t="shared" si="287"/>
        <v/>
      </c>
      <c r="AQ581" s="243" t="str">
        <f t="shared" si="287"/>
        <v/>
      </c>
      <c r="AR581" s="243" t="str">
        <f t="shared" si="287"/>
        <v/>
      </c>
      <c r="AS581" s="243" t="str">
        <f t="shared" si="287"/>
        <v/>
      </c>
      <c r="AT581" s="243" t="str">
        <f t="shared" si="287"/>
        <v/>
      </c>
      <c r="AU581" s="243" t="str">
        <f t="shared" si="287"/>
        <v/>
      </c>
      <c r="AV581" s="243" t="str">
        <f t="shared" si="287"/>
        <v/>
      </c>
      <c r="AW581" s="247" t="str">
        <f t="shared" si="287"/>
        <v/>
      </c>
      <c r="AX581" s="243">
        <f t="shared" si="287"/>
        <v>19.41</v>
      </c>
      <c r="AY581" s="248">
        <f t="shared" si="287"/>
        <v>19.41</v>
      </c>
    </row>
    <row r="582" spans="2:51" ht="12" customHeight="1" x14ac:dyDescent="0.2">
      <c r="B582" s="266"/>
      <c r="C582" s="235"/>
      <c r="D582" s="235"/>
      <c r="E582" s="239"/>
      <c r="F582" s="182"/>
      <c r="G582" s="182"/>
      <c r="H582" s="182"/>
      <c r="I582" s="233"/>
      <c r="J582" s="163" t="str">
        <f>IF(Weymouth!M36="","",Weymouth!M36)</f>
        <v/>
      </c>
      <c r="K582" s="163" t="str">
        <f>IF(Weymouth!N36="","",Weymouth!N36)</f>
        <v/>
      </c>
      <c r="L582" s="163" t="str">
        <f>IF(Weymouth!O36="","",Weymouth!O36)</f>
        <v/>
      </c>
      <c r="M582" s="163" t="str">
        <f>IF(Weymouth!P36="","",Weymouth!P36)</f>
        <v/>
      </c>
      <c r="N582" s="163" t="str">
        <f>IF(Weymouth!Q36="","",Weymouth!Q36)</f>
        <v>1*4</v>
      </c>
      <c r="O582" s="163" t="str">
        <f>IF(Weymouth!R36="","",Weymouth!R36)</f>
        <v/>
      </c>
      <c r="P582" s="163" t="str">
        <f>IF(Weymouth!S36="","",Weymouth!S36)</f>
        <v/>
      </c>
      <c r="Q582" s="163" t="str">
        <f>IF(Weymouth!T36="","",Weymouth!T36)</f>
        <v/>
      </c>
      <c r="R582" s="163" t="str">
        <f>IF(Weymouth!U36="","",Weymouth!U36)</f>
        <v/>
      </c>
      <c r="S582" s="163" t="str">
        <f>IF(Weymouth!V36="","",Weymouth!V36)</f>
        <v/>
      </c>
      <c r="T582" s="163" t="str">
        <f>IF(Weymouth!W36="","",Weymouth!W36)</f>
        <v/>
      </c>
      <c r="U582" s="163" t="str">
        <f>IF(Weymouth!X36="","",Weymouth!X36)</f>
        <v/>
      </c>
      <c r="V582" s="163" t="str">
        <f>IF(Weymouth!Y36="","",Weymouth!Y36)</f>
        <v/>
      </c>
      <c r="W582" s="182"/>
      <c r="X582" s="182"/>
      <c r="Y582" s="233"/>
      <c r="AA582" s="239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233"/>
    </row>
    <row r="583" spans="2:51" ht="12" customHeight="1" x14ac:dyDescent="0.2">
      <c r="B583" s="266"/>
      <c r="C583" s="263" t="str">
        <f>IF(Weymouth!E37="","",Weymouth!E37)</f>
        <v>Jordan Sharpe</v>
      </c>
      <c r="D583" s="259" t="str">
        <f>LEFT($B$553,3)</f>
        <v>Wey</v>
      </c>
      <c r="E583" s="251">
        <f>IF(Weymouth!G37="","",Weymouth!G37)</f>
        <v>5</v>
      </c>
      <c r="F583" s="181">
        <f>IF(Weymouth!H37=0,"",Weymouth!H37)</f>
        <v>3</v>
      </c>
      <c r="G583" s="186">
        <f>IF(Weymouth!I37=0,"",Weymouth!I37)</f>
        <v>2</v>
      </c>
      <c r="H583" s="186">
        <f>IF(Weymouth!J37=0,"",Weymouth!J37)</f>
        <v>12</v>
      </c>
      <c r="I583" s="252">
        <f>IF(Weymouth!K37=0,"",Weymouth!K37)</f>
        <v>13</v>
      </c>
      <c r="J583" s="163" t="str">
        <f>IF(Weymouth!M37="","",Weymouth!M37)</f>
        <v/>
      </c>
      <c r="K583" s="163" t="str">
        <f>IF(Weymouth!N37="","",Weymouth!N37)</f>
        <v/>
      </c>
      <c r="L583" s="163" t="str">
        <f>IF(Weymouth!O37="","",Weymouth!O37)</f>
        <v/>
      </c>
      <c r="M583" s="163" t="str">
        <f>IF(Weymouth!P37="","",Weymouth!P37)</f>
        <v/>
      </c>
      <c r="N583" s="163" t="str">
        <f>IF(Weymouth!Q37="","",Weymouth!Q37)</f>
        <v/>
      </c>
      <c r="O583" s="163">
        <f>IF(Weymouth!R37="","",Weymouth!R37)</f>
        <v>25.22</v>
      </c>
      <c r="P583" s="163" t="str">
        <f>IF(Weymouth!S37="","",Weymouth!S37)</f>
        <v/>
      </c>
      <c r="Q583" s="163" t="str">
        <f>IF(Weymouth!T37="","",Weymouth!T37)</f>
        <v/>
      </c>
      <c r="R583" s="163">
        <f>IF(Weymouth!U37="","",Weymouth!U37)</f>
        <v>23.58</v>
      </c>
      <c r="S583" s="163" t="str">
        <f>IF(Weymouth!V37="","",Weymouth!V37)</f>
        <v/>
      </c>
      <c r="T583" s="163">
        <f>IF(Weymouth!W37="","",Weymouth!W37)</f>
        <v>23.86</v>
      </c>
      <c r="U583" s="163">
        <f>IF(Weymouth!X37="","",Weymouth!X37)</f>
        <v>25.22</v>
      </c>
      <c r="V583" s="163">
        <f>IF(Weymouth!Y37="","",Weymouth!Y37)</f>
        <v>23.14</v>
      </c>
      <c r="W583" s="186">
        <f>IF(Weymouth!AA37=0,"",Weymouth!AA37)</f>
        <v>1</v>
      </c>
      <c r="X583" s="244">
        <f>IF(Weymouth!AB37=0,"",Weymouth!AB37)</f>
        <v>24.204000000000001</v>
      </c>
      <c r="Y583" s="245">
        <f>IF(Weymouth!AC37=0,"",Weymouth!AC37)</f>
        <v>27.204000000000001</v>
      </c>
      <c r="AA583" s="246">
        <f>Y583</f>
        <v>27.204000000000001</v>
      </c>
      <c r="AB583" s="243">
        <f>X583</f>
        <v>24.204000000000001</v>
      </c>
      <c r="AC583" s="185" t="str">
        <f>C583</f>
        <v>Jordan Sharpe</v>
      </c>
      <c r="AD583" s="185" t="str">
        <f>LEFT($B$553,3)</f>
        <v>Wey</v>
      </c>
      <c r="AE583" s="185">
        <f t="shared" ref="AE583:AY583" si="288">E583</f>
        <v>5</v>
      </c>
      <c r="AF583" s="185">
        <f t="shared" si="288"/>
        <v>3</v>
      </c>
      <c r="AG583" s="247">
        <f t="shared" si="288"/>
        <v>2</v>
      </c>
      <c r="AH583" s="247">
        <f t="shared" si="288"/>
        <v>12</v>
      </c>
      <c r="AI583" s="247">
        <f t="shared" si="288"/>
        <v>13</v>
      </c>
      <c r="AJ583" s="243" t="str">
        <f t="shared" si="288"/>
        <v/>
      </c>
      <c r="AK583" s="243" t="str">
        <f t="shared" si="288"/>
        <v/>
      </c>
      <c r="AL583" s="243" t="str">
        <f t="shared" si="288"/>
        <v/>
      </c>
      <c r="AM583" s="243" t="str">
        <f t="shared" si="288"/>
        <v/>
      </c>
      <c r="AN583" s="243" t="str">
        <f t="shared" si="288"/>
        <v/>
      </c>
      <c r="AO583" s="243">
        <f t="shared" si="288"/>
        <v>25.22</v>
      </c>
      <c r="AP583" s="243" t="str">
        <f t="shared" si="288"/>
        <v/>
      </c>
      <c r="AQ583" s="243" t="str">
        <f t="shared" si="288"/>
        <v/>
      </c>
      <c r="AR583" s="243">
        <f t="shared" si="288"/>
        <v>23.58</v>
      </c>
      <c r="AS583" s="243" t="str">
        <f t="shared" si="288"/>
        <v/>
      </c>
      <c r="AT583" s="243">
        <f t="shared" si="288"/>
        <v>23.86</v>
      </c>
      <c r="AU583" s="243">
        <f t="shared" si="288"/>
        <v>25.22</v>
      </c>
      <c r="AV583" s="243">
        <f t="shared" si="288"/>
        <v>23.14</v>
      </c>
      <c r="AW583" s="247">
        <f t="shared" si="288"/>
        <v>1</v>
      </c>
      <c r="AX583" s="243">
        <f t="shared" si="288"/>
        <v>24.204000000000001</v>
      </c>
      <c r="AY583" s="248">
        <f t="shared" si="288"/>
        <v>27.204000000000001</v>
      </c>
    </row>
    <row r="584" spans="2:51" ht="12" customHeight="1" x14ac:dyDescent="0.2">
      <c r="B584" s="266"/>
      <c r="C584" s="235"/>
      <c r="D584" s="235"/>
      <c r="E584" s="239"/>
      <c r="F584" s="182"/>
      <c r="G584" s="182"/>
      <c r="H584" s="182"/>
      <c r="I584" s="233"/>
      <c r="J584" s="163" t="str">
        <f>IF(Weymouth!M38="","",Weymouth!M38)</f>
        <v/>
      </c>
      <c r="K584" s="163" t="str">
        <f>IF(Weymouth!N38="","",Weymouth!N38)</f>
        <v/>
      </c>
      <c r="L584" s="163" t="str">
        <f>IF(Weymouth!O38="","",Weymouth!O38)</f>
        <v/>
      </c>
      <c r="M584" s="163" t="str">
        <f>IF(Weymouth!P38="","",Weymouth!P38)</f>
        <v/>
      </c>
      <c r="N584" s="163" t="str">
        <f>IF(Weymouth!Q38="","",Weymouth!Q38)</f>
        <v/>
      </c>
      <c r="O584" s="163" t="str">
        <f>IF(Weymouth!R38="","",Weymouth!R38)</f>
        <v>0*4</v>
      </c>
      <c r="P584" s="163" t="str">
        <f>IF(Weymouth!S38="","",Weymouth!S38)</f>
        <v/>
      </c>
      <c r="Q584" s="163" t="str">
        <f>IF(Weymouth!T38="","",Weymouth!T38)</f>
        <v/>
      </c>
      <c r="R584" s="163" t="str">
        <f>IF(Weymouth!U38="","",Weymouth!U38)</f>
        <v>4*0(1)</v>
      </c>
      <c r="S584" s="163" t="str">
        <f>IF(Weymouth!V38="","",Weymouth!V38)</f>
        <v/>
      </c>
      <c r="T584" s="163" t="str">
        <f>IF(Weymouth!W38="","",Weymouth!W38)</f>
        <v>4*3</v>
      </c>
      <c r="U584" s="163" t="str">
        <f>IF(Weymouth!X38="","",Weymouth!X38)</f>
        <v>0*4</v>
      </c>
      <c r="V584" s="163" t="str">
        <f>IF(Weymouth!Y38="","",Weymouth!Y38)</f>
        <v>4*2</v>
      </c>
      <c r="W584" s="182"/>
      <c r="X584" s="182"/>
      <c r="Y584" s="233"/>
      <c r="AA584" s="239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233"/>
    </row>
    <row r="585" spans="2:51" ht="12" customHeight="1" x14ac:dyDescent="0.2">
      <c r="B585" s="266"/>
      <c r="C585" s="263" t="str">
        <f>IF(Weymouth!E39="","",Weymouth!E39)</f>
        <v>Michael Beauchamp</v>
      </c>
      <c r="D585" s="259" t="str">
        <f>LEFT($B$553,3)</f>
        <v>Wey</v>
      </c>
      <c r="E585" s="251">
        <f>IF(Weymouth!G39="","",Weymouth!G39)</f>
        <v>1</v>
      </c>
      <c r="F585" s="181" t="str">
        <f>IF(Weymouth!H39=0,"",Weymouth!H39)</f>
        <v/>
      </c>
      <c r="G585" s="186">
        <f>IF(Weymouth!I39=0,"",Weymouth!I39)</f>
        <v>1</v>
      </c>
      <c r="H585" s="186">
        <f>IF(Weymouth!J39=0,"",Weymouth!J39)</f>
        <v>1</v>
      </c>
      <c r="I585" s="252">
        <f>IF(Weymouth!K39=0,"",Weymouth!K39)</f>
        <v>4</v>
      </c>
      <c r="J585" s="163" t="str">
        <f>IF(Weymouth!M39="","",Weymouth!M39)</f>
        <v/>
      </c>
      <c r="K585" s="163" t="str">
        <f>IF(Weymouth!N39="","",Weymouth!N39)</f>
        <v/>
      </c>
      <c r="L585" s="163" t="str">
        <f>IF(Weymouth!O39="","",Weymouth!O39)</f>
        <v/>
      </c>
      <c r="M585" s="163" t="str">
        <f>IF(Weymouth!P39="","",Weymouth!P39)</f>
        <v/>
      </c>
      <c r="N585" s="163" t="str">
        <f>IF(Weymouth!Q39="","",Weymouth!Q39)</f>
        <v/>
      </c>
      <c r="O585" s="163" t="str">
        <f>IF(Weymouth!R39="","",Weymouth!R39)</f>
        <v/>
      </c>
      <c r="P585" s="163" t="str">
        <f>IF(Weymouth!S39="","",Weymouth!S39)</f>
        <v/>
      </c>
      <c r="Q585" s="163" t="str">
        <f>IF(Weymouth!T39="","",Weymouth!T39)</f>
        <v/>
      </c>
      <c r="R585" s="163" t="str">
        <f>IF(Weymouth!U39="","",Weymouth!U39)</f>
        <v/>
      </c>
      <c r="S585" s="163">
        <f>IF(Weymouth!V39="","",Weymouth!V39)</f>
        <v>18.61</v>
      </c>
      <c r="T585" s="163" t="str">
        <f>IF(Weymouth!W39="","",Weymouth!W39)</f>
        <v/>
      </c>
      <c r="U585" s="163" t="str">
        <f>IF(Weymouth!X39="","",Weymouth!X39)</f>
        <v/>
      </c>
      <c r="V585" s="163" t="str">
        <f>IF(Weymouth!Y39="","",Weymouth!Y39)</f>
        <v/>
      </c>
      <c r="W585" s="186" t="str">
        <f>IF(Weymouth!AA39=0,"",Weymouth!AA39)</f>
        <v/>
      </c>
      <c r="X585" s="244">
        <f>IF(Weymouth!AB39=0,"",Weymouth!AB39)</f>
        <v>18.61</v>
      </c>
      <c r="Y585" s="245">
        <f>IF(Weymouth!AC39=0,"",Weymouth!AC39)</f>
        <v>18.61</v>
      </c>
      <c r="AA585" s="246">
        <f>Y585</f>
        <v>18.61</v>
      </c>
      <c r="AB585" s="243">
        <f>X585</f>
        <v>18.61</v>
      </c>
      <c r="AC585" s="185" t="str">
        <f>C585</f>
        <v>Michael Beauchamp</v>
      </c>
      <c r="AD585" s="185" t="str">
        <f>LEFT($B$553,3)</f>
        <v>Wey</v>
      </c>
      <c r="AE585" s="185">
        <f t="shared" ref="AE585:AY585" si="289">E585</f>
        <v>1</v>
      </c>
      <c r="AF585" s="185" t="str">
        <f t="shared" si="289"/>
        <v/>
      </c>
      <c r="AG585" s="247">
        <f t="shared" si="289"/>
        <v>1</v>
      </c>
      <c r="AH585" s="247">
        <f t="shared" si="289"/>
        <v>1</v>
      </c>
      <c r="AI585" s="247">
        <f t="shared" si="289"/>
        <v>4</v>
      </c>
      <c r="AJ585" s="243" t="str">
        <f t="shared" si="289"/>
        <v/>
      </c>
      <c r="AK585" s="243" t="str">
        <f t="shared" si="289"/>
        <v/>
      </c>
      <c r="AL585" s="243" t="str">
        <f t="shared" si="289"/>
        <v/>
      </c>
      <c r="AM585" s="243" t="str">
        <f t="shared" si="289"/>
        <v/>
      </c>
      <c r="AN585" s="243" t="str">
        <f t="shared" si="289"/>
        <v/>
      </c>
      <c r="AO585" s="243" t="str">
        <f t="shared" si="289"/>
        <v/>
      </c>
      <c r="AP585" s="243" t="str">
        <f t="shared" si="289"/>
        <v/>
      </c>
      <c r="AQ585" s="243" t="str">
        <f t="shared" si="289"/>
        <v/>
      </c>
      <c r="AR585" s="243" t="str">
        <f t="shared" si="289"/>
        <v/>
      </c>
      <c r="AS585" s="243">
        <f t="shared" si="289"/>
        <v>18.61</v>
      </c>
      <c r="AT585" s="243" t="str">
        <f t="shared" si="289"/>
        <v/>
      </c>
      <c r="AU585" s="243" t="str">
        <f t="shared" si="289"/>
        <v/>
      </c>
      <c r="AV585" s="243" t="str">
        <f t="shared" si="289"/>
        <v/>
      </c>
      <c r="AW585" s="247" t="str">
        <f t="shared" si="289"/>
        <v/>
      </c>
      <c r="AX585" s="243">
        <f t="shared" si="289"/>
        <v>18.61</v>
      </c>
      <c r="AY585" s="248">
        <f t="shared" si="289"/>
        <v>18.61</v>
      </c>
    </row>
    <row r="586" spans="2:51" ht="12" customHeight="1" x14ac:dyDescent="0.2">
      <c r="B586" s="266"/>
      <c r="C586" s="235"/>
      <c r="D586" s="235"/>
      <c r="E586" s="239"/>
      <c r="F586" s="182"/>
      <c r="G586" s="182"/>
      <c r="H586" s="182"/>
      <c r="I586" s="233"/>
      <c r="J586" s="163" t="str">
        <f>IF(Weymouth!M40="","",Weymouth!M40)</f>
        <v/>
      </c>
      <c r="K586" s="163" t="str">
        <f>IF(Weymouth!N40="","",Weymouth!N40)</f>
        <v/>
      </c>
      <c r="L586" s="163" t="str">
        <f>IF(Weymouth!O40="","",Weymouth!O40)</f>
        <v/>
      </c>
      <c r="M586" s="163" t="str">
        <f>IF(Weymouth!P40="","",Weymouth!P40)</f>
        <v/>
      </c>
      <c r="N586" s="163" t="str">
        <f>IF(Weymouth!Q40="","",Weymouth!Q40)</f>
        <v/>
      </c>
      <c r="O586" s="163" t="str">
        <f>IF(Weymouth!R40="","",Weymouth!R40)</f>
        <v/>
      </c>
      <c r="P586" s="163" t="str">
        <f>IF(Weymouth!S40="","",Weymouth!S40)</f>
        <v/>
      </c>
      <c r="Q586" s="163" t="str">
        <f>IF(Weymouth!T40="","",Weymouth!T40)</f>
        <v/>
      </c>
      <c r="R586" s="163" t="str">
        <f>IF(Weymouth!U40="","",Weymouth!U40)</f>
        <v/>
      </c>
      <c r="S586" s="163" t="str">
        <f>IF(Weymouth!V40="","",Weymouth!V40)</f>
        <v>1*4</v>
      </c>
      <c r="T586" s="163" t="str">
        <f>IF(Weymouth!W40="","",Weymouth!W40)</f>
        <v/>
      </c>
      <c r="U586" s="163" t="str">
        <f>IF(Weymouth!X40="","",Weymouth!X40)</f>
        <v/>
      </c>
      <c r="V586" s="163" t="str">
        <f>IF(Weymouth!Y40="","",Weymouth!Y40)</f>
        <v/>
      </c>
      <c r="W586" s="182"/>
      <c r="X586" s="182"/>
      <c r="Y586" s="233"/>
      <c r="AA586" s="239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233"/>
    </row>
    <row r="587" spans="2:51" ht="12" customHeight="1" x14ac:dyDescent="0.2">
      <c r="B587" s="266"/>
      <c r="C587" s="263" t="str">
        <f>IF(Weymouth!E41="","",Weymouth!E41)</f>
        <v>Jack Bellingham</v>
      </c>
      <c r="D587" s="259" t="str">
        <f>LEFT($B$553,3)</f>
        <v>Wey</v>
      </c>
      <c r="E587" s="251">
        <f>IF(Weymouth!G41="","",Weymouth!G41)</f>
        <v>3</v>
      </c>
      <c r="F587" s="181" t="str">
        <f>IF(Weymouth!H41=0,"",Weymouth!H41)</f>
        <v/>
      </c>
      <c r="G587" s="186">
        <f>IF(Weymouth!I41=0,"",Weymouth!I41)</f>
        <v>3</v>
      </c>
      <c r="H587" s="181">
        <f>IF(Weymouth!J41=0,"",Weymouth!J41)</f>
        <v>2</v>
      </c>
      <c r="I587" s="252">
        <f>IF(Weymouth!K41=0,"",Weymouth!K41)</f>
        <v>12</v>
      </c>
      <c r="J587" s="163" t="str">
        <f>IF(Weymouth!M41="","",Weymouth!M41)</f>
        <v/>
      </c>
      <c r="K587" s="163">
        <f>IF(Weymouth!N41="","",Weymouth!N41)</f>
        <v>15.43</v>
      </c>
      <c r="L587" s="163" t="str">
        <f>IF(Weymouth!O41="","",Weymouth!O41)</f>
        <v/>
      </c>
      <c r="M587" s="163" t="str">
        <f>IF(Weymouth!P41="","",Weymouth!P41)</f>
        <v/>
      </c>
      <c r="N587" s="163" t="str">
        <f>IF(Weymouth!Q41="","",Weymouth!Q41)</f>
        <v/>
      </c>
      <c r="O587" s="163" t="str">
        <f>IF(Weymouth!R41="","",Weymouth!R41)</f>
        <v/>
      </c>
      <c r="P587" s="163" t="str">
        <f>IF(Weymouth!S41="","",Weymouth!S41)</f>
        <v/>
      </c>
      <c r="Q587" s="163" t="str">
        <f>IF(Weymouth!T41="","",Weymouth!T41)</f>
        <v/>
      </c>
      <c r="R587" s="163" t="str">
        <f>IF(Weymouth!U41="","",Weymouth!U41)</f>
        <v/>
      </c>
      <c r="S587" s="163" t="str">
        <f>IF(Weymouth!V41="","",Weymouth!V41)</f>
        <v/>
      </c>
      <c r="T587" s="163">
        <f>IF(Weymouth!W41="","",Weymouth!W41)</f>
        <v>14.67</v>
      </c>
      <c r="U587" s="163" t="str">
        <f>IF(Weymouth!X41="","",Weymouth!X41)</f>
        <v/>
      </c>
      <c r="V587" s="163">
        <f>IF(Weymouth!Y41="","",Weymouth!Y41)</f>
        <v>15.7</v>
      </c>
      <c r="W587" s="186" t="str">
        <f>IF(Weymouth!AA41=0,"",Weymouth!AA41)</f>
        <v/>
      </c>
      <c r="X587" s="244">
        <f>IF(Weymouth!AB41=0,"",Weymouth!AB41)</f>
        <v>15.266666666666666</v>
      </c>
      <c r="Y587" s="245">
        <f>IF(Weymouth!AC41=0,"",Weymouth!AC41)</f>
        <v>15.266666666666666</v>
      </c>
      <c r="AA587" s="246">
        <f>Y587</f>
        <v>15.266666666666666</v>
      </c>
      <c r="AB587" s="243">
        <f>X587</f>
        <v>15.266666666666666</v>
      </c>
      <c r="AC587" s="185" t="str">
        <f>C587</f>
        <v>Jack Bellingham</v>
      </c>
      <c r="AD587" s="185" t="str">
        <f>LEFT($B$553,3)</f>
        <v>Wey</v>
      </c>
      <c r="AE587" s="185">
        <f t="shared" ref="AE587:AY587" si="290">E587</f>
        <v>3</v>
      </c>
      <c r="AF587" s="185" t="str">
        <f t="shared" si="290"/>
        <v/>
      </c>
      <c r="AG587" s="247">
        <f t="shared" si="290"/>
        <v>3</v>
      </c>
      <c r="AH587" s="185">
        <f t="shared" si="290"/>
        <v>2</v>
      </c>
      <c r="AI587" s="247">
        <f t="shared" si="290"/>
        <v>12</v>
      </c>
      <c r="AJ587" s="243" t="str">
        <f t="shared" si="290"/>
        <v/>
      </c>
      <c r="AK587" s="243">
        <f t="shared" si="290"/>
        <v>15.43</v>
      </c>
      <c r="AL587" s="243" t="str">
        <f t="shared" si="290"/>
        <v/>
      </c>
      <c r="AM587" s="243" t="str">
        <f t="shared" si="290"/>
        <v/>
      </c>
      <c r="AN587" s="243" t="str">
        <f t="shared" si="290"/>
        <v/>
      </c>
      <c r="AO587" s="243" t="str">
        <f t="shared" si="290"/>
        <v/>
      </c>
      <c r="AP587" s="243" t="str">
        <f t="shared" si="290"/>
        <v/>
      </c>
      <c r="AQ587" s="243" t="str">
        <f t="shared" si="290"/>
        <v/>
      </c>
      <c r="AR587" s="243" t="str">
        <f t="shared" si="290"/>
        <v/>
      </c>
      <c r="AS587" s="243" t="str">
        <f t="shared" si="290"/>
        <v/>
      </c>
      <c r="AT587" s="243">
        <f t="shared" si="290"/>
        <v>14.67</v>
      </c>
      <c r="AU587" s="243" t="str">
        <f t="shared" si="290"/>
        <v/>
      </c>
      <c r="AV587" s="243">
        <f t="shared" si="290"/>
        <v>15.7</v>
      </c>
      <c r="AW587" s="247" t="str">
        <f t="shared" si="290"/>
        <v/>
      </c>
      <c r="AX587" s="243">
        <f t="shared" si="290"/>
        <v>15.266666666666666</v>
      </c>
      <c r="AY587" s="248">
        <f t="shared" si="290"/>
        <v>15.266666666666666</v>
      </c>
    </row>
    <row r="588" spans="2:51" ht="12" customHeight="1" x14ac:dyDescent="0.2">
      <c r="B588" s="266"/>
      <c r="C588" s="235"/>
      <c r="D588" s="235"/>
      <c r="E588" s="239"/>
      <c r="F588" s="182"/>
      <c r="G588" s="182"/>
      <c r="H588" s="182"/>
      <c r="I588" s="233"/>
      <c r="J588" s="163" t="str">
        <f>IF(Weymouth!M42="","",Weymouth!M42)</f>
        <v/>
      </c>
      <c r="K588" s="163" t="str">
        <f>IF(Weymouth!N42="","",Weymouth!N42)</f>
        <v>2*4</v>
      </c>
      <c r="L588" s="163" t="str">
        <f>IF(Weymouth!O42="","",Weymouth!O42)</f>
        <v/>
      </c>
      <c r="M588" s="163" t="str">
        <f>IF(Weymouth!P42="","",Weymouth!P42)</f>
        <v/>
      </c>
      <c r="N588" s="163" t="str">
        <f>IF(Weymouth!Q42="","",Weymouth!Q42)</f>
        <v/>
      </c>
      <c r="O588" s="163" t="str">
        <f>IF(Weymouth!R42="","",Weymouth!R42)</f>
        <v/>
      </c>
      <c r="P588" s="163" t="str">
        <f>IF(Weymouth!S42="","",Weymouth!S42)</f>
        <v/>
      </c>
      <c r="Q588" s="163" t="str">
        <f>IF(Weymouth!T42="","",Weymouth!T42)</f>
        <v/>
      </c>
      <c r="R588" s="163" t="str">
        <f>IF(Weymouth!U42="","",Weymouth!U42)</f>
        <v/>
      </c>
      <c r="S588" s="163" t="str">
        <f>IF(Weymouth!V42="","",Weymouth!V42)</f>
        <v/>
      </c>
      <c r="T588" s="163" t="str">
        <f>IF(Weymouth!W42="","",Weymouth!W42)</f>
        <v>0*4</v>
      </c>
      <c r="U588" s="163" t="str">
        <f>IF(Weymouth!X42="","",Weymouth!X42)</f>
        <v/>
      </c>
      <c r="V588" s="163" t="str">
        <f>IF(Weymouth!Y42="","",Weymouth!Y42)</f>
        <v>0*4</v>
      </c>
      <c r="W588" s="182"/>
      <c r="X588" s="182"/>
      <c r="Y588" s="233"/>
      <c r="AA588" s="239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233"/>
    </row>
    <row r="589" spans="2:51" ht="12" customHeight="1" x14ac:dyDescent="0.2">
      <c r="B589" s="266"/>
      <c r="C589" s="263" t="str">
        <f>IF(Weymouth!E43="","",Weymouth!E43)</f>
        <v>Pete Honeybun</v>
      </c>
      <c r="D589" s="259" t="str">
        <f>LEFT($B$553,3)</f>
        <v>Wey</v>
      </c>
      <c r="E589" s="251">
        <f>IF(Weymouth!G43="","",Weymouth!G43)</f>
        <v>1</v>
      </c>
      <c r="F589" s="181" t="str">
        <f>IF(Weymouth!H43=0,"",Weymouth!H43)</f>
        <v/>
      </c>
      <c r="G589" s="181">
        <f>IF(Weymouth!I43=0,"",Weymouth!I43)</f>
        <v>1</v>
      </c>
      <c r="H589" s="181">
        <f>IF(Weymouth!J43=0,"",Weymouth!J43)</f>
        <v>2</v>
      </c>
      <c r="I589" s="250">
        <f>IF(Weymouth!K43=0,"",Weymouth!K43)</f>
        <v>4</v>
      </c>
      <c r="J589" s="163" t="str">
        <f>IF(Weymouth!M43="","",Weymouth!M43)</f>
        <v/>
      </c>
      <c r="K589" s="163">
        <f>IF(Weymouth!N43="","",Weymouth!N43)</f>
        <v>18.11</v>
      </c>
      <c r="L589" s="163" t="str">
        <f>IF(Weymouth!O43="","",Weymouth!O43)</f>
        <v/>
      </c>
      <c r="M589" s="163" t="str">
        <f>IF(Weymouth!P43="","",Weymouth!P43)</f>
        <v/>
      </c>
      <c r="N589" s="163" t="str">
        <f>IF(Weymouth!Q43="","",Weymouth!Q43)</f>
        <v/>
      </c>
      <c r="O589" s="163" t="str">
        <f>IF(Weymouth!R43="","",Weymouth!R43)</f>
        <v/>
      </c>
      <c r="P589" s="163" t="str">
        <f>IF(Weymouth!S43="","",Weymouth!S43)</f>
        <v/>
      </c>
      <c r="Q589" s="163" t="str">
        <f>IF(Weymouth!T43="","",Weymouth!T43)</f>
        <v/>
      </c>
      <c r="R589" s="163" t="str">
        <f>IF(Weymouth!U43="","",Weymouth!U43)</f>
        <v/>
      </c>
      <c r="S589" s="163" t="str">
        <f>IF(Weymouth!V43="","",Weymouth!V43)</f>
        <v/>
      </c>
      <c r="T589" s="163" t="str">
        <f>IF(Weymouth!W43="","",Weymouth!W43)</f>
        <v/>
      </c>
      <c r="U589" s="163" t="str">
        <f>IF(Weymouth!X43="","",Weymouth!X43)</f>
        <v/>
      </c>
      <c r="V589" s="163" t="str">
        <f>IF(Weymouth!Y43="","",Weymouth!Y43)</f>
        <v/>
      </c>
      <c r="W589" s="186" t="str">
        <f>IF(Weymouth!AA43=0,"",Weymouth!AA43)</f>
        <v/>
      </c>
      <c r="X589" s="244">
        <f>IF(Weymouth!AB43=0,"",Weymouth!AB43)</f>
        <v>18.11</v>
      </c>
      <c r="Y589" s="245">
        <f>IF(Weymouth!AC43=0,"",Weymouth!AC43)</f>
        <v>18.11</v>
      </c>
      <c r="AA589" s="246">
        <f>Y589</f>
        <v>18.11</v>
      </c>
      <c r="AB589" s="243">
        <f>X589</f>
        <v>18.11</v>
      </c>
      <c r="AC589" s="185" t="str">
        <f>C589</f>
        <v>Pete Honeybun</v>
      </c>
      <c r="AD589" s="185" t="str">
        <f>LEFT($B$553,3)</f>
        <v>Wey</v>
      </c>
      <c r="AE589" s="185">
        <f t="shared" ref="AE589:AY589" si="291">E589</f>
        <v>1</v>
      </c>
      <c r="AF589" s="185" t="str">
        <f t="shared" si="291"/>
        <v/>
      </c>
      <c r="AG589" s="185">
        <f t="shared" si="291"/>
        <v>1</v>
      </c>
      <c r="AH589" s="185">
        <f t="shared" si="291"/>
        <v>2</v>
      </c>
      <c r="AI589" s="185">
        <f t="shared" si="291"/>
        <v>4</v>
      </c>
      <c r="AJ589" s="243" t="str">
        <f t="shared" si="291"/>
        <v/>
      </c>
      <c r="AK589" s="243">
        <f t="shared" si="291"/>
        <v>18.11</v>
      </c>
      <c r="AL589" s="243" t="str">
        <f t="shared" si="291"/>
        <v/>
      </c>
      <c r="AM589" s="243" t="str">
        <f t="shared" si="291"/>
        <v/>
      </c>
      <c r="AN589" s="243" t="str">
        <f t="shared" si="291"/>
        <v/>
      </c>
      <c r="AO589" s="243" t="str">
        <f t="shared" si="291"/>
        <v/>
      </c>
      <c r="AP589" s="243" t="str">
        <f t="shared" si="291"/>
        <v/>
      </c>
      <c r="AQ589" s="243" t="str">
        <f t="shared" si="291"/>
        <v/>
      </c>
      <c r="AR589" s="243" t="str">
        <f t="shared" si="291"/>
        <v/>
      </c>
      <c r="AS589" s="243" t="str">
        <f t="shared" si="291"/>
        <v/>
      </c>
      <c r="AT589" s="243" t="str">
        <f t="shared" si="291"/>
        <v/>
      </c>
      <c r="AU589" s="243" t="str">
        <f t="shared" si="291"/>
        <v/>
      </c>
      <c r="AV589" s="243" t="str">
        <f t="shared" si="291"/>
        <v/>
      </c>
      <c r="AW589" s="247" t="str">
        <f t="shared" si="291"/>
        <v/>
      </c>
      <c r="AX589" s="243">
        <f t="shared" si="291"/>
        <v>18.11</v>
      </c>
      <c r="AY589" s="248">
        <f t="shared" si="291"/>
        <v>18.11</v>
      </c>
    </row>
    <row r="590" spans="2:51" ht="12" customHeight="1" x14ac:dyDescent="0.2">
      <c r="B590" s="266"/>
      <c r="C590" s="235"/>
      <c r="D590" s="235"/>
      <c r="E590" s="239"/>
      <c r="F590" s="182"/>
      <c r="G590" s="182"/>
      <c r="H590" s="182"/>
      <c r="I590" s="233"/>
      <c r="J590" s="163" t="str">
        <f>IF(Weymouth!M44="","",Weymouth!M44)</f>
        <v/>
      </c>
      <c r="K590" s="163" t="str">
        <f>IF(Weymouth!N44="","",Weymouth!N44)</f>
        <v>2*4</v>
      </c>
      <c r="L590" s="163" t="str">
        <f>IF(Weymouth!O44="","",Weymouth!O44)</f>
        <v/>
      </c>
      <c r="M590" s="163" t="str">
        <f>IF(Weymouth!P44="","",Weymouth!P44)</f>
        <v/>
      </c>
      <c r="N590" s="163" t="str">
        <f>IF(Weymouth!Q44="","",Weymouth!Q44)</f>
        <v/>
      </c>
      <c r="O590" s="163" t="str">
        <f>IF(Weymouth!R44="","",Weymouth!R44)</f>
        <v/>
      </c>
      <c r="P590" s="163" t="str">
        <f>IF(Weymouth!S44="","",Weymouth!S44)</f>
        <v/>
      </c>
      <c r="Q590" s="163" t="str">
        <f>IF(Weymouth!T44="","",Weymouth!T44)</f>
        <v/>
      </c>
      <c r="R590" s="163" t="str">
        <f>IF(Weymouth!U44="","",Weymouth!U44)</f>
        <v/>
      </c>
      <c r="S590" s="163" t="str">
        <f>IF(Weymouth!V44="","",Weymouth!V44)</f>
        <v/>
      </c>
      <c r="T590" s="163" t="str">
        <f>IF(Weymouth!W44="","",Weymouth!W44)</f>
        <v/>
      </c>
      <c r="U590" s="163" t="str">
        <f>IF(Weymouth!X44="","",Weymouth!X44)</f>
        <v/>
      </c>
      <c r="V590" s="163" t="str">
        <f>IF(Weymouth!Y44="","",Weymouth!Y44)</f>
        <v/>
      </c>
      <c r="W590" s="182"/>
      <c r="X590" s="182"/>
      <c r="Y590" s="233"/>
      <c r="AA590" s="239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233"/>
    </row>
    <row r="591" spans="2:51" ht="12" customHeight="1" x14ac:dyDescent="0.2">
      <c r="B591" s="266"/>
      <c r="C591" s="263" t="str">
        <f>IF(Weymouth!E45="","",Weymouth!E45)</f>
        <v>Jon Honeybun</v>
      </c>
      <c r="D591" s="259" t="str">
        <f>LEFT($B$553,3)</f>
        <v>Wey</v>
      </c>
      <c r="E591" s="251">
        <f>IF(Weymouth!G45="","",Weymouth!G45)</f>
        <v>2</v>
      </c>
      <c r="F591" s="181" t="str">
        <f>IF(Weymouth!H45=0,"",Weymouth!H45)</f>
        <v/>
      </c>
      <c r="G591" s="181">
        <f>IF(Weymouth!I45=0,"",Weymouth!I45)</f>
        <v>2</v>
      </c>
      <c r="H591" s="181">
        <f>IF(Weymouth!J45=0,"",Weymouth!J45)</f>
        <v>1</v>
      </c>
      <c r="I591" s="250">
        <f>IF(Weymouth!K45=0,"",Weymouth!K45)</f>
        <v>8</v>
      </c>
      <c r="J591" s="163" t="str">
        <f>IF(Weymouth!M45="","",Weymouth!M45)</f>
        <v/>
      </c>
      <c r="K591" s="163">
        <f>IF(Weymouth!N45="","",Weymouth!N45)</f>
        <v>18.66</v>
      </c>
      <c r="L591" s="163" t="str">
        <f>IF(Weymouth!O45="","",Weymouth!O45)</f>
        <v/>
      </c>
      <c r="M591" s="163" t="str">
        <f>IF(Weymouth!P45="","",Weymouth!P45)</f>
        <v/>
      </c>
      <c r="N591" s="163" t="str">
        <f>IF(Weymouth!Q45="","",Weymouth!Q45)</f>
        <v/>
      </c>
      <c r="O591" s="163" t="str">
        <f>IF(Weymouth!R45="","",Weymouth!R45)</f>
        <v/>
      </c>
      <c r="P591" s="163" t="str">
        <f>IF(Weymouth!S45="","",Weymouth!S45)</f>
        <v/>
      </c>
      <c r="Q591" s="163" t="str">
        <f>IF(Weymouth!T45="","",Weymouth!T45)</f>
        <v/>
      </c>
      <c r="R591" s="163" t="str">
        <f>IF(Weymouth!U45="","",Weymouth!U45)</f>
        <v/>
      </c>
      <c r="S591" s="163" t="str">
        <f>IF(Weymouth!V45="","",Weymouth!V45)</f>
        <v/>
      </c>
      <c r="T591" s="163" t="str">
        <f>IF(Weymouth!W45="","",Weymouth!W45)</f>
        <v/>
      </c>
      <c r="U591" s="163" t="str">
        <f>IF(Weymouth!X45="","",Weymouth!X45)</f>
        <v/>
      </c>
      <c r="V591" s="163">
        <f>IF(Weymouth!Y45="","",Weymouth!Y45)</f>
        <v>15.67</v>
      </c>
      <c r="W591" s="186" t="str">
        <f>IF(Weymouth!AA45=0,"",Weymouth!AA45)</f>
        <v/>
      </c>
      <c r="X591" s="244">
        <f>IF(Weymouth!AB45=0,"",Weymouth!AB45)</f>
        <v>17.164999999999999</v>
      </c>
      <c r="Y591" s="245">
        <f>IF(Weymouth!AC45=0,"",Weymouth!AC45)</f>
        <v>17.164999999999999</v>
      </c>
      <c r="AA591" s="246">
        <f>Y591</f>
        <v>17.164999999999999</v>
      </c>
      <c r="AB591" s="243">
        <f>X591</f>
        <v>17.164999999999999</v>
      </c>
      <c r="AC591" s="185" t="str">
        <f>C591</f>
        <v>Jon Honeybun</v>
      </c>
      <c r="AD591" s="185" t="str">
        <f>LEFT($B$553,3)</f>
        <v>Wey</v>
      </c>
      <c r="AE591" s="185">
        <f t="shared" ref="AE591:AY591" si="292">E591</f>
        <v>2</v>
      </c>
      <c r="AF591" s="185" t="str">
        <f t="shared" si="292"/>
        <v/>
      </c>
      <c r="AG591" s="185">
        <f t="shared" si="292"/>
        <v>2</v>
      </c>
      <c r="AH591" s="185">
        <f t="shared" si="292"/>
        <v>1</v>
      </c>
      <c r="AI591" s="185">
        <f t="shared" si="292"/>
        <v>8</v>
      </c>
      <c r="AJ591" s="243" t="str">
        <f t="shared" si="292"/>
        <v/>
      </c>
      <c r="AK591" s="243">
        <f t="shared" si="292"/>
        <v>18.66</v>
      </c>
      <c r="AL591" s="243" t="str">
        <f t="shared" si="292"/>
        <v/>
      </c>
      <c r="AM591" s="243" t="str">
        <f t="shared" si="292"/>
        <v/>
      </c>
      <c r="AN591" s="243" t="str">
        <f t="shared" si="292"/>
        <v/>
      </c>
      <c r="AO591" s="243" t="str">
        <f t="shared" si="292"/>
        <v/>
      </c>
      <c r="AP591" s="243" t="str">
        <f t="shared" si="292"/>
        <v/>
      </c>
      <c r="AQ591" s="243" t="str">
        <f t="shared" si="292"/>
        <v/>
      </c>
      <c r="AR591" s="243" t="str">
        <f t="shared" si="292"/>
        <v/>
      </c>
      <c r="AS591" s="243" t="str">
        <f t="shared" si="292"/>
        <v/>
      </c>
      <c r="AT591" s="243" t="str">
        <f t="shared" si="292"/>
        <v/>
      </c>
      <c r="AU591" s="243" t="str">
        <f t="shared" si="292"/>
        <v/>
      </c>
      <c r="AV591" s="243">
        <f t="shared" si="292"/>
        <v>15.67</v>
      </c>
      <c r="AW591" s="247" t="str">
        <f t="shared" si="292"/>
        <v/>
      </c>
      <c r="AX591" s="243">
        <f t="shared" si="292"/>
        <v>17.164999999999999</v>
      </c>
      <c r="AY591" s="248">
        <f t="shared" si="292"/>
        <v>17.164999999999999</v>
      </c>
    </row>
    <row r="592" spans="2:51" ht="12" customHeight="1" x14ac:dyDescent="0.2">
      <c r="B592" s="266"/>
      <c r="C592" s="235"/>
      <c r="D592" s="235"/>
      <c r="E592" s="239"/>
      <c r="F592" s="182"/>
      <c r="G592" s="182"/>
      <c r="H592" s="182"/>
      <c r="I592" s="233"/>
      <c r="J592" s="163" t="str">
        <f>IF(Weymouth!M46="","",Weymouth!M46)</f>
        <v/>
      </c>
      <c r="K592" s="163" t="str">
        <f>IF(Weymouth!N46="","",Weymouth!N46)</f>
        <v>1*4</v>
      </c>
      <c r="L592" s="163" t="str">
        <f>IF(Weymouth!O46="","",Weymouth!O46)</f>
        <v/>
      </c>
      <c r="M592" s="163" t="str">
        <f>IF(Weymouth!P46="","",Weymouth!P46)</f>
        <v/>
      </c>
      <c r="N592" s="163" t="str">
        <f>IF(Weymouth!Q46="","",Weymouth!Q46)</f>
        <v/>
      </c>
      <c r="O592" s="163" t="str">
        <f>IF(Weymouth!R46="","",Weymouth!R46)</f>
        <v/>
      </c>
      <c r="P592" s="163" t="str">
        <f>IF(Weymouth!S46="","",Weymouth!S46)</f>
        <v/>
      </c>
      <c r="Q592" s="163" t="str">
        <f>IF(Weymouth!T46="","",Weymouth!T46)</f>
        <v/>
      </c>
      <c r="R592" s="163" t="str">
        <f>IF(Weymouth!U46="","",Weymouth!U46)</f>
        <v/>
      </c>
      <c r="S592" s="163" t="str">
        <f>IF(Weymouth!V46="","",Weymouth!V46)</f>
        <v/>
      </c>
      <c r="T592" s="163" t="str">
        <f>IF(Weymouth!W46="","",Weymouth!W46)</f>
        <v/>
      </c>
      <c r="U592" s="163" t="str">
        <f>IF(Weymouth!X46="","",Weymouth!X46)</f>
        <v/>
      </c>
      <c r="V592" s="163" t="str">
        <f>IF(Weymouth!Y46="","",Weymouth!Y46)</f>
        <v>0*4</v>
      </c>
      <c r="W592" s="182"/>
      <c r="X592" s="182"/>
      <c r="Y592" s="233"/>
      <c r="AA592" s="239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233"/>
    </row>
    <row r="593" spans="2:51" ht="12" customHeight="1" x14ac:dyDescent="0.2">
      <c r="B593" s="266"/>
      <c r="C593" s="263" t="str">
        <f>IF(Weymouth!E47="","",Weymouth!E47)</f>
        <v/>
      </c>
      <c r="D593" s="259" t="str">
        <f>LEFT($B$553,3)</f>
        <v>Wey</v>
      </c>
      <c r="E593" s="251" t="str">
        <f>IF(Weymouth!G47="","",Weymouth!G47)</f>
        <v/>
      </c>
      <c r="F593" s="181" t="str">
        <f>IF(Weymouth!H47=0,"",Weymouth!H47)</f>
        <v/>
      </c>
      <c r="G593" s="181" t="str">
        <f>IF(Weymouth!I47=0,"",Weymouth!I47)</f>
        <v/>
      </c>
      <c r="H593" s="181" t="str">
        <f>IF(Weymouth!J47=0,"",Weymouth!J47)</f>
        <v/>
      </c>
      <c r="I593" s="250" t="str">
        <f>IF(Weymouth!K47=0,"",Weymouth!K47)</f>
        <v/>
      </c>
      <c r="J593" s="163" t="str">
        <f>IF(Weymouth!M47="","",Weymouth!M47)</f>
        <v/>
      </c>
      <c r="K593" s="163" t="str">
        <f>IF(Weymouth!N47="","",Weymouth!N47)</f>
        <v/>
      </c>
      <c r="L593" s="163" t="str">
        <f>IF(Weymouth!O47="","",Weymouth!O47)</f>
        <v/>
      </c>
      <c r="M593" s="163" t="str">
        <f>IF(Weymouth!P47="","",Weymouth!P47)</f>
        <v/>
      </c>
      <c r="N593" s="163" t="str">
        <f>IF(Weymouth!Q47="","",Weymouth!Q47)</f>
        <v/>
      </c>
      <c r="O593" s="163" t="str">
        <f>IF(Weymouth!R47="","",Weymouth!R47)</f>
        <v/>
      </c>
      <c r="P593" s="163" t="str">
        <f>IF(Weymouth!S47="","",Weymouth!S47)</f>
        <v/>
      </c>
      <c r="Q593" s="163" t="str">
        <f>IF(Weymouth!T47="","",Weymouth!T47)</f>
        <v/>
      </c>
      <c r="R593" s="163" t="str">
        <f>IF(Weymouth!U47="","",Weymouth!U47)</f>
        <v/>
      </c>
      <c r="S593" s="163" t="str">
        <f>IF(Weymouth!V47="","",Weymouth!V47)</f>
        <v/>
      </c>
      <c r="T593" s="163" t="str">
        <f>IF(Weymouth!W47="","",Weymouth!W47)</f>
        <v/>
      </c>
      <c r="U593" s="163" t="str">
        <f>IF(Weymouth!X47="","",Weymouth!X47)</f>
        <v/>
      </c>
      <c r="V593" s="163" t="str">
        <f>IF(Weymouth!Y47="","",Weymouth!Y47)</f>
        <v/>
      </c>
      <c r="W593" s="186" t="str">
        <f>IF(Weymouth!AA47=0,"",Weymouth!AA47)</f>
        <v/>
      </c>
      <c r="X593" s="244" t="str">
        <f>IF(Weymouth!AB47=0,"",Weymouth!AB47)</f>
        <v/>
      </c>
      <c r="Y593" s="245" t="str">
        <f>IF(Weymouth!AC47=0,"",Weymouth!AC47)</f>
        <v/>
      </c>
      <c r="AA593" s="246" t="str">
        <f>Y593</f>
        <v/>
      </c>
      <c r="AB593" s="243" t="str">
        <f>X593</f>
        <v/>
      </c>
      <c r="AC593" s="185" t="str">
        <f>C593</f>
        <v/>
      </c>
      <c r="AD593" s="185" t="str">
        <f>LEFT($B$553,3)</f>
        <v>Wey</v>
      </c>
      <c r="AE593" s="185" t="str">
        <f t="shared" ref="AE593:AY593" si="293">E593</f>
        <v/>
      </c>
      <c r="AF593" s="185" t="str">
        <f t="shared" si="293"/>
        <v/>
      </c>
      <c r="AG593" s="185" t="str">
        <f t="shared" si="293"/>
        <v/>
      </c>
      <c r="AH593" s="185" t="str">
        <f t="shared" si="293"/>
        <v/>
      </c>
      <c r="AI593" s="185" t="str">
        <f t="shared" si="293"/>
        <v/>
      </c>
      <c r="AJ593" s="243" t="str">
        <f t="shared" si="293"/>
        <v/>
      </c>
      <c r="AK593" s="243" t="str">
        <f t="shared" si="293"/>
        <v/>
      </c>
      <c r="AL593" s="243" t="str">
        <f t="shared" si="293"/>
        <v/>
      </c>
      <c r="AM593" s="243" t="str">
        <f t="shared" si="293"/>
        <v/>
      </c>
      <c r="AN593" s="243" t="str">
        <f t="shared" si="293"/>
        <v/>
      </c>
      <c r="AO593" s="243" t="str">
        <f t="shared" si="293"/>
        <v/>
      </c>
      <c r="AP593" s="243" t="str">
        <f t="shared" si="293"/>
        <v/>
      </c>
      <c r="AQ593" s="243" t="str">
        <f t="shared" si="293"/>
        <v/>
      </c>
      <c r="AR593" s="243" t="str">
        <f t="shared" si="293"/>
        <v/>
      </c>
      <c r="AS593" s="243" t="str">
        <f t="shared" si="293"/>
        <v/>
      </c>
      <c r="AT593" s="243" t="str">
        <f t="shared" si="293"/>
        <v/>
      </c>
      <c r="AU593" s="243" t="str">
        <f t="shared" si="293"/>
        <v/>
      </c>
      <c r="AV593" s="243" t="str">
        <f t="shared" si="293"/>
        <v/>
      </c>
      <c r="AW593" s="247" t="str">
        <f t="shared" si="293"/>
        <v/>
      </c>
      <c r="AX593" s="243" t="str">
        <f t="shared" si="293"/>
        <v/>
      </c>
      <c r="AY593" s="248" t="str">
        <f t="shared" si="293"/>
        <v/>
      </c>
    </row>
    <row r="594" spans="2:51" ht="12.75" customHeight="1" x14ac:dyDescent="0.2">
      <c r="B594" s="211"/>
      <c r="C594" s="211"/>
      <c r="D594" s="211"/>
      <c r="E594" s="223"/>
      <c r="F594" s="225"/>
      <c r="G594" s="225"/>
      <c r="H594" s="225"/>
      <c r="I594" s="228"/>
      <c r="J594" s="164" t="str">
        <f>IF(Weymouth!M48="","",Weymouth!M48)</f>
        <v/>
      </c>
      <c r="K594" s="164" t="str">
        <f>IF(Weymouth!N48="","",Weymouth!N48)</f>
        <v/>
      </c>
      <c r="L594" s="164" t="str">
        <f>IF(Weymouth!O48="","",Weymouth!O48)</f>
        <v/>
      </c>
      <c r="M594" s="164" t="str">
        <f>IF(Weymouth!P48="","",Weymouth!P48)</f>
        <v/>
      </c>
      <c r="N594" s="164" t="str">
        <f>IF(Weymouth!Q48="","",Weymouth!Q48)</f>
        <v/>
      </c>
      <c r="O594" s="164" t="str">
        <f>IF(Weymouth!R48="","",Weymouth!R48)</f>
        <v/>
      </c>
      <c r="P594" s="164" t="str">
        <f>IF(Weymouth!S48="","",Weymouth!S48)</f>
        <v/>
      </c>
      <c r="Q594" s="164" t="str">
        <f>IF(Weymouth!T48="","",Weymouth!T48)</f>
        <v/>
      </c>
      <c r="R594" s="164" t="str">
        <f>IF(Weymouth!U48="","",Weymouth!U48)</f>
        <v/>
      </c>
      <c r="S594" s="164" t="str">
        <f>IF(Weymouth!V48="","",Weymouth!V48)</f>
        <v/>
      </c>
      <c r="T594" s="164" t="str">
        <f>IF(Weymouth!W48="","",Weymouth!W48)</f>
        <v/>
      </c>
      <c r="U594" s="164" t="str">
        <f>IF(Weymouth!X48="","",Weymouth!X48)</f>
        <v/>
      </c>
      <c r="V594" s="164" t="str">
        <f>IF(Weymouth!Y48="","",Weymouth!Y48)</f>
        <v/>
      </c>
      <c r="W594" s="225"/>
      <c r="X594" s="225"/>
      <c r="Y594" s="228"/>
      <c r="AA594" s="239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233"/>
    </row>
    <row r="595" spans="2:51" ht="12.75" customHeight="1" x14ac:dyDescent="0.2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</sheetData>
  <mergeCells count="10305">
    <mergeCell ref="C11:C12"/>
    <mergeCell ref="D11:D12"/>
    <mergeCell ref="E11:E12"/>
    <mergeCell ref="F11:F12"/>
    <mergeCell ref="G11:G12"/>
    <mergeCell ref="H11:H12"/>
    <mergeCell ref="C13:C14"/>
    <mergeCell ref="D13:D14"/>
    <mergeCell ref="W9:W10"/>
    <mergeCell ref="X9:X10"/>
    <mergeCell ref="AA13:AA14"/>
    <mergeCell ref="AB13:AB14"/>
    <mergeCell ref="AC13:AC14"/>
    <mergeCell ref="AD13:AD14"/>
    <mergeCell ref="AE13:AE14"/>
    <mergeCell ref="Y9:Y10"/>
    <mergeCell ref="W11:W12"/>
    <mergeCell ref="X11:X12"/>
    <mergeCell ref="Y11:Y12"/>
    <mergeCell ref="E13:E14"/>
    <mergeCell ref="F13:F14"/>
    <mergeCell ref="G13:G14"/>
    <mergeCell ref="H13:H14"/>
    <mergeCell ref="C15:C16"/>
    <mergeCell ref="D15:D16"/>
    <mergeCell ref="E15:E16"/>
    <mergeCell ref="F15:F16"/>
    <mergeCell ref="G15:G16"/>
    <mergeCell ref="H15:H16"/>
    <mergeCell ref="Y7:Y8"/>
    <mergeCell ref="W13:W14"/>
    <mergeCell ref="X13:X14"/>
    <mergeCell ref="Y13:Y14"/>
    <mergeCell ref="AA15:AA16"/>
    <mergeCell ref="AB15:AB16"/>
    <mergeCell ref="AC15:AC16"/>
    <mergeCell ref="H7:H8"/>
    <mergeCell ref="I7:I8"/>
    <mergeCell ref="I15:I16"/>
    <mergeCell ref="W15:W16"/>
    <mergeCell ref="X15:X16"/>
    <mergeCell ref="Y15:Y16"/>
    <mergeCell ref="C17:C18"/>
    <mergeCell ref="D17:D18"/>
    <mergeCell ref="E17:E18"/>
    <mergeCell ref="F17:F18"/>
    <mergeCell ref="G17:G18"/>
    <mergeCell ref="H17:H18"/>
    <mergeCell ref="C19:C20"/>
    <mergeCell ref="D19:D20"/>
    <mergeCell ref="X17:X18"/>
    <mergeCell ref="Y17:Y18"/>
    <mergeCell ref="AA19:AA20"/>
    <mergeCell ref="AB19:AB20"/>
    <mergeCell ref="AC19:AC20"/>
    <mergeCell ref="AD19:AD20"/>
    <mergeCell ref="AE19:AE20"/>
    <mergeCell ref="AA17:AA18"/>
    <mergeCell ref="AB17:AB18"/>
    <mergeCell ref="AC17:AC18"/>
    <mergeCell ref="AD17:AD18"/>
    <mergeCell ref="AE17:AE18"/>
    <mergeCell ref="AF17:AF18"/>
    <mergeCell ref="AG17:AG18"/>
    <mergeCell ref="AH17:AH18"/>
    <mergeCell ref="AI17:AI18"/>
    <mergeCell ref="AJ17:AJ18"/>
    <mergeCell ref="AK17:AK18"/>
    <mergeCell ref="AL17:AL18"/>
    <mergeCell ref="AM17:AM18"/>
    <mergeCell ref="AN17:AN18"/>
    <mergeCell ref="I17:I18"/>
    <mergeCell ref="W17:W18"/>
    <mergeCell ref="E19:E20"/>
    <mergeCell ref="F19:F20"/>
    <mergeCell ref="G19:G20"/>
    <mergeCell ref="H19:H20"/>
    <mergeCell ref="AV17:AV18"/>
    <mergeCell ref="AW17:AW18"/>
    <mergeCell ref="AX17:AX18"/>
    <mergeCell ref="AY17:AY18"/>
    <mergeCell ref="AO17:AO18"/>
    <mergeCell ref="AP17:AP18"/>
    <mergeCell ref="AQ17:AQ18"/>
    <mergeCell ref="AR17:AR18"/>
    <mergeCell ref="AS17:AS18"/>
    <mergeCell ref="AT17:AT18"/>
    <mergeCell ref="AU17:AU18"/>
    <mergeCell ref="AV19:AV20"/>
    <mergeCell ref="AW19:AW20"/>
    <mergeCell ref="AX19:AX20"/>
    <mergeCell ref="AY19:AY20"/>
    <mergeCell ref="AO19:AO20"/>
    <mergeCell ref="AP19:AP20"/>
    <mergeCell ref="AQ19:AQ20"/>
    <mergeCell ref="AR19:AR20"/>
    <mergeCell ref="AS19:AS20"/>
    <mergeCell ref="AT19:AT20"/>
    <mergeCell ref="AU19:AU20"/>
    <mergeCell ref="AV21:AV22"/>
    <mergeCell ref="AW21:AW22"/>
    <mergeCell ref="AX21:AX22"/>
    <mergeCell ref="AY21:AY22"/>
    <mergeCell ref="AO21:AO22"/>
    <mergeCell ref="AP21:AP22"/>
    <mergeCell ref="AQ21:AQ22"/>
    <mergeCell ref="AR21:AR22"/>
    <mergeCell ref="AS21:AS22"/>
    <mergeCell ref="AT21:AT22"/>
    <mergeCell ref="AU21:AU22"/>
    <mergeCell ref="C21:C22"/>
    <mergeCell ref="D21:D22"/>
    <mergeCell ref="E21:E22"/>
    <mergeCell ref="F21:F22"/>
    <mergeCell ref="G21:G22"/>
    <mergeCell ref="H21:H22"/>
    <mergeCell ref="X19:X20"/>
    <mergeCell ref="Y19:Y20"/>
    <mergeCell ref="AA21:AA22"/>
    <mergeCell ref="AB21:AB22"/>
    <mergeCell ref="AC21:AC22"/>
    <mergeCell ref="AD21:AD22"/>
    <mergeCell ref="AE21:AE22"/>
    <mergeCell ref="AM23:AM24"/>
    <mergeCell ref="AN23:AN24"/>
    <mergeCell ref="AF23:AF24"/>
    <mergeCell ref="AG23:AG24"/>
    <mergeCell ref="AH23:AH24"/>
    <mergeCell ref="AI23:AI24"/>
    <mergeCell ref="AJ23:AJ24"/>
    <mergeCell ref="AK23:AK24"/>
    <mergeCell ref="AL23:AL24"/>
    <mergeCell ref="I19:I20"/>
    <mergeCell ref="W19:W20"/>
    <mergeCell ref="I21:I22"/>
    <mergeCell ref="W21:W22"/>
    <mergeCell ref="X21:X22"/>
    <mergeCell ref="Y21:Y22"/>
    <mergeCell ref="C23:C24"/>
    <mergeCell ref="D23:D24"/>
    <mergeCell ref="E23:E24"/>
    <mergeCell ref="F23:F24"/>
    <mergeCell ref="G23:G24"/>
    <mergeCell ref="H23:H24"/>
    <mergeCell ref="X23:X24"/>
    <mergeCell ref="Y23:Y24"/>
    <mergeCell ref="AA23:AA24"/>
    <mergeCell ref="AB23:AB24"/>
    <mergeCell ref="AC23:AC24"/>
    <mergeCell ref="AD23:AD24"/>
    <mergeCell ref="AE23:AE24"/>
    <mergeCell ref="I23:I24"/>
    <mergeCell ref="W23:W24"/>
    <mergeCell ref="AM19:AM20"/>
    <mergeCell ref="AN19:AN20"/>
    <mergeCell ref="AF19:AF20"/>
    <mergeCell ref="AG19:AG20"/>
    <mergeCell ref="AH19:AH20"/>
    <mergeCell ref="AI19:AI20"/>
    <mergeCell ref="AJ19:AJ20"/>
    <mergeCell ref="AK19:AK20"/>
    <mergeCell ref="AL19:AL20"/>
    <mergeCell ref="AM27:AM28"/>
    <mergeCell ref="AN27:AN28"/>
    <mergeCell ref="AF27:AF28"/>
    <mergeCell ref="AG27:AG28"/>
    <mergeCell ref="AH27:AH28"/>
    <mergeCell ref="AI27:AI28"/>
    <mergeCell ref="AJ27:AJ28"/>
    <mergeCell ref="AK27:AK28"/>
    <mergeCell ref="AL27:AL28"/>
    <mergeCell ref="AA29:AA30"/>
    <mergeCell ref="AB29:AB30"/>
    <mergeCell ref="AC29:AC30"/>
    <mergeCell ref="AD29:AD30"/>
    <mergeCell ref="AE29:AE30"/>
    <mergeCell ref="AF29:AF30"/>
    <mergeCell ref="AG29:AG30"/>
    <mergeCell ref="AH29:AH30"/>
    <mergeCell ref="AI29:AI30"/>
    <mergeCell ref="AJ29:AJ30"/>
    <mergeCell ref="AK29:AK30"/>
    <mergeCell ref="AL29:AL30"/>
    <mergeCell ref="AM29:AM30"/>
    <mergeCell ref="AN29:AN30"/>
    <mergeCell ref="AV29:AV30"/>
    <mergeCell ref="AW29:AW30"/>
    <mergeCell ref="AX29:AX30"/>
    <mergeCell ref="AY29:AY30"/>
    <mergeCell ref="AO29:AO30"/>
    <mergeCell ref="AP29:AP30"/>
    <mergeCell ref="AQ29:AQ30"/>
    <mergeCell ref="AR29:AR30"/>
    <mergeCell ref="AS29:AS30"/>
    <mergeCell ref="AT29:AT30"/>
    <mergeCell ref="AU29:AU30"/>
    <mergeCell ref="AV27:AV28"/>
    <mergeCell ref="AW27:AW28"/>
    <mergeCell ref="AX27:AX28"/>
    <mergeCell ref="AY27:AY28"/>
    <mergeCell ref="AO27:AO28"/>
    <mergeCell ref="AP27:AP28"/>
    <mergeCell ref="AQ27:AQ28"/>
    <mergeCell ref="AR27:AR28"/>
    <mergeCell ref="AS27:AS28"/>
    <mergeCell ref="AT27:AT28"/>
    <mergeCell ref="AU27:AU28"/>
    <mergeCell ref="C25:C26"/>
    <mergeCell ref="D25:D26"/>
    <mergeCell ref="E25:E26"/>
    <mergeCell ref="F25:F26"/>
    <mergeCell ref="G25:G26"/>
    <mergeCell ref="H25:H26"/>
    <mergeCell ref="C27:C28"/>
    <mergeCell ref="D27:D28"/>
    <mergeCell ref="E27:E28"/>
    <mergeCell ref="F27:F28"/>
    <mergeCell ref="X25:X26"/>
    <mergeCell ref="Y25:Y26"/>
    <mergeCell ref="AA27:AA28"/>
    <mergeCell ref="AB27:AB28"/>
    <mergeCell ref="AC27:AC28"/>
    <mergeCell ref="AD27:AD28"/>
    <mergeCell ref="AE27:AE28"/>
    <mergeCell ref="I31:I32"/>
    <mergeCell ref="W31:W32"/>
    <mergeCell ref="E33:E34"/>
    <mergeCell ref="F33:F34"/>
    <mergeCell ref="G33:G34"/>
    <mergeCell ref="H33:H34"/>
    <mergeCell ref="C35:C36"/>
    <mergeCell ref="D35:D36"/>
    <mergeCell ref="E35:E36"/>
    <mergeCell ref="F35:F36"/>
    <mergeCell ref="G35:G36"/>
    <mergeCell ref="H35:H36"/>
    <mergeCell ref="X33:X34"/>
    <mergeCell ref="Y33:Y34"/>
    <mergeCell ref="AA35:AA36"/>
    <mergeCell ref="AB35:AB36"/>
    <mergeCell ref="AC35:AC36"/>
    <mergeCell ref="AD35:AD36"/>
    <mergeCell ref="AE35:AE36"/>
    <mergeCell ref="I33:I34"/>
    <mergeCell ref="W33:W34"/>
    <mergeCell ref="I35:I36"/>
    <mergeCell ref="W35:W36"/>
    <mergeCell ref="X35:X36"/>
    <mergeCell ref="Y35:Y36"/>
    <mergeCell ref="Y31:Y32"/>
    <mergeCell ref="AA33:AA34"/>
    <mergeCell ref="AB33:AB34"/>
    <mergeCell ref="AC33:AC34"/>
    <mergeCell ref="AD33:AD34"/>
    <mergeCell ref="AE33:AE34"/>
    <mergeCell ref="AA39:AA40"/>
    <mergeCell ref="AB39:AB40"/>
    <mergeCell ref="AC39:AC40"/>
    <mergeCell ref="AD39:AD40"/>
    <mergeCell ref="AE39:AE40"/>
    <mergeCell ref="AF39:AF40"/>
    <mergeCell ref="AG39:AG40"/>
    <mergeCell ref="AH39:AH40"/>
    <mergeCell ref="AI39:AI40"/>
    <mergeCell ref="AJ39:AJ40"/>
    <mergeCell ref="AK39:AK40"/>
    <mergeCell ref="AL39:AL40"/>
    <mergeCell ref="AM39:AM40"/>
    <mergeCell ref="AN39:AN40"/>
    <mergeCell ref="AV39:AV40"/>
    <mergeCell ref="AW39:AW40"/>
    <mergeCell ref="AX39:AX40"/>
    <mergeCell ref="AY39:AY40"/>
    <mergeCell ref="AO39:AO40"/>
    <mergeCell ref="AP39:AP40"/>
    <mergeCell ref="AQ39:AQ40"/>
    <mergeCell ref="AR39:AR40"/>
    <mergeCell ref="AS39:AS40"/>
    <mergeCell ref="AT39:AT40"/>
    <mergeCell ref="AU39:AU40"/>
    <mergeCell ref="I37:I38"/>
    <mergeCell ref="W37:W38"/>
    <mergeCell ref="C39:C40"/>
    <mergeCell ref="D39:D40"/>
    <mergeCell ref="E39:E40"/>
    <mergeCell ref="F39:F40"/>
    <mergeCell ref="G39:G40"/>
    <mergeCell ref="H39:H40"/>
    <mergeCell ref="C37:C38"/>
    <mergeCell ref="D37:D38"/>
    <mergeCell ref="E37:E38"/>
    <mergeCell ref="F37:F38"/>
    <mergeCell ref="G37:G38"/>
    <mergeCell ref="H37:H38"/>
    <mergeCell ref="X37:X38"/>
    <mergeCell ref="Y37:Y38"/>
    <mergeCell ref="AA37:AA38"/>
    <mergeCell ref="AB37:AB38"/>
    <mergeCell ref="AC37:AC38"/>
    <mergeCell ref="AD37:AD38"/>
    <mergeCell ref="AE37:AE38"/>
    <mergeCell ref="AT37:AT38"/>
    <mergeCell ref="AU37:AU38"/>
    <mergeCell ref="AV37:AV38"/>
    <mergeCell ref="AW37:AW38"/>
    <mergeCell ref="AX37:AX38"/>
    <mergeCell ref="AY37:AY38"/>
    <mergeCell ref="AM37:AM38"/>
    <mergeCell ref="AN37:AN38"/>
    <mergeCell ref="AO37:AO38"/>
    <mergeCell ref="AP37:AP38"/>
    <mergeCell ref="AQ37:AQ38"/>
    <mergeCell ref="AR37:AR38"/>
    <mergeCell ref="AS37:AS38"/>
    <mergeCell ref="AF37:AF38"/>
    <mergeCell ref="AG37:AG38"/>
    <mergeCell ref="AH37:AH38"/>
    <mergeCell ref="AI37:AI38"/>
    <mergeCell ref="AJ37:AJ38"/>
    <mergeCell ref="C41:C42"/>
    <mergeCell ref="D41:D42"/>
    <mergeCell ref="E41:E42"/>
    <mergeCell ref="F41:F42"/>
    <mergeCell ref="X39:X40"/>
    <mergeCell ref="Y39:Y40"/>
    <mergeCell ref="AA41:AA42"/>
    <mergeCell ref="AB41:AB42"/>
    <mergeCell ref="AC41:AC42"/>
    <mergeCell ref="AD41:AD42"/>
    <mergeCell ref="AE41:AE42"/>
    <mergeCell ref="W67:W68"/>
    <mergeCell ref="X67:X68"/>
    <mergeCell ref="Y67:Y68"/>
    <mergeCell ref="AA67:AA68"/>
    <mergeCell ref="AB67:AB68"/>
    <mergeCell ref="AC67:AC68"/>
    <mergeCell ref="AD67:AD68"/>
    <mergeCell ref="AE69:AE70"/>
    <mergeCell ref="AF69:AF70"/>
    <mergeCell ref="AG69:AG70"/>
    <mergeCell ref="AH69:AH70"/>
    <mergeCell ref="AI69:AI70"/>
    <mergeCell ref="AJ69:AJ70"/>
    <mergeCell ref="AK69:AK70"/>
    <mergeCell ref="AL69:AL70"/>
    <mergeCell ref="AM69:AM70"/>
    <mergeCell ref="AN69:AN70"/>
    <mergeCell ref="AO69:AO70"/>
    <mergeCell ref="AP69:AP70"/>
    <mergeCell ref="AQ69:AQ70"/>
    <mergeCell ref="AR69:AR70"/>
    <mergeCell ref="W69:W70"/>
    <mergeCell ref="X69:X70"/>
    <mergeCell ref="Y69:Y70"/>
    <mergeCell ref="AA69:AA70"/>
    <mergeCell ref="AB69:AB70"/>
    <mergeCell ref="AC69:AC70"/>
    <mergeCell ref="AD69:AD70"/>
    <mergeCell ref="AE63:AE64"/>
    <mergeCell ref="AF63:AF64"/>
    <mergeCell ref="AG63:AG64"/>
    <mergeCell ref="AH63:AH64"/>
    <mergeCell ref="AI63:AI64"/>
    <mergeCell ref="AJ63:AJ64"/>
    <mergeCell ref="AK63:AK64"/>
    <mergeCell ref="I39:I40"/>
    <mergeCell ref="W39:W40"/>
    <mergeCell ref="G41:G42"/>
    <mergeCell ref="H41:H42"/>
    <mergeCell ref="I41:I42"/>
    <mergeCell ref="W41:W42"/>
    <mergeCell ref="G43:G44"/>
    <mergeCell ref="H43:H44"/>
    <mergeCell ref="E43:E44"/>
    <mergeCell ref="F43:F44"/>
    <mergeCell ref="X41:X42"/>
    <mergeCell ref="Y41:Y42"/>
    <mergeCell ref="C53:C54"/>
    <mergeCell ref="D53:D54"/>
    <mergeCell ref="E53:E54"/>
    <mergeCell ref="F53:F54"/>
    <mergeCell ref="G53:G54"/>
    <mergeCell ref="H53:H54"/>
    <mergeCell ref="W73:W74"/>
    <mergeCell ref="X73:X74"/>
    <mergeCell ref="Y73:Y74"/>
    <mergeCell ref="AA73:AA74"/>
    <mergeCell ref="AB73:AB74"/>
    <mergeCell ref="AC73:AC74"/>
    <mergeCell ref="AD73:AD74"/>
    <mergeCell ref="AU77:AU78"/>
    <mergeCell ref="AV77:AV78"/>
    <mergeCell ref="AN77:AN78"/>
    <mergeCell ref="AO77:AO78"/>
    <mergeCell ref="AP77:AP78"/>
    <mergeCell ref="AQ77:AQ78"/>
    <mergeCell ref="AR77:AR78"/>
    <mergeCell ref="AS77:AS78"/>
    <mergeCell ref="AT77:AT78"/>
    <mergeCell ref="AL73:AL74"/>
    <mergeCell ref="AM73:AM74"/>
    <mergeCell ref="AE73:AE74"/>
    <mergeCell ref="AF73:AF74"/>
    <mergeCell ref="AG73:AG74"/>
    <mergeCell ref="AH73:AH74"/>
    <mergeCell ref="AI73:AI74"/>
    <mergeCell ref="AJ73:AJ74"/>
    <mergeCell ref="AK73:AK74"/>
    <mergeCell ref="AE75:AE76"/>
    <mergeCell ref="AF75:AF76"/>
    <mergeCell ref="AG75:AG76"/>
    <mergeCell ref="AH75:AH76"/>
    <mergeCell ref="AI75:AI76"/>
    <mergeCell ref="AJ75:AJ76"/>
    <mergeCell ref="AK75:AK76"/>
    <mergeCell ref="W75:W76"/>
    <mergeCell ref="X75:X76"/>
    <mergeCell ref="Y75:Y76"/>
    <mergeCell ref="AA75:AA76"/>
    <mergeCell ref="AB75:AB76"/>
    <mergeCell ref="AC75:AC76"/>
    <mergeCell ref="AD75:AD76"/>
    <mergeCell ref="W77:W78"/>
    <mergeCell ref="X77:X78"/>
    <mergeCell ref="Y77:Y78"/>
    <mergeCell ref="AA77:AA78"/>
    <mergeCell ref="AB77:AB78"/>
    <mergeCell ref="AC77:AC78"/>
    <mergeCell ref="AD77:AD78"/>
    <mergeCell ref="AL75:AL76"/>
    <mergeCell ref="AM75:AM76"/>
    <mergeCell ref="AN75:AN76"/>
    <mergeCell ref="AE65:AE66"/>
    <mergeCell ref="AF65:AF66"/>
    <mergeCell ref="AG65:AG66"/>
    <mergeCell ref="AH65:AH66"/>
    <mergeCell ref="AI65:AI66"/>
    <mergeCell ref="AJ65:AJ66"/>
    <mergeCell ref="AK65:AK66"/>
    <mergeCell ref="W65:W66"/>
    <mergeCell ref="X65:X66"/>
    <mergeCell ref="Y65:Y66"/>
    <mergeCell ref="AA65:AA66"/>
    <mergeCell ref="AB65:AB66"/>
    <mergeCell ref="AC65:AC66"/>
    <mergeCell ref="AD65:AD66"/>
    <mergeCell ref="AU67:AU68"/>
    <mergeCell ref="AV67:AV68"/>
    <mergeCell ref="AN67:AN68"/>
    <mergeCell ref="AO67:AO68"/>
    <mergeCell ref="AP67:AP68"/>
    <mergeCell ref="AQ67:AQ68"/>
    <mergeCell ref="AR67:AR68"/>
    <mergeCell ref="AS67:AS68"/>
    <mergeCell ref="AT67:AT68"/>
    <mergeCell ref="AS71:AS72"/>
    <mergeCell ref="AT71:AT72"/>
    <mergeCell ref="AL71:AL72"/>
    <mergeCell ref="AM71:AM72"/>
    <mergeCell ref="AN71:AN72"/>
    <mergeCell ref="AO71:AO72"/>
    <mergeCell ref="AP71:AP72"/>
    <mergeCell ref="AQ71:AQ72"/>
    <mergeCell ref="AR71:AR72"/>
    <mergeCell ref="AE71:AE72"/>
    <mergeCell ref="AF71:AF72"/>
    <mergeCell ref="AG71:AG72"/>
    <mergeCell ref="AH71:AH72"/>
    <mergeCell ref="AI71:AI72"/>
    <mergeCell ref="AJ71:AJ72"/>
    <mergeCell ref="AK71:AK72"/>
    <mergeCell ref="W71:W72"/>
    <mergeCell ref="X71:X72"/>
    <mergeCell ref="Y71:Y72"/>
    <mergeCell ref="AA71:AA72"/>
    <mergeCell ref="AB71:AB72"/>
    <mergeCell ref="AC71:AC72"/>
    <mergeCell ref="AD71:AD72"/>
    <mergeCell ref="AU71:AU72"/>
    <mergeCell ref="AV71:AV72"/>
    <mergeCell ref="AS69:AS70"/>
    <mergeCell ref="AT69:AT70"/>
    <mergeCell ref="AU69:AU70"/>
    <mergeCell ref="AV69:AV70"/>
    <mergeCell ref="AL65:AL66"/>
    <mergeCell ref="AM65:AM66"/>
    <mergeCell ref="AN65:AN66"/>
    <mergeCell ref="AO65:AO66"/>
    <mergeCell ref="AP65:AP66"/>
    <mergeCell ref="AQ65:AQ66"/>
    <mergeCell ref="AR65:AR66"/>
    <mergeCell ref="AF67:AF68"/>
    <mergeCell ref="AG67:AG68"/>
    <mergeCell ref="AH67:AH68"/>
    <mergeCell ref="AW67:AW68"/>
    <mergeCell ref="AX67:AX68"/>
    <mergeCell ref="AY67:AY68"/>
    <mergeCell ref="AS65:AS66"/>
    <mergeCell ref="AT65:AT66"/>
    <mergeCell ref="AU65:AU66"/>
    <mergeCell ref="AV65:AV66"/>
    <mergeCell ref="AW65:AW66"/>
    <mergeCell ref="AX65:AX66"/>
    <mergeCell ref="AY65:AY66"/>
    <mergeCell ref="AI67:AI68"/>
    <mergeCell ref="AJ67:AJ68"/>
    <mergeCell ref="AK67:AK68"/>
    <mergeCell ref="AO75:AO76"/>
    <mergeCell ref="AP75:AP76"/>
    <mergeCell ref="AQ75:AQ76"/>
    <mergeCell ref="AR75:AR76"/>
    <mergeCell ref="AW77:AW78"/>
    <mergeCell ref="AX77:AX78"/>
    <mergeCell ref="AY77:AY78"/>
    <mergeCell ref="AS75:AS76"/>
    <mergeCell ref="AT75:AT76"/>
    <mergeCell ref="AU75:AU76"/>
    <mergeCell ref="AV75:AV76"/>
    <mergeCell ref="AW75:AW76"/>
    <mergeCell ref="AX75:AX76"/>
    <mergeCell ref="AY75:AY76"/>
    <mergeCell ref="AU73:AU74"/>
    <mergeCell ref="AV73:AV74"/>
    <mergeCell ref="AN73:AN74"/>
    <mergeCell ref="AO73:AO74"/>
    <mergeCell ref="AW71:AW72"/>
    <mergeCell ref="AX71:AX72"/>
    <mergeCell ref="AY71:AY72"/>
    <mergeCell ref="AW73:AW74"/>
    <mergeCell ref="AX73:AX74"/>
    <mergeCell ref="AY73:AY74"/>
    <mergeCell ref="AW69:AW70"/>
    <mergeCell ref="AX69:AX70"/>
    <mergeCell ref="AY69:AY70"/>
    <mergeCell ref="AP73:AP74"/>
    <mergeCell ref="AQ73:AQ74"/>
    <mergeCell ref="AR73:AR74"/>
    <mergeCell ref="AS73:AS74"/>
    <mergeCell ref="AT73:AT74"/>
    <mergeCell ref="AW81:AW82"/>
    <mergeCell ref="AX81:AX82"/>
    <mergeCell ref="AY81:AY82"/>
    <mergeCell ref="AE81:AE82"/>
    <mergeCell ref="AF81:AF82"/>
    <mergeCell ref="AG81:AG82"/>
    <mergeCell ref="AH81:AH82"/>
    <mergeCell ref="AI81:AI82"/>
    <mergeCell ref="AJ81:AJ82"/>
    <mergeCell ref="AK81:AK82"/>
    <mergeCell ref="AL87:AL88"/>
    <mergeCell ref="AM87:AM88"/>
    <mergeCell ref="AE87:AE88"/>
    <mergeCell ref="AF87:AF88"/>
    <mergeCell ref="AG87:AG88"/>
    <mergeCell ref="AH87:AH88"/>
    <mergeCell ref="AI87:AI88"/>
    <mergeCell ref="AJ87:AJ88"/>
    <mergeCell ref="AK87:AK88"/>
    <mergeCell ref="AE89:AE90"/>
    <mergeCell ref="AF89:AF90"/>
    <mergeCell ref="AG89:AG90"/>
    <mergeCell ref="AH89:AH90"/>
    <mergeCell ref="AI89:AI90"/>
    <mergeCell ref="AJ89:AJ90"/>
    <mergeCell ref="AK89:AK90"/>
    <mergeCell ref="AS83:AS84"/>
    <mergeCell ref="AT83:AT84"/>
    <mergeCell ref="AU83:AU84"/>
    <mergeCell ref="AV83:AV84"/>
    <mergeCell ref="AW83:AW84"/>
    <mergeCell ref="AX83:AX84"/>
    <mergeCell ref="AY83:AY84"/>
    <mergeCell ref="AG91:AG92"/>
    <mergeCell ref="AH91:AH92"/>
    <mergeCell ref="AI91:AI92"/>
    <mergeCell ref="AJ91:AJ92"/>
    <mergeCell ref="AK91:AK92"/>
    <mergeCell ref="AE93:AE94"/>
    <mergeCell ref="AF93:AF94"/>
    <mergeCell ref="AG93:AG94"/>
    <mergeCell ref="AH93:AH94"/>
    <mergeCell ref="AI93:AI94"/>
    <mergeCell ref="AJ93:AJ94"/>
    <mergeCell ref="AK93:AK94"/>
    <mergeCell ref="W93:W94"/>
    <mergeCell ref="X93:X94"/>
    <mergeCell ref="Y93:Y94"/>
    <mergeCell ref="AA93:AA94"/>
    <mergeCell ref="AB93:AB94"/>
    <mergeCell ref="AC93:AC94"/>
    <mergeCell ref="AD93:AD94"/>
    <mergeCell ref="W95:W96"/>
    <mergeCell ref="X95:X96"/>
    <mergeCell ref="Y95:Y96"/>
    <mergeCell ref="AA95:AA96"/>
    <mergeCell ref="AB95:AB96"/>
    <mergeCell ref="AC95:AC96"/>
    <mergeCell ref="AD95:AD96"/>
    <mergeCell ref="AL93:AL94"/>
    <mergeCell ref="AM93:AM94"/>
    <mergeCell ref="AN93:AN94"/>
    <mergeCell ref="AO93:AO94"/>
    <mergeCell ref="AP93:AP94"/>
    <mergeCell ref="AQ93:AQ94"/>
    <mergeCell ref="AR93:AR94"/>
    <mergeCell ref="AW95:AW96"/>
    <mergeCell ref="AX95:AX96"/>
    <mergeCell ref="AY95:AY96"/>
    <mergeCell ref="AS93:AS94"/>
    <mergeCell ref="AT93:AT94"/>
    <mergeCell ref="AU93:AU94"/>
    <mergeCell ref="AV93:AV94"/>
    <mergeCell ref="AW93:AW94"/>
    <mergeCell ref="AX93:AX94"/>
    <mergeCell ref="AY93:AY94"/>
    <mergeCell ref="AU81:AU82"/>
    <mergeCell ref="AV81:AV82"/>
    <mergeCell ref="AN81:AN82"/>
    <mergeCell ref="AO81:AO82"/>
    <mergeCell ref="AP81:AP82"/>
    <mergeCell ref="AQ81:AQ82"/>
    <mergeCell ref="AR81:AR82"/>
    <mergeCell ref="AS81:AS82"/>
    <mergeCell ref="AT81:AT82"/>
    <mergeCell ref="AL77:AL78"/>
    <mergeCell ref="AM77:AM78"/>
    <mergeCell ref="AE77:AE78"/>
    <mergeCell ref="AF77:AF78"/>
    <mergeCell ref="AG77:AG78"/>
    <mergeCell ref="AH77:AH78"/>
    <mergeCell ref="AI77:AI78"/>
    <mergeCell ref="AJ77:AJ78"/>
    <mergeCell ref="AK77:AK78"/>
    <mergeCell ref="AE79:AE80"/>
    <mergeCell ref="AF79:AF80"/>
    <mergeCell ref="AG79:AG80"/>
    <mergeCell ref="AH79:AH80"/>
    <mergeCell ref="AI79:AI80"/>
    <mergeCell ref="AJ79:AJ80"/>
    <mergeCell ref="AK79:AK80"/>
    <mergeCell ref="AS79:AS80"/>
    <mergeCell ref="AT79:AT80"/>
    <mergeCell ref="AU79:AU80"/>
    <mergeCell ref="AV79:AV80"/>
    <mergeCell ref="AW79:AW80"/>
    <mergeCell ref="AX79:AX80"/>
    <mergeCell ref="AY79:AY80"/>
    <mergeCell ref="AU87:AU88"/>
    <mergeCell ref="AV87:AV88"/>
    <mergeCell ref="AN87:AN88"/>
    <mergeCell ref="AO87:AO88"/>
    <mergeCell ref="AP87:AP88"/>
    <mergeCell ref="AQ87:AQ88"/>
    <mergeCell ref="AR87:AR88"/>
    <mergeCell ref="AS87:AS88"/>
    <mergeCell ref="AT87:AT88"/>
    <mergeCell ref="AU95:AU96"/>
    <mergeCell ref="AV95:AV96"/>
    <mergeCell ref="AN95:AN96"/>
    <mergeCell ref="AO95:AO96"/>
    <mergeCell ref="AP95:AP96"/>
    <mergeCell ref="AQ95:AQ96"/>
    <mergeCell ref="AR95:AR96"/>
    <mergeCell ref="AS95:AS96"/>
    <mergeCell ref="AT95:AT96"/>
    <mergeCell ref="AL91:AL92"/>
    <mergeCell ref="AM91:AM92"/>
    <mergeCell ref="AE91:AE92"/>
    <mergeCell ref="AF91:AF92"/>
    <mergeCell ref="W79:W80"/>
    <mergeCell ref="X79:X80"/>
    <mergeCell ref="Y79:Y80"/>
    <mergeCell ref="AA79:AA80"/>
    <mergeCell ref="AB79:AB80"/>
    <mergeCell ref="AC79:AC80"/>
    <mergeCell ref="AD79:AD80"/>
    <mergeCell ref="AL79:AL80"/>
    <mergeCell ref="AM79:AM80"/>
    <mergeCell ref="AN79:AN80"/>
    <mergeCell ref="AO79:AO80"/>
    <mergeCell ref="AP79:AP80"/>
    <mergeCell ref="AQ79:AQ80"/>
    <mergeCell ref="AR79:AR80"/>
    <mergeCell ref="W81:W82"/>
    <mergeCell ref="X81:X82"/>
    <mergeCell ref="Y81:Y82"/>
    <mergeCell ref="AA81:AA82"/>
    <mergeCell ref="AB81:AB82"/>
    <mergeCell ref="AC81:AC82"/>
    <mergeCell ref="AD81:AD82"/>
    <mergeCell ref="AE85:AE86"/>
    <mergeCell ref="AF85:AF86"/>
    <mergeCell ref="AG85:AG86"/>
    <mergeCell ref="AH85:AH86"/>
    <mergeCell ref="AI85:AI86"/>
    <mergeCell ref="AJ85:AJ86"/>
    <mergeCell ref="AK85:AK86"/>
    <mergeCell ref="W85:W86"/>
    <mergeCell ref="X85:X86"/>
    <mergeCell ref="Y85:Y86"/>
    <mergeCell ref="AA85:AA86"/>
    <mergeCell ref="AB85:AB86"/>
    <mergeCell ref="AC85:AC86"/>
    <mergeCell ref="AD85:AD86"/>
    <mergeCell ref="AE83:AE84"/>
    <mergeCell ref="AF83:AF84"/>
    <mergeCell ref="AG83:AG84"/>
    <mergeCell ref="AH83:AH84"/>
    <mergeCell ref="AI83:AI84"/>
    <mergeCell ref="AJ83:AJ84"/>
    <mergeCell ref="AK83:AK84"/>
    <mergeCell ref="AL83:AL84"/>
    <mergeCell ref="AM83:AM84"/>
    <mergeCell ref="AN83:AN84"/>
    <mergeCell ref="AO83:AO84"/>
    <mergeCell ref="AP83:AP84"/>
    <mergeCell ref="AQ83:AQ84"/>
    <mergeCell ref="AR83:AR84"/>
    <mergeCell ref="W83:W84"/>
    <mergeCell ref="X83:X84"/>
    <mergeCell ref="Y83:Y84"/>
    <mergeCell ref="AA83:AA84"/>
    <mergeCell ref="AB83:AB84"/>
    <mergeCell ref="AC83:AC84"/>
    <mergeCell ref="AD83:AD84"/>
    <mergeCell ref="AL81:AL82"/>
    <mergeCell ref="AM81:AM82"/>
    <mergeCell ref="W87:W88"/>
    <mergeCell ref="X87:X88"/>
    <mergeCell ref="Y87:Y88"/>
    <mergeCell ref="AA87:AA88"/>
    <mergeCell ref="AB87:AB88"/>
    <mergeCell ref="AC87:AC88"/>
    <mergeCell ref="AD87:AD88"/>
    <mergeCell ref="AL85:AL86"/>
    <mergeCell ref="AM85:AM86"/>
    <mergeCell ref="AN85:AN86"/>
    <mergeCell ref="AO85:AO86"/>
    <mergeCell ref="AP85:AP86"/>
    <mergeCell ref="AQ85:AQ86"/>
    <mergeCell ref="AR85:AR86"/>
    <mergeCell ref="AW87:AW88"/>
    <mergeCell ref="AX87:AX88"/>
    <mergeCell ref="AY87:AY88"/>
    <mergeCell ref="AS85:AS86"/>
    <mergeCell ref="AT85:AT86"/>
    <mergeCell ref="AU85:AU86"/>
    <mergeCell ref="AV85:AV86"/>
    <mergeCell ref="AW85:AW86"/>
    <mergeCell ref="AX85:AX86"/>
    <mergeCell ref="AY85:AY86"/>
    <mergeCell ref="AU91:AU92"/>
    <mergeCell ref="AV91:AV92"/>
    <mergeCell ref="AN91:AN92"/>
    <mergeCell ref="AO91:AO92"/>
    <mergeCell ref="AP91:AP92"/>
    <mergeCell ref="AQ91:AQ92"/>
    <mergeCell ref="AR91:AR92"/>
    <mergeCell ref="AS91:AS92"/>
    <mergeCell ref="AT91:AT92"/>
    <mergeCell ref="W89:W90"/>
    <mergeCell ref="X89:X90"/>
    <mergeCell ref="Y89:Y90"/>
    <mergeCell ref="AA89:AA90"/>
    <mergeCell ref="AB89:AB90"/>
    <mergeCell ref="AC89:AC90"/>
    <mergeCell ref="AD89:AD90"/>
    <mergeCell ref="W91:W92"/>
    <mergeCell ref="X91:X92"/>
    <mergeCell ref="Y91:Y92"/>
    <mergeCell ref="AA91:AA92"/>
    <mergeCell ref="AB91:AB92"/>
    <mergeCell ref="AC91:AC92"/>
    <mergeCell ref="AD91:AD92"/>
    <mergeCell ref="AL89:AL90"/>
    <mergeCell ref="AM89:AM90"/>
    <mergeCell ref="AN89:AN90"/>
    <mergeCell ref="AO89:AO90"/>
    <mergeCell ref="AP89:AP90"/>
    <mergeCell ref="AQ89:AQ90"/>
    <mergeCell ref="AR89:AR90"/>
    <mergeCell ref="AW91:AW92"/>
    <mergeCell ref="AX91:AX92"/>
    <mergeCell ref="AY91:AY92"/>
    <mergeCell ref="AS89:AS90"/>
    <mergeCell ref="AT89:AT90"/>
    <mergeCell ref="AU89:AU90"/>
    <mergeCell ref="AV89:AV90"/>
    <mergeCell ref="AW89:AW90"/>
    <mergeCell ref="AX89:AX90"/>
    <mergeCell ref="AY89:AY90"/>
    <mergeCell ref="AG105:AG106"/>
    <mergeCell ref="AH105:AH106"/>
    <mergeCell ref="AI105:AI106"/>
    <mergeCell ref="AJ105:AJ106"/>
    <mergeCell ref="AK105:AK106"/>
    <mergeCell ref="AE107:AE108"/>
    <mergeCell ref="AF107:AF108"/>
    <mergeCell ref="AG107:AG108"/>
    <mergeCell ref="AH107:AH108"/>
    <mergeCell ref="AI107:AI108"/>
    <mergeCell ref="AJ107:AJ108"/>
    <mergeCell ref="AK107:AK108"/>
    <mergeCell ref="W107:W108"/>
    <mergeCell ref="X107:X108"/>
    <mergeCell ref="Y107:Y108"/>
    <mergeCell ref="AA107:AA108"/>
    <mergeCell ref="AB107:AB108"/>
    <mergeCell ref="AC107:AC108"/>
    <mergeCell ref="AD107:AD108"/>
    <mergeCell ref="W105:W106"/>
    <mergeCell ref="X105:X106"/>
    <mergeCell ref="Y105:Y106"/>
    <mergeCell ref="AA105:AA106"/>
    <mergeCell ref="AB105:AB106"/>
    <mergeCell ref="AC105:AC106"/>
    <mergeCell ref="AD105:AD106"/>
    <mergeCell ref="AW105:AW106"/>
    <mergeCell ref="AX105:AX106"/>
    <mergeCell ref="AY105:AY106"/>
    <mergeCell ref="AS103:AS104"/>
    <mergeCell ref="AT103:AT104"/>
    <mergeCell ref="AU103:AU104"/>
    <mergeCell ref="AV103:AV104"/>
    <mergeCell ref="AW103:AW104"/>
    <mergeCell ref="AX103:AX104"/>
    <mergeCell ref="AY103:AY104"/>
    <mergeCell ref="W109:W110"/>
    <mergeCell ref="X109:X110"/>
    <mergeCell ref="Y109:Y110"/>
    <mergeCell ref="AA109:AA110"/>
    <mergeCell ref="AB109:AB110"/>
    <mergeCell ref="AC109:AC110"/>
    <mergeCell ref="AD109:AD110"/>
    <mergeCell ref="AL107:AL108"/>
    <mergeCell ref="AM107:AM108"/>
    <mergeCell ref="AN107:AN108"/>
    <mergeCell ref="AO107:AO108"/>
    <mergeCell ref="AP107:AP108"/>
    <mergeCell ref="AQ107:AQ108"/>
    <mergeCell ref="AR107:AR108"/>
    <mergeCell ref="AW109:AW110"/>
    <mergeCell ref="AX109:AX110"/>
    <mergeCell ref="AY109:AY110"/>
    <mergeCell ref="AS107:AS108"/>
    <mergeCell ref="AT107:AT108"/>
    <mergeCell ref="AU107:AU108"/>
    <mergeCell ref="AV107:AV108"/>
    <mergeCell ref="AW107:AW108"/>
    <mergeCell ref="AX107:AX108"/>
    <mergeCell ref="AY107:AY108"/>
    <mergeCell ref="AU113:AU114"/>
    <mergeCell ref="AV113:AV114"/>
    <mergeCell ref="AN113:AN114"/>
    <mergeCell ref="AO113:AO114"/>
    <mergeCell ref="AP113:AP114"/>
    <mergeCell ref="AQ113:AQ114"/>
    <mergeCell ref="AR113:AR114"/>
    <mergeCell ref="AS113:AS114"/>
    <mergeCell ref="AT113:AT114"/>
    <mergeCell ref="AL109:AL110"/>
    <mergeCell ref="AM109:AM110"/>
    <mergeCell ref="AE109:AE110"/>
    <mergeCell ref="AF109:AF110"/>
    <mergeCell ref="AG109:AG110"/>
    <mergeCell ref="AH109:AH110"/>
    <mergeCell ref="AI109:AI110"/>
    <mergeCell ref="AJ109:AJ110"/>
    <mergeCell ref="AK109:AK110"/>
    <mergeCell ref="AE111:AE112"/>
    <mergeCell ref="AF111:AF112"/>
    <mergeCell ref="AG111:AG112"/>
    <mergeCell ref="AH111:AH112"/>
    <mergeCell ref="AI111:AI112"/>
    <mergeCell ref="AJ111:AJ112"/>
    <mergeCell ref="AK111:AK112"/>
    <mergeCell ref="W111:W112"/>
    <mergeCell ref="X111:X112"/>
    <mergeCell ref="Y111:Y112"/>
    <mergeCell ref="AA111:AA112"/>
    <mergeCell ref="AB111:AB112"/>
    <mergeCell ref="AC111:AC112"/>
    <mergeCell ref="AD111:AD112"/>
    <mergeCell ref="W113:W114"/>
    <mergeCell ref="X113:X114"/>
    <mergeCell ref="Y113:Y114"/>
    <mergeCell ref="AA113:AA114"/>
    <mergeCell ref="AB113:AB114"/>
    <mergeCell ref="AC113:AC114"/>
    <mergeCell ref="AD113:AD114"/>
    <mergeCell ref="AL111:AL112"/>
    <mergeCell ref="AU99:AU100"/>
    <mergeCell ref="AV99:AV100"/>
    <mergeCell ref="AN99:AN100"/>
    <mergeCell ref="AO99:AO100"/>
    <mergeCell ref="AP99:AP100"/>
    <mergeCell ref="AQ99:AQ100"/>
    <mergeCell ref="AR99:AR100"/>
    <mergeCell ref="AS99:AS100"/>
    <mergeCell ref="AT99:AT100"/>
    <mergeCell ref="AL95:AL96"/>
    <mergeCell ref="AM95:AM96"/>
    <mergeCell ref="AE95:AE96"/>
    <mergeCell ref="AF95:AF96"/>
    <mergeCell ref="AG95:AG96"/>
    <mergeCell ref="AH95:AH96"/>
    <mergeCell ref="AI95:AI96"/>
    <mergeCell ref="AJ95:AJ96"/>
    <mergeCell ref="AK95:AK96"/>
    <mergeCell ref="AE97:AE98"/>
    <mergeCell ref="AF97:AF98"/>
    <mergeCell ref="AG97:AG98"/>
    <mergeCell ref="AH97:AH98"/>
    <mergeCell ref="AI97:AI98"/>
    <mergeCell ref="AJ97:AJ98"/>
    <mergeCell ref="AK97:AK98"/>
    <mergeCell ref="AS97:AS98"/>
    <mergeCell ref="AT97:AT98"/>
    <mergeCell ref="AU97:AU98"/>
    <mergeCell ref="AV97:AV98"/>
    <mergeCell ref="AW97:AW98"/>
    <mergeCell ref="AX97:AX98"/>
    <mergeCell ref="AY97:AY98"/>
    <mergeCell ref="AU105:AU106"/>
    <mergeCell ref="AV105:AV106"/>
    <mergeCell ref="AN105:AN106"/>
    <mergeCell ref="AO105:AO106"/>
    <mergeCell ref="AP105:AP106"/>
    <mergeCell ref="AQ105:AQ106"/>
    <mergeCell ref="AR105:AR106"/>
    <mergeCell ref="AS105:AS106"/>
    <mergeCell ref="AT105:AT106"/>
    <mergeCell ref="AS101:AS102"/>
    <mergeCell ref="AT101:AT102"/>
    <mergeCell ref="AU101:AU102"/>
    <mergeCell ref="AV101:AV102"/>
    <mergeCell ref="AW101:AW102"/>
    <mergeCell ref="AX101:AX102"/>
    <mergeCell ref="AY101:AY102"/>
    <mergeCell ref="AL99:AL100"/>
    <mergeCell ref="AM99:AM100"/>
    <mergeCell ref="AW99:AW100"/>
    <mergeCell ref="AX99:AX100"/>
    <mergeCell ref="AY99:AY100"/>
    <mergeCell ref="AE99:AE100"/>
    <mergeCell ref="AF99:AF100"/>
    <mergeCell ref="AG99:AG100"/>
    <mergeCell ref="AH99:AH100"/>
    <mergeCell ref="AI99:AI100"/>
    <mergeCell ref="AJ99:AJ100"/>
    <mergeCell ref="AK99:AK100"/>
    <mergeCell ref="AL105:AL106"/>
    <mergeCell ref="AM105:AM106"/>
    <mergeCell ref="AE105:AE106"/>
    <mergeCell ref="AF105:AF106"/>
    <mergeCell ref="W97:W98"/>
    <mergeCell ref="X97:X98"/>
    <mergeCell ref="Y97:Y98"/>
    <mergeCell ref="AA97:AA98"/>
    <mergeCell ref="AB97:AB98"/>
    <mergeCell ref="AC97:AC98"/>
    <mergeCell ref="AD97:AD98"/>
    <mergeCell ref="AL97:AL98"/>
    <mergeCell ref="AM97:AM98"/>
    <mergeCell ref="AN97:AN98"/>
    <mergeCell ref="AO97:AO98"/>
    <mergeCell ref="AP97:AP98"/>
    <mergeCell ref="AQ97:AQ98"/>
    <mergeCell ref="AR97:AR98"/>
    <mergeCell ref="W99:W100"/>
    <mergeCell ref="X99:X100"/>
    <mergeCell ref="Y99:Y100"/>
    <mergeCell ref="AA99:AA100"/>
    <mergeCell ref="AB99:AB100"/>
    <mergeCell ref="AC99:AC100"/>
    <mergeCell ref="AD99:AD100"/>
    <mergeCell ref="AE103:AE104"/>
    <mergeCell ref="AF103:AF104"/>
    <mergeCell ref="AG103:AG104"/>
    <mergeCell ref="AH103:AH104"/>
    <mergeCell ref="AI103:AI104"/>
    <mergeCell ref="AJ103:AJ104"/>
    <mergeCell ref="AK103:AK104"/>
    <mergeCell ref="W103:W104"/>
    <mergeCell ref="X103:X104"/>
    <mergeCell ref="Y103:Y104"/>
    <mergeCell ref="AA103:AA104"/>
    <mergeCell ref="AB103:AB104"/>
    <mergeCell ref="AC103:AC104"/>
    <mergeCell ref="AD103:AD104"/>
    <mergeCell ref="AE101:AE102"/>
    <mergeCell ref="AF101:AF102"/>
    <mergeCell ref="AG101:AG102"/>
    <mergeCell ref="AH101:AH102"/>
    <mergeCell ref="AI101:AI102"/>
    <mergeCell ref="AJ101:AJ102"/>
    <mergeCell ref="AK101:AK102"/>
    <mergeCell ref="AL101:AL102"/>
    <mergeCell ref="AM101:AM102"/>
    <mergeCell ref="AN101:AN102"/>
    <mergeCell ref="AO101:AO102"/>
    <mergeCell ref="AP101:AP102"/>
    <mergeCell ref="AQ101:AQ102"/>
    <mergeCell ref="AR101:AR102"/>
    <mergeCell ref="W101:W102"/>
    <mergeCell ref="X101:X102"/>
    <mergeCell ref="Y101:Y102"/>
    <mergeCell ref="AA101:AA102"/>
    <mergeCell ref="AB101:AB102"/>
    <mergeCell ref="AC101:AC102"/>
    <mergeCell ref="AD101:AD102"/>
    <mergeCell ref="AL103:AL104"/>
    <mergeCell ref="AM103:AM104"/>
    <mergeCell ref="AN103:AN104"/>
    <mergeCell ref="AO103:AO104"/>
    <mergeCell ref="AP103:AP104"/>
    <mergeCell ref="AQ103:AQ104"/>
    <mergeCell ref="AR103:AR104"/>
    <mergeCell ref="AU109:AU110"/>
    <mergeCell ref="AV109:AV110"/>
    <mergeCell ref="AN109:AN110"/>
    <mergeCell ref="AO109:AO110"/>
    <mergeCell ref="AP109:AP110"/>
    <mergeCell ref="AQ109:AQ110"/>
    <mergeCell ref="AR109:AR110"/>
    <mergeCell ref="AS109:AS110"/>
    <mergeCell ref="AT109:AT110"/>
    <mergeCell ref="AL113:AL114"/>
    <mergeCell ref="AM113:AM114"/>
    <mergeCell ref="AE113:AE114"/>
    <mergeCell ref="AF113:AF114"/>
    <mergeCell ref="AG113:AG114"/>
    <mergeCell ref="AH113:AH114"/>
    <mergeCell ref="AI113:AI114"/>
    <mergeCell ref="AJ113:AJ114"/>
    <mergeCell ref="AK113:AK114"/>
    <mergeCell ref="AL121:AL122"/>
    <mergeCell ref="AM121:AM122"/>
    <mergeCell ref="AE121:AE122"/>
    <mergeCell ref="AF121:AF122"/>
    <mergeCell ref="AG121:AG122"/>
    <mergeCell ref="AH121:AH122"/>
    <mergeCell ref="AI121:AI122"/>
    <mergeCell ref="AJ121:AJ122"/>
    <mergeCell ref="AK121:AK122"/>
    <mergeCell ref="AE123:AE124"/>
    <mergeCell ref="AF123:AF124"/>
    <mergeCell ref="AG123:AG124"/>
    <mergeCell ref="AH123:AH124"/>
    <mergeCell ref="AI123:AI124"/>
    <mergeCell ref="AJ123:AJ124"/>
    <mergeCell ref="AK123:AK124"/>
    <mergeCell ref="AO117:AO118"/>
    <mergeCell ref="AP117:AP118"/>
    <mergeCell ref="AQ117:AQ118"/>
    <mergeCell ref="AR117:AR118"/>
    <mergeCell ref="AS117:AS118"/>
    <mergeCell ref="AT117:AT118"/>
    <mergeCell ref="AU121:AU122"/>
    <mergeCell ref="AV121:AV122"/>
    <mergeCell ref="AN121:AN122"/>
    <mergeCell ref="AO121:AO122"/>
    <mergeCell ref="AP121:AP122"/>
    <mergeCell ref="AQ121:AQ122"/>
    <mergeCell ref="AR121:AR122"/>
    <mergeCell ref="AS121:AS122"/>
    <mergeCell ref="AT121:AT122"/>
    <mergeCell ref="AE119:AE120"/>
    <mergeCell ref="AF119:AF120"/>
    <mergeCell ref="AG119:AG120"/>
    <mergeCell ref="AH119:AH120"/>
    <mergeCell ref="AI119:AI120"/>
    <mergeCell ref="AJ119:AJ120"/>
    <mergeCell ref="AK119:AK120"/>
    <mergeCell ref="AM111:AM112"/>
    <mergeCell ref="AN111:AN112"/>
    <mergeCell ref="AO111:AO112"/>
    <mergeCell ref="AP111:AP112"/>
    <mergeCell ref="AQ111:AQ112"/>
    <mergeCell ref="AR111:AR112"/>
    <mergeCell ref="AS111:AS112"/>
    <mergeCell ref="AT111:AT112"/>
    <mergeCell ref="AW129:AW130"/>
    <mergeCell ref="AX129:AX130"/>
    <mergeCell ref="AY129:AY130"/>
    <mergeCell ref="AS127:AS128"/>
    <mergeCell ref="AT127:AT128"/>
    <mergeCell ref="AU127:AU128"/>
    <mergeCell ref="AV127:AV128"/>
    <mergeCell ref="AW127:AW128"/>
    <mergeCell ref="AX127:AX128"/>
    <mergeCell ref="AY127:AY128"/>
    <mergeCell ref="AU125:AU126"/>
    <mergeCell ref="AV125:AV126"/>
    <mergeCell ref="AN125:AN126"/>
    <mergeCell ref="AO125:AO126"/>
    <mergeCell ref="AP125:AP126"/>
    <mergeCell ref="AQ125:AQ126"/>
    <mergeCell ref="AR125:AR126"/>
    <mergeCell ref="AS125:AS126"/>
    <mergeCell ref="AT125:AT126"/>
    <mergeCell ref="AD123:AD124"/>
    <mergeCell ref="W125:W126"/>
    <mergeCell ref="X125:X126"/>
    <mergeCell ref="Y125:Y126"/>
    <mergeCell ref="X129:X130"/>
    <mergeCell ref="Y129:Y130"/>
    <mergeCell ref="AA129:AA130"/>
    <mergeCell ref="AB129:AB130"/>
    <mergeCell ref="AC129:AC130"/>
    <mergeCell ref="AD129:AD130"/>
    <mergeCell ref="W127:W128"/>
    <mergeCell ref="X127:X128"/>
    <mergeCell ref="Y127:Y128"/>
    <mergeCell ref="AA127:AA128"/>
    <mergeCell ref="AL123:AL124"/>
    <mergeCell ref="AM123:AM124"/>
    <mergeCell ref="AN123:AN124"/>
    <mergeCell ref="AO123:AO124"/>
    <mergeCell ref="AP123:AP124"/>
    <mergeCell ref="AQ123:AQ124"/>
    <mergeCell ref="AR123:AR124"/>
    <mergeCell ref="AW125:AW126"/>
    <mergeCell ref="AX125:AX126"/>
    <mergeCell ref="AY125:AY126"/>
    <mergeCell ref="AS123:AS124"/>
    <mergeCell ref="AT123:AT124"/>
    <mergeCell ref="AU123:AU124"/>
    <mergeCell ref="AV123:AV124"/>
    <mergeCell ref="AW123:AW124"/>
    <mergeCell ref="AX123:AX124"/>
    <mergeCell ref="AL129:AL130"/>
    <mergeCell ref="AM129:AM130"/>
    <mergeCell ref="AE129:AE130"/>
    <mergeCell ref="AF129:AF130"/>
    <mergeCell ref="AG129:AG130"/>
    <mergeCell ref="AH129:AH130"/>
    <mergeCell ref="AI129:AI130"/>
    <mergeCell ref="G95:G96"/>
    <mergeCell ref="H95:H96"/>
    <mergeCell ref="E93:E94"/>
    <mergeCell ref="F93:F94"/>
    <mergeCell ref="G93:G94"/>
    <mergeCell ref="H93:H94"/>
    <mergeCell ref="I93:I94"/>
    <mergeCell ref="F95:F96"/>
    <mergeCell ref="I95:I96"/>
    <mergeCell ref="H99:H100"/>
    <mergeCell ref="I99:I100"/>
    <mergeCell ref="H101:H102"/>
    <mergeCell ref="I101:I102"/>
    <mergeCell ref="H103:H104"/>
    <mergeCell ref="I103:I104"/>
    <mergeCell ref="E95:E96"/>
    <mergeCell ref="E97:E98"/>
    <mergeCell ref="F97:F98"/>
    <mergeCell ref="G97:G98"/>
    <mergeCell ref="H97:H98"/>
    <mergeCell ref="I97:I98"/>
    <mergeCell ref="E99:E100"/>
    <mergeCell ref="F99:F100"/>
    <mergeCell ref="G99:G100"/>
    <mergeCell ref="E101:E102"/>
    <mergeCell ref="F101:F102"/>
    <mergeCell ref="G101:G102"/>
    <mergeCell ref="F103:F104"/>
    <mergeCell ref="G103:G104"/>
    <mergeCell ref="E103:E104"/>
    <mergeCell ref="E105:E106"/>
    <mergeCell ref="F105:F106"/>
    <mergeCell ref="G105:G106"/>
    <mergeCell ref="H105:H106"/>
    <mergeCell ref="I105:I106"/>
    <mergeCell ref="E107:E108"/>
    <mergeCell ref="F115:F116"/>
    <mergeCell ref="G115:G116"/>
    <mergeCell ref="AU117:AU118"/>
    <mergeCell ref="AV117:AV118"/>
    <mergeCell ref="AN117:AN118"/>
    <mergeCell ref="W123:W124"/>
    <mergeCell ref="X123:X124"/>
    <mergeCell ref="Y123:Y124"/>
    <mergeCell ref="AA123:AA124"/>
    <mergeCell ref="AB123:AB124"/>
    <mergeCell ref="AC123:AC124"/>
    <mergeCell ref="E111:E112"/>
    <mergeCell ref="E113:E114"/>
    <mergeCell ref="F113:F114"/>
    <mergeCell ref="G113:G114"/>
    <mergeCell ref="H113:H114"/>
    <mergeCell ref="I113:I114"/>
    <mergeCell ref="E115:E116"/>
    <mergeCell ref="H115:H116"/>
    <mergeCell ref="I115:I116"/>
    <mergeCell ref="W115:W116"/>
    <mergeCell ref="X115:X116"/>
    <mergeCell ref="Y115:Y116"/>
    <mergeCell ref="AA115:AA116"/>
    <mergeCell ref="AB115:AB116"/>
    <mergeCell ref="AX115:AX116"/>
    <mergeCell ref="AY115:AY116"/>
    <mergeCell ref="AW117:AW118"/>
    <mergeCell ref="AX117:AX118"/>
    <mergeCell ref="AY117:AY118"/>
    <mergeCell ref="AQ115:AQ116"/>
    <mergeCell ref="AR115:AR116"/>
    <mergeCell ref="AS115:AS116"/>
    <mergeCell ref="AT115:AT116"/>
    <mergeCell ref="AU115:AU116"/>
    <mergeCell ref="AV115:AV116"/>
    <mergeCell ref="AW115:AW116"/>
    <mergeCell ref="AC115:AC116"/>
    <mergeCell ref="AD115:AD116"/>
    <mergeCell ref="AE115:AE116"/>
    <mergeCell ref="AF115:AF116"/>
    <mergeCell ref="AG115:AG116"/>
    <mergeCell ref="AH115:AH116"/>
    <mergeCell ref="AI115:AI116"/>
    <mergeCell ref="W117:W118"/>
    <mergeCell ref="X117:X118"/>
    <mergeCell ref="Y117:Y118"/>
    <mergeCell ref="AA117:AA118"/>
    <mergeCell ref="AB117:AB118"/>
    <mergeCell ref="AC117:AC118"/>
    <mergeCell ref="AD117:AD118"/>
    <mergeCell ref="AJ115:AJ116"/>
    <mergeCell ref="AK115:AK116"/>
    <mergeCell ref="AL115:AL116"/>
    <mergeCell ref="AM115:AM116"/>
    <mergeCell ref="AN115:AN116"/>
    <mergeCell ref="AO115:AO116"/>
    <mergeCell ref="AP115:AP116"/>
    <mergeCell ref="AL117:AL118"/>
    <mergeCell ref="AM117:AM118"/>
    <mergeCell ref="AE117:AE118"/>
    <mergeCell ref="AF117:AF118"/>
    <mergeCell ref="AG117:AG118"/>
    <mergeCell ref="AL137:AL138"/>
    <mergeCell ref="AM137:AM138"/>
    <mergeCell ref="AE137:AE138"/>
    <mergeCell ref="AF137:AF138"/>
    <mergeCell ref="AG137:AG138"/>
    <mergeCell ref="AH137:AH138"/>
    <mergeCell ref="AI137:AI138"/>
    <mergeCell ref="AJ137:AJ138"/>
    <mergeCell ref="AK137:AK138"/>
    <mergeCell ref="AO133:AO134"/>
    <mergeCell ref="AP133:AP134"/>
    <mergeCell ref="AQ133:AQ134"/>
    <mergeCell ref="AR133:AR134"/>
    <mergeCell ref="AH117:AH118"/>
    <mergeCell ref="AI117:AI118"/>
    <mergeCell ref="AJ117:AJ118"/>
    <mergeCell ref="AK117:AK118"/>
    <mergeCell ref="AW113:AW114"/>
    <mergeCell ref="AX113:AX114"/>
    <mergeCell ref="AY113:AY114"/>
    <mergeCell ref="AU111:AU112"/>
    <mergeCell ref="AV111:AV112"/>
    <mergeCell ref="AW111:AW112"/>
    <mergeCell ref="AX111:AX112"/>
    <mergeCell ref="AY111:AY112"/>
    <mergeCell ref="W119:W120"/>
    <mergeCell ref="X119:X120"/>
    <mergeCell ref="Y119:Y120"/>
    <mergeCell ref="AA119:AA120"/>
    <mergeCell ref="AB119:AB120"/>
    <mergeCell ref="AC119:AC120"/>
    <mergeCell ref="AD119:AD120"/>
    <mergeCell ref="W121:W122"/>
    <mergeCell ref="X121:X122"/>
    <mergeCell ref="Y121:Y122"/>
    <mergeCell ref="AA121:AA122"/>
    <mergeCell ref="AB121:AB122"/>
    <mergeCell ref="AC121:AC122"/>
    <mergeCell ref="AD121:AD122"/>
    <mergeCell ref="AL119:AL120"/>
    <mergeCell ref="AM119:AM120"/>
    <mergeCell ref="AN119:AN120"/>
    <mergeCell ref="AO119:AO120"/>
    <mergeCell ref="AP119:AP120"/>
    <mergeCell ref="AQ119:AQ120"/>
    <mergeCell ref="AR119:AR120"/>
    <mergeCell ref="AW121:AW122"/>
    <mergeCell ref="AX121:AX122"/>
    <mergeCell ref="AY121:AY122"/>
    <mergeCell ref="AS119:AS120"/>
    <mergeCell ref="AT119:AT120"/>
    <mergeCell ref="AU119:AU120"/>
    <mergeCell ref="AV119:AV120"/>
    <mergeCell ref="AW119:AW120"/>
    <mergeCell ref="AX119:AX120"/>
    <mergeCell ref="AY119:AY120"/>
    <mergeCell ref="AY123:AY124"/>
    <mergeCell ref="AU129:AU130"/>
    <mergeCell ref="AV129:AV130"/>
    <mergeCell ref="AN129:AN130"/>
    <mergeCell ref="AA125:AA126"/>
    <mergeCell ref="AB125:AB126"/>
    <mergeCell ref="AC125:AC126"/>
    <mergeCell ref="AD125:AD126"/>
    <mergeCell ref="X135:X136"/>
    <mergeCell ref="Y135:Y136"/>
    <mergeCell ref="AA135:AA136"/>
    <mergeCell ref="AB135:AB136"/>
    <mergeCell ref="AC135:AC136"/>
    <mergeCell ref="AD135:AD136"/>
    <mergeCell ref="W131:W132"/>
    <mergeCell ref="X131:X132"/>
    <mergeCell ref="Y131:Y132"/>
    <mergeCell ref="AA131:AA132"/>
    <mergeCell ref="AB131:AB132"/>
    <mergeCell ref="AJ131:AJ132"/>
    <mergeCell ref="AK131:AK132"/>
    <mergeCell ref="AL131:AL132"/>
    <mergeCell ref="AM131:AM132"/>
    <mergeCell ref="AN131:AN132"/>
    <mergeCell ref="AO131:AO132"/>
    <mergeCell ref="AP131:AP132"/>
    <mergeCell ref="AJ129:AJ130"/>
    <mergeCell ref="AK129:AK130"/>
    <mergeCell ref="AS129:AS130"/>
    <mergeCell ref="AT129:AT130"/>
    <mergeCell ref="AL125:AL126"/>
    <mergeCell ref="AM125:AM126"/>
    <mergeCell ref="AE125:AE126"/>
    <mergeCell ref="AF125:AF126"/>
    <mergeCell ref="AG125:AG126"/>
    <mergeCell ref="AH125:AH126"/>
    <mergeCell ref="AI125:AI126"/>
    <mergeCell ref="AJ125:AJ126"/>
    <mergeCell ref="AK125:AK126"/>
    <mergeCell ref="AE127:AE128"/>
    <mergeCell ref="AF127:AF128"/>
    <mergeCell ref="AG127:AG128"/>
    <mergeCell ref="AH127:AH128"/>
    <mergeCell ref="AI127:AI128"/>
    <mergeCell ref="AJ127:AJ128"/>
    <mergeCell ref="AK127:AK128"/>
    <mergeCell ref="AO129:AO130"/>
    <mergeCell ref="AP129:AP130"/>
    <mergeCell ref="AQ129:AQ130"/>
    <mergeCell ref="AR129:AR130"/>
    <mergeCell ref="AB127:AB128"/>
    <mergeCell ref="AC127:AC128"/>
    <mergeCell ref="AD127:AD128"/>
    <mergeCell ref="W129:W130"/>
    <mergeCell ref="AL127:AL128"/>
    <mergeCell ref="AM127:AM128"/>
    <mergeCell ref="AN127:AN128"/>
    <mergeCell ref="AO127:AO128"/>
    <mergeCell ref="AP127:AP128"/>
    <mergeCell ref="AQ127:AQ128"/>
    <mergeCell ref="AR127:AR128"/>
    <mergeCell ref="AX131:AX132"/>
    <mergeCell ref="AY131:AY132"/>
    <mergeCell ref="AQ131:AQ132"/>
    <mergeCell ref="AR131:AR132"/>
    <mergeCell ref="AS131:AS132"/>
    <mergeCell ref="AT131:AT132"/>
    <mergeCell ref="AU131:AU132"/>
    <mergeCell ref="AV131:AV132"/>
    <mergeCell ref="AW131:AW132"/>
    <mergeCell ref="AC131:AC132"/>
    <mergeCell ref="AD131:AD132"/>
    <mergeCell ref="AE131:AE132"/>
    <mergeCell ref="AF131:AF132"/>
    <mergeCell ref="AG131:AG132"/>
    <mergeCell ref="AH131:AH132"/>
    <mergeCell ref="AI131:AI132"/>
    <mergeCell ref="W133:W134"/>
    <mergeCell ref="X133:X134"/>
    <mergeCell ref="Y133:Y134"/>
    <mergeCell ref="AA133:AA134"/>
    <mergeCell ref="AB133:AB134"/>
    <mergeCell ref="AC133:AC134"/>
    <mergeCell ref="AD133:AD134"/>
    <mergeCell ref="AU141:AU142"/>
    <mergeCell ref="AV141:AV142"/>
    <mergeCell ref="AN141:AN142"/>
    <mergeCell ref="AO141:AO142"/>
    <mergeCell ref="AP141:AP142"/>
    <mergeCell ref="AQ141:AQ142"/>
    <mergeCell ref="AR141:AR142"/>
    <mergeCell ref="AS141:AS142"/>
    <mergeCell ref="AT141:AT142"/>
    <mergeCell ref="AL143:AL144"/>
    <mergeCell ref="AM143:AM144"/>
    <mergeCell ref="AN143:AN144"/>
    <mergeCell ref="AO143:AO144"/>
    <mergeCell ref="AP143:AP144"/>
    <mergeCell ref="AQ143:AQ144"/>
    <mergeCell ref="AR143:AR144"/>
    <mergeCell ref="AS143:AS144"/>
    <mergeCell ref="AT143:AT144"/>
    <mergeCell ref="AU143:AU144"/>
    <mergeCell ref="AV143:AV144"/>
    <mergeCell ref="AW143:AW144"/>
    <mergeCell ref="AX143:AX144"/>
    <mergeCell ref="AY143:AY144"/>
    <mergeCell ref="AE139:AE140"/>
    <mergeCell ref="AF139:AF140"/>
    <mergeCell ref="AG139:AG140"/>
    <mergeCell ref="AH139:AH140"/>
    <mergeCell ref="AI139:AI140"/>
    <mergeCell ref="AJ139:AJ140"/>
    <mergeCell ref="AE133:AE134"/>
    <mergeCell ref="AF133:AF134"/>
    <mergeCell ref="AG133:AG134"/>
    <mergeCell ref="AH133:AH134"/>
    <mergeCell ref="AI133:AI134"/>
    <mergeCell ref="AJ133:AJ134"/>
    <mergeCell ref="AK133:AK134"/>
    <mergeCell ref="AS133:AS134"/>
    <mergeCell ref="AT133:AT134"/>
    <mergeCell ref="AU133:AU134"/>
    <mergeCell ref="AV133:AV134"/>
    <mergeCell ref="AW133:AW134"/>
    <mergeCell ref="AX133:AX134"/>
    <mergeCell ref="AY133:AY134"/>
    <mergeCell ref="AL133:AL134"/>
    <mergeCell ref="AM133:AM134"/>
    <mergeCell ref="AN133:AN134"/>
    <mergeCell ref="AN139:AN140"/>
    <mergeCell ref="AO139:AO140"/>
    <mergeCell ref="AP139:AP140"/>
    <mergeCell ref="AQ139:AQ140"/>
    <mergeCell ref="AR139:AR140"/>
    <mergeCell ref="AW141:AW142"/>
    <mergeCell ref="AX141:AX142"/>
    <mergeCell ref="AY141:AY142"/>
    <mergeCell ref="AS139:AS140"/>
    <mergeCell ref="AT139:AT140"/>
    <mergeCell ref="AU139:AU140"/>
    <mergeCell ref="AV139:AV140"/>
    <mergeCell ref="AW139:AW140"/>
    <mergeCell ref="AX139:AX140"/>
    <mergeCell ref="AY139:AY140"/>
    <mergeCell ref="AL141:AL142"/>
    <mergeCell ref="AM141:AM142"/>
    <mergeCell ref="AE141:AE142"/>
    <mergeCell ref="W137:W138"/>
    <mergeCell ref="X137:X138"/>
    <mergeCell ref="Y137:Y138"/>
    <mergeCell ref="AA137:AA138"/>
    <mergeCell ref="AB137:AB138"/>
    <mergeCell ref="AC137:AC138"/>
    <mergeCell ref="AD137:AD138"/>
    <mergeCell ref="AL135:AL136"/>
    <mergeCell ref="AM135:AM136"/>
    <mergeCell ref="AN135:AN136"/>
    <mergeCell ref="AO135:AO136"/>
    <mergeCell ref="AP135:AP136"/>
    <mergeCell ref="AQ135:AQ136"/>
    <mergeCell ref="AR135:AR136"/>
    <mergeCell ref="AW137:AW138"/>
    <mergeCell ref="AX137:AX138"/>
    <mergeCell ref="AY137:AY138"/>
    <mergeCell ref="AS135:AS136"/>
    <mergeCell ref="AT135:AT136"/>
    <mergeCell ref="AU135:AU136"/>
    <mergeCell ref="AV135:AV136"/>
    <mergeCell ref="AW135:AW136"/>
    <mergeCell ref="AX135:AX136"/>
    <mergeCell ref="AY135:AY136"/>
    <mergeCell ref="AE135:AE136"/>
    <mergeCell ref="AU137:AU138"/>
    <mergeCell ref="AV137:AV138"/>
    <mergeCell ref="AN137:AN138"/>
    <mergeCell ref="AO137:AO138"/>
    <mergeCell ref="AP137:AP138"/>
    <mergeCell ref="AQ137:AQ138"/>
    <mergeCell ref="AR137:AR138"/>
    <mergeCell ref="AS137:AS138"/>
    <mergeCell ref="AT137:AT138"/>
    <mergeCell ref="AF135:AF136"/>
    <mergeCell ref="AG135:AG136"/>
    <mergeCell ref="AH135:AH136"/>
    <mergeCell ref="AI135:AI136"/>
    <mergeCell ref="AJ135:AJ136"/>
    <mergeCell ref="AK135:AK136"/>
    <mergeCell ref="W135:W136"/>
    <mergeCell ref="AW151:AW152"/>
    <mergeCell ref="AX151:AX152"/>
    <mergeCell ref="AY151:AY152"/>
    <mergeCell ref="AO145:AO146"/>
    <mergeCell ref="AP145:AP146"/>
    <mergeCell ref="AQ145:AQ146"/>
    <mergeCell ref="AR145:AR146"/>
    <mergeCell ref="AS145:AS146"/>
    <mergeCell ref="AT145:AT146"/>
    <mergeCell ref="W145:W146"/>
    <mergeCell ref="X145:X146"/>
    <mergeCell ref="Y145:Y146"/>
    <mergeCell ref="AA145:AA146"/>
    <mergeCell ref="AB145:AB146"/>
    <mergeCell ref="AC145:AC146"/>
    <mergeCell ref="AD145:AD146"/>
    <mergeCell ref="AW145:AW146"/>
    <mergeCell ref="AX145:AX146"/>
    <mergeCell ref="AY145:AY146"/>
    <mergeCell ref="AK139:AK140"/>
    <mergeCell ref="W139:W140"/>
    <mergeCell ref="X139:X140"/>
    <mergeCell ref="Y139:Y140"/>
    <mergeCell ref="AA139:AA140"/>
    <mergeCell ref="AB139:AB140"/>
    <mergeCell ref="AC139:AC140"/>
    <mergeCell ref="AD139:AD140"/>
    <mergeCell ref="W141:W142"/>
    <mergeCell ref="X141:X142"/>
    <mergeCell ref="Y141:Y142"/>
    <mergeCell ref="AA141:AA142"/>
    <mergeCell ref="AB141:AB142"/>
    <mergeCell ref="AC141:AC142"/>
    <mergeCell ref="AD141:AD142"/>
    <mergeCell ref="AL139:AL140"/>
    <mergeCell ref="AM139:AM140"/>
    <mergeCell ref="W143:W144"/>
    <mergeCell ref="X143:X144"/>
    <mergeCell ref="Y143:Y144"/>
    <mergeCell ref="AA143:AA144"/>
    <mergeCell ref="AB143:AB144"/>
    <mergeCell ref="AC143:AC144"/>
    <mergeCell ref="AD143:AD144"/>
    <mergeCell ref="AE143:AE144"/>
    <mergeCell ref="AF143:AF144"/>
    <mergeCell ref="AG143:AG144"/>
    <mergeCell ref="AH143:AH144"/>
    <mergeCell ref="AI143:AI144"/>
    <mergeCell ref="AJ143:AJ144"/>
    <mergeCell ref="AK143:AK144"/>
    <mergeCell ref="AF141:AF142"/>
    <mergeCell ref="AG141:AG142"/>
    <mergeCell ref="AH141:AH142"/>
    <mergeCell ref="AI141:AI142"/>
    <mergeCell ref="AJ141:AJ142"/>
    <mergeCell ref="AK141:AK142"/>
    <mergeCell ref="AF157:AF158"/>
    <mergeCell ref="AG157:AG158"/>
    <mergeCell ref="AH157:AH158"/>
    <mergeCell ref="AI157:AI158"/>
    <mergeCell ref="AJ157:AJ158"/>
    <mergeCell ref="AK157:AK158"/>
    <mergeCell ref="AE159:AE160"/>
    <mergeCell ref="AF159:AF160"/>
    <mergeCell ref="AG159:AG160"/>
    <mergeCell ref="AH159:AH160"/>
    <mergeCell ref="AI159:AI160"/>
    <mergeCell ref="AJ159:AJ160"/>
    <mergeCell ref="AK159:AK160"/>
    <mergeCell ref="AU153:AU154"/>
    <mergeCell ref="AV153:AV154"/>
    <mergeCell ref="AN153:AN154"/>
    <mergeCell ref="AO153:AO154"/>
    <mergeCell ref="AP153:AP154"/>
    <mergeCell ref="AQ153:AQ154"/>
    <mergeCell ref="AR153:AR154"/>
    <mergeCell ref="AS153:AS154"/>
    <mergeCell ref="AT153:AT154"/>
    <mergeCell ref="AS149:AS150"/>
    <mergeCell ref="AT149:AT150"/>
    <mergeCell ref="AL149:AL150"/>
    <mergeCell ref="AM149:AM150"/>
    <mergeCell ref="AN149:AN150"/>
    <mergeCell ref="AO149:AO150"/>
    <mergeCell ref="AP149:AP150"/>
    <mergeCell ref="AQ149:AQ150"/>
    <mergeCell ref="AR149:AR150"/>
    <mergeCell ref="AE151:AE152"/>
    <mergeCell ref="AF151:AF152"/>
    <mergeCell ref="AG151:AG152"/>
    <mergeCell ref="AH151:AH152"/>
    <mergeCell ref="AI151:AI152"/>
    <mergeCell ref="AJ151:AJ152"/>
    <mergeCell ref="AK151:AK152"/>
    <mergeCell ref="W155:W156"/>
    <mergeCell ref="X155:X156"/>
    <mergeCell ref="Y155:Y156"/>
    <mergeCell ref="AA155:AA156"/>
    <mergeCell ref="AB155:AB156"/>
    <mergeCell ref="AC155:AC156"/>
    <mergeCell ref="AD155:AD156"/>
    <mergeCell ref="W157:W158"/>
    <mergeCell ref="W163:W164"/>
    <mergeCell ref="X163:X164"/>
    <mergeCell ref="Y163:Y164"/>
    <mergeCell ref="AA163:AA164"/>
    <mergeCell ref="AB163:AB164"/>
    <mergeCell ref="AC163:AC164"/>
    <mergeCell ref="AD163:AD164"/>
    <mergeCell ref="W165:W166"/>
    <mergeCell ref="X165:X166"/>
    <mergeCell ref="Y165:Y166"/>
    <mergeCell ref="AA165:AA166"/>
    <mergeCell ref="AB165:AB166"/>
    <mergeCell ref="AC165:AC166"/>
    <mergeCell ref="AD165:AD166"/>
    <mergeCell ref="AL163:AL164"/>
    <mergeCell ref="AM163:AM164"/>
    <mergeCell ref="AN163:AN164"/>
    <mergeCell ref="AO163:AO164"/>
    <mergeCell ref="AP163:AP164"/>
    <mergeCell ref="AQ163:AQ164"/>
    <mergeCell ref="AR163:AR164"/>
    <mergeCell ref="AW165:AW166"/>
    <mergeCell ref="AX165:AX166"/>
    <mergeCell ref="AY165:AY166"/>
    <mergeCell ref="AS163:AS164"/>
    <mergeCell ref="AT163:AT164"/>
    <mergeCell ref="AU163:AU164"/>
    <mergeCell ref="AV163:AV164"/>
    <mergeCell ref="AW163:AW164"/>
    <mergeCell ref="AX163:AX164"/>
    <mergeCell ref="AY163:AY164"/>
    <mergeCell ref="W159:W160"/>
    <mergeCell ref="X159:X160"/>
    <mergeCell ref="Y159:Y160"/>
    <mergeCell ref="AA159:AA160"/>
    <mergeCell ref="AB159:AB160"/>
    <mergeCell ref="AC159:AC160"/>
    <mergeCell ref="AD159:AD160"/>
    <mergeCell ref="W161:W162"/>
    <mergeCell ref="X161:X162"/>
    <mergeCell ref="Y161:Y162"/>
    <mergeCell ref="AA161:AA162"/>
    <mergeCell ref="AB161:AB162"/>
    <mergeCell ref="AC161:AC162"/>
    <mergeCell ref="AD161:AD162"/>
    <mergeCell ref="AL159:AL160"/>
    <mergeCell ref="AM159:AM160"/>
    <mergeCell ref="AN159:AN160"/>
    <mergeCell ref="AO159:AO160"/>
    <mergeCell ref="AP159:AP160"/>
    <mergeCell ref="AQ159:AQ160"/>
    <mergeCell ref="AR159:AR160"/>
    <mergeCell ref="AW161:AW162"/>
    <mergeCell ref="AX161:AX162"/>
    <mergeCell ref="AY161:AY162"/>
    <mergeCell ref="AS159:AS160"/>
    <mergeCell ref="AU165:AU166"/>
    <mergeCell ref="AV165:AV166"/>
    <mergeCell ref="AN165:AN166"/>
    <mergeCell ref="AO165:AO166"/>
    <mergeCell ref="AP165:AP166"/>
    <mergeCell ref="AQ165:AQ166"/>
    <mergeCell ref="AR165:AR166"/>
    <mergeCell ref="AS165:AS166"/>
    <mergeCell ref="AT165:AT166"/>
    <mergeCell ref="AL165:AL166"/>
    <mergeCell ref="AM165:AM166"/>
    <mergeCell ref="AE165:AE166"/>
    <mergeCell ref="AF165:AF166"/>
    <mergeCell ref="AG165:AG166"/>
    <mergeCell ref="AH165:AH166"/>
    <mergeCell ref="AI165:AI166"/>
    <mergeCell ref="AJ165:AJ166"/>
    <mergeCell ref="AK165:AK166"/>
    <mergeCell ref="AE163:AE164"/>
    <mergeCell ref="AF163:AF164"/>
    <mergeCell ref="AG163:AG164"/>
    <mergeCell ref="AH163:AH164"/>
    <mergeCell ref="AI163:AI164"/>
    <mergeCell ref="AJ163:AJ164"/>
    <mergeCell ref="AK163:AK164"/>
    <mergeCell ref="AE161:AE162"/>
    <mergeCell ref="AF161:AF162"/>
    <mergeCell ref="AG161:AG162"/>
    <mergeCell ref="AH161:AH162"/>
    <mergeCell ref="AI161:AI162"/>
    <mergeCell ref="AJ161:AJ162"/>
    <mergeCell ref="AK161:AK162"/>
    <mergeCell ref="W151:W152"/>
    <mergeCell ref="X151:X152"/>
    <mergeCell ref="Y151:Y152"/>
    <mergeCell ref="AA151:AA152"/>
    <mergeCell ref="AB151:AB152"/>
    <mergeCell ref="AC151:AC152"/>
    <mergeCell ref="AD151:AD152"/>
    <mergeCell ref="W153:W154"/>
    <mergeCell ref="X153:X154"/>
    <mergeCell ref="Y153:Y154"/>
    <mergeCell ref="AA153:AA154"/>
    <mergeCell ref="AB153:AB154"/>
    <mergeCell ref="AC153:AC154"/>
    <mergeCell ref="AD153:AD154"/>
    <mergeCell ref="AL151:AL152"/>
    <mergeCell ref="AM151:AM152"/>
    <mergeCell ref="AN151:AN152"/>
    <mergeCell ref="AO151:AO152"/>
    <mergeCell ref="AP151:AP152"/>
    <mergeCell ref="AQ151:AQ152"/>
    <mergeCell ref="AR151:AR152"/>
    <mergeCell ref="AS151:AS152"/>
    <mergeCell ref="AT151:AT152"/>
    <mergeCell ref="AU151:AU152"/>
    <mergeCell ref="AV151:AV152"/>
    <mergeCell ref="AU157:AU158"/>
    <mergeCell ref="AV157:AV158"/>
    <mergeCell ref="AN157:AN158"/>
    <mergeCell ref="AO157:AO158"/>
    <mergeCell ref="AP157:AP158"/>
    <mergeCell ref="AQ157:AQ158"/>
    <mergeCell ref="AR157:AR158"/>
    <mergeCell ref="X157:X158"/>
    <mergeCell ref="Y157:Y158"/>
    <mergeCell ref="AA157:AA158"/>
    <mergeCell ref="AB157:AB158"/>
    <mergeCell ref="AC157:AC158"/>
    <mergeCell ref="AD157:AD158"/>
    <mergeCell ref="AL155:AL156"/>
    <mergeCell ref="AM155:AM156"/>
    <mergeCell ref="AN155:AN156"/>
    <mergeCell ref="AO155:AO156"/>
    <mergeCell ref="AP155:AP156"/>
    <mergeCell ref="AQ155:AQ156"/>
    <mergeCell ref="AR155:AR156"/>
    <mergeCell ref="AW157:AW158"/>
    <mergeCell ref="AX157:AX158"/>
    <mergeCell ref="AY157:AY158"/>
    <mergeCell ref="AS155:AS156"/>
    <mergeCell ref="AT155:AT156"/>
    <mergeCell ref="AU155:AU156"/>
    <mergeCell ref="AV155:AV156"/>
    <mergeCell ref="AW155:AW156"/>
    <mergeCell ref="AX155:AX156"/>
    <mergeCell ref="AY155:AY156"/>
    <mergeCell ref="AU161:AU162"/>
    <mergeCell ref="AV161:AV162"/>
    <mergeCell ref="AN161:AN162"/>
    <mergeCell ref="AO161:AO162"/>
    <mergeCell ref="AP161:AP162"/>
    <mergeCell ref="AQ161:AQ162"/>
    <mergeCell ref="AR161:AR162"/>
    <mergeCell ref="AS161:AS162"/>
    <mergeCell ref="AT161:AT162"/>
    <mergeCell ref="AW153:AW154"/>
    <mergeCell ref="AX153:AX154"/>
    <mergeCell ref="AY153:AY154"/>
    <mergeCell ref="AS157:AS158"/>
    <mergeCell ref="AT157:AT158"/>
    <mergeCell ref="AL153:AL154"/>
    <mergeCell ref="AM153:AM154"/>
    <mergeCell ref="AE153:AE154"/>
    <mergeCell ref="AF153:AF154"/>
    <mergeCell ref="AG153:AG154"/>
    <mergeCell ref="AH153:AH154"/>
    <mergeCell ref="AI153:AI154"/>
    <mergeCell ref="AJ153:AJ154"/>
    <mergeCell ref="AK153:AK154"/>
    <mergeCell ref="AE155:AE156"/>
    <mergeCell ref="AF155:AF156"/>
    <mergeCell ref="AG155:AG156"/>
    <mergeCell ref="AH155:AH156"/>
    <mergeCell ref="AI155:AI156"/>
    <mergeCell ref="AJ155:AJ156"/>
    <mergeCell ref="AK155:AK156"/>
    <mergeCell ref="AT159:AT160"/>
    <mergeCell ref="AU159:AU160"/>
    <mergeCell ref="AV159:AV160"/>
    <mergeCell ref="AW159:AW160"/>
    <mergeCell ref="AX159:AX160"/>
    <mergeCell ref="AY159:AY160"/>
    <mergeCell ref="AL161:AL162"/>
    <mergeCell ref="AM161:AM162"/>
    <mergeCell ref="AL157:AL158"/>
    <mergeCell ref="AM157:AM158"/>
    <mergeCell ref="AE157:AE158"/>
    <mergeCell ref="E49:E50"/>
    <mergeCell ref="F49:F50"/>
    <mergeCell ref="G49:G50"/>
    <mergeCell ref="H49:H50"/>
    <mergeCell ref="I49:I50"/>
    <mergeCell ref="AL169:AL170"/>
    <mergeCell ref="AM169:AM170"/>
    <mergeCell ref="AE169:AE170"/>
    <mergeCell ref="AF169:AF170"/>
    <mergeCell ref="AG169:AG170"/>
    <mergeCell ref="AH169:AH170"/>
    <mergeCell ref="AI169:AI170"/>
    <mergeCell ref="AJ169:AJ170"/>
    <mergeCell ref="AK169:AK170"/>
    <mergeCell ref="AM43:AM44"/>
    <mergeCell ref="AN43:AN44"/>
    <mergeCell ref="AF43:AF44"/>
    <mergeCell ref="AG43:AG44"/>
    <mergeCell ref="AH43:AH44"/>
    <mergeCell ref="AI43:AI44"/>
    <mergeCell ref="AJ43:AJ44"/>
    <mergeCell ref="AK43:AK44"/>
    <mergeCell ref="AL43:AL44"/>
    <mergeCell ref="W49:W50"/>
    <mergeCell ref="X49:X50"/>
    <mergeCell ref="Y49:Y50"/>
    <mergeCell ref="AA49:AA50"/>
    <mergeCell ref="AB49:AB50"/>
    <mergeCell ref="AC49:AC50"/>
    <mergeCell ref="AD49:AD50"/>
    <mergeCell ref="AE49:AE50"/>
    <mergeCell ref="AF49:AF50"/>
    <mergeCell ref="AG49:AG50"/>
    <mergeCell ref="AH49:AH50"/>
    <mergeCell ref="AI49:AI50"/>
    <mergeCell ref="AJ49:AJ50"/>
    <mergeCell ref="AK49:AK50"/>
    <mergeCell ref="AC53:AC54"/>
    <mergeCell ref="AD53:AD54"/>
    <mergeCell ref="W53:W54"/>
    <mergeCell ref="X53:X54"/>
    <mergeCell ref="Y53:Y54"/>
    <mergeCell ref="AE53:AE54"/>
    <mergeCell ref="AF53:AF54"/>
    <mergeCell ref="AG53:AG54"/>
    <mergeCell ref="AH53:AH54"/>
    <mergeCell ref="AI53:AI54"/>
    <mergeCell ref="AJ53:AJ54"/>
    <mergeCell ref="AK53:AK54"/>
    <mergeCell ref="AA43:AA44"/>
    <mergeCell ref="AB43:AB44"/>
    <mergeCell ref="AC43:AC44"/>
    <mergeCell ref="AD43:AD44"/>
    <mergeCell ref="AE43:AE44"/>
    <mergeCell ref="AA53:AA54"/>
    <mergeCell ref="AB53:AB54"/>
    <mergeCell ref="W55:W56"/>
    <mergeCell ref="X55:X56"/>
    <mergeCell ref="Y55:Y56"/>
    <mergeCell ref="AA55:AA56"/>
    <mergeCell ref="AB55:AB56"/>
    <mergeCell ref="AL67:AL68"/>
    <mergeCell ref="AM67:AM68"/>
    <mergeCell ref="AE67:AE68"/>
    <mergeCell ref="AS63:AS64"/>
    <mergeCell ref="AT63:AT64"/>
    <mergeCell ref="AU63:AU64"/>
    <mergeCell ref="AV63:AV64"/>
    <mergeCell ref="AW63:AW64"/>
    <mergeCell ref="AX63:AX64"/>
    <mergeCell ref="AY63:AY64"/>
    <mergeCell ref="AL63:AL64"/>
    <mergeCell ref="AM63:AM64"/>
    <mergeCell ref="AN63:AN64"/>
    <mergeCell ref="AO63:AO64"/>
    <mergeCell ref="AP63:AP64"/>
    <mergeCell ref="AQ63:AQ64"/>
    <mergeCell ref="AR63:AR64"/>
    <mergeCell ref="W63:W64"/>
    <mergeCell ref="X63:X64"/>
    <mergeCell ref="Y63:Y64"/>
    <mergeCell ref="AA63:AA64"/>
    <mergeCell ref="AB63:AB64"/>
    <mergeCell ref="AC63:AC64"/>
    <mergeCell ref="AD63:AD64"/>
    <mergeCell ref="AW57:AW58"/>
    <mergeCell ref="AX57:AX58"/>
    <mergeCell ref="AY57:AY58"/>
    <mergeCell ref="E51:E52"/>
    <mergeCell ref="F51:F52"/>
    <mergeCell ref="G51:G52"/>
    <mergeCell ref="H51:H52"/>
    <mergeCell ref="I51:I52"/>
    <mergeCell ref="W51:W52"/>
    <mergeCell ref="X51:X52"/>
    <mergeCell ref="Y51:Y52"/>
    <mergeCell ref="AA51:AA52"/>
    <mergeCell ref="AF51:AF52"/>
    <mergeCell ref="AG51:AG52"/>
    <mergeCell ref="AH51:AH52"/>
    <mergeCell ref="AI51:AI52"/>
    <mergeCell ref="AJ51:AJ52"/>
    <mergeCell ref="AR51:AR52"/>
    <mergeCell ref="AS51:AS52"/>
    <mergeCell ref="AT51:AT52"/>
    <mergeCell ref="AU51:AU52"/>
    <mergeCell ref="AV51:AV52"/>
    <mergeCell ref="AW51:AW52"/>
    <mergeCell ref="AX51:AX52"/>
    <mergeCell ref="AY51:AY52"/>
    <mergeCell ref="AK51:AK52"/>
    <mergeCell ref="AL51:AL52"/>
    <mergeCell ref="AM51:AM52"/>
    <mergeCell ref="AN51:AN52"/>
    <mergeCell ref="AO51:AO52"/>
    <mergeCell ref="AP51:AP52"/>
    <mergeCell ref="AQ51:AQ52"/>
    <mergeCell ref="AB51:AB52"/>
    <mergeCell ref="AC51:AC52"/>
    <mergeCell ref="AD51:AD52"/>
    <mergeCell ref="AE51:AE52"/>
    <mergeCell ref="AT53:AT54"/>
    <mergeCell ref="AU53:AU54"/>
    <mergeCell ref="AV53:AV54"/>
    <mergeCell ref="AW53:AW54"/>
    <mergeCell ref="AX53:AX54"/>
    <mergeCell ref="AY53:AY54"/>
    <mergeCell ref="AL53:AL54"/>
    <mergeCell ref="AM53:AM54"/>
    <mergeCell ref="AN53:AN54"/>
    <mergeCell ref="AO53:AO54"/>
    <mergeCell ref="AP53:AP54"/>
    <mergeCell ref="AQ53:AQ54"/>
    <mergeCell ref="AR53:AR54"/>
    <mergeCell ref="AC55:AC56"/>
    <mergeCell ref="AD55:AD56"/>
    <mergeCell ref="AE55:AE56"/>
    <mergeCell ref="AF55:AF56"/>
    <mergeCell ref="AG55:AG56"/>
    <mergeCell ref="AH55:AH56"/>
    <mergeCell ref="AI55:AI56"/>
    <mergeCell ref="AJ55:AJ56"/>
    <mergeCell ref="AK55:AK56"/>
    <mergeCell ref="AL55:AL56"/>
    <mergeCell ref="AM55:AM56"/>
    <mergeCell ref="AN55:AN56"/>
    <mergeCell ref="AO55:AO56"/>
    <mergeCell ref="AP55:AP56"/>
    <mergeCell ref="AX55:AX56"/>
    <mergeCell ref="AY55:AY56"/>
    <mergeCell ref="AQ55:AQ56"/>
    <mergeCell ref="AR55:AR56"/>
    <mergeCell ref="AS55:AS56"/>
    <mergeCell ref="AT55:AT56"/>
    <mergeCell ref="AU55:AU56"/>
    <mergeCell ref="AV55:AV56"/>
    <mergeCell ref="AW55:AW56"/>
    <mergeCell ref="I53:I54"/>
    <mergeCell ref="C55:C56"/>
    <mergeCell ref="D55:D56"/>
    <mergeCell ref="E55:E56"/>
    <mergeCell ref="F55:F56"/>
    <mergeCell ref="G55:G56"/>
    <mergeCell ref="H55:H56"/>
    <mergeCell ref="I55:I56"/>
    <mergeCell ref="C57:C58"/>
    <mergeCell ref="D57:D58"/>
    <mergeCell ref="E57:E58"/>
    <mergeCell ref="F57:F58"/>
    <mergeCell ref="G57:G58"/>
    <mergeCell ref="H57:H58"/>
    <mergeCell ref="I57:I58"/>
    <mergeCell ref="C59:C60"/>
    <mergeCell ref="D59:D60"/>
    <mergeCell ref="E59:E60"/>
    <mergeCell ref="F59:F60"/>
    <mergeCell ref="G59:G60"/>
    <mergeCell ref="H59:H60"/>
    <mergeCell ref="I59:I60"/>
    <mergeCell ref="C61:C62"/>
    <mergeCell ref="D61:D62"/>
    <mergeCell ref="E61:E62"/>
    <mergeCell ref="F61:F62"/>
    <mergeCell ref="G61:G62"/>
    <mergeCell ref="H61:H62"/>
    <mergeCell ref="I61:I62"/>
    <mergeCell ref="C63:C64"/>
    <mergeCell ref="D63:D64"/>
    <mergeCell ref="E63:E64"/>
    <mergeCell ref="F63:F64"/>
    <mergeCell ref="G63:G64"/>
    <mergeCell ref="H63:H64"/>
    <mergeCell ref="I63:I64"/>
    <mergeCell ref="E91:E92"/>
    <mergeCell ref="F91:F92"/>
    <mergeCell ref="E65:E66"/>
    <mergeCell ref="F65:F66"/>
    <mergeCell ref="G65:G66"/>
    <mergeCell ref="H65:H66"/>
    <mergeCell ref="I65:I66"/>
    <mergeCell ref="C67:C68"/>
    <mergeCell ref="D67:D68"/>
    <mergeCell ref="C69:C70"/>
    <mergeCell ref="D69:D70"/>
    <mergeCell ref="C71:C72"/>
    <mergeCell ref="D71:D72"/>
    <mergeCell ref="C73:C74"/>
    <mergeCell ref="D73:D74"/>
    <mergeCell ref="C75:C76"/>
    <mergeCell ref="D75:D76"/>
    <mergeCell ref="C77:C78"/>
    <mergeCell ref="D77:D78"/>
    <mergeCell ref="C79:C80"/>
    <mergeCell ref="D79:D80"/>
    <mergeCell ref="H81:H82"/>
    <mergeCell ref="I81:I82"/>
    <mergeCell ref="H83:H84"/>
    <mergeCell ref="I83:I84"/>
    <mergeCell ref="H85:H86"/>
    <mergeCell ref="I85:I86"/>
    <mergeCell ref="F81:F82"/>
    <mergeCell ref="G81:G82"/>
    <mergeCell ref="E83:E84"/>
    <mergeCell ref="F83:F84"/>
    <mergeCell ref="G83:G84"/>
    <mergeCell ref="F85:F86"/>
    <mergeCell ref="G85:G86"/>
    <mergeCell ref="AV145:AV146"/>
    <mergeCell ref="AN145:AN146"/>
    <mergeCell ref="H89:H90"/>
    <mergeCell ref="I89:I90"/>
    <mergeCell ref="E85:E86"/>
    <mergeCell ref="E87:E88"/>
    <mergeCell ref="F87:F88"/>
    <mergeCell ref="G87:G88"/>
    <mergeCell ref="H87:H88"/>
    <mergeCell ref="I87:I88"/>
    <mergeCell ref="E89:E90"/>
    <mergeCell ref="C81:C82"/>
    <mergeCell ref="D81:D82"/>
    <mergeCell ref="C83:C84"/>
    <mergeCell ref="D83:D84"/>
    <mergeCell ref="C85:C86"/>
    <mergeCell ref="D85:D86"/>
    <mergeCell ref="C87:C88"/>
    <mergeCell ref="D87:D88"/>
    <mergeCell ref="C89:C90"/>
    <mergeCell ref="D89:D90"/>
    <mergeCell ref="D91:D92"/>
    <mergeCell ref="C93:C94"/>
    <mergeCell ref="D93:D94"/>
    <mergeCell ref="C95:C96"/>
    <mergeCell ref="D95:D96"/>
    <mergeCell ref="G69:G70"/>
    <mergeCell ref="H69:H70"/>
    <mergeCell ref="E67:E68"/>
    <mergeCell ref="F67:F68"/>
    <mergeCell ref="G67:G68"/>
    <mergeCell ref="H67:H68"/>
    <mergeCell ref="I67:I68"/>
    <mergeCell ref="F69:F70"/>
    <mergeCell ref="I69:I70"/>
    <mergeCell ref="H73:H74"/>
    <mergeCell ref="I73:I74"/>
    <mergeCell ref="H75:H76"/>
    <mergeCell ref="I75:I76"/>
    <mergeCell ref="H77:H78"/>
    <mergeCell ref="I77:I78"/>
    <mergeCell ref="E69:E70"/>
    <mergeCell ref="E71:E72"/>
    <mergeCell ref="F71:F72"/>
    <mergeCell ref="G71:G72"/>
    <mergeCell ref="H71:H72"/>
    <mergeCell ref="I71:I72"/>
    <mergeCell ref="E73:E74"/>
    <mergeCell ref="F73:F74"/>
    <mergeCell ref="G73:G74"/>
    <mergeCell ref="E75:E76"/>
    <mergeCell ref="F75:F76"/>
    <mergeCell ref="G75:G76"/>
    <mergeCell ref="F77:F78"/>
    <mergeCell ref="G77:G78"/>
    <mergeCell ref="E77:E78"/>
    <mergeCell ref="E79:E80"/>
    <mergeCell ref="F79:F80"/>
    <mergeCell ref="G79:G80"/>
    <mergeCell ref="H79:H80"/>
    <mergeCell ref="I79:I80"/>
    <mergeCell ref="E81:E82"/>
    <mergeCell ref="F89:F90"/>
    <mergeCell ref="G89:G90"/>
    <mergeCell ref="AJ167:AJ168"/>
    <mergeCell ref="AK167:AK168"/>
    <mergeCell ref="G91:G92"/>
    <mergeCell ref="H91:H92"/>
    <mergeCell ref="I91:I92"/>
    <mergeCell ref="H147:H148"/>
    <mergeCell ref="I147:I148"/>
    <mergeCell ref="W147:W148"/>
    <mergeCell ref="X147:X148"/>
    <mergeCell ref="Y147:Y148"/>
    <mergeCell ref="AA147:AA148"/>
    <mergeCell ref="AB147:AB148"/>
    <mergeCell ref="AJ147:AJ148"/>
    <mergeCell ref="AK147:AK148"/>
    <mergeCell ref="AL147:AL148"/>
    <mergeCell ref="AM147:AM148"/>
    <mergeCell ref="AN147:AN148"/>
    <mergeCell ref="AO147:AO148"/>
    <mergeCell ref="AP147:AP148"/>
    <mergeCell ref="AX147:AX148"/>
    <mergeCell ref="AY147:AY148"/>
    <mergeCell ref="AC147:AC148"/>
    <mergeCell ref="AD147:AD148"/>
    <mergeCell ref="AE147:AE148"/>
    <mergeCell ref="AF147:AF148"/>
    <mergeCell ref="AG147:AG148"/>
    <mergeCell ref="AH147:AH148"/>
    <mergeCell ref="AI147:AI148"/>
    <mergeCell ref="W149:W150"/>
    <mergeCell ref="X149:X150"/>
    <mergeCell ref="Y149:Y150"/>
    <mergeCell ref="AA149:AA150"/>
    <mergeCell ref="AB149:AB150"/>
    <mergeCell ref="AC149:AC150"/>
    <mergeCell ref="AD149:AD150"/>
    <mergeCell ref="AE149:AE150"/>
    <mergeCell ref="AF149:AF150"/>
    <mergeCell ref="AG149:AG150"/>
    <mergeCell ref="AH149:AH150"/>
    <mergeCell ref="AI149:AI150"/>
    <mergeCell ref="AJ149:AJ150"/>
    <mergeCell ref="AK149:AK150"/>
    <mergeCell ref="AU149:AU150"/>
    <mergeCell ref="AV149:AV150"/>
    <mergeCell ref="AW149:AW150"/>
    <mergeCell ref="AX149:AX150"/>
    <mergeCell ref="AY149:AY150"/>
    <mergeCell ref="AQ147:AQ148"/>
    <mergeCell ref="AR147:AR148"/>
    <mergeCell ref="AS147:AS148"/>
    <mergeCell ref="AT147:AT148"/>
    <mergeCell ref="AU147:AU148"/>
    <mergeCell ref="AV147:AV148"/>
    <mergeCell ref="AW147:AW148"/>
    <mergeCell ref="AL145:AL146"/>
    <mergeCell ref="AM145:AM146"/>
    <mergeCell ref="AE145:AE146"/>
    <mergeCell ref="AF145:AF146"/>
    <mergeCell ref="AG145:AG146"/>
    <mergeCell ref="AH145:AH146"/>
    <mergeCell ref="AI145:AI146"/>
    <mergeCell ref="AJ145:AJ146"/>
    <mergeCell ref="AK145:AK146"/>
    <mergeCell ref="AU145:AU146"/>
    <mergeCell ref="AW179:AW180"/>
    <mergeCell ref="AX179:AX180"/>
    <mergeCell ref="AS177:AS178"/>
    <mergeCell ref="AT177:AT178"/>
    <mergeCell ref="AU177:AU178"/>
    <mergeCell ref="AV177:AV178"/>
    <mergeCell ref="AW177:AW178"/>
    <mergeCell ref="AX177:AX178"/>
    <mergeCell ref="AY177:AY178"/>
    <mergeCell ref="AU169:AU170"/>
    <mergeCell ref="AV169:AV170"/>
    <mergeCell ref="AN169:AN170"/>
    <mergeCell ref="AO169:AO170"/>
    <mergeCell ref="AP169:AP170"/>
    <mergeCell ref="AQ169:AQ170"/>
    <mergeCell ref="AR169:AR170"/>
    <mergeCell ref="AS169:AS170"/>
    <mergeCell ref="AT169:AT170"/>
    <mergeCell ref="AL171:AL172"/>
    <mergeCell ref="AM171:AM172"/>
    <mergeCell ref="AE171:AE172"/>
    <mergeCell ref="AF171:AF172"/>
    <mergeCell ref="AG171:AG172"/>
    <mergeCell ref="AH171:AH172"/>
    <mergeCell ref="AI171:AI172"/>
    <mergeCell ref="AJ171:AJ172"/>
    <mergeCell ref="AK171:AK172"/>
    <mergeCell ref="AU171:AU172"/>
    <mergeCell ref="AV171:AV172"/>
    <mergeCell ref="AN171:AN172"/>
    <mergeCell ref="AO171:AO172"/>
    <mergeCell ref="AP171:AP172"/>
    <mergeCell ref="AQ171:AQ172"/>
    <mergeCell ref="AR171:AR172"/>
    <mergeCell ref="AS171:AS172"/>
    <mergeCell ref="AT171:AT172"/>
    <mergeCell ref="AL173:AL174"/>
    <mergeCell ref="AM173:AM174"/>
    <mergeCell ref="AN173:AN174"/>
    <mergeCell ref="AO173:AO174"/>
    <mergeCell ref="AP173:AP174"/>
    <mergeCell ref="AQ173:AQ174"/>
    <mergeCell ref="AR173:AR174"/>
    <mergeCell ref="AW175:AW176"/>
    <mergeCell ref="AX175:AX176"/>
    <mergeCell ref="AY175:AY176"/>
    <mergeCell ref="AS173:AS174"/>
    <mergeCell ref="AT173:AT174"/>
    <mergeCell ref="AU173:AU174"/>
    <mergeCell ref="AV173:AV174"/>
    <mergeCell ref="AW173:AW174"/>
    <mergeCell ref="AX173:AX174"/>
    <mergeCell ref="AY173:AY174"/>
    <mergeCell ref="AL175:AL176"/>
    <mergeCell ref="AM175:AM176"/>
    <mergeCell ref="AE175:AE176"/>
    <mergeCell ref="AF175:AF176"/>
    <mergeCell ref="AG175:AG176"/>
    <mergeCell ref="AH175:AH176"/>
    <mergeCell ref="AI175:AI176"/>
    <mergeCell ref="AJ175:AJ176"/>
    <mergeCell ref="AK175:AK176"/>
    <mergeCell ref="AE177:AE178"/>
    <mergeCell ref="AF177:AF178"/>
    <mergeCell ref="AW169:AW170"/>
    <mergeCell ref="AX169:AX170"/>
    <mergeCell ref="AY169:AY170"/>
    <mergeCell ref="AW171:AW172"/>
    <mergeCell ref="AX171:AX172"/>
    <mergeCell ref="AY171:AY172"/>
    <mergeCell ref="AS167:AS168"/>
    <mergeCell ref="AT167:AT168"/>
    <mergeCell ref="AU167:AU168"/>
    <mergeCell ref="AV167:AV168"/>
    <mergeCell ref="AW167:AW168"/>
    <mergeCell ref="AX167:AX168"/>
    <mergeCell ref="AY167:AY168"/>
    <mergeCell ref="W171:W172"/>
    <mergeCell ref="X171:X172"/>
    <mergeCell ref="Y171:Y172"/>
    <mergeCell ref="AA171:AA172"/>
    <mergeCell ref="AB171:AB172"/>
    <mergeCell ref="AC171:AC172"/>
    <mergeCell ref="AD171:AD172"/>
    <mergeCell ref="AU175:AU176"/>
    <mergeCell ref="AV175:AV176"/>
    <mergeCell ref="AN175:AN176"/>
    <mergeCell ref="AO175:AO176"/>
    <mergeCell ref="AP175:AP176"/>
    <mergeCell ref="AQ175:AQ176"/>
    <mergeCell ref="AR175:AR176"/>
    <mergeCell ref="AS175:AS176"/>
    <mergeCell ref="AT175:AT176"/>
    <mergeCell ref="W177:W178"/>
    <mergeCell ref="X177:X178"/>
    <mergeCell ref="Y177:Y178"/>
    <mergeCell ref="AA177:AA178"/>
    <mergeCell ref="AB177:AB178"/>
    <mergeCell ref="AC177:AC178"/>
    <mergeCell ref="AD177:AD178"/>
    <mergeCell ref="AL177:AL178"/>
    <mergeCell ref="AM177:AM178"/>
    <mergeCell ref="AN177:AN178"/>
    <mergeCell ref="AO177:AO178"/>
    <mergeCell ref="AP177:AP178"/>
    <mergeCell ref="AQ177:AQ178"/>
    <mergeCell ref="AR177:AR178"/>
    <mergeCell ref="AG177:AG178"/>
    <mergeCell ref="AH177:AH178"/>
    <mergeCell ref="AI177:AI178"/>
    <mergeCell ref="AJ177:AJ178"/>
    <mergeCell ref="AK177:AK178"/>
    <mergeCell ref="W167:W168"/>
    <mergeCell ref="X167:X168"/>
    <mergeCell ref="Y167:Y168"/>
    <mergeCell ref="AA167:AA168"/>
    <mergeCell ref="AB167:AB168"/>
    <mergeCell ref="AC167:AC168"/>
    <mergeCell ref="AD167:AD168"/>
    <mergeCell ref="W169:W170"/>
    <mergeCell ref="X169:X170"/>
    <mergeCell ref="Y169:Y170"/>
    <mergeCell ref="AA169:AA170"/>
    <mergeCell ref="AB169:AB170"/>
    <mergeCell ref="AC169:AC170"/>
    <mergeCell ref="AD169:AD170"/>
    <mergeCell ref="AE173:AE174"/>
    <mergeCell ref="AF173:AF174"/>
    <mergeCell ref="W181:W182"/>
    <mergeCell ref="X181:X182"/>
    <mergeCell ref="Y181:Y182"/>
    <mergeCell ref="AA181:AA182"/>
    <mergeCell ref="AB181:AB182"/>
    <mergeCell ref="AC181:AC182"/>
    <mergeCell ref="AD181:AD182"/>
    <mergeCell ref="W183:W184"/>
    <mergeCell ref="X183:X184"/>
    <mergeCell ref="Y183:Y184"/>
    <mergeCell ref="AA183:AA184"/>
    <mergeCell ref="AB183:AB184"/>
    <mergeCell ref="AC183:AC184"/>
    <mergeCell ref="AD183:AD184"/>
    <mergeCell ref="W187:W188"/>
    <mergeCell ref="X187:X188"/>
    <mergeCell ref="Y187:Y188"/>
    <mergeCell ref="AA187:AA188"/>
    <mergeCell ref="AB187:AB188"/>
    <mergeCell ref="AC187:AC188"/>
    <mergeCell ref="AD187:AD188"/>
    <mergeCell ref="AN189:AN190"/>
    <mergeCell ref="AO189:AO190"/>
    <mergeCell ref="AP189:AP190"/>
    <mergeCell ref="AQ189:AQ190"/>
    <mergeCell ref="AR189:AR190"/>
    <mergeCell ref="AL167:AL168"/>
    <mergeCell ref="AM167:AM168"/>
    <mergeCell ref="AN167:AN168"/>
    <mergeCell ref="AO167:AO168"/>
    <mergeCell ref="AP167:AP168"/>
    <mergeCell ref="AQ167:AQ168"/>
    <mergeCell ref="AR167:AR168"/>
    <mergeCell ref="W179:W180"/>
    <mergeCell ref="X179:X180"/>
    <mergeCell ref="Y179:Y180"/>
    <mergeCell ref="AA179:AA180"/>
    <mergeCell ref="AB179:AB180"/>
    <mergeCell ref="AC179:AC180"/>
    <mergeCell ref="AD179:AD180"/>
    <mergeCell ref="AG173:AG174"/>
    <mergeCell ref="AH173:AH174"/>
    <mergeCell ref="AI173:AI174"/>
    <mergeCell ref="AJ173:AJ174"/>
    <mergeCell ref="AK173:AK174"/>
    <mergeCell ref="W173:W174"/>
    <mergeCell ref="X173:X174"/>
    <mergeCell ref="Y173:Y174"/>
    <mergeCell ref="AA173:AA174"/>
    <mergeCell ref="AB173:AB174"/>
    <mergeCell ref="AC173:AC174"/>
    <mergeCell ref="AD173:AD174"/>
    <mergeCell ref="W175:W176"/>
    <mergeCell ref="X175:X176"/>
    <mergeCell ref="Y175:Y176"/>
    <mergeCell ref="AA175:AA176"/>
    <mergeCell ref="AB175:AB176"/>
    <mergeCell ref="AC175:AC176"/>
    <mergeCell ref="AD175:AD176"/>
    <mergeCell ref="AE167:AE168"/>
    <mergeCell ref="AF167:AF168"/>
    <mergeCell ref="AG167:AG168"/>
    <mergeCell ref="AH167:AH168"/>
    <mergeCell ref="AI167:AI168"/>
    <mergeCell ref="AK193:AK194"/>
    <mergeCell ref="AE195:AE196"/>
    <mergeCell ref="AF195:AF196"/>
    <mergeCell ref="AG195:AG196"/>
    <mergeCell ref="AH195:AH196"/>
    <mergeCell ref="AI195:AI196"/>
    <mergeCell ref="AJ195:AJ196"/>
    <mergeCell ref="AK195:AK196"/>
    <mergeCell ref="W195:W196"/>
    <mergeCell ref="X195:X196"/>
    <mergeCell ref="Y195:Y196"/>
    <mergeCell ref="AA195:AA196"/>
    <mergeCell ref="AB195:AB196"/>
    <mergeCell ref="AC195:AC196"/>
    <mergeCell ref="AD195:AD196"/>
    <mergeCell ref="W197:W198"/>
    <mergeCell ref="X197:X198"/>
    <mergeCell ref="Y197:Y198"/>
    <mergeCell ref="AA197:AA198"/>
    <mergeCell ref="AB197:AB198"/>
    <mergeCell ref="AC197:AC198"/>
    <mergeCell ref="AD197:AD198"/>
    <mergeCell ref="AL195:AL196"/>
    <mergeCell ref="AM189:AM190"/>
    <mergeCell ref="AE189:AE190"/>
    <mergeCell ref="AF189:AF190"/>
    <mergeCell ref="AG189:AG190"/>
    <mergeCell ref="AH189:AH190"/>
    <mergeCell ref="AI189:AI190"/>
    <mergeCell ref="AJ189:AJ190"/>
    <mergeCell ref="AK189:AK190"/>
    <mergeCell ref="AE191:AE192"/>
    <mergeCell ref="AF191:AF192"/>
    <mergeCell ref="AG191:AG192"/>
    <mergeCell ref="AH191:AH192"/>
    <mergeCell ref="AI191:AI192"/>
    <mergeCell ref="AJ191:AJ192"/>
    <mergeCell ref="AK191:AK192"/>
    <mergeCell ref="W191:W192"/>
    <mergeCell ref="X191:X192"/>
    <mergeCell ref="Y191:Y192"/>
    <mergeCell ref="AA191:AA192"/>
    <mergeCell ref="AB191:AB192"/>
    <mergeCell ref="AC191:AC192"/>
    <mergeCell ref="AD191:AD192"/>
    <mergeCell ref="AW181:AW182"/>
    <mergeCell ref="AX181:AX182"/>
    <mergeCell ref="AY181:AY182"/>
    <mergeCell ref="AL181:AL182"/>
    <mergeCell ref="AM181:AM182"/>
    <mergeCell ref="AN181:AN182"/>
    <mergeCell ref="AO181:AO182"/>
    <mergeCell ref="AP181:AP182"/>
    <mergeCell ref="AQ181:AQ182"/>
    <mergeCell ref="AR181:AR182"/>
    <mergeCell ref="AR179:AR180"/>
    <mergeCell ref="AS179:AS180"/>
    <mergeCell ref="AT179:AT180"/>
    <mergeCell ref="AL183:AL184"/>
    <mergeCell ref="AM183:AM184"/>
    <mergeCell ref="AW183:AW184"/>
    <mergeCell ref="AX183:AX184"/>
    <mergeCell ref="AY183:AY184"/>
    <mergeCell ref="AE183:AE184"/>
    <mergeCell ref="AF183:AF184"/>
    <mergeCell ref="AG183:AG184"/>
    <mergeCell ref="AH183:AH184"/>
    <mergeCell ref="AI183:AI184"/>
    <mergeCell ref="AJ183:AJ184"/>
    <mergeCell ref="AK183:AK184"/>
    <mergeCell ref="AY179:AY180"/>
    <mergeCell ref="AU179:AU180"/>
    <mergeCell ref="AV179:AV180"/>
    <mergeCell ref="AN179:AN180"/>
    <mergeCell ref="AO179:AO180"/>
    <mergeCell ref="AP179:AP180"/>
    <mergeCell ref="AQ179:AQ180"/>
    <mergeCell ref="W193:W194"/>
    <mergeCell ref="X193:X194"/>
    <mergeCell ref="Y193:Y194"/>
    <mergeCell ref="AA193:AA194"/>
    <mergeCell ref="AB193:AB194"/>
    <mergeCell ref="AC193:AC194"/>
    <mergeCell ref="AD193:AD194"/>
    <mergeCell ref="AL191:AL192"/>
    <mergeCell ref="AM191:AM192"/>
    <mergeCell ref="AN191:AN192"/>
    <mergeCell ref="AO191:AO192"/>
    <mergeCell ref="AP191:AP192"/>
    <mergeCell ref="AQ191:AQ192"/>
    <mergeCell ref="AR191:AR192"/>
    <mergeCell ref="AW193:AW194"/>
    <mergeCell ref="AX193:AX194"/>
    <mergeCell ref="AY193:AY194"/>
    <mergeCell ref="AS191:AS192"/>
    <mergeCell ref="AT191:AT192"/>
    <mergeCell ref="AU191:AU192"/>
    <mergeCell ref="AV191:AV192"/>
    <mergeCell ref="AW191:AW192"/>
    <mergeCell ref="AX191:AX192"/>
    <mergeCell ref="AY191:AY192"/>
    <mergeCell ref="AL193:AL194"/>
    <mergeCell ref="AM193:AM194"/>
    <mergeCell ref="AE193:AE194"/>
    <mergeCell ref="AF193:AF194"/>
    <mergeCell ref="AG193:AG194"/>
    <mergeCell ref="AH193:AH194"/>
    <mergeCell ref="AI193:AI194"/>
    <mergeCell ref="AJ193:AJ194"/>
    <mergeCell ref="AG187:AG188"/>
    <mergeCell ref="AH187:AH188"/>
    <mergeCell ref="AI187:AI188"/>
    <mergeCell ref="AJ187:AJ188"/>
    <mergeCell ref="AK187:AK188"/>
    <mergeCell ref="AU189:AU190"/>
    <mergeCell ref="AV189:AV190"/>
    <mergeCell ref="AL189:AL190"/>
    <mergeCell ref="AU183:AU184"/>
    <mergeCell ref="AV183:AV184"/>
    <mergeCell ref="AN183:AN184"/>
    <mergeCell ref="AO183:AO184"/>
    <mergeCell ref="AP183:AP184"/>
    <mergeCell ref="AQ183:AQ184"/>
    <mergeCell ref="AR183:AR184"/>
    <mergeCell ref="AS183:AS184"/>
    <mergeCell ref="AT183:AT184"/>
    <mergeCell ref="AL179:AL180"/>
    <mergeCell ref="AM179:AM180"/>
    <mergeCell ref="AE179:AE180"/>
    <mergeCell ref="AF179:AF180"/>
    <mergeCell ref="AG179:AG180"/>
    <mergeCell ref="AH179:AH180"/>
    <mergeCell ref="AI179:AI180"/>
    <mergeCell ref="AJ179:AJ180"/>
    <mergeCell ref="AK179:AK180"/>
    <mergeCell ref="AE181:AE182"/>
    <mergeCell ref="AF181:AF182"/>
    <mergeCell ref="AG181:AG182"/>
    <mergeCell ref="AH181:AH182"/>
    <mergeCell ref="AI181:AI182"/>
    <mergeCell ref="AJ181:AJ182"/>
    <mergeCell ref="AK181:AK182"/>
    <mergeCell ref="AS181:AS182"/>
    <mergeCell ref="AT181:AT182"/>
    <mergeCell ref="AU181:AU182"/>
    <mergeCell ref="AV181:AV182"/>
    <mergeCell ref="AV195:AV196"/>
    <mergeCell ref="AW195:AW196"/>
    <mergeCell ref="AX195:AX196"/>
    <mergeCell ref="AY195:AY196"/>
    <mergeCell ref="AU201:AU202"/>
    <mergeCell ref="AV201:AV202"/>
    <mergeCell ref="AN201:AN202"/>
    <mergeCell ref="AO201:AO202"/>
    <mergeCell ref="AS189:AS190"/>
    <mergeCell ref="AT189:AT190"/>
    <mergeCell ref="AE185:AE186"/>
    <mergeCell ref="AF185:AF186"/>
    <mergeCell ref="AG185:AG186"/>
    <mergeCell ref="AH185:AH186"/>
    <mergeCell ref="AI185:AI186"/>
    <mergeCell ref="AJ185:AJ186"/>
    <mergeCell ref="AK185:AK186"/>
    <mergeCell ref="AS185:AS186"/>
    <mergeCell ref="AT185:AT186"/>
    <mergeCell ref="AU185:AU186"/>
    <mergeCell ref="AV185:AV186"/>
    <mergeCell ref="AW185:AW186"/>
    <mergeCell ref="AX185:AX186"/>
    <mergeCell ref="AY185:AY186"/>
    <mergeCell ref="AL185:AL186"/>
    <mergeCell ref="AM185:AM186"/>
    <mergeCell ref="AN185:AN186"/>
    <mergeCell ref="AO185:AO186"/>
    <mergeCell ref="AP185:AP186"/>
    <mergeCell ref="AQ185:AQ186"/>
    <mergeCell ref="AR185:AR186"/>
    <mergeCell ref="W185:W186"/>
    <mergeCell ref="X185:X186"/>
    <mergeCell ref="Y185:Y186"/>
    <mergeCell ref="AA185:AA186"/>
    <mergeCell ref="AB185:AB186"/>
    <mergeCell ref="AC185:AC186"/>
    <mergeCell ref="AD185:AD186"/>
    <mergeCell ref="W189:W190"/>
    <mergeCell ref="X189:X190"/>
    <mergeCell ref="Y189:Y190"/>
    <mergeCell ref="AA189:AA190"/>
    <mergeCell ref="AB189:AB190"/>
    <mergeCell ref="AC189:AC190"/>
    <mergeCell ref="AD189:AD190"/>
    <mergeCell ref="AL187:AL188"/>
    <mergeCell ref="AM187:AM188"/>
    <mergeCell ref="AN187:AN188"/>
    <mergeCell ref="AO187:AO188"/>
    <mergeCell ref="AP187:AP188"/>
    <mergeCell ref="AQ187:AQ188"/>
    <mergeCell ref="AR187:AR188"/>
    <mergeCell ref="AW189:AW190"/>
    <mergeCell ref="AX189:AX190"/>
    <mergeCell ref="AY189:AY190"/>
    <mergeCell ref="AS187:AS188"/>
    <mergeCell ref="AT187:AT188"/>
    <mergeCell ref="AU187:AU188"/>
    <mergeCell ref="AV187:AV188"/>
    <mergeCell ref="AW187:AW188"/>
    <mergeCell ref="AX187:AX188"/>
    <mergeCell ref="AY187:AY188"/>
    <mergeCell ref="AE187:AE188"/>
    <mergeCell ref="AF187:AF188"/>
    <mergeCell ref="W213:W214"/>
    <mergeCell ref="X213:X214"/>
    <mergeCell ref="Y213:Y214"/>
    <mergeCell ref="AA213:AA214"/>
    <mergeCell ref="AB213:AB214"/>
    <mergeCell ref="AC213:AC214"/>
    <mergeCell ref="AD213:AD214"/>
    <mergeCell ref="W215:W216"/>
    <mergeCell ref="AU193:AU194"/>
    <mergeCell ref="AV193:AV194"/>
    <mergeCell ref="AN193:AN194"/>
    <mergeCell ref="AO193:AO194"/>
    <mergeCell ref="AP193:AP194"/>
    <mergeCell ref="AQ193:AQ194"/>
    <mergeCell ref="AR193:AR194"/>
    <mergeCell ref="AS193:AS194"/>
    <mergeCell ref="AT193:AT194"/>
    <mergeCell ref="AL201:AL202"/>
    <mergeCell ref="AM201:AM202"/>
    <mergeCell ref="AW201:AW202"/>
    <mergeCell ref="AX201:AX202"/>
    <mergeCell ref="AY201:AY202"/>
    <mergeCell ref="AE201:AE202"/>
    <mergeCell ref="AF201:AF202"/>
    <mergeCell ref="AG201:AG202"/>
    <mergeCell ref="AH201:AH202"/>
    <mergeCell ref="AI201:AI202"/>
    <mergeCell ref="AJ201:AJ202"/>
    <mergeCell ref="AK201:AK202"/>
    <mergeCell ref="AL207:AL208"/>
    <mergeCell ref="AM207:AM208"/>
    <mergeCell ref="AE207:AE208"/>
    <mergeCell ref="AF207:AF208"/>
    <mergeCell ref="AG207:AG208"/>
    <mergeCell ref="AH207:AH208"/>
    <mergeCell ref="AI207:AI208"/>
    <mergeCell ref="AJ207:AJ208"/>
    <mergeCell ref="AK207:AK208"/>
    <mergeCell ref="AE209:AE210"/>
    <mergeCell ref="AF209:AF210"/>
    <mergeCell ref="AG209:AG210"/>
    <mergeCell ref="AH209:AH210"/>
    <mergeCell ref="AI209:AI210"/>
    <mergeCell ref="AJ209:AJ210"/>
    <mergeCell ref="AK209:AK210"/>
    <mergeCell ref="AS203:AS204"/>
    <mergeCell ref="AT203:AT204"/>
    <mergeCell ref="AU203:AU204"/>
    <mergeCell ref="AV203:AV204"/>
    <mergeCell ref="AW203:AW204"/>
    <mergeCell ref="AX203:AX204"/>
    <mergeCell ref="AY203:AY204"/>
    <mergeCell ref="AM195:AM196"/>
    <mergeCell ref="AN195:AN196"/>
    <mergeCell ref="AO195:AO196"/>
    <mergeCell ref="AP195:AP196"/>
    <mergeCell ref="AQ195:AQ196"/>
    <mergeCell ref="AR195:AR196"/>
    <mergeCell ref="AW197:AW198"/>
    <mergeCell ref="AX197:AX198"/>
    <mergeCell ref="AY197:AY198"/>
    <mergeCell ref="AS195:AS196"/>
    <mergeCell ref="AT195:AT196"/>
    <mergeCell ref="AU195:AU196"/>
    <mergeCell ref="AP209:AP210"/>
    <mergeCell ref="AQ209:AQ210"/>
    <mergeCell ref="AR209:AR210"/>
    <mergeCell ref="AW211:AW212"/>
    <mergeCell ref="AX211:AX212"/>
    <mergeCell ref="AY211:AY212"/>
    <mergeCell ref="AS209:AS210"/>
    <mergeCell ref="AT209:AT210"/>
    <mergeCell ref="AU209:AU210"/>
    <mergeCell ref="AV209:AV210"/>
    <mergeCell ref="AW209:AW210"/>
    <mergeCell ref="AX209:AX210"/>
    <mergeCell ref="AY209:AY210"/>
    <mergeCell ref="AU215:AU216"/>
    <mergeCell ref="AV215:AV216"/>
    <mergeCell ref="AN215:AN216"/>
    <mergeCell ref="AO215:AO216"/>
    <mergeCell ref="AP215:AP216"/>
    <mergeCell ref="AQ215:AQ216"/>
    <mergeCell ref="AR215:AR216"/>
    <mergeCell ref="AS215:AS216"/>
    <mergeCell ref="AT215:AT216"/>
    <mergeCell ref="AL211:AL212"/>
    <mergeCell ref="AM211:AM212"/>
    <mergeCell ref="AE211:AE212"/>
    <mergeCell ref="AF211:AF212"/>
    <mergeCell ref="AG211:AG212"/>
    <mergeCell ref="AH211:AH212"/>
    <mergeCell ref="AI211:AI212"/>
    <mergeCell ref="AJ211:AJ212"/>
    <mergeCell ref="AK211:AK212"/>
    <mergeCell ref="AE213:AE214"/>
    <mergeCell ref="AF213:AF214"/>
    <mergeCell ref="AG213:AG214"/>
    <mergeCell ref="AH213:AH214"/>
    <mergeCell ref="AI213:AI214"/>
    <mergeCell ref="AJ213:AJ214"/>
    <mergeCell ref="AK213:AK214"/>
    <mergeCell ref="AM197:AM198"/>
    <mergeCell ref="AE197:AE198"/>
    <mergeCell ref="AF197:AF198"/>
    <mergeCell ref="AG197:AG198"/>
    <mergeCell ref="AH197:AH198"/>
    <mergeCell ref="AI197:AI198"/>
    <mergeCell ref="AJ197:AJ198"/>
    <mergeCell ref="AK197:AK198"/>
    <mergeCell ref="AE199:AE200"/>
    <mergeCell ref="AF199:AF200"/>
    <mergeCell ref="AG199:AG200"/>
    <mergeCell ref="AH199:AH200"/>
    <mergeCell ref="AI199:AI200"/>
    <mergeCell ref="AJ199:AJ200"/>
    <mergeCell ref="AK199:AK200"/>
    <mergeCell ref="AS199:AS200"/>
    <mergeCell ref="AT199:AT200"/>
    <mergeCell ref="AU199:AU200"/>
    <mergeCell ref="AV199:AV200"/>
    <mergeCell ref="AW199:AW200"/>
    <mergeCell ref="AX199:AX200"/>
    <mergeCell ref="AY199:AY200"/>
    <mergeCell ref="AU207:AU208"/>
    <mergeCell ref="AV207:AV208"/>
    <mergeCell ref="AN207:AN208"/>
    <mergeCell ref="AO207:AO208"/>
    <mergeCell ref="AP207:AP208"/>
    <mergeCell ref="AQ207:AQ208"/>
    <mergeCell ref="AR207:AR208"/>
    <mergeCell ref="AS207:AS208"/>
    <mergeCell ref="AT207:AT208"/>
    <mergeCell ref="AQ199:AQ200"/>
    <mergeCell ref="AR199:AR200"/>
    <mergeCell ref="AQ203:AQ204"/>
    <mergeCell ref="AR203:AR204"/>
    <mergeCell ref="AL199:AL200"/>
    <mergeCell ref="AM199:AM200"/>
    <mergeCell ref="AN199:AN200"/>
    <mergeCell ref="AO199:AO200"/>
    <mergeCell ref="AP199:AP200"/>
    <mergeCell ref="AU197:AU198"/>
    <mergeCell ref="AV197:AV198"/>
    <mergeCell ref="AN197:AN198"/>
    <mergeCell ref="AO197:AO198"/>
    <mergeCell ref="AP197:AP198"/>
    <mergeCell ref="AQ197:AQ198"/>
    <mergeCell ref="AR197:AR198"/>
    <mergeCell ref="AS197:AS198"/>
    <mergeCell ref="AT197:AT198"/>
    <mergeCell ref="AV213:AV214"/>
    <mergeCell ref="AW213:AW214"/>
    <mergeCell ref="AX213:AX214"/>
    <mergeCell ref="AY213:AY214"/>
    <mergeCell ref="W209:W210"/>
    <mergeCell ref="AA201:AA202"/>
    <mergeCell ref="AB201:AB202"/>
    <mergeCell ref="AC201:AC202"/>
    <mergeCell ref="AD201:AD202"/>
    <mergeCell ref="AE205:AE206"/>
    <mergeCell ref="AF205:AF206"/>
    <mergeCell ref="AG205:AG206"/>
    <mergeCell ref="AH205:AH206"/>
    <mergeCell ref="AI205:AI206"/>
    <mergeCell ref="AJ205:AJ206"/>
    <mergeCell ref="AK205:AK206"/>
    <mergeCell ref="W205:W206"/>
    <mergeCell ref="X205:X206"/>
    <mergeCell ref="Y205:Y206"/>
    <mergeCell ref="AA205:AA206"/>
    <mergeCell ref="AB205:AB206"/>
    <mergeCell ref="AC205:AC206"/>
    <mergeCell ref="AD205:AD206"/>
    <mergeCell ref="AE203:AE204"/>
    <mergeCell ref="AF203:AF204"/>
    <mergeCell ref="AG203:AG204"/>
    <mergeCell ref="AH203:AH204"/>
    <mergeCell ref="AI203:AI204"/>
    <mergeCell ref="AJ203:AJ204"/>
    <mergeCell ref="AK203:AK204"/>
    <mergeCell ref="AL203:AL204"/>
    <mergeCell ref="AM203:AM204"/>
    <mergeCell ref="AN203:AN204"/>
    <mergeCell ref="AO203:AO204"/>
    <mergeCell ref="AP203:AP204"/>
    <mergeCell ref="W203:W204"/>
    <mergeCell ref="X203:X204"/>
    <mergeCell ref="Y203:Y204"/>
    <mergeCell ref="AA203:AA204"/>
    <mergeCell ref="AB203:AB204"/>
    <mergeCell ref="AC203:AC204"/>
    <mergeCell ref="AD203:AD204"/>
    <mergeCell ref="AP201:AP202"/>
    <mergeCell ref="AQ201:AQ202"/>
    <mergeCell ref="AR201:AR202"/>
    <mergeCell ref="AS201:AS202"/>
    <mergeCell ref="AT201:AT202"/>
    <mergeCell ref="X209:X210"/>
    <mergeCell ref="Y209:Y210"/>
    <mergeCell ref="AA209:AA210"/>
    <mergeCell ref="AB209:AB210"/>
    <mergeCell ref="AC209:AC210"/>
    <mergeCell ref="AD209:AD210"/>
    <mergeCell ref="W211:W212"/>
    <mergeCell ref="X211:X212"/>
    <mergeCell ref="Y211:Y212"/>
    <mergeCell ref="AA211:AA212"/>
    <mergeCell ref="AB211:AB212"/>
    <mergeCell ref="AC211:AC212"/>
    <mergeCell ref="AD211:AD212"/>
    <mergeCell ref="AL209:AL210"/>
    <mergeCell ref="AM209:AM210"/>
    <mergeCell ref="AN209:AN210"/>
    <mergeCell ref="AO209:AO210"/>
    <mergeCell ref="AW221:AW222"/>
    <mergeCell ref="AX221:AX222"/>
    <mergeCell ref="AY221:AY222"/>
    <mergeCell ref="AU227:AU228"/>
    <mergeCell ref="AV227:AV228"/>
    <mergeCell ref="Y223:Y224"/>
    <mergeCell ref="AA223:AA224"/>
    <mergeCell ref="AB223:AB224"/>
    <mergeCell ref="AC223:AC224"/>
    <mergeCell ref="AD223:AD224"/>
    <mergeCell ref="AL221:AL222"/>
    <mergeCell ref="AM221:AM222"/>
    <mergeCell ref="W207:W208"/>
    <mergeCell ref="X207:X208"/>
    <mergeCell ref="Y207:Y208"/>
    <mergeCell ref="AA207:AA208"/>
    <mergeCell ref="AB207:AB208"/>
    <mergeCell ref="AC207:AC208"/>
    <mergeCell ref="AD207:AD208"/>
    <mergeCell ref="AL205:AL206"/>
    <mergeCell ref="AM205:AM206"/>
    <mergeCell ref="AN205:AN206"/>
    <mergeCell ref="AO205:AO206"/>
    <mergeCell ref="AP205:AP206"/>
    <mergeCell ref="AQ205:AQ206"/>
    <mergeCell ref="AR205:AR206"/>
    <mergeCell ref="AW207:AW208"/>
    <mergeCell ref="AX207:AX208"/>
    <mergeCell ref="AY207:AY208"/>
    <mergeCell ref="AS205:AS206"/>
    <mergeCell ref="AT205:AT206"/>
    <mergeCell ref="AU205:AU206"/>
    <mergeCell ref="AV205:AV206"/>
    <mergeCell ref="AW205:AW206"/>
    <mergeCell ref="AX205:AX206"/>
    <mergeCell ref="AY205:AY206"/>
    <mergeCell ref="AU211:AU212"/>
    <mergeCell ref="AV211:AV212"/>
    <mergeCell ref="AN211:AN212"/>
    <mergeCell ref="AO211:AO212"/>
    <mergeCell ref="AP211:AP212"/>
    <mergeCell ref="AQ211:AQ212"/>
    <mergeCell ref="AR211:AR212"/>
    <mergeCell ref="AS211:AS212"/>
    <mergeCell ref="AT211:AT212"/>
    <mergeCell ref="X215:X216"/>
    <mergeCell ref="Y215:Y216"/>
    <mergeCell ref="AA215:AA216"/>
    <mergeCell ref="AB215:AB216"/>
    <mergeCell ref="AC215:AC216"/>
    <mergeCell ref="AD215:AD216"/>
    <mergeCell ref="AL213:AL214"/>
    <mergeCell ref="AM213:AM214"/>
    <mergeCell ref="AN213:AN214"/>
    <mergeCell ref="AO213:AO214"/>
    <mergeCell ref="AP213:AP214"/>
    <mergeCell ref="AQ213:AQ214"/>
    <mergeCell ref="AR213:AR214"/>
    <mergeCell ref="AW215:AW216"/>
    <mergeCell ref="AX215:AX216"/>
    <mergeCell ref="AY215:AY216"/>
    <mergeCell ref="AS213:AS214"/>
    <mergeCell ref="AT213:AT214"/>
    <mergeCell ref="AU213:AU214"/>
    <mergeCell ref="AY231:AY232"/>
    <mergeCell ref="AS229:AS230"/>
    <mergeCell ref="AT229:AT230"/>
    <mergeCell ref="AU229:AU230"/>
    <mergeCell ref="AV229:AV230"/>
    <mergeCell ref="AW229:AW230"/>
    <mergeCell ref="AX229:AX230"/>
    <mergeCell ref="AY229:AY230"/>
    <mergeCell ref="G179:G180"/>
    <mergeCell ref="H179:H180"/>
    <mergeCell ref="AU223:AU224"/>
    <mergeCell ref="AV223:AV224"/>
    <mergeCell ref="AN223:AN224"/>
    <mergeCell ref="AO223:AO224"/>
    <mergeCell ref="AP223:AP224"/>
    <mergeCell ref="AQ223:AQ224"/>
    <mergeCell ref="AR223:AR224"/>
    <mergeCell ref="AS223:AS224"/>
    <mergeCell ref="AT223:AT224"/>
    <mergeCell ref="AL219:AL220"/>
    <mergeCell ref="AM219:AM220"/>
    <mergeCell ref="AE219:AE220"/>
    <mergeCell ref="AF219:AF220"/>
    <mergeCell ref="AG219:AG220"/>
    <mergeCell ref="AH219:AH220"/>
    <mergeCell ref="AI219:AI220"/>
    <mergeCell ref="AJ219:AJ220"/>
    <mergeCell ref="AK219:AK220"/>
    <mergeCell ref="AE221:AE222"/>
    <mergeCell ref="AF221:AF222"/>
    <mergeCell ref="AG221:AG222"/>
    <mergeCell ref="AH221:AH222"/>
    <mergeCell ref="AI221:AI222"/>
    <mergeCell ref="AJ221:AJ222"/>
    <mergeCell ref="AK221:AK222"/>
    <mergeCell ref="W221:W222"/>
    <mergeCell ref="X221:X222"/>
    <mergeCell ref="Y221:Y222"/>
    <mergeCell ref="AA221:AA222"/>
    <mergeCell ref="AB221:AB222"/>
    <mergeCell ref="AC221:AC222"/>
    <mergeCell ref="AN225:AN226"/>
    <mergeCell ref="AO225:AO226"/>
    <mergeCell ref="AP225:AP226"/>
    <mergeCell ref="AQ225:AQ226"/>
    <mergeCell ref="AR225:AR226"/>
    <mergeCell ref="AW227:AW228"/>
    <mergeCell ref="AX227:AX228"/>
    <mergeCell ref="AY227:AY228"/>
    <mergeCell ref="AS225:AS226"/>
    <mergeCell ref="AY223:AY224"/>
    <mergeCell ref="AS221:AS222"/>
    <mergeCell ref="AT221:AT222"/>
    <mergeCell ref="AU221:AU222"/>
    <mergeCell ref="AV221:AV222"/>
    <mergeCell ref="AT225:AT226"/>
    <mergeCell ref="AU225:AU226"/>
    <mergeCell ref="AV225:AV226"/>
    <mergeCell ref="AW225:AW226"/>
    <mergeCell ref="AX225:AX226"/>
    <mergeCell ref="AY225:AY226"/>
    <mergeCell ref="AU231:AU232"/>
    <mergeCell ref="AV231:AV232"/>
    <mergeCell ref="AN231:AN232"/>
    <mergeCell ref="H203:H204"/>
    <mergeCell ref="I203:I204"/>
    <mergeCell ref="F205:F206"/>
    <mergeCell ref="I205:I206"/>
    <mergeCell ref="H209:H210"/>
    <mergeCell ref="E177:E178"/>
    <mergeCell ref="F177:F178"/>
    <mergeCell ref="G177:G178"/>
    <mergeCell ref="H177:H178"/>
    <mergeCell ref="I177:I178"/>
    <mergeCell ref="F179:F180"/>
    <mergeCell ref="I179:I180"/>
    <mergeCell ref="H183:H184"/>
    <mergeCell ref="I183:I184"/>
    <mergeCell ref="H185:H186"/>
    <mergeCell ref="I185:I186"/>
    <mergeCell ref="H187:H188"/>
    <mergeCell ref="I187:I188"/>
    <mergeCell ref="E179:E180"/>
    <mergeCell ref="E181:E182"/>
    <mergeCell ref="F181:F182"/>
    <mergeCell ref="G181:G182"/>
    <mergeCell ref="H181:H182"/>
    <mergeCell ref="I181:I182"/>
    <mergeCell ref="E183:E184"/>
    <mergeCell ref="F183:F184"/>
    <mergeCell ref="G183:G184"/>
    <mergeCell ref="E185:E186"/>
    <mergeCell ref="F185:F186"/>
    <mergeCell ref="G185:G186"/>
    <mergeCell ref="F187:F188"/>
    <mergeCell ref="G187:G188"/>
    <mergeCell ref="E187:E188"/>
    <mergeCell ref="E189:E190"/>
    <mergeCell ref="F189:F190"/>
    <mergeCell ref="G189:G190"/>
    <mergeCell ref="H189:H190"/>
    <mergeCell ref="I189:I190"/>
    <mergeCell ref="AO239:AO240"/>
    <mergeCell ref="AP239:AP240"/>
    <mergeCell ref="AQ239:AQ240"/>
    <mergeCell ref="AR239:AR240"/>
    <mergeCell ref="AS239:AS240"/>
    <mergeCell ref="AN227:AN228"/>
    <mergeCell ref="AO227:AO228"/>
    <mergeCell ref="AP227:AP228"/>
    <mergeCell ref="AQ227:AQ228"/>
    <mergeCell ref="AR227:AR228"/>
    <mergeCell ref="AS227:AS228"/>
    <mergeCell ref="AT227:AT228"/>
    <mergeCell ref="AL231:AL232"/>
    <mergeCell ref="AM231:AM232"/>
    <mergeCell ref="AE231:AE232"/>
    <mergeCell ref="AF231:AF232"/>
    <mergeCell ref="AG231:AG232"/>
    <mergeCell ref="AH231:AH232"/>
    <mergeCell ref="AI231:AI232"/>
    <mergeCell ref="AJ231:AJ232"/>
    <mergeCell ref="AK231:AK232"/>
    <mergeCell ref="E191:E192"/>
    <mergeCell ref="F199:F200"/>
    <mergeCell ref="G199:G200"/>
    <mergeCell ref="E201:E202"/>
    <mergeCell ref="F201:F202"/>
    <mergeCell ref="G201:G202"/>
    <mergeCell ref="H201:H202"/>
    <mergeCell ref="I201:I202"/>
    <mergeCell ref="AU219:AU220"/>
    <mergeCell ref="AV219:AV220"/>
    <mergeCell ref="AN219:AN220"/>
    <mergeCell ref="AO219:AO220"/>
    <mergeCell ref="AP219:AP220"/>
    <mergeCell ref="AQ219:AQ220"/>
    <mergeCell ref="AR219:AR220"/>
    <mergeCell ref="AS219:AS220"/>
    <mergeCell ref="AT219:AT220"/>
    <mergeCell ref="E195:E196"/>
    <mergeCell ref="E197:E198"/>
    <mergeCell ref="F197:F198"/>
    <mergeCell ref="G197:G198"/>
    <mergeCell ref="H197:H198"/>
    <mergeCell ref="I197:I198"/>
    <mergeCell ref="E199:E200"/>
    <mergeCell ref="H199:H200"/>
    <mergeCell ref="I199:I200"/>
    <mergeCell ref="W217:W218"/>
    <mergeCell ref="X217:X218"/>
    <mergeCell ref="Y217:Y218"/>
    <mergeCell ref="AA217:AA218"/>
    <mergeCell ref="AB217:AB218"/>
    <mergeCell ref="E221:E222"/>
    <mergeCell ref="E223:E224"/>
    <mergeCell ref="F223:F224"/>
    <mergeCell ref="G223:G224"/>
    <mergeCell ref="H223:H224"/>
    <mergeCell ref="I223:I224"/>
    <mergeCell ref="E225:E226"/>
    <mergeCell ref="G205:G206"/>
    <mergeCell ref="H205:H206"/>
    <mergeCell ref="E203:E204"/>
    <mergeCell ref="F203:F204"/>
    <mergeCell ref="G203:G204"/>
    <mergeCell ref="AN241:AN242"/>
    <mergeCell ref="AO241:AO242"/>
    <mergeCell ref="AP241:AP242"/>
    <mergeCell ref="AQ241:AQ242"/>
    <mergeCell ref="AR241:AR242"/>
    <mergeCell ref="AX217:AX218"/>
    <mergeCell ref="AY217:AY218"/>
    <mergeCell ref="AW219:AW220"/>
    <mergeCell ref="AX219:AX220"/>
    <mergeCell ref="AY219:AY220"/>
    <mergeCell ref="AQ217:AQ218"/>
    <mergeCell ref="AR217:AR218"/>
    <mergeCell ref="AU235:AU236"/>
    <mergeCell ref="AV235:AV236"/>
    <mergeCell ref="AW235:AW236"/>
    <mergeCell ref="AX235:AX236"/>
    <mergeCell ref="AY235:AY236"/>
    <mergeCell ref="AL235:AL236"/>
    <mergeCell ref="AM235:AM236"/>
    <mergeCell ref="AN235:AN236"/>
    <mergeCell ref="AO235:AO236"/>
    <mergeCell ref="AP235:AP236"/>
    <mergeCell ref="AQ235:AQ236"/>
    <mergeCell ref="AR235:AR236"/>
    <mergeCell ref="W235:W236"/>
    <mergeCell ref="X235:X236"/>
    <mergeCell ref="Y235:Y236"/>
    <mergeCell ref="AA235:AA236"/>
    <mergeCell ref="AB235:AB236"/>
    <mergeCell ref="AC235:AC236"/>
    <mergeCell ref="AD235:AD236"/>
    <mergeCell ref="W239:W240"/>
    <mergeCell ref="X239:X240"/>
    <mergeCell ref="Y239:Y240"/>
    <mergeCell ref="AA239:AA240"/>
    <mergeCell ref="AB239:AB240"/>
    <mergeCell ref="AC239:AC240"/>
    <mergeCell ref="AD239:AD240"/>
    <mergeCell ref="AL237:AL238"/>
    <mergeCell ref="AM237:AM238"/>
    <mergeCell ref="AN237:AN238"/>
    <mergeCell ref="AO237:AO238"/>
    <mergeCell ref="AP237:AP238"/>
    <mergeCell ref="AQ237:AQ238"/>
    <mergeCell ref="AR237:AR238"/>
    <mergeCell ref="AW239:AW240"/>
    <mergeCell ref="AX239:AX240"/>
    <mergeCell ref="AY239:AY240"/>
    <mergeCell ref="AS237:AS238"/>
    <mergeCell ref="AT237:AT238"/>
    <mergeCell ref="AU237:AU238"/>
    <mergeCell ref="AV237:AV238"/>
    <mergeCell ref="AW237:AW238"/>
    <mergeCell ref="AX237:AX238"/>
    <mergeCell ref="AY237:AY238"/>
    <mergeCell ref="AL239:AL240"/>
    <mergeCell ref="AM239:AM240"/>
    <mergeCell ref="AE239:AE240"/>
    <mergeCell ref="AF239:AF240"/>
    <mergeCell ref="AG239:AG240"/>
    <mergeCell ref="AH239:AH240"/>
    <mergeCell ref="AI239:AI240"/>
    <mergeCell ref="AJ239:AJ240"/>
    <mergeCell ref="AK239:AK240"/>
    <mergeCell ref="AW243:AW244"/>
    <mergeCell ref="AX243:AX244"/>
    <mergeCell ref="AY243:AY244"/>
    <mergeCell ref="AS241:AS242"/>
    <mergeCell ref="AT241:AT242"/>
    <mergeCell ref="AU241:AU242"/>
    <mergeCell ref="AV241:AV242"/>
    <mergeCell ref="AW241:AW242"/>
    <mergeCell ref="AX241:AX242"/>
    <mergeCell ref="AY241:AY242"/>
    <mergeCell ref="AL243:AL244"/>
    <mergeCell ref="AM243:AM244"/>
    <mergeCell ref="AE243:AE244"/>
    <mergeCell ref="AF243:AF244"/>
    <mergeCell ref="AG243:AG244"/>
    <mergeCell ref="AH243:AH244"/>
    <mergeCell ref="AI243:AI244"/>
    <mergeCell ref="AJ243:AJ244"/>
    <mergeCell ref="AK243:AK244"/>
    <mergeCell ref="AU243:AU244"/>
    <mergeCell ref="AV243:AV244"/>
    <mergeCell ref="AN243:AN244"/>
    <mergeCell ref="AO243:AO244"/>
    <mergeCell ref="AP243:AP244"/>
    <mergeCell ref="AQ243:AQ244"/>
    <mergeCell ref="AR243:AR244"/>
    <mergeCell ref="AS243:AS244"/>
    <mergeCell ref="AT243:AT244"/>
    <mergeCell ref="AU233:AU234"/>
    <mergeCell ref="AV233:AV234"/>
    <mergeCell ref="AW233:AW234"/>
    <mergeCell ref="AX233:AX234"/>
    <mergeCell ref="H225:H226"/>
    <mergeCell ref="I225:I226"/>
    <mergeCell ref="AT239:AT240"/>
    <mergeCell ref="AE235:AE236"/>
    <mergeCell ref="AF235:AF236"/>
    <mergeCell ref="AG235:AG236"/>
    <mergeCell ref="AH235:AH236"/>
    <mergeCell ref="AI235:AI236"/>
    <mergeCell ref="AJ235:AJ236"/>
    <mergeCell ref="AE241:AE242"/>
    <mergeCell ref="AF241:AF242"/>
    <mergeCell ref="AG241:AG242"/>
    <mergeCell ref="AH241:AH242"/>
    <mergeCell ref="AI241:AI242"/>
    <mergeCell ref="AJ241:AJ242"/>
    <mergeCell ref="AK241:AK242"/>
    <mergeCell ref="W241:W242"/>
    <mergeCell ref="X241:X242"/>
    <mergeCell ref="Y241:Y242"/>
    <mergeCell ref="AA241:AA242"/>
    <mergeCell ref="AB241:AB242"/>
    <mergeCell ref="AC241:AC242"/>
    <mergeCell ref="AD241:AD242"/>
    <mergeCell ref="W243:W244"/>
    <mergeCell ref="X243:X244"/>
    <mergeCell ref="Y243:Y244"/>
    <mergeCell ref="AA243:AA244"/>
    <mergeCell ref="AB243:AB244"/>
    <mergeCell ref="AC243:AC244"/>
    <mergeCell ref="AD243:AD244"/>
    <mergeCell ref="AL241:AL242"/>
    <mergeCell ref="AM241:AM242"/>
    <mergeCell ref="E207:E208"/>
    <mergeCell ref="F207:F208"/>
    <mergeCell ref="G207:G208"/>
    <mergeCell ref="H207:H208"/>
    <mergeCell ref="I207:I208"/>
    <mergeCell ref="E209:E210"/>
    <mergeCell ref="F209:F210"/>
    <mergeCell ref="G209:G210"/>
    <mergeCell ref="E211:E212"/>
    <mergeCell ref="F211:F212"/>
    <mergeCell ref="G211:G212"/>
    <mergeCell ref="F213:F214"/>
    <mergeCell ref="G213:G214"/>
    <mergeCell ref="E213:E214"/>
    <mergeCell ref="E215:E216"/>
    <mergeCell ref="F215:F216"/>
    <mergeCell ref="G215:G216"/>
    <mergeCell ref="H215:H216"/>
    <mergeCell ref="I215:I216"/>
    <mergeCell ref="E217:E218"/>
    <mergeCell ref="F225:F226"/>
    <mergeCell ref="G225:G226"/>
    <mergeCell ref="AN221:AN222"/>
    <mergeCell ref="AO221:AO222"/>
    <mergeCell ref="AP221:AP222"/>
    <mergeCell ref="AQ221:AQ222"/>
    <mergeCell ref="AR221:AR222"/>
    <mergeCell ref="H221:H222"/>
    <mergeCell ref="I221:I222"/>
    <mergeCell ref="F217:F218"/>
    <mergeCell ref="G217:G218"/>
    <mergeCell ref="E219:E220"/>
    <mergeCell ref="F219:F220"/>
    <mergeCell ref="G219:G220"/>
    <mergeCell ref="F221:F222"/>
    <mergeCell ref="G221:G222"/>
    <mergeCell ref="H217:H218"/>
    <mergeCell ref="I217:I218"/>
    <mergeCell ref="H219:H220"/>
    <mergeCell ref="I219:I220"/>
    <mergeCell ref="AE217:AE218"/>
    <mergeCell ref="AL215:AL216"/>
    <mergeCell ref="AM215:AM216"/>
    <mergeCell ref="AE215:AE216"/>
    <mergeCell ref="AF215:AF216"/>
    <mergeCell ref="AG215:AG216"/>
    <mergeCell ref="AH215:AH216"/>
    <mergeCell ref="AI215:AI216"/>
    <mergeCell ref="AJ215:AJ216"/>
    <mergeCell ref="AK215:AK216"/>
    <mergeCell ref="AL223:AL224"/>
    <mergeCell ref="AM223:AM224"/>
    <mergeCell ref="AE223:AE224"/>
    <mergeCell ref="AF223:AF224"/>
    <mergeCell ref="AG223:AG224"/>
    <mergeCell ref="AH223:AH224"/>
    <mergeCell ref="AI223:AI224"/>
    <mergeCell ref="AJ223:AJ224"/>
    <mergeCell ref="AK223:AK224"/>
    <mergeCell ref="AE225:AE226"/>
    <mergeCell ref="AF225:AF226"/>
    <mergeCell ref="AG225:AG226"/>
    <mergeCell ref="AH225:AH226"/>
    <mergeCell ref="AI225:AI226"/>
    <mergeCell ref="AW223:AW224"/>
    <mergeCell ref="AX223:AX224"/>
    <mergeCell ref="AS217:AS218"/>
    <mergeCell ref="AT217:AT218"/>
    <mergeCell ref="AU217:AU218"/>
    <mergeCell ref="AV217:AV218"/>
    <mergeCell ref="AW217:AW218"/>
    <mergeCell ref="AC217:AC218"/>
    <mergeCell ref="AK235:AK236"/>
    <mergeCell ref="AS235:AS236"/>
    <mergeCell ref="AT235:AT236"/>
    <mergeCell ref="W229:W230"/>
    <mergeCell ref="X229:X230"/>
    <mergeCell ref="Y229:Y230"/>
    <mergeCell ref="AA229:AA230"/>
    <mergeCell ref="AB229:AB230"/>
    <mergeCell ref="AC229:AC230"/>
    <mergeCell ref="AD229:AD230"/>
    <mergeCell ref="W231:W232"/>
    <mergeCell ref="X231:X232"/>
    <mergeCell ref="Y231:Y232"/>
    <mergeCell ref="AA231:AA232"/>
    <mergeCell ref="AB231:AB232"/>
    <mergeCell ref="AC231:AC232"/>
    <mergeCell ref="AD231:AD232"/>
    <mergeCell ref="AL229:AL230"/>
    <mergeCell ref="AM229:AM230"/>
    <mergeCell ref="AN229:AN230"/>
    <mergeCell ref="AO229:AO230"/>
    <mergeCell ref="AP229:AP230"/>
    <mergeCell ref="AQ229:AQ230"/>
    <mergeCell ref="AQ231:AQ232"/>
    <mergeCell ref="AR231:AR232"/>
    <mergeCell ref="AS231:AS232"/>
    <mergeCell ref="AT231:AT232"/>
    <mergeCell ref="AR229:AR230"/>
    <mergeCell ref="W219:W220"/>
    <mergeCell ref="X219:X220"/>
    <mergeCell ref="AW231:AW232"/>
    <mergeCell ref="AX231:AX232"/>
    <mergeCell ref="AO231:AO232"/>
    <mergeCell ref="AP231:AP232"/>
    <mergeCell ref="AL227:AL228"/>
    <mergeCell ref="AM227:AM228"/>
    <mergeCell ref="AE227:AE228"/>
    <mergeCell ref="AF227:AF228"/>
    <mergeCell ref="AG227:AG228"/>
    <mergeCell ref="AH227:AH228"/>
    <mergeCell ref="AI227:AI228"/>
    <mergeCell ref="AJ227:AJ228"/>
    <mergeCell ref="AK227:AK228"/>
    <mergeCell ref="AE229:AE230"/>
    <mergeCell ref="AF229:AF230"/>
    <mergeCell ref="AG229:AG230"/>
    <mergeCell ref="AH229:AH230"/>
    <mergeCell ref="AI229:AI230"/>
    <mergeCell ref="AJ229:AJ230"/>
    <mergeCell ref="AK229:AK230"/>
    <mergeCell ref="AJ225:AJ226"/>
    <mergeCell ref="AK225:AK226"/>
    <mergeCell ref="AL225:AL226"/>
    <mergeCell ref="AM225:AM226"/>
    <mergeCell ref="AF217:AF218"/>
    <mergeCell ref="AG217:AG218"/>
    <mergeCell ref="E257:E258"/>
    <mergeCell ref="F257:F258"/>
    <mergeCell ref="G257:G258"/>
    <mergeCell ref="H257:H258"/>
    <mergeCell ref="I257:I258"/>
    <mergeCell ref="W257:W258"/>
    <mergeCell ref="X257:X258"/>
    <mergeCell ref="Y257:Y258"/>
    <mergeCell ref="AA257:AA258"/>
    <mergeCell ref="AB257:AB258"/>
    <mergeCell ref="AC257:AC258"/>
    <mergeCell ref="AD257:AD258"/>
    <mergeCell ref="AE257:AE258"/>
    <mergeCell ref="AF257:AF258"/>
    <mergeCell ref="G253:G254"/>
    <mergeCell ref="H253:H254"/>
    <mergeCell ref="E253:E254"/>
    <mergeCell ref="E251:E252"/>
    <mergeCell ref="F251:F252"/>
    <mergeCell ref="G251:G252"/>
    <mergeCell ref="H251:H252"/>
    <mergeCell ref="I251:I252"/>
    <mergeCell ref="F253:F254"/>
    <mergeCell ref="I253:I254"/>
    <mergeCell ref="W249:W250"/>
    <mergeCell ref="X249:X250"/>
    <mergeCell ref="Y249:Y250"/>
    <mergeCell ref="AA249:AA250"/>
    <mergeCell ref="AB249:AB250"/>
    <mergeCell ref="AC249:AC250"/>
    <mergeCell ref="AD249:AD250"/>
    <mergeCell ref="AE249:AE250"/>
    <mergeCell ref="AF249:AF250"/>
    <mergeCell ref="AG249:AG250"/>
    <mergeCell ref="AH249:AH250"/>
    <mergeCell ref="AI249:AI250"/>
    <mergeCell ref="AL259:AL260"/>
    <mergeCell ref="AM259:AM260"/>
    <mergeCell ref="AE259:AE260"/>
    <mergeCell ref="AF259:AF260"/>
    <mergeCell ref="AG259:AG260"/>
    <mergeCell ref="AH259:AH260"/>
    <mergeCell ref="AI259:AI260"/>
    <mergeCell ref="AJ259:AJ260"/>
    <mergeCell ref="AK259:AK260"/>
    <mergeCell ref="AU259:AU260"/>
    <mergeCell ref="AV259:AV260"/>
    <mergeCell ref="AN259:AN260"/>
    <mergeCell ref="AO259:AO260"/>
    <mergeCell ref="AP259:AP260"/>
    <mergeCell ref="AQ259:AQ260"/>
    <mergeCell ref="AR259:AR260"/>
    <mergeCell ref="AS259:AS260"/>
    <mergeCell ref="AT259:AT260"/>
    <mergeCell ref="W261:W262"/>
    <mergeCell ref="X261:X262"/>
    <mergeCell ref="Y261:Y262"/>
    <mergeCell ref="AA261:AA262"/>
    <mergeCell ref="AB261:AB262"/>
    <mergeCell ref="AC261:AC262"/>
    <mergeCell ref="AD261:AD262"/>
    <mergeCell ref="W259:W260"/>
    <mergeCell ref="X259:X260"/>
    <mergeCell ref="Y259:Y260"/>
    <mergeCell ref="AA259:AA260"/>
    <mergeCell ref="AB259:AB260"/>
    <mergeCell ref="AC259:AC260"/>
    <mergeCell ref="AD259:AD260"/>
    <mergeCell ref="AL261:AL262"/>
    <mergeCell ref="AM261:AM262"/>
    <mergeCell ref="AE261:AE262"/>
    <mergeCell ref="AF261:AF262"/>
    <mergeCell ref="AG261:AG262"/>
    <mergeCell ref="AH261:AH262"/>
    <mergeCell ref="AI261:AI262"/>
    <mergeCell ref="AJ261:AJ262"/>
    <mergeCell ref="AK261:AK262"/>
    <mergeCell ref="AU261:AU262"/>
    <mergeCell ref="AV261:AV262"/>
    <mergeCell ref="AN261:AN262"/>
    <mergeCell ref="AO261:AO262"/>
    <mergeCell ref="AP261:AP262"/>
    <mergeCell ref="AQ261:AQ262"/>
    <mergeCell ref="AR261:AR262"/>
    <mergeCell ref="AS261:AS262"/>
    <mergeCell ref="AT261:AT262"/>
    <mergeCell ref="G261:G262"/>
    <mergeCell ref="H261:H262"/>
    <mergeCell ref="E259:E260"/>
    <mergeCell ref="F259:F260"/>
    <mergeCell ref="G259:G260"/>
    <mergeCell ref="H259:H260"/>
    <mergeCell ref="I259:I260"/>
    <mergeCell ref="F261:F262"/>
    <mergeCell ref="I261:I262"/>
    <mergeCell ref="AE251:AE252"/>
    <mergeCell ref="AF251:AF252"/>
    <mergeCell ref="AG251:AG252"/>
    <mergeCell ref="AH251:AH252"/>
    <mergeCell ref="AI251:AI252"/>
    <mergeCell ref="AJ251:AJ252"/>
    <mergeCell ref="AK251:AK252"/>
    <mergeCell ref="AS251:AS252"/>
    <mergeCell ref="AT251:AT252"/>
    <mergeCell ref="AU251:AU252"/>
    <mergeCell ref="AV251:AV252"/>
    <mergeCell ref="AW251:AW252"/>
    <mergeCell ref="AX251:AX252"/>
    <mergeCell ref="AY251:AY252"/>
    <mergeCell ref="AL251:AL252"/>
    <mergeCell ref="AM251:AM252"/>
    <mergeCell ref="AN251:AN252"/>
    <mergeCell ref="AO251:AO252"/>
    <mergeCell ref="AP251:AP252"/>
    <mergeCell ref="AQ251:AQ252"/>
    <mergeCell ref="AR251:AR252"/>
    <mergeCell ref="W251:W252"/>
    <mergeCell ref="X251:X252"/>
    <mergeCell ref="Y251:Y252"/>
    <mergeCell ref="AA251:AA252"/>
    <mergeCell ref="AB251:AB252"/>
    <mergeCell ref="AC251:AC252"/>
    <mergeCell ref="AD251:AD252"/>
    <mergeCell ref="AS253:AS254"/>
    <mergeCell ref="AT253:AT254"/>
    <mergeCell ref="AU253:AU254"/>
    <mergeCell ref="AV253:AV254"/>
    <mergeCell ref="AW253:AW254"/>
    <mergeCell ref="AX253:AX254"/>
    <mergeCell ref="AY253:AY254"/>
    <mergeCell ref="W255:W256"/>
    <mergeCell ref="X255:X256"/>
    <mergeCell ref="Y255:Y256"/>
    <mergeCell ref="AA255:AA256"/>
    <mergeCell ref="AB255:AB256"/>
    <mergeCell ref="AC255:AC256"/>
    <mergeCell ref="AD255:AD256"/>
    <mergeCell ref="AL253:AL254"/>
    <mergeCell ref="AM253:AM254"/>
    <mergeCell ref="AN253:AN254"/>
    <mergeCell ref="AO253:AO254"/>
    <mergeCell ref="AP253:AP254"/>
    <mergeCell ref="AQ253:AQ254"/>
    <mergeCell ref="AR253:AR254"/>
    <mergeCell ref="W253:W254"/>
    <mergeCell ref="E255:E256"/>
    <mergeCell ref="F255:F256"/>
    <mergeCell ref="G255:G256"/>
    <mergeCell ref="H255:H256"/>
    <mergeCell ref="I255:I256"/>
    <mergeCell ref="X263:X264"/>
    <mergeCell ref="Y263:Y264"/>
    <mergeCell ref="AA263:AA264"/>
    <mergeCell ref="AB263:AB264"/>
    <mergeCell ref="AC263:AC264"/>
    <mergeCell ref="AD263:AD264"/>
    <mergeCell ref="AE263:AE264"/>
    <mergeCell ref="AO263:AO264"/>
    <mergeCell ref="AP263:AP264"/>
    <mergeCell ref="AH263:AH264"/>
    <mergeCell ref="AI263:AI264"/>
    <mergeCell ref="AJ263:AJ264"/>
    <mergeCell ref="AK263:AK264"/>
    <mergeCell ref="AL263:AL264"/>
    <mergeCell ref="AM263:AM264"/>
    <mergeCell ref="AN263:AN264"/>
    <mergeCell ref="AV263:AV264"/>
    <mergeCell ref="AW263:AW264"/>
    <mergeCell ref="AX263:AX264"/>
    <mergeCell ref="AY263:AY264"/>
    <mergeCell ref="AW259:AW260"/>
    <mergeCell ref="AW261:AW262"/>
    <mergeCell ref="AX261:AX262"/>
    <mergeCell ref="AY261:AY262"/>
    <mergeCell ref="AQ263:AQ264"/>
    <mergeCell ref="AR263:AR264"/>
    <mergeCell ref="AS263:AS264"/>
    <mergeCell ref="AE253:AE254"/>
    <mergeCell ref="AF253:AF254"/>
    <mergeCell ref="AG253:AG254"/>
    <mergeCell ref="AH253:AH254"/>
    <mergeCell ref="AI253:AI254"/>
    <mergeCell ref="AJ253:AJ254"/>
    <mergeCell ref="AK253:AK254"/>
    <mergeCell ref="X253:X254"/>
    <mergeCell ref="Y253:Y254"/>
    <mergeCell ref="AA253:AA254"/>
    <mergeCell ref="AB253:AB254"/>
    <mergeCell ref="AC253:AC254"/>
    <mergeCell ref="AD253:AD254"/>
    <mergeCell ref="AN257:AN258"/>
    <mergeCell ref="AO257:AO258"/>
    <mergeCell ref="AP257:AP258"/>
    <mergeCell ref="AQ257:AQ258"/>
    <mergeCell ref="AR257:AR258"/>
    <mergeCell ref="AS257:AS258"/>
    <mergeCell ref="AT257:AT258"/>
    <mergeCell ref="AU257:AU258"/>
    <mergeCell ref="AV257:AV258"/>
    <mergeCell ref="AW257:AW258"/>
    <mergeCell ref="AX257:AX258"/>
    <mergeCell ref="AY257:AY258"/>
    <mergeCell ref="AX259:AX260"/>
    <mergeCell ref="AY259:AY260"/>
    <mergeCell ref="AG257:AG258"/>
    <mergeCell ref="AH257:AH258"/>
    <mergeCell ref="AI257:AI258"/>
    <mergeCell ref="AJ257:AJ258"/>
    <mergeCell ref="AK257:AK258"/>
    <mergeCell ref="AL257:AL258"/>
    <mergeCell ref="AM257:AM258"/>
    <mergeCell ref="AT263:AT264"/>
    <mergeCell ref="AW255:AW256"/>
    <mergeCell ref="AX255:AX256"/>
    <mergeCell ref="E261:E262"/>
    <mergeCell ref="E263:E264"/>
    <mergeCell ref="F263:F264"/>
    <mergeCell ref="G263:G264"/>
    <mergeCell ref="H263:H264"/>
    <mergeCell ref="I263:I264"/>
    <mergeCell ref="W263:W264"/>
    <mergeCell ref="AL267:AL268"/>
    <mergeCell ref="AM267:AM268"/>
    <mergeCell ref="AE267:AE268"/>
    <mergeCell ref="AF267:AF268"/>
    <mergeCell ref="AG267:AG268"/>
    <mergeCell ref="AH267:AH268"/>
    <mergeCell ref="AI267:AI268"/>
    <mergeCell ref="AJ267:AJ268"/>
    <mergeCell ref="AK267:AK268"/>
    <mergeCell ref="AU267:AU268"/>
    <mergeCell ref="AV267:AV268"/>
    <mergeCell ref="AN267:AN268"/>
    <mergeCell ref="AO267:AO268"/>
    <mergeCell ref="AP267:AP268"/>
    <mergeCell ref="AQ267:AQ268"/>
    <mergeCell ref="AR267:AR268"/>
    <mergeCell ref="AS267:AS268"/>
    <mergeCell ref="AT267:AT268"/>
    <mergeCell ref="H107:H108"/>
    <mergeCell ref="I107:I108"/>
    <mergeCell ref="H109:H110"/>
    <mergeCell ref="I109:I110"/>
    <mergeCell ref="H111:H112"/>
    <mergeCell ref="I111:I112"/>
    <mergeCell ref="F107:F108"/>
    <mergeCell ref="G107:G108"/>
    <mergeCell ref="E109:E110"/>
    <mergeCell ref="F109:F110"/>
    <mergeCell ref="G109:G110"/>
    <mergeCell ref="F111:F112"/>
    <mergeCell ref="G111:G112"/>
    <mergeCell ref="G119:G120"/>
    <mergeCell ref="H119:H120"/>
    <mergeCell ref="E117:E118"/>
    <mergeCell ref="F117:F118"/>
    <mergeCell ref="G117:G118"/>
    <mergeCell ref="H117:H118"/>
    <mergeCell ref="I117:I118"/>
    <mergeCell ref="F119:F120"/>
    <mergeCell ref="I119:I120"/>
    <mergeCell ref="H123:H124"/>
    <mergeCell ref="I123:I124"/>
    <mergeCell ref="H125:H126"/>
    <mergeCell ref="I125:I126"/>
    <mergeCell ref="H127:H128"/>
    <mergeCell ref="I127:I128"/>
    <mergeCell ref="E119:E120"/>
    <mergeCell ref="E121:E122"/>
    <mergeCell ref="F121:F122"/>
    <mergeCell ref="G121:G122"/>
    <mergeCell ref="H121:H122"/>
    <mergeCell ref="I121:I122"/>
    <mergeCell ref="E123:E124"/>
    <mergeCell ref="F123:F124"/>
    <mergeCell ref="G123:G124"/>
    <mergeCell ref="E125:E126"/>
    <mergeCell ref="AF263:AF264"/>
    <mergeCell ref="F125:F126"/>
    <mergeCell ref="G125:G126"/>
    <mergeCell ref="F127:F128"/>
    <mergeCell ref="G127:G128"/>
    <mergeCell ref="G135:G136"/>
    <mergeCell ref="H135:H136"/>
    <mergeCell ref="E133:E134"/>
    <mergeCell ref="F133:F134"/>
    <mergeCell ref="G133:G134"/>
    <mergeCell ref="H133:H134"/>
    <mergeCell ref="I133:I134"/>
    <mergeCell ref="F135:F136"/>
    <mergeCell ref="I135:I136"/>
    <mergeCell ref="H139:H140"/>
    <mergeCell ref="I139:I140"/>
    <mergeCell ref="H141:H142"/>
    <mergeCell ref="I141:I142"/>
    <mergeCell ref="H143:H144"/>
    <mergeCell ref="I143:I144"/>
    <mergeCell ref="E135:E136"/>
    <mergeCell ref="E137:E138"/>
    <mergeCell ref="F137:F138"/>
    <mergeCell ref="G137:G138"/>
    <mergeCell ref="H137:H138"/>
    <mergeCell ref="I137:I138"/>
    <mergeCell ref="E139:E140"/>
    <mergeCell ref="F139:F140"/>
    <mergeCell ref="G139:G140"/>
    <mergeCell ref="E141:E142"/>
    <mergeCell ref="F141:F142"/>
    <mergeCell ref="G141:G142"/>
    <mergeCell ref="F143:F144"/>
    <mergeCell ref="G143:G144"/>
    <mergeCell ref="E143:E144"/>
    <mergeCell ref="F131:F132"/>
    <mergeCell ref="G131:G132"/>
    <mergeCell ref="E127:E128"/>
    <mergeCell ref="E129:E130"/>
    <mergeCell ref="F129:F130"/>
    <mergeCell ref="G129:G130"/>
    <mergeCell ref="H129:H130"/>
    <mergeCell ref="I129:I130"/>
    <mergeCell ref="E131:E132"/>
    <mergeCell ref="H131:H132"/>
    <mergeCell ref="I131:I132"/>
    <mergeCell ref="E145:E146"/>
    <mergeCell ref="F145:F146"/>
    <mergeCell ref="G145:G146"/>
    <mergeCell ref="H145:H146"/>
    <mergeCell ref="I145:I146"/>
    <mergeCell ref="E147:E148"/>
    <mergeCell ref="F147:F148"/>
    <mergeCell ref="G147:G148"/>
    <mergeCell ref="E149:E150"/>
    <mergeCell ref="F149:F150"/>
    <mergeCell ref="G149:G150"/>
    <mergeCell ref="H149:H150"/>
    <mergeCell ref="I149:I150"/>
    <mergeCell ref="H165:H166"/>
    <mergeCell ref="I165:I166"/>
    <mergeCell ref="H167:H168"/>
    <mergeCell ref="I167:I168"/>
    <mergeCell ref="H169:H170"/>
    <mergeCell ref="I169:I170"/>
    <mergeCell ref="F165:F166"/>
    <mergeCell ref="G165:G166"/>
    <mergeCell ref="E167:E168"/>
    <mergeCell ref="F167:F168"/>
    <mergeCell ref="G167:G168"/>
    <mergeCell ref="F169:F170"/>
    <mergeCell ref="G169:G170"/>
    <mergeCell ref="H173:H174"/>
    <mergeCell ref="I173:I174"/>
    <mergeCell ref="E169:E170"/>
    <mergeCell ref="E171:E172"/>
    <mergeCell ref="F171:F172"/>
    <mergeCell ref="G171:G172"/>
    <mergeCell ref="H171:H172"/>
    <mergeCell ref="I171:I172"/>
    <mergeCell ref="E173:E174"/>
    <mergeCell ref="G153:G154"/>
    <mergeCell ref="H153:H154"/>
    <mergeCell ref="E151:E152"/>
    <mergeCell ref="F151:F152"/>
    <mergeCell ref="G151:G152"/>
    <mergeCell ref="H151:H152"/>
    <mergeCell ref="I151:I152"/>
    <mergeCell ref="F153:F154"/>
    <mergeCell ref="I153:I154"/>
    <mergeCell ref="H157:H158"/>
    <mergeCell ref="I157:I158"/>
    <mergeCell ref="H159:H160"/>
    <mergeCell ref="I159:I160"/>
    <mergeCell ref="H161:H162"/>
    <mergeCell ref="I161:I162"/>
    <mergeCell ref="E153:E154"/>
    <mergeCell ref="E155:E156"/>
    <mergeCell ref="F155:F156"/>
    <mergeCell ref="G155:G156"/>
    <mergeCell ref="H155:H156"/>
    <mergeCell ref="I155:I156"/>
    <mergeCell ref="E157:E158"/>
    <mergeCell ref="F157:F158"/>
    <mergeCell ref="G157:G158"/>
    <mergeCell ref="E159:E160"/>
    <mergeCell ref="F159:F160"/>
    <mergeCell ref="G159:G160"/>
    <mergeCell ref="F161:F162"/>
    <mergeCell ref="G161:G162"/>
    <mergeCell ref="E161:E162"/>
    <mergeCell ref="E163:E164"/>
    <mergeCell ref="F163:F164"/>
    <mergeCell ref="G163:G164"/>
    <mergeCell ref="H163:H164"/>
    <mergeCell ref="I163:I164"/>
    <mergeCell ref="E165:E166"/>
    <mergeCell ref="F173:F174"/>
    <mergeCell ref="G173:G174"/>
    <mergeCell ref="E175:E176"/>
    <mergeCell ref="F175:F176"/>
    <mergeCell ref="G175:G176"/>
    <mergeCell ref="H175:H176"/>
    <mergeCell ref="I175:I176"/>
    <mergeCell ref="H191:H192"/>
    <mergeCell ref="I191:I192"/>
    <mergeCell ref="H193:H194"/>
    <mergeCell ref="I193:I194"/>
    <mergeCell ref="H195:H196"/>
    <mergeCell ref="I195:I196"/>
    <mergeCell ref="F191:F192"/>
    <mergeCell ref="G191:G192"/>
    <mergeCell ref="E193:E194"/>
    <mergeCell ref="F193:F194"/>
    <mergeCell ref="G193:G194"/>
    <mergeCell ref="F195:F196"/>
    <mergeCell ref="G195:G196"/>
    <mergeCell ref="X245:X246"/>
    <mergeCell ref="Y245:Y246"/>
    <mergeCell ref="AA245:AA246"/>
    <mergeCell ref="AB245:AB246"/>
    <mergeCell ref="AC245:AC246"/>
    <mergeCell ref="AD245:AD246"/>
    <mergeCell ref="X233:X234"/>
    <mergeCell ref="Y233:Y234"/>
    <mergeCell ref="AA233:AA234"/>
    <mergeCell ref="AB233:AB234"/>
    <mergeCell ref="AC233:AC234"/>
    <mergeCell ref="AD233:AD234"/>
    <mergeCell ref="W237:W238"/>
    <mergeCell ref="X237:X238"/>
    <mergeCell ref="Y237:Y238"/>
    <mergeCell ref="AA237:AA238"/>
    <mergeCell ref="AB237:AB238"/>
    <mergeCell ref="AC237:AC238"/>
    <mergeCell ref="AD237:AD238"/>
    <mergeCell ref="AD217:AD218"/>
    <mergeCell ref="W225:W226"/>
    <mergeCell ref="X225:X226"/>
    <mergeCell ref="Y225:Y226"/>
    <mergeCell ref="AA225:AA226"/>
    <mergeCell ref="AB225:AB226"/>
    <mergeCell ref="AC225:AC226"/>
    <mergeCell ref="AD225:AD226"/>
    <mergeCell ref="W227:W228"/>
    <mergeCell ref="X227:X228"/>
    <mergeCell ref="Y227:Y228"/>
    <mergeCell ref="AA227:AA228"/>
    <mergeCell ref="I209:I210"/>
    <mergeCell ref="H211:H212"/>
    <mergeCell ref="I211:I212"/>
    <mergeCell ref="H213:H214"/>
    <mergeCell ref="I213:I214"/>
    <mergeCell ref="E205:E206"/>
    <mergeCell ref="AE245:AE246"/>
    <mergeCell ref="AF245:AF246"/>
    <mergeCell ref="AG245:AG246"/>
    <mergeCell ref="AH245:AH246"/>
    <mergeCell ref="AI245:AI246"/>
    <mergeCell ref="AJ245:AJ246"/>
    <mergeCell ref="AK245:AK246"/>
    <mergeCell ref="AL245:AL246"/>
    <mergeCell ref="AT245:AT246"/>
    <mergeCell ref="AU245:AU246"/>
    <mergeCell ref="AV245:AV246"/>
    <mergeCell ref="AW245:AW246"/>
    <mergeCell ref="AX245:AX246"/>
    <mergeCell ref="AY245:AY246"/>
    <mergeCell ref="AM245:AM246"/>
    <mergeCell ref="AN245:AN246"/>
    <mergeCell ref="AO245:AO246"/>
    <mergeCell ref="AP245:AP246"/>
    <mergeCell ref="AQ245:AQ246"/>
    <mergeCell ref="AR245:AR246"/>
    <mergeCell ref="AS245:AS246"/>
    <mergeCell ref="F245:F246"/>
    <mergeCell ref="G245:G246"/>
    <mergeCell ref="H245:H246"/>
    <mergeCell ref="I245:I246"/>
    <mergeCell ref="W245:W246"/>
    <mergeCell ref="AJ249:AJ250"/>
    <mergeCell ref="AK249:AK250"/>
    <mergeCell ref="AS249:AS250"/>
    <mergeCell ref="AT249:AT250"/>
    <mergeCell ref="AU249:AU250"/>
    <mergeCell ref="AV249:AV250"/>
    <mergeCell ref="AW249:AW250"/>
    <mergeCell ref="AX249:AX250"/>
    <mergeCell ref="AY249:AY250"/>
    <mergeCell ref="AL249:AL250"/>
    <mergeCell ref="AM249:AM250"/>
    <mergeCell ref="AN249:AN250"/>
    <mergeCell ref="Y247:Y248"/>
    <mergeCell ref="AA247:AA248"/>
    <mergeCell ref="AB247:AB248"/>
    <mergeCell ref="AC247:AC248"/>
    <mergeCell ref="AD247:AD248"/>
    <mergeCell ref="AE247:AE248"/>
    <mergeCell ref="AF247:AF248"/>
    <mergeCell ref="AG247:AG248"/>
    <mergeCell ref="AH247:AH248"/>
    <mergeCell ref="AI247:AI248"/>
    <mergeCell ref="AJ247:AJ248"/>
    <mergeCell ref="AK247:AK248"/>
    <mergeCell ref="AS247:AS248"/>
    <mergeCell ref="AT247:AT248"/>
    <mergeCell ref="AU247:AU248"/>
    <mergeCell ref="AV247:AV248"/>
    <mergeCell ref="AW247:AW248"/>
    <mergeCell ref="AX247:AX248"/>
    <mergeCell ref="AY247:AY248"/>
    <mergeCell ref="AL247:AL248"/>
    <mergeCell ref="AM247:AM248"/>
    <mergeCell ref="AN247:AN248"/>
    <mergeCell ref="AO247:AO248"/>
    <mergeCell ref="AP247:AP248"/>
    <mergeCell ref="AQ247:AQ248"/>
    <mergeCell ref="AR247:AR248"/>
    <mergeCell ref="G237:G238"/>
    <mergeCell ref="H237:H238"/>
    <mergeCell ref="E235:E236"/>
    <mergeCell ref="F235:F236"/>
    <mergeCell ref="G235:G236"/>
    <mergeCell ref="H235:H236"/>
    <mergeCell ref="I235:I236"/>
    <mergeCell ref="F237:F238"/>
    <mergeCell ref="I237:I238"/>
    <mergeCell ref="E237:E238"/>
    <mergeCell ref="E239:E240"/>
    <mergeCell ref="F239:F240"/>
    <mergeCell ref="G239:G240"/>
    <mergeCell ref="H239:H240"/>
    <mergeCell ref="I239:I240"/>
    <mergeCell ref="E241:E242"/>
    <mergeCell ref="F249:F250"/>
    <mergeCell ref="G249:G250"/>
    <mergeCell ref="W247:W248"/>
    <mergeCell ref="X247:X248"/>
    <mergeCell ref="F241:F242"/>
    <mergeCell ref="G241:G242"/>
    <mergeCell ref="E243:E244"/>
    <mergeCell ref="F243:F244"/>
    <mergeCell ref="G243:G244"/>
    <mergeCell ref="H241:H242"/>
    <mergeCell ref="I241:I242"/>
    <mergeCell ref="H243:H244"/>
    <mergeCell ref="I243:I244"/>
    <mergeCell ref="E227:E228"/>
    <mergeCell ref="F227:F228"/>
    <mergeCell ref="G227:G228"/>
    <mergeCell ref="H227:H228"/>
    <mergeCell ref="I227:I228"/>
    <mergeCell ref="G231:G232"/>
    <mergeCell ref="H231:H232"/>
    <mergeCell ref="E229:E230"/>
    <mergeCell ref="F229:F230"/>
    <mergeCell ref="G229:G230"/>
    <mergeCell ref="H229:H230"/>
    <mergeCell ref="I229:I230"/>
    <mergeCell ref="F231:F232"/>
    <mergeCell ref="I231:I232"/>
    <mergeCell ref="E231:E232"/>
    <mergeCell ref="E233:E234"/>
    <mergeCell ref="F233:F234"/>
    <mergeCell ref="G233:G234"/>
    <mergeCell ref="H233:H234"/>
    <mergeCell ref="I233:I234"/>
    <mergeCell ref="W233:W234"/>
    <mergeCell ref="H249:H250"/>
    <mergeCell ref="I249:I250"/>
    <mergeCell ref="E245:E246"/>
    <mergeCell ref="E247:E248"/>
    <mergeCell ref="F247:F248"/>
    <mergeCell ref="G247:G248"/>
    <mergeCell ref="H247:H248"/>
    <mergeCell ref="I247:I248"/>
    <mergeCell ref="E249:E250"/>
    <mergeCell ref="AY255:AY256"/>
    <mergeCell ref="AN255:AN256"/>
    <mergeCell ref="AO255:AO256"/>
    <mergeCell ref="AP255:AP256"/>
    <mergeCell ref="AQ255:AQ256"/>
    <mergeCell ref="AR255:AR256"/>
    <mergeCell ref="AS255:AS256"/>
    <mergeCell ref="AT255:AT256"/>
    <mergeCell ref="AH9:AH10"/>
    <mergeCell ref="AI9:AI10"/>
    <mergeCell ref="AA9:AA10"/>
    <mergeCell ref="AB9:AB10"/>
    <mergeCell ref="AC9:AC10"/>
    <mergeCell ref="AD9:AD10"/>
    <mergeCell ref="AE9:AE10"/>
    <mergeCell ref="AF9:AF10"/>
    <mergeCell ref="AG9:AG10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V11:AV12"/>
    <mergeCell ref="AW11:AW12"/>
    <mergeCell ref="AX11:AX12"/>
    <mergeCell ref="AY11:AY12"/>
    <mergeCell ref="AO11:AO12"/>
    <mergeCell ref="AP11:AP12"/>
    <mergeCell ref="AQ11:AQ12"/>
    <mergeCell ref="AR11:AR12"/>
    <mergeCell ref="AS11:AS12"/>
    <mergeCell ref="AT11:AT12"/>
    <mergeCell ref="AU11:AU12"/>
    <mergeCell ref="AQ9:AQ10"/>
    <mergeCell ref="AR9:AR10"/>
    <mergeCell ref="AJ9:AJ10"/>
    <mergeCell ref="AK9:AK10"/>
    <mergeCell ref="AL9:AL10"/>
    <mergeCell ref="AM9:AM10"/>
    <mergeCell ref="AN9:AN10"/>
    <mergeCell ref="AO9:AO10"/>
    <mergeCell ref="AP9:AP10"/>
    <mergeCell ref="AO249:AO250"/>
    <mergeCell ref="AP249:AP250"/>
    <mergeCell ref="AQ249:AQ250"/>
    <mergeCell ref="AR249:AR250"/>
    <mergeCell ref="AY233:AY234"/>
    <mergeCell ref="AM233:AM234"/>
    <mergeCell ref="AN233:AN234"/>
    <mergeCell ref="AO233:AO234"/>
    <mergeCell ref="AP233:AP234"/>
    <mergeCell ref="AQ233:AQ234"/>
    <mergeCell ref="AR233:AR234"/>
    <mergeCell ref="AF13:AF14"/>
    <mergeCell ref="AG13:AG14"/>
    <mergeCell ref="AT7:AT8"/>
    <mergeCell ref="AU7:AU8"/>
    <mergeCell ref="AV7:AV8"/>
    <mergeCell ref="AW7:AW8"/>
    <mergeCell ref="AX7:AX8"/>
    <mergeCell ref="AY7:AY8"/>
    <mergeCell ref="C7:C8"/>
    <mergeCell ref="C9:C10"/>
    <mergeCell ref="D9:D10"/>
    <mergeCell ref="E9:E10"/>
    <mergeCell ref="W7:W8"/>
    <mergeCell ref="X7:X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S9:AS10"/>
    <mergeCell ref="AT9:AT10"/>
    <mergeCell ref="AU9:AU10"/>
    <mergeCell ref="AV9:AV10"/>
    <mergeCell ref="AW9:AW10"/>
    <mergeCell ref="AX9:AX10"/>
    <mergeCell ref="AY9:AY10"/>
    <mergeCell ref="AM7:AM8"/>
    <mergeCell ref="AN7:AN8"/>
    <mergeCell ref="AO7:AO8"/>
    <mergeCell ref="AP7:AP8"/>
    <mergeCell ref="AQ7:AQ8"/>
    <mergeCell ref="AR7:AR8"/>
    <mergeCell ref="AS7:AS8"/>
    <mergeCell ref="F9:F10"/>
    <mergeCell ref="G9:G10"/>
    <mergeCell ref="H9:H10"/>
    <mergeCell ref="I9:I10"/>
    <mergeCell ref="D7:D8"/>
    <mergeCell ref="AH13:AH14"/>
    <mergeCell ref="AI13:AI14"/>
    <mergeCell ref="AJ13:AJ14"/>
    <mergeCell ref="AK13:AK14"/>
    <mergeCell ref="AL13:AL14"/>
    <mergeCell ref="AT13:AT14"/>
    <mergeCell ref="AU13:AU14"/>
    <mergeCell ref="AV13:AV14"/>
    <mergeCell ref="AW13:AW14"/>
    <mergeCell ref="AX13:AX14"/>
    <mergeCell ref="AY13:AY14"/>
    <mergeCell ref="AM13:AM14"/>
    <mergeCell ref="AN13:AN14"/>
    <mergeCell ref="AO13:AO14"/>
    <mergeCell ref="AP13:AP14"/>
    <mergeCell ref="AQ13:AQ14"/>
    <mergeCell ref="AR13:AR14"/>
    <mergeCell ref="AS13:AS14"/>
    <mergeCell ref="AD15:AD16"/>
    <mergeCell ref="AE15:AE16"/>
    <mergeCell ref="AF15:AF16"/>
    <mergeCell ref="AG15:AG16"/>
    <mergeCell ref="AH15:AH16"/>
    <mergeCell ref="AI15:AI16"/>
    <mergeCell ref="AJ15:AJ16"/>
    <mergeCell ref="AR15:AR16"/>
    <mergeCell ref="AS15:AS16"/>
    <mergeCell ref="AT15:AT16"/>
    <mergeCell ref="AU15:AU16"/>
    <mergeCell ref="AV15:AV16"/>
    <mergeCell ref="AW15:AW16"/>
    <mergeCell ref="AX15:AX16"/>
    <mergeCell ref="AY15:AY16"/>
    <mergeCell ref="AK15:AK16"/>
    <mergeCell ref="AL15:AL16"/>
    <mergeCell ref="AM15:AM16"/>
    <mergeCell ref="AN15:AN16"/>
    <mergeCell ref="AO15:AO16"/>
    <mergeCell ref="AP15:AP16"/>
    <mergeCell ref="AQ15:AQ16"/>
    <mergeCell ref="AT23:AT24"/>
    <mergeCell ref="AU23:AU24"/>
    <mergeCell ref="AV23:AV24"/>
    <mergeCell ref="AW23:AW24"/>
    <mergeCell ref="AX23:AX24"/>
    <mergeCell ref="AY23:AY24"/>
    <mergeCell ref="AM21:AM22"/>
    <mergeCell ref="AN21:AN22"/>
    <mergeCell ref="AO23:AO24"/>
    <mergeCell ref="AP23:AP24"/>
    <mergeCell ref="AQ23:AQ24"/>
    <mergeCell ref="AR23:AR24"/>
    <mergeCell ref="AS23:AS24"/>
    <mergeCell ref="AF21:AF22"/>
    <mergeCell ref="AG21:AG22"/>
    <mergeCell ref="AH21:AH22"/>
    <mergeCell ref="AI21:AI22"/>
    <mergeCell ref="AJ21:AJ22"/>
    <mergeCell ref="AK21:AK22"/>
    <mergeCell ref="AL21:AL22"/>
    <mergeCell ref="AA25:AA26"/>
    <mergeCell ref="AB25:AB26"/>
    <mergeCell ref="AC25:AC26"/>
    <mergeCell ref="AD25:AD26"/>
    <mergeCell ref="AE25:AE26"/>
    <mergeCell ref="AF25:AF26"/>
    <mergeCell ref="AG25:AG26"/>
    <mergeCell ref="AH25:AH26"/>
    <mergeCell ref="AI25:AI26"/>
    <mergeCell ref="AJ25:AJ26"/>
    <mergeCell ref="AK25:AK26"/>
    <mergeCell ref="AL25:AL26"/>
    <mergeCell ref="AM25:AM26"/>
    <mergeCell ref="AN25:AN26"/>
    <mergeCell ref="AV25:AV26"/>
    <mergeCell ref="AW25:AW26"/>
    <mergeCell ref="AX25:AX26"/>
    <mergeCell ref="AY25:AY26"/>
    <mergeCell ref="AO25:AO26"/>
    <mergeCell ref="AP25:AP26"/>
    <mergeCell ref="AQ25:AQ26"/>
    <mergeCell ref="AR25:AR26"/>
    <mergeCell ref="AS25:AS26"/>
    <mergeCell ref="AT25:AT26"/>
    <mergeCell ref="AU25:AU26"/>
    <mergeCell ref="I45:I46"/>
    <mergeCell ref="W45:W46"/>
    <mergeCell ref="E47:E48"/>
    <mergeCell ref="F47:F48"/>
    <mergeCell ref="G47:G48"/>
    <mergeCell ref="H47:H48"/>
    <mergeCell ref="I47:I48"/>
    <mergeCell ref="W47:W48"/>
    <mergeCell ref="X47:X48"/>
    <mergeCell ref="Y47:Y48"/>
    <mergeCell ref="B2:Y3"/>
    <mergeCell ref="B7:B48"/>
    <mergeCell ref="E7:E8"/>
    <mergeCell ref="F7:F8"/>
    <mergeCell ref="G7:G8"/>
    <mergeCell ref="I11:I12"/>
    <mergeCell ref="I13:I14"/>
    <mergeCell ref="AF47:AF48"/>
    <mergeCell ref="AG47:AG48"/>
    <mergeCell ref="AH47:AH48"/>
    <mergeCell ref="AI47:AI48"/>
    <mergeCell ref="AJ47:AJ48"/>
    <mergeCell ref="AK47:AK48"/>
    <mergeCell ref="AL47:AL48"/>
    <mergeCell ref="AT47:AT48"/>
    <mergeCell ref="AU47:AU48"/>
    <mergeCell ref="AV47:AV48"/>
    <mergeCell ref="AW47:AW48"/>
    <mergeCell ref="AX47:AX48"/>
    <mergeCell ref="AY47:AY48"/>
    <mergeCell ref="AM47:AM48"/>
    <mergeCell ref="AN47:AN48"/>
    <mergeCell ref="AO47:AO48"/>
    <mergeCell ref="AP47:AP48"/>
    <mergeCell ref="AQ47:AQ48"/>
    <mergeCell ref="AR47:AR48"/>
    <mergeCell ref="AS47:AS48"/>
    <mergeCell ref="I43:I44"/>
    <mergeCell ref="W43:W44"/>
    <mergeCell ref="X43:X44"/>
    <mergeCell ref="Y43:Y44"/>
    <mergeCell ref="C45:C46"/>
    <mergeCell ref="D45:D46"/>
    <mergeCell ref="E45:E46"/>
    <mergeCell ref="F45:F46"/>
    <mergeCell ref="G45:G46"/>
    <mergeCell ref="H45:H46"/>
    <mergeCell ref="C47:C48"/>
    <mergeCell ref="D47:D48"/>
    <mergeCell ref="X45:X46"/>
    <mergeCell ref="Y45:Y46"/>
    <mergeCell ref="AA47:AA48"/>
    <mergeCell ref="AB47:AB48"/>
    <mergeCell ref="AC47:AC48"/>
    <mergeCell ref="AD47:AD48"/>
    <mergeCell ref="AE47:AE48"/>
    <mergeCell ref="AF31:AF32"/>
    <mergeCell ref="AG31:AG32"/>
    <mergeCell ref="AH31:AH32"/>
    <mergeCell ref="AI31:AI32"/>
    <mergeCell ref="AJ31:AJ32"/>
    <mergeCell ref="AK31:AK32"/>
    <mergeCell ref="AL31:AL32"/>
    <mergeCell ref="AT31:AT32"/>
    <mergeCell ref="AU31:AU32"/>
    <mergeCell ref="AV31:AV32"/>
    <mergeCell ref="AW31:AW32"/>
    <mergeCell ref="AX31:AX32"/>
    <mergeCell ref="AY31:AY32"/>
    <mergeCell ref="AM31:AM32"/>
    <mergeCell ref="AN31:AN32"/>
    <mergeCell ref="AO31:AO32"/>
    <mergeCell ref="AP31:AP32"/>
    <mergeCell ref="AQ31:AQ32"/>
    <mergeCell ref="AR31:AR32"/>
    <mergeCell ref="AS31:AS32"/>
    <mergeCell ref="I25:I26"/>
    <mergeCell ref="W25:W26"/>
    <mergeCell ref="G27:G28"/>
    <mergeCell ref="H27:H28"/>
    <mergeCell ref="I27:I28"/>
    <mergeCell ref="W27:W28"/>
    <mergeCell ref="C29:C30"/>
    <mergeCell ref="D29:D30"/>
    <mergeCell ref="E29:E30"/>
    <mergeCell ref="F29:F30"/>
    <mergeCell ref="G29:G30"/>
    <mergeCell ref="H29:H30"/>
    <mergeCell ref="X27:X28"/>
    <mergeCell ref="Y27:Y28"/>
    <mergeCell ref="AA31:AA32"/>
    <mergeCell ref="AB31:AB32"/>
    <mergeCell ref="AC31:AC32"/>
    <mergeCell ref="AD31:AD32"/>
    <mergeCell ref="AE31:AE32"/>
    <mergeCell ref="AF33:AF34"/>
    <mergeCell ref="AG33:AG34"/>
    <mergeCell ref="AH33:AH34"/>
    <mergeCell ref="AI33:AI34"/>
    <mergeCell ref="AJ33:AJ34"/>
    <mergeCell ref="AK33:AK34"/>
    <mergeCell ref="AL33:AL34"/>
    <mergeCell ref="AT33:AT34"/>
    <mergeCell ref="AU33:AU34"/>
    <mergeCell ref="AV33:AV34"/>
    <mergeCell ref="AW33:AW34"/>
    <mergeCell ref="AX33:AX34"/>
    <mergeCell ref="AY33:AY34"/>
    <mergeCell ref="AM33:AM34"/>
    <mergeCell ref="AN33:AN34"/>
    <mergeCell ref="AO33:AO34"/>
    <mergeCell ref="AP33:AP34"/>
    <mergeCell ref="AQ33:AQ34"/>
    <mergeCell ref="AR33:AR34"/>
    <mergeCell ref="AS33:AS34"/>
    <mergeCell ref="I29:I30"/>
    <mergeCell ref="W29:W30"/>
    <mergeCell ref="X29:X30"/>
    <mergeCell ref="Y29:Y30"/>
    <mergeCell ref="C31:C32"/>
    <mergeCell ref="D31:D32"/>
    <mergeCell ref="E31:E32"/>
    <mergeCell ref="F31:F32"/>
    <mergeCell ref="G31:G32"/>
    <mergeCell ref="H31:H32"/>
    <mergeCell ref="C33:C34"/>
    <mergeCell ref="D33:D34"/>
    <mergeCell ref="X31:X32"/>
    <mergeCell ref="AF35:AF36"/>
    <mergeCell ref="AG35:AG36"/>
    <mergeCell ref="AH35:AH36"/>
    <mergeCell ref="AI35:AI36"/>
    <mergeCell ref="AJ35:AJ36"/>
    <mergeCell ref="AK35:AK36"/>
    <mergeCell ref="AL35:AL36"/>
    <mergeCell ref="AT35:AT36"/>
    <mergeCell ref="AU35:AU36"/>
    <mergeCell ref="AV35:AV36"/>
    <mergeCell ref="AW35:AW36"/>
    <mergeCell ref="AX35:AX36"/>
    <mergeCell ref="AY35:AY36"/>
    <mergeCell ref="AM35:AM36"/>
    <mergeCell ref="AN35:AN36"/>
    <mergeCell ref="AO35:AO36"/>
    <mergeCell ref="AP35:AP36"/>
    <mergeCell ref="AQ35:AQ36"/>
    <mergeCell ref="AR35:AR36"/>
    <mergeCell ref="AS35:AS36"/>
    <mergeCell ref="AV45:AV46"/>
    <mergeCell ref="AW45:AW46"/>
    <mergeCell ref="AO45:AO46"/>
    <mergeCell ref="AP45:AP46"/>
    <mergeCell ref="AQ45:AQ46"/>
    <mergeCell ref="AR45:AR46"/>
    <mergeCell ref="AS45:AS46"/>
    <mergeCell ref="AT45:AT46"/>
    <mergeCell ref="AU45:AU46"/>
    <mergeCell ref="AT41:AT42"/>
    <mergeCell ref="AU41:AU42"/>
    <mergeCell ref="AV41:AV42"/>
    <mergeCell ref="AW41:AW42"/>
    <mergeCell ref="AX41:AX42"/>
    <mergeCell ref="AY41:AY42"/>
    <mergeCell ref="AM41:AM42"/>
    <mergeCell ref="AN41:AN42"/>
    <mergeCell ref="AO41:AO42"/>
    <mergeCell ref="AP41:AP42"/>
    <mergeCell ref="AQ41:AQ42"/>
    <mergeCell ref="AR41:AR42"/>
    <mergeCell ref="AS41:AS42"/>
    <mergeCell ref="AV43:AV44"/>
    <mergeCell ref="AW43:AW44"/>
    <mergeCell ref="AX43:AX44"/>
    <mergeCell ref="AY43:AY44"/>
    <mergeCell ref="AX45:AX46"/>
    <mergeCell ref="AY45:AY46"/>
    <mergeCell ref="AO43:AO44"/>
    <mergeCell ref="AP43:AP44"/>
    <mergeCell ref="AQ43:AQ44"/>
    <mergeCell ref="AR43:AR44"/>
    <mergeCell ref="AS43:AS44"/>
    <mergeCell ref="AT43:AT44"/>
    <mergeCell ref="AU43:AU44"/>
    <mergeCell ref="AF41:AF42"/>
    <mergeCell ref="AG41:AG42"/>
    <mergeCell ref="AH41:AH42"/>
    <mergeCell ref="AI41:AI42"/>
    <mergeCell ref="AJ41:AJ42"/>
    <mergeCell ref="AK41:AK42"/>
    <mergeCell ref="AL41:AL42"/>
    <mergeCell ref="AK37:AK38"/>
    <mergeCell ref="AL37:AL38"/>
    <mergeCell ref="AW61:AW62"/>
    <mergeCell ref="AX61:AX62"/>
    <mergeCell ref="AY61:AY62"/>
    <mergeCell ref="AS59:AS60"/>
    <mergeCell ref="AT59:AT60"/>
    <mergeCell ref="AU59:AU60"/>
    <mergeCell ref="AV59:AV60"/>
    <mergeCell ref="AW59:AW60"/>
    <mergeCell ref="AX59:AX60"/>
    <mergeCell ref="AY59:AY60"/>
    <mergeCell ref="AA45:AA46"/>
    <mergeCell ref="AB45:AB46"/>
    <mergeCell ref="AC45:AC46"/>
    <mergeCell ref="AD45:AD46"/>
    <mergeCell ref="AE45:AE46"/>
    <mergeCell ref="AF45:AF46"/>
    <mergeCell ref="AG45:AG46"/>
    <mergeCell ref="AH45:AH46"/>
    <mergeCell ref="AI45:AI46"/>
    <mergeCell ref="AJ45:AJ46"/>
    <mergeCell ref="AK45:AK46"/>
    <mergeCell ref="AL45:AL46"/>
    <mergeCell ref="AM45:AM46"/>
    <mergeCell ref="AN45:AN46"/>
    <mergeCell ref="AE59:AE60"/>
    <mergeCell ref="AF59:AF60"/>
    <mergeCell ref="AG59:AG60"/>
    <mergeCell ref="AH59:AH60"/>
    <mergeCell ref="AI59:AI60"/>
    <mergeCell ref="AJ59:AJ60"/>
    <mergeCell ref="AK59:AK60"/>
    <mergeCell ref="W59:W60"/>
    <mergeCell ref="X59:X60"/>
    <mergeCell ref="Y59:Y60"/>
    <mergeCell ref="AA59:AA60"/>
    <mergeCell ref="AB59:AB60"/>
    <mergeCell ref="AC59:AC60"/>
    <mergeCell ref="AD59:AD60"/>
    <mergeCell ref="AL61:AL62"/>
    <mergeCell ref="AM61:AM62"/>
    <mergeCell ref="AE61:AE62"/>
    <mergeCell ref="AF61:AF62"/>
    <mergeCell ref="AG61:AG62"/>
    <mergeCell ref="AT49:AT50"/>
    <mergeCell ref="AU49:AU50"/>
    <mergeCell ref="AV49:AV50"/>
    <mergeCell ref="AW49:AW50"/>
    <mergeCell ref="AX49:AX50"/>
    <mergeCell ref="AY49:AY50"/>
    <mergeCell ref="AL49:AL50"/>
    <mergeCell ref="AM49:AM50"/>
    <mergeCell ref="AN49:AN50"/>
    <mergeCell ref="AO49:AO50"/>
    <mergeCell ref="AP49:AP50"/>
    <mergeCell ref="AQ49:AQ50"/>
    <mergeCell ref="AR49:AR50"/>
    <mergeCell ref="AS49:AS50"/>
    <mergeCell ref="AS53:AS54"/>
    <mergeCell ref="AP57:AP58"/>
    <mergeCell ref="AQ57:AQ58"/>
    <mergeCell ref="AR57:AR58"/>
    <mergeCell ref="AH61:AH62"/>
    <mergeCell ref="AI61:AI62"/>
    <mergeCell ref="AJ61:AJ62"/>
    <mergeCell ref="AK61:AK62"/>
    <mergeCell ref="AL57:AL58"/>
    <mergeCell ref="AM57:AM58"/>
    <mergeCell ref="AN57:AN58"/>
    <mergeCell ref="AF233:AF234"/>
    <mergeCell ref="AG233:AG234"/>
    <mergeCell ref="AH233:AH234"/>
    <mergeCell ref="AI233:AI234"/>
    <mergeCell ref="AJ233:AJ234"/>
    <mergeCell ref="AK233:AK234"/>
    <mergeCell ref="AL233:AL234"/>
    <mergeCell ref="AT233:AT234"/>
    <mergeCell ref="W57:W58"/>
    <mergeCell ref="X57:X58"/>
    <mergeCell ref="Y57:Y58"/>
    <mergeCell ref="AA57:AA58"/>
    <mergeCell ref="AB57:AB58"/>
    <mergeCell ref="AC57:AC58"/>
    <mergeCell ref="AD57:AD58"/>
    <mergeCell ref="W61:W62"/>
    <mergeCell ref="X61:X62"/>
    <mergeCell ref="Y61:Y62"/>
    <mergeCell ref="AA61:AA62"/>
    <mergeCell ref="AB61:AB62"/>
    <mergeCell ref="AC61:AC62"/>
    <mergeCell ref="AD61:AD62"/>
    <mergeCell ref="AL59:AL60"/>
    <mergeCell ref="AM59:AM60"/>
    <mergeCell ref="AN59:AN60"/>
    <mergeCell ref="AO59:AO60"/>
    <mergeCell ref="AP59:AP60"/>
    <mergeCell ref="AQ59:AQ60"/>
    <mergeCell ref="AR59:AR60"/>
    <mergeCell ref="AB227:AB228"/>
    <mergeCell ref="AC227:AC228"/>
    <mergeCell ref="AD227:AD228"/>
    <mergeCell ref="AD221:AD222"/>
    <mergeCell ref="W223:W224"/>
    <mergeCell ref="X223:X224"/>
    <mergeCell ref="Y219:Y220"/>
    <mergeCell ref="AA219:AA220"/>
    <mergeCell ref="AB219:AB220"/>
    <mergeCell ref="AC219:AC220"/>
    <mergeCell ref="AD219:AD220"/>
    <mergeCell ref="AJ217:AJ218"/>
    <mergeCell ref="AK217:AK218"/>
    <mergeCell ref="AL217:AL218"/>
    <mergeCell ref="AM217:AM218"/>
    <mergeCell ref="AN217:AN218"/>
    <mergeCell ref="AO217:AO218"/>
    <mergeCell ref="AP217:AP218"/>
    <mergeCell ref="W199:W200"/>
    <mergeCell ref="X199:X200"/>
    <mergeCell ref="Y199:Y200"/>
    <mergeCell ref="AA199:AA200"/>
    <mergeCell ref="AB199:AB200"/>
    <mergeCell ref="AC199:AC200"/>
    <mergeCell ref="AD199:AD200"/>
    <mergeCell ref="W201:W202"/>
    <mergeCell ref="X201:X202"/>
    <mergeCell ref="Y201:Y202"/>
    <mergeCell ref="AH217:AH218"/>
    <mergeCell ref="AI217:AI218"/>
    <mergeCell ref="AL197:AL198"/>
    <mergeCell ref="AU291:AU292"/>
    <mergeCell ref="AV291:AV292"/>
    <mergeCell ref="AN291:AN292"/>
    <mergeCell ref="AO291:AO292"/>
    <mergeCell ref="AP291:AP292"/>
    <mergeCell ref="AQ291:AQ292"/>
    <mergeCell ref="AR291:AR292"/>
    <mergeCell ref="AS291:AS292"/>
    <mergeCell ref="AT291:AT292"/>
    <mergeCell ref="AL295:AL296"/>
    <mergeCell ref="AM295:AM296"/>
    <mergeCell ref="AE295:AE296"/>
    <mergeCell ref="AF295:AF296"/>
    <mergeCell ref="AG295:AG296"/>
    <mergeCell ref="AH295:AH296"/>
    <mergeCell ref="AI295:AI296"/>
    <mergeCell ref="AJ295:AJ296"/>
    <mergeCell ref="AK295:AK296"/>
    <mergeCell ref="AU61:AU62"/>
    <mergeCell ref="AV61:AV62"/>
    <mergeCell ref="AN61:AN62"/>
    <mergeCell ref="AO61:AO62"/>
    <mergeCell ref="AP61:AP62"/>
    <mergeCell ref="AQ61:AQ62"/>
    <mergeCell ref="AR61:AR62"/>
    <mergeCell ref="AS61:AS62"/>
    <mergeCell ref="AT61:AT62"/>
    <mergeCell ref="AE57:AE58"/>
    <mergeCell ref="AF57:AF58"/>
    <mergeCell ref="AG57:AG58"/>
    <mergeCell ref="AH57:AH58"/>
    <mergeCell ref="AI57:AI58"/>
    <mergeCell ref="AJ57:AJ58"/>
    <mergeCell ref="AK57:AK58"/>
    <mergeCell ref="AS57:AS58"/>
    <mergeCell ref="AT57:AT58"/>
    <mergeCell ref="AU57:AU58"/>
    <mergeCell ref="AV57:AV58"/>
    <mergeCell ref="AL255:AL256"/>
    <mergeCell ref="AM255:AM256"/>
    <mergeCell ref="AE255:AE256"/>
    <mergeCell ref="AF255:AF256"/>
    <mergeCell ref="AG255:AG256"/>
    <mergeCell ref="AH255:AH256"/>
    <mergeCell ref="AI255:AI256"/>
    <mergeCell ref="AJ255:AJ256"/>
    <mergeCell ref="AK255:AK256"/>
    <mergeCell ref="AU255:AU256"/>
    <mergeCell ref="AV255:AV256"/>
    <mergeCell ref="AU263:AU264"/>
    <mergeCell ref="AG263:AG264"/>
    <mergeCell ref="AS233:AS234"/>
    <mergeCell ref="AE233:AE234"/>
    <mergeCell ref="AE237:AE238"/>
    <mergeCell ref="AF237:AF238"/>
    <mergeCell ref="AG237:AG238"/>
    <mergeCell ref="AH237:AH238"/>
    <mergeCell ref="AI237:AI238"/>
    <mergeCell ref="AJ237:AJ238"/>
    <mergeCell ref="AK237:AK238"/>
    <mergeCell ref="AU239:AU240"/>
    <mergeCell ref="AV239:AV240"/>
    <mergeCell ref="AN239:AN240"/>
    <mergeCell ref="AO57:AO58"/>
    <mergeCell ref="AL291:AL292"/>
    <mergeCell ref="AM291:AM292"/>
    <mergeCell ref="AE291:AE292"/>
    <mergeCell ref="AF291:AF292"/>
    <mergeCell ref="AG291:AG292"/>
    <mergeCell ref="AH291:AH292"/>
    <mergeCell ref="AI291:AI292"/>
    <mergeCell ref="AJ291:AJ292"/>
    <mergeCell ref="AK291:AK292"/>
    <mergeCell ref="AE293:AE294"/>
    <mergeCell ref="AF293:AF294"/>
    <mergeCell ref="AG293:AG294"/>
    <mergeCell ref="AH293:AH294"/>
    <mergeCell ref="AI293:AI294"/>
    <mergeCell ref="AJ293:AJ294"/>
    <mergeCell ref="AK293:AK294"/>
    <mergeCell ref="W293:W294"/>
    <mergeCell ref="X293:X294"/>
    <mergeCell ref="Y293:Y294"/>
    <mergeCell ref="AA293:AA294"/>
    <mergeCell ref="AB293:AB294"/>
    <mergeCell ref="AC293:AC294"/>
    <mergeCell ref="AD293:AD294"/>
    <mergeCell ref="W295:W296"/>
    <mergeCell ref="X295:X296"/>
    <mergeCell ref="Y295:Y296"/>
    <mergeCell ref="AA295:AA296"/>
    <mergeCell ref="AB295:AB296"/>
    <mergeCell ref="AC295:AC296"/>
    <mergeCell ref="AD295:AD296"/>
    <mergeCell ref="AL293:AL294"/>
    <mergeCell ref="AM293:AM294"/>
    <mergeCell ref="AN293:AN294"/>
    <mergeCell ref="W359:W360"/>
    <mergeCell ref="X359:X360"/>
    <mergeCell ref="Y359:Y360"/>
    <mergeCell ref="AA359:AA360"/>
    <mergeCell ref="AB359:AB360"/>
    <mergeCell ref="AC359:AC360"/>
    <mergeCell ref="AD359:AD360"/>
    <mergeCell ref="AP353:AP354"/>
    <mergeCell ref="AQ353:AQ354"/>
    <mergeCell ref="AR353:AR354"/>
    <mergeCell ref="AS353:AS354"/>
    <mergeCell ref="AT353:AT354"/>
    <mergeCell ref="AU357:AU358"/>
    <mergeCell ref="AV357:AV358"/>
    <mergeCell ref="AN357:AN358"/>
    <mergeCell ref="AO357:AO358"/>
    <mergeCell ref="AP357:AP358"/>
    <mergeCell ref="AQ357:AQ358"/>
    <mergeCell ref="AR357:AR358"/>
    <mergeCell ref="AS357:AS358"/>
    <mergeCell ref="AT357:AT358"/>
    <mergeCell ref="AE355:AE356"/>
    <mergeCell ref="AF355:AF356"/>
    <mergeCell ref="AG355:AG356"/>
    <mergeCell ref="AH355:AH356"/>
    <mergeCell ref="AI355:AI356"/>
    <mergeCell ref="AJ355:AJ356"/>
    <mergeCell ref="AK355:AK356"/>
    <mergeCell ref="W355:W356"/>
    <mergeCell ref="X355:X356"/>
    <mergeCell ref="Y355:Y356"/>
    <mergeCell ref="AA355:AA356"/>
    <mergeCell ref="AB355:AB356"/>
    <mergeCell ref="AC355:AC356"/>
    <mergeCell ref="W357:W358"/>
    <mergeCell ref="X357:X358"/>
    <mergeCell ref="Y357:Y358"/>
    <mergeCell ref="AC357:AC358"/>
    <mergeCell ref="AD357:AD358"/>
    <mergeCell ref="AL355:AL356"/>
    <mergeCell ref="AM355:AM356"/>
    <mergeCell ref="AN355:AN356"/>
    <mergeCell ref="AO355:AO356"/>
    <mergeCell ref="AP355:AP356"/>
    <mergeCell ref="AQ355:AQ356"/>
    <mergeCell ref="AR355:AR356"/>
    <mergeCell ref="AS365:AS366"/>
    <mergeCell ref="AT365:AT366"/>
    <mergeCell ref="AR365:AR366"/>
    <mergeCell ref="AT355:AT356"/>
    <mergeCell ref="AU355:AU356"/>
    <mergeCell ref="AV355:AV356"/>
    <mergeCell ref="AD365:AD366"/>
    <mergeCell ref="AW365:AW366"/>
    <mergeCell ref="AX365:AX366"/>
    <mergeCell ref="AY365:AY366"/>
    <mergeCell ref="AW295:AW296"/>
    <mergeCell ref="AX295:AX296"/>
    <mergeCell ref="AY295:AY296"/>
    <mergeCell ref="AS293:AS294"/>
    <mergeCell ref="AT293:AT294"/>
    <mergeCell ref="AU293:AU294"/>
    <mergeCell ref="AV293:AV294"/>
    <mergeCell ref="AW293:AW294"/>
    <mergeCell ref="AX293:AX294"/>
    <mergeCell ref="AY293:AY294"/>
    <mergeCell ref="AL357:AL358"/>
    <mergeCell ref="AM357:AM358"/>
    <mergeCell ref="AE357:AE358"/>
    <mergeCell ref="AF357:AF358"/>
    <mergeCell ref="AG357:AG358"/>
    <mergeCell ref="AH357:AH358"/>
    <mergeCell ref="AI357:AI358"/>
    <mergeCell ref="AJ357:AJ358"/>
    <mergeCell ref="AK357:AK358"/>
    <mergeCell ref="AE359:AE360"/>
    <mergeCell ref="AF359:AF360"/>
    <mergeCell ref="AG359:AG360"/>
    <mergeCell ref="AH359:AH360"/>
    <mergeCell ref="AI359:AI360"/>
    <mergeCell ref="AJ359:AJ360"/>
    <mergeCell ref="AK359:AK360"/>
    <mergeCell ref="AU295:AU296"/>
    <mergeCell ref="AV295:AV296"/>
    <mergeCell ref="AN295:AN296"/>
    <mergeCell ref="AO295:AO296"/>
    <mergeCell ref="AP295:AP296"/>
    <mergeCell ref="AQ295:AQ296"/>
    <mergeCell ref="AR295:AR296"/>
    <mergeCell ref="AS295:AS296"/>
    <mergeCell ref="AT295:AT296"/>
    <mergeCell ref="AO293:AO294"/>
    <mergeCell ref="AP293:AP294"/>
    <mergeCell ref="AQ293:AQ294"/>
    <mergeCell ref="AR293:AR294"/>
    <mergeCell ref="AD355:AD356"/>
    <mergeCell ref="AD341:AD342"/>
    <mergeCell ref="AW357:AW358"/>
    <mergeCell ref="AX357:AX358"/>
    <mergeCell ref="AY357:AY358"/>
    <mergeCell ref="AS355:AS356"/>
    <mergeCell ref="AU353:AU354"/>
    <mergeCell ref="AV353:AV354"/>
    <mergeCell ref="AN353:AN354"/>
    <mergeCell ref="AO353:AO354"/>
    <mergeCell ref="AX351:AX352"/>
    <mergeCell ref="AY351:AY352"/>
    <mergeCell ref="AW353:AW354"/>
    <mergeCell ref="AX353:AX354"/>
    <mergeCell ref="AY353:AY354"/>
    <mergeCell ref="E339:E340"/>
    <mergeCell ref="E341:E342"/>
    <mergeCell ref="F341:F342"/>
    <mergeCell ref="G341:G342"/>
    <mergeCell ref="H341:H342"/>
    <mergeCell ref="I341:I342"/>
    <mergeCell ref="E343:E344"/>
    <mergeCell ref="H343:H344"/>
    <mergeCell ref="I343:I344"/>
    <mergeCell ref="X351:X352"/>
    <mergeCell ref="Y351:Y352"/>
    <mergeCell ref="AA351:AA352"/>
    <mergeCell ref="AB351:AB352"/>
    <mergeCell ref="X347:X348"/>
    <mergeCell ref="Y347:Y348"/>
    <mergeCell ref="AA347:AA348"/>
    <mergeCell ref="AB347:AB348"/>
    <mergeCell ref="G323:G324"/>
    <mergeCell ref="H323:H324"/>
    <mergeCell ref="E321:E322"/>
    <mergeCell ref="F321:F322"/>
    <mergeCell ref="G321:G322"/>
    <mergeCell ref="H321:H322"/>
    <mergeCell ref="I321:I322"/>
    <mergeCell ref="F323:F324"/>
    <mergeCell ref="I323:I324"/>
    <mergeCell ref="H327:H328"/>
    <mergeCell ref="I327:I328"/>
    <mergeCell ref="H329:H330"/>
    <mergeCell ref="I329:I330"/>
    <mergeCell ref="H331:H332"/>
    <mergeCell ref="I331:I332"/>
    <mergeCell ref="E323:E324"/>
    <mergeCell ref="E325:E326"/>
    <mergeCell ref="F325:F326"/>
    <mergeCell ref="G325:G326"/>
    <mergeCell ref="H325:H326"/>
    <mergeCell ref="I325:I326"/>
    <mergeCell ref="E327:E328"/>
    <mergeCell ref="F327:F328"/>
    <mergeCell ref="G327:G328"/>
    <mergeCell ref="E329:E330"/>
    <mergeCell ref="F329:F330"/>
    <mergeCell ref="G329:G330"/>
    <mergeCell ref="F331:F332"/>
    <mergeCell ref="G331:G332"/>
    <mergeCell ref="E331:E332"/>
    <mergeCell ref="E333:E334"/>
    <mergeCell ref="F333:F334"/>
    <mergeCell ref="G333:G334"/>
    <mergeCell ref="H333:H334"/>
    <mergeCell ref="I333:I334"/>
    <mergeCell ref="AB327:AB328"/>
    <mergeCell ref="W329:W330"/>
    <mergeCell ref="X329:X330"/>
    <mergeCell ref="Y329:Y330"/>
    <mergeCell ref="AA329:AA330"/>
    <mergeCell ref="AB329:AB330"/>
    <mergeCell ref="AL367:AL368"/>
    <mergeCell ref="AM367:AM368"/>
    <mergeCell ref="AE367:AE368"/>
    <mergeCell ref="AF367:AF368"/>
    <mergeCell ref="AG367:AG368"/>
    <mergeCell ref="AH367:AH368"/>
    <mergeCell ref="AI367:AI368"/>
    <mergeCell ref="AJ367:AJ368"/>
    <mergeCell ref="AK367:AK368"/>
    <mergeCell ref="AU367:AU368"/>
    <mergeCell ref="AV367:AV368"/>
    <mergeCell ref="AN367:AN368"/>
    <mergeCell ref="AO367:AO368"/>
    <mergeCell ref="AP367:AP368"/>
    <mergeCell ref="AQ367:AQ368"/>
    <mergeCell ref="AR367:AR368"/>
    <mergeCell ref="AS367:AS368"/>
    <mergeCell ref="W351:W352"/>
    <mergeCell ref="E335:E336"/>
    <mergeCell ref="F343:F344"/>
    <mergeCell ref="G343:G344"/>
    <mergeCell ref="E345:E346"/>
    <mergeCell ref="F345:F346"/>
    <mergeCell ref="G345:G346"/>
    <mergeCell ref="H345:H346"/>
    <mergeCell ref="I345:I346"/>
    <mergeCell ref="W361:W362"/>
    <mergeCell ref="X361:X362"/>
    <mergeCell ref="Y361:Y362"/>
    <mergeCell ref="AA361:AA362"/>
    <mergeCell ref="AB361:AB362"/>
    <mergeCell ref="AC361:AC362"/>
    <mergeCell ref="AD361:AD362"/>
    <mergeCell ref="W363:W364"/>
    <mergeCell ref="X363:X364"/>
    <mergeCell ref="Y363:Y364"/>
    <mergeCell ref="AA363:AA364"/>
    <mergeCell ref="AB363:AB364"/>
    <mergeCell ref="AC363:AC364"/>
    <mergeCell ref="AD363:AD364"/>
    <mergeCell ref="W365:W366"/>
    <mergeCell ref="X365:X366"/>
    <mergeCell ref="Y365:Y366"/>
    <mergeCell ref="AA365:AA366"/>
    <mergeCell ref="AB365:AB366"/>
    <mergeCell ref="AC365:AC366"/>
    <mergeCell ref="Y353:Y354"/>
    <mergeCell ref="AB353:AB354"/>
    <mergeCell ref="AC353:AC354"/>
    <mergeCell ref="AD353:AD354"/>
    <mergeCell ref="AJ351:AJ352"/>
    <mergeCell ref="AC339:AC340"/>
    <mergeCell ref="AD339:AD340"/>
    <mergeCell ref="AE337:AE338"/>
    <mergeCell ref="AF337:AF338"/>
    <mergeCell ref="AG337:AG338"/>
    <mergeCell ref="AQ351:AQ352"/>
    <mergeCell ref="AR351:AR352"/>
    <mergeCell ref="AS351:AS352"/>
    <mergeCell ref="AT351:AT352"/>
    <mergeCell ref="AU351:AU352"/>
    <mergeCell ref="AV351:AV352"/>
    <mergeCell ref="AA357:AA358"/>
    <mergeCell ref="AB357:AB358"/>
    <mergeCell ref="AW367:AW368"/>
    <mergeCell ref="AX367:AX368"/>
    <mergeCell ref="AY367:AY368"/>
    <mergeCell ref="AS363:AS364"/>
    <mergeCell ref="AT363:AT364"/>
    <mergeCell ref="AU363:AU364"/>
    <mergeCell ref="AV363:AV364"/>
    <mergeCell ref="AW363:AW364"/>
    <mergeCell ref="AX363:AX364"/>
    <mergeCell ref="AY363:AY364"/>
    <mergeCell ref="W367:W368"/>
    <mergeCell ref="X367:X368"/>
    <mergeCell ref="Y367:Y368"/>
    <mergeCell ref="AA367:AA368"/>
    <mergeCell ref="AB367:AB368"/>
    <mergeCell ref="AC367:AC368"/>
    <mergeCell ref="AD367:AD368"/>
    <mergeCell ref="AP359:AP360"/>
    <mergeCell ref="AQ359:AQ360"/>
    <mergeCell ref="AR359:AR360"/>
    <mergeCell ref="AW361:AW362"/>
    <mergeCell ref="AX361:AX362"/>
    <mergeCell ref="AY361:AY362"/>
    <mergeCell ref="AS359:AS360"/>
    <mergeCell ref="AT359:AT360"/>
    <mergeCell ref="AU359:AU360"/>
    <mergeCell ref="AV359:AV360"/>
    <mergeCell ref="AW359:AW360"/>
    <mergeCell ref="AX359:AX360"/>
    <mergeCell ref="AY359:AY360"/>
    <mergeCell ref="AU365:AU366"/>
    <mergeCell ref="AV365:AV366"/>
    <mergeCell ref="AN365:AN366"/>
    <mergeCell ref="AO365:AO366"/>
    <mergeCell ref="AP365:AP366"/>
    <mergeCell ref="AQ365:AQ366"/>
    <mergeCell ref="AT367:AT368"/>
    <mergeCell ref="AL361:AL362"/>
    <mergeCell ref="AM361:AM362"/>
    <mergeCell ref="AE361:AE362"/>
    <mergeCell ref="AF361:AF362"/>
    <mergeCell ref="AG361:AG362"/>
    <mergeCell ref="AH361:AH362"/>
    <mergeCell ref="AI361:AI362"/>
    <mergeCell ref="AJ361:AJ362"/>
    <mergeCell ref="AK361:AK362"/>
    <mergeCell ref="AE363:AE364"/>
    <mergeCell ref="AF363:AF364"/>
    <mergeCell ref="AG363:AG364"/>
    <mergeCell ref="AH363:AH364"/>
    <mergeCell ref="AI363:AI364"/>
    <mergeCell ref="AJ363:AJ364"/>
    <mergeCell ref="AK363:AK364"/>
    <mergeCell ref="AL363:AL364"/>
    <mergeCell ref="AM363:AM364"/>
    <mergeCell ref="AN363:AN364"/>
    <mergeCell ref="AO363:AO364"/>
    <mergeCell ref="AP363:AP364"/>
    <mergeCell ref="AQ363:AQ364"/>
    <mergeCell ref="AR363:AR364"/>
    <mergeCell ref="AL359:AL360"/>
    <mergeCell ref="AM359:AM360"/>
    <mergeCell ref="AN359:AN360"/>
    <mergeCell ref="AO359:AO360"/>
    <mergeCell ref="W353:W354"/>
    <mergeCell ref="X353:X354"/>
    <mergeCell ref="AU339:AU340"/>
    <mergeCell ref="AJ339:AJ340"/>
    <mergeCell ref="AK339:AK340"/>
    <mergeCell ref="W339:W340"/>
    <mergeCell ref="X339:X340"/>
    <mergeCell ref="Y339:Y340"/>
    <mergeCell ref="AA339:AA340"/>
    <mergeCell ref="AB339:AB340"/>
    <mergeCell ref="AK351:AK352"/>
    <mergeCell ref="AL351:AL352"/>
    <mergeCell ref="AM351:AM352"/>
    <mergeCell ref="AN351:AN352"/>
    <mergeCell ref="AO351:AO352"/>
    <mergeCell ref="AP351:AP352"/>
    <mergeCell ref="AL353:AL354"/>
    <mergeCell ref="AM353:AM354"/>
    <mergeCell ref="AE353:AE354"/>
    <mergeCell ref="AF353:AF354"/>
    <mergeCell ref="AG353:AG354"/>
    <mergeCell ref="AH353:AH354"/>
    <mergeCell ref="AI353:AI354"/>
    <mergeCell ref="AJ353:AJ354"/>
    <mergeCell ref="AK353:AK354"/>
    <mergeCell ref="W341:W342"/>
    <mergeCell ref="X341:X342"/>
    <mergeCell ref="Y341:Y342"/>
    <mergeCell ref="AA341:AA342"/>
    <mergeCell ref="AB341:AB342"/>
    <mergeCell ref="AC341:AC342"/>
    <mergeCell ref="AT339:AT340"/>
    <mergeCell ref="AD349:AD350"/>
    <mergeCell ref="AA353:AA354"/>
    <mergeCell ref="AC347:AC348"/>
    <mergeCell ref="AD347:AD348"/>
    <mergeCell ref="W349:W350"/>
    <mergeCell ref="AX345:AX346"/>
    <mergeCell ref="AY345:AY346"/>
    <mergeCell ref="AS343:AS344"/>
    <mergeCell ref="AT343:AT344"/>
    <mergeCell ref="W347:W348"/>
    <mergeCell ref="AU371:AU372"/>
    <mergeCell ref="AV371:AV372"/>
    <mergeCell ref="AN371:AN372"/>
    <mergeCell ref="AO371:AO372"/>
    <mergeCell ref="AP371:AP372"/>
    <mergeCell ref="AQ371:AQ372"/>
    <mergeCell ref="AR371:AR372"/>
    <mergeCell ref="AS371:AS372"/>
    <mergeCell ref="AT371:AT372"/>
    <mergeCell ref="AL349:AL350"/>
    <mergeCell ref="AM349:AM350"/>
    <mergeCell ref="AE349:AE350"/>
    <mergeCell ref="AF349:AF350"/>
    <mergeCell ref="AG349:AG350"/>
    <mergeCell ref="AH349:AH350"/>
    <mergeCell ref="AI349:AI350"/>
    <mergeCell ref="AJ349:AJ350"/>
    <mergeCell ref="AK349:AK350"/>
    <mergeCell ref="AE369:AE370"/>
    <mergeCell ref="AF369:AF370"/>
    <mergeCell ref="AG369:AG370"/>
    <mergeCell ref="AH369:AH370"/>
    <mergeCell ref="AI369:AI370"/>
    <mergeCell ref="AJ369:AJ370"/>
    <mergeCell ref="AK369:AK370"/>
    <mergeCell ref="W369:W370"/>
    <mergeCell ref="X369:X370"/>
    <mergeCell ref="Y369:Y370"/>
    <mergeCell ref="AA369:AA370"/>
    <mergeCell ref="AB369:AB370"/>
    <mergeCell ref="AC369:AC370"/>
    <mergeCell ref="AD369:AD370"/>
    <mergeCell ref="W371:W372"/>
    <mergeCell ref="X371:X372"/>
    <mergeCell ref="Y371:Y372"/>
    <mergeCell ref="AA371:AA372"/>
    <mergeCell ref="AB371:AB372"/>
    <mergeCell ref="AC371:AC372"/>
    <mergeCell ref="AD371:AD372"/>
    <mergeCell ref="AL369:AL370"/>
    <mergeCell ref="AM369:AM370"/>
    <mergeCell ref="AN369:AN370"/>
    <mergeCell ref="AO369:AO370"/>
    <mergeCell ref="AP369:AP370"/>
    <mergeCell ref="AQ369:AQ370"/>
    <mergeCell ref="AR369:AR370"/>
    <mergeCell ref="X349:X350"/>
    <mergeCell ref="Y349:Y350"/>
    <mergeCell ref="AA349:AA350"/>
    <mergeCell ref="AB349:AB350"/>
    <mergeCell ref="AC349:AC350"/>
    <mergeCell ref="AW351:AW352"/>
    <mergeCell ref="AC351:AC352"/>
    <mergeCell ref="AD351:AD352"/>
    <mergeCell ref="AE351:AE352"/>
    <mergeCell ref="AF351:AF352"/>
    <mergeCell ref="AG351:AG352"/>
    <mergeCell ref="AH351:AH352"/>
    <mergeCell ref="AI351:AI352"/>
    <mergeCell ref="AL335:AL336"/>
    <mergeCell ref="AW371:AW372"/>
    <mergeCell ref="AX371:AX372"/>
    <mergeCell ref="AY371:AY372"/>
    <mergeCell ref="AS369:AS370"/>
    <mergeCell ref="AT369:AT370"/>
    <mergeCell ref="AU369:AU370"/>
    <mergeCell ref="AV369:AV370"/>
    <mergeCell ref="AW369:AW370"/>
    <mergeCell ref="AX369:AX370"/>
    <mergeCell ref="AY369:AY370"/>
    <mergeCell ref="AU335:AU336"/>
    <mergeCell ref="AV335:AV336"/>
    <mergeCell ref="AN335:AN336"/>
    <mergeCell ref="AO335:AO336"/>
    <mergeCell ref="AP335:AP336"/>
    <mergeCell ref="AQ335:AQ336"/>
    <mergeCell ref="AR335:AR336"/>
    <mergeCell ref="AS335:AS336"/>
    <mergeCell ref="AT335:AT336"/>
    <mergeCell ref="AL331:AL332"/>
    <mergeCell ref="AM331:AM332"/>
    <mergeCell ref="AE331:AE332"/>
    <mergeCell ref="AF331:AF332"/>
    <mergeCell ref="AG331:AG332"/>
    <mergeCell ref="AH331:AH332"/>
    <mergeCell ref="AI331:AI332"/>
    <mergeCell ref="AJ331:AJ332"/>
    <mergeCell ref="AK331:AK332"/>
    <mergeCell ref="AE333:AE334"/>
    <mergeCell ref="AF333:AF334"/>
    <mergeCell ref="AG333:AG334"/>
    <mergeCell ref="AH333:AH334"/>
    <mergeCell ref="AI333:AI334"/>
    <mergeCell ref="AJ333:AJ334"/>
    <mergeCell ref="AK333:AK334"/>
    <mergeCell ref="AS333:AS334"/>
    <mergeCell ref="AT333:AT334"/>
    <mergeCell ref="AU333:AU334"/>
    <mergeCell ref="AV333:AV334"/>
    <mergeCell ref="AW333:AW334"/>
    <mergeCell ref="AX333:AX334"/>
    <mergeCell ref="AY333:AY334"/>
    <mergeCell ref="AU341:AU342"/>
    <mergeCell ref="AV341:AV342"/>
    <mergeCell ref="AN341:AN342"/>
    <mergeCell ref="AO341:AO342"/>
    <mergeCell ref="AP341:AP342"/>
    <mergeCell ref="AQ341:AQ342"/>
    <mergeCell ref="AR341:AR342"/>
    <mergeCell ref="AS341:AS342"/>
    <mergeCell ref="AT341:AT342"/>
    <mergeCell ref="AS337:AS338"/>
    <mergeCell ref="AT337:AT338"/>
    <mergeCell ref="AU337:AU338"/>
    <mergeCell ref="AV337:AV338"/>
    <mergeCell ref="AW337:AW338"/>
    <mergeCell ref="AX337:AX338"/>
    <mergeCell ref="AY337:AY338"/>
    <mergeCell ref="AW341:AW342"/>
    <mergeCell ref="AX341:AX342"/>
    <mergeCell ref="AY341:AY342"/>
    <mergeCell ref="AS339:AS340"/>
    <mergeCell ref="AL343:AL344"/>
    <mergeCell ref="AK337:AK338"/>
    <mergeCell ref="AL337:AL338"/>
    <mergeCell ref="AM337:AM338"/>
    <mergeCell ref="AN337:AN338"/>
    <mergeCell ref="AO337:AO338"/>
    <mergeCell ref="AP337:AP338"/>
    <mergeCell ref="AQ337:AQ338"/>
    <mergeCell ref="AR337:AR338"/>
    <mergeCell ref="W337:W338"/>
    <mergeCell ref="X337:X338"/>
    <mergeCell ref="Y337:Y338"/>
    <mergeCell ref="AA337:AA338"/>
    <mergeCell ref="AB337:AB338"/>
    <mergeCell ref="AC337:AC338"/>
    <mergeCell ref="AD337:AD338"/>
    <mergeCell ref="AL339:AL340"/>
    <mergeCell ref="AM339:AM340"/>
    <mergeCell ref="AN339:AN340"/>
    <mergeCell ref="AO339:AO340"/>
    <mergeCell ref="AP339:AP340"/>
    <mergeCell ref="AQ339:AQ340"/>
    <mergeCell ref="AR339:AR340"/>
    <mergeCell ref="AW339:AW340"/>
    <mergeCell ref="AX339:AX340"/>
    <mergeCell ref="AY339:AY340"/>
    <mergeCell ref="AU345:AU346"/>
    <mergeCell ref="AV345:AV346"/>
    <mergeCell ref="AN345:AN346"/>
    <mergeCell ref="AO345:AO346"/>
    <mergeCell ref="AP345:AP346"/>
    <mergeCell ref="AQ345:AQ346"/>
    <mergeCell ref="AR345:AR346"/>
    <mergeCell ref="AS345:AS346"/>
    <mergeCell ref="AT345:AT346"/>
    <mergeCell ref="W343:W344"/>
    <mergeCell ref="X343:X344"/>
    <mergeCell ref="Y343:Y344"/>
    <mergeCell ref="AA343:AA344"/>
    <mergeCell ref="AB343:AB344"/>
    <mergeCell ref="AC343:AC344"/>
    <mergeCell ref="AD343:AD344"/>
    <mergeCell ref="W345:W346"/>
    <mergeCell ref="X345:X346"/>
    <mergeCell ref="Y345:Y346"/>
    <mergeCell ref="AA345:AA346"/>
    <mergeCell ref="AB345:AB346"/>
    <mergeCell ref="AC345:AC346"/>
    <mergeCell ref="AD345:AD346"/>
    <mergeCell ref="AU343:AU344"/>
    <mergeCell ref="AV343:AV344"/>
    <mergeCell ref="AW343:AW344"/>
    <mergeCell ref="AX343:AX344"/>
    <mergeCell ref="AV339:AV340"/>
    <mergeCell ref="AH337:AH338"/>
    <mergeCell ref="AI337:AI338"/>
    <mergeCell ref="AJ337:AJ338"/>
    <mergeCell ref="AY343:AY344"/>
    <mergeCell ref="AM343:AM344"/>
    <mergeCell ref="AN343:AN344"/>
    <mergeCell ref="AO343:AO344"/>
    <mergeCell ref="AP343:AP344"/>
    <mergeCell ref="AQ343:AQ344"/>
    <mergeCell ref="AR343:AR344"/>
    <mergeCell ref="AW345:AW346"/>
    <mergeCell ref="AL371:AL372"/>
    <mergeCell ref="AM371:AM372"/>
    <mergeCell ref="AE371:AE372"/>
    <mergeCell ref="AF371:AF372"/>
    <mergeCell ref="AG371:AG372"/>
    <mergeCell ref="AH371:AH372"/>
    <mergeCell ref="AI371:AI372"/>
    <mergeCell ref="AJ371:AJ372"/>
    <mergeCell ref="AK371:AK372"/>
    <mergeCell ref="AL395:AL396"/>
    <mergeCell ref="AM395:AM396"/>
    <mergeCell ref="AW395:AW396"/>
    <mergeCell ref="AX395:AX396"/>
    <mergeCell ref="AY395:AY396"/>
    <mergeCell ref="AE395:AE396"/>
    <mergeCell ref="AF395:AF396"/>
    <mergeCell ref="AG395:AG396"/>
    <mergeCell ref="AH395:AH396"/>
    <mergeCell ref="AI395:AI396"/>
    <mergeCell ref="AJ395:AJ396"/>
    <mergeCell ref="AK395:AK396"/>
    <mergeCell ref="AL341:AL342"/>
    <mergeCell ref="AM341:AM342"/>
    <mergeCell ref="AE341:AE342"/>
    <mergeCell ref="AF341:AF342"/>
    <mergeCell ref="AG341:AG342"/>
    <mergeCell ref="AH341:AH342"/>
    <mergeCell ref="AI341:AI342"/>
    <mergeCell ref="AJ341:AJ342"/>
    <mergeCell ref="AK341:AK342"/>
    <mergeCell ref="AE343:AE344"/>
    <mergeCell ref="AF343:AF344"/>
    <mergeCell ref="AG343:AG344"/>
    <mergeCell ref="AH343:AH344"/>
    <mergeCell ref="AI343:AI344"/>
    <mergeCell ref="AJ343:AJ344"/>
    <mergeCell ref="AK343:AK344"/>
    <mergeCell ref="AL347:AL348"/>
    <mergeCell ref="AM347:AM348"/>
    <mergeCell ref="AN347:AN348"/>
    <mergeCell ref="AO347:AO348"/>
    <mergeCell ref="AP347:AP348"/>
    <mergeCell ref="AQ347:AQ348"/>
    <mergeCell ref="AR347:AR348"/>
    <mergeCell ref="AW349:AW350"/>
    <mergeCell ref="AX349:AX350"/>
    <mergeCell ref="AY349:AY350"/>
    <mergeCell ref="AS347:AS348"/>
    <mergeCell ref="AT347:AT348"/>
    <mergeCell ref="AU347:AU348"/>
    <mergeCell ref="AV347:AV348"/>
    <mergeCell ref="AW347:AW348"/>
    <mergeCell ref="AX347:AX348"/>
    <mergeCell ref="AY347:AY348"/>
    <mergeCell ref="AU375:AU376"/>
    <mergeCell ref="AV375:AV376"/>
    <mergeCell ref="AL373:AL374"/>
    <mergeCell ref="AM373:AM374"/>
    <mergeCell ref="AN373:AN374"/>
    <mergeCell ref="AW375:AW376"/>
    <mergeCell ref="AX375:AX376"/>
    <mergeCell ref="AY375:AY376"/>
    <mergeCell ref="AS373:AS374"/>
    <mergeCell ref="AT373:AT374"/>
    <mergeCell ref="AU373:AU374"/>
    <mergeCell ref="AV373:AV374"/>
    <mergeCell ref="AW373:AW374"/>
    <mergeCell ref="AX373:AX374"/>
    <mergeCell ref="AY373:AY374"/>
    <mergeCell ref="AV349:AV350"/>
    <mergeCell ref="AN349:AN350"/>
    <mergeCell ref="AO349:AO350"/>
    <mergeCell ref="AP349:AP350"/>
    <mergeCell ref="AQ349:AQ350"/>
    <mergeCell ref="AR349:AR350"/>
    <mergeCell ref="AS349:AS350"/>
    <mergeCell ref="AT349:AT350"/>
    <mergeCell ref="AL345:AL346"/>
    <mergeCell ref="AM345:AM346"/>
    <mergeCell ref="AE345:AE346"/>
    <mergeCell ref="AF345:AF346"/>
    <mergeCell ref="AG345:AG346"/>
    <mergeCell ref="AH345:AH346"/>
    <mergeCell ref="AI345:AI346"/>
    <mergeCell ref="AJ345:AJ346"/>
    <mergeCell ref="AK345:AK346"/>
    <mergeCell ref="AE347:AE348"/>
    <mergeCell ref="AF347:AF348"/>
    <mergeCell ref="AG347:AG348"/>
    <mergeCell ref="AH347:AH348"/>
    <mergeCell ref="AI347:AI348"/>
    <mergeCell ref="AJ347:AJ348"/>
    <mergeCell ref="AK347:AK348"/>
    <mergeCell ref="AN375:AN376"/>
    <mergeCell ref="AO375:AO376"/>
    <mergeCell ref="AP375:AP376"/>
    <mergeCell ref="AQ375:AQ376"/>
    <mergeCell ref="AR375:AR376"/>
    <mergeCell ref="AU349:AU350"/>
    <mergeCell ref="AW355:AW356"/>
    <mergeCell ref="AX355:AX356"/>
    <mergeCell ref="AY355:AY356"/>
    <mergeCell ref="AU361:AU362"/>
    <mergeCell ref="AV361:AV362"/>
    <mergeCell ref="AN361:AN362"/>
    <mergeCell ref="AO361:AO362"/>
    <mergeCell ref="AP361:AP362"/>
    <mergeCell ref="AQ361:AQ362"/>
    <mergeCell ref="AR361:AR362"/>
    <mergeCell ref="AS361:AS362"/>
    <mergeCell ref="AT361:AT362"/>
    <mergeCell ref="AL365:AL366"/>
    <mergeCell ref="AM365:AM366"/>
    <mergeCell ref="AE365:AE366"/>
    <mergeCell ref="AF365:AF366"/>
    <mergeCell ref="AG365:AG366"/>
    <mergeCell ref="AH365:AH366"/>
    <mergeCell ref="AI365:AI366"/>
    <mergeCell ref="AJ365:AJ366"/>
    <mergeCell ref="AK365:AK366"/>
    <mergeCell ref="AL375:AL376"/>
    <mergeCell ref="AM375:AM376"/>
    <mergeCell ref="AE375:AE376"/>
    <mergeCell ref="AF375:AF376"/>
    <mergeCell ref="AG375:AG376"/>
    <mergeCell ref="AH375:AH376"/>
    <mergeCell ref="AI375:AI376"/>
    <mergeCell ref="AJ375:AJ376"/>
    <mergeCell ref="AK375:AK376"/>
    <mergeCell ref="AE377:AE378"/>
    <mergeCell ref="AF377:AF378"/>
    <mergeCell ref="AG377:AG378"/>
    <mergeCell ref="AH377:AH378"/>
    <mergeCell ref="AI377:AI378"/>
    <mergeCell ref="AJ377:AJ378"/>
    <mergeCell ref="AK377:AK378"/>
    <mergeCell ref="AS375:AS376"/>
    <mergeCell ref="AT375:AT376"/>
    <mergeCell ref="AO373:AO374"/>
    <mergeCell ref="AP373:AP374"/>
    <mergeCell ref="AQ373:AQ374"/>
    <mergeCell ref="AR373:AR374"/>
    <mergeCell ref="W377:W378"/>
    <mergeCell ref="X377:X378"/>
    <mergeCell ref="Y377:Y378"/>
    <mergeCell ref="AA377:AA378"/>
    <mergeCell ref="AB377:AB378"/>
    <mergeCell ref="AC377:AC378"/>
    <mergeCell ref="AD377:AD378"/>
    <mergeCell ref="W379:W380"/>
    <mergeCell ref="X379:X380"/>
    <mergeCell ref="Y379:Y380"/>
    <mergeCell ref="AA379:AA380"/>
    <mergeCell ref="AB379:AB380"/>
    <mergeCell ref="AC379:AC380"/>
    <mergeCell ref="AD379:AD380"/>
    <mergeCell ref="AL377:AL378"/>
    <mergeCell ref="AM377:AM378"/>
    <mergeCell ref="AN377:AN378"/>
    <mergeCell ref="AO377:AO378"/>
    <mergeCell ref="AP377:AP378"/>
    <mergeCell ref="AQ377:AQ378"/>
    <mergeCell ref="AR377:AR378"/>
    <mergeCell ref="AE373:AE374"/>
    <mergeCell ref="AF373:AF374"/>
    <mergeCell ref="AG373:AG374"/>
    <mergeCell ref="AH373:AH374"/>
    <mergeCell ref="AI373:AI374"/>
    <mergeCell ref="AJ373:AJ374"/>
    <mergeCell ref="AK373:AK374"/>
    <mergeCell ref="W373:W374"/>
    <mergeCell ref="X373:X374"/>
    <mergeCell ref="Y373:Y374"/>
    <mergeCell ref="AA373:AA374"/>
    <mergeCell ref="AB373:AB374"/>
    <mergeCell ref="AC373:AC374"/>
    <mergeCell ref="AD373:AD374"/>
    <mergeCell ref="W375:W376"/>
    <mergeCell ref="X375:X376"/>
    <mergeCell ref="Y375:Y376"/>
    <mergeCell ref="AA375:AA376"/>
    <mergeCell ref="AB375:AB376"/>
    <mergeCell ref="AC375:AC376"/>
    <mergeCell ref="AD375:AD376"/>
    <mergeCell ref="AW379:AW380"/>
    <mergeCell ref="AX379:AX380"/>
    <mergeCell ref="AY379:AY380"/>
    <mergeCell ref="AS377:AS378"/>
    <mergeCell ref="AT377:AT378"/>
    <mergeCell ref="AU377:AU378"/>
    <mergeCell ref="AV377:AV378"/>
    <mergeCell ref="AW377:AW378"/>
    <mergeCell ref="AX377:AX378"/>
    <mergeCell ref="AY377:AY378"/>
    <mergeCell ref="AU383:AU384"/>
    <mergeCell ref="AV383:AV384"/>
    <mergeCell ref="AN383:AN384"/>
    <mergeCell ref="AO383:AO384"/>
    <mergeCell ref="AP383:AP384"/>
    <mergeCell ref="AQ383:AQ384"/>
    <mergeCell ref="AR383:AR384"/>
    <mergeCell ref="AS383:AS384"/>
    <mergeCell ref="AT383:AT384"/>
    <mergeCell ref="AL379:AL380"/>
    <mergeCell ref="AM379:AM380"/>
    <mergeCell ref="AE379:AE380"/>
    <mergeCell ref="AF379:AF380"/>
    <mergeCell ref="AG379:AG380"/>
    <mergeCell ref="AH379:AH380"/>
    <mergeCell ref="AI379:AI380"/>
    <mergeCell ref="AJ379:AJ380"/>
    <mergeCell ref="AK379:AK380"/>
    <mergeCell ref="AE381:AE382"/>
    <mergeCell ref="AF381:AF382"/>
    <mergeCell ref="AG381:AG382"/>
    <mergeCell ref="AH381:AH382"/>
    <mergeCell ref="AI381:AI382"/>
    <mergeCell ref="AJ381:AJ382"/>
    <mergeCell ref="AK381:AK382"/>
    <mergeCell ref="AU379:AU380"/>
    <mergeCell ref="AV379:AV380"/>
    <mergeCell ref="AN379:AN380"/>
    <mergeCell ref="AO379:AO380"/>
    <mergeCell ref="AP379:AP380"/>
    <mergeCell ref="AQ379:AQ380"/>
    <mergeCell ref="AR379:AR380"/>
    <mergeCell ref="AS379:AS380"/>
    <mergeCell ref="AT379:AT380"/>
    <mergeCell ref="W381:W382"/>
    <mergeCell ref="X381:X382"/>
    <mergeCell ref="Y381:Y382"/>
    <mergeCell ref="AA381:AA382"/>
    <mergeCell ref="AB381:AB382"/>
    <mergeCell ref="AC381:AC382"/>
    <mergeCell ref="AD381:AD382"/>
    <mergeCell ref="W383:W384"/>
    <mergeCell ref="X383:X384"/>
    <mergeCell ref="Y383:Y384"/>
    <mergeCell ref="AA383:AA384"/>
    <mergeCell ref="AB383:AB384"/>
    <mergeCell ref="AC383:AC384"/>
    <mergeCell ref="AD383:AD384"/>
    <mergeCell ref="AL381:AL382"/>
    <mergeCell ref="AM381:AM382"/>
    <mergeCell ref="AN381:AN382"/>
    <mergeCell ref="AO381:AO382"/>
    <mergeCell ref="AP381:AP382"/>
    <mergeCell ref="AQ381:AQ382"/>
    <mergeCell ref="AR381:AR382"/>
    <mergeCell ref="AW383:AW384"/>
    <mergeCell ref="AX383:AX384"/>
    <mergeCell ref="AY383:AY384"/>
    <mergeCell ref="AS381:AS382"/>
    <mergeCell ref="AT381:AT382"/>
    <mergeCell ref="AU381:AU382"/>
    <mergeCell ref="AV381:AV382"/>
    <mergeCell ref="AW381:AW382"/>
    <mergeCell ref="AX381:AX382"/>
    <mergeCell ref="AY381:AY382"/>
    <mergeCell ref="AU387:AU388"/>
    <mergeCell ref="AV387:AV388"/>
    <mergeCell ref="AN387:AN388"/>
    <mergeCell ref="AO387:AO388"/>
    <mergeCell ref="AP387:AP388"/>
    <mergeCell ref="AQ387:AQ388"/>
    <mergeCell ref="AR387:AR388"/>
    <mergeCell ref="AS387:AS388"/>
    <mergeCell ref="AT387:AT388"/>
    <mergeCell ref="AL383:AL384"/>
    <mergeCell ref="AM383:AM384"/>
    <mergeCell ref="AE383:AE384"/>
    <mergeCell ref="AF383:AF384"/>
    <mergeCell ref="AG383:AG384"/>
    <mergeCell ref="AH383:AH384"/>
    <mergeCell ref="AI383:AI384"/>
    <mergeCell ref="AJ383:AJ384"/>
    <mergeCell ref="AK383:AK384"/>
    <mergeCell ref="AE385:AE386"/>
    <mergeCell ref="AF385:AF386"/>
    <mergeCell ref="AG385:AG386"/>
    <mergeCell ref="AH385:AH386"/>
    <mergeCell ref="AI385:AI386"/>
    <mergeCell ref="AJ385:AJ386"/>
    <mergeCell ref="AK385:AK386"/>
    <mergeCell ref="W385:W386"/>
    <mergeCell ref="X385:X386"/>
    <mergeCell ref="Y385:Y386"/>
    <mergeCell ref="AA385:AA386"/>
    <mergeCell ref="AB385:AB386"/>
    <mergeCell ref="AC385:AC386"/>
    <mergeCell ref="AD385:AD386"/>
    <mergeCell ref="W387:W388"/>
    <mergeCell ref="X387:X388"/>
    <mergeCell ref="Y387:Y388"/>
    <mergeCell ref="AA387:AA388"/>
    <mergeCell ref="AB387:AB388"/>
    <mergeCell ref="AC387:AC388"/>
    <mergeCell ref="AD387:AD388"/>
    <mergeCell ref="AL385:AL386"/>
    <mergeCell ref="AM385:AM386"/>
    <mergeCell ref="AN385:AN386"/>
    <mergeCell ref="AO385:AO386"/>
    <mergeCell ref="AP385:AP386"/>
    <mergeCell ref="AQ385:AQ386"/>
    <mergeCell ref="AR385:AR386"/>
    <mergeCell ref="AW387:AW388"/>
    <mergeCell ref="AX387:AX388"/>
    <mergeCell ref="AY387:AY388"/>
    <mergeCell ref="AS385:AS386"/>
    <mergeCell ref="AT385:AT386"/>
    <mergeCell ref="AU385:AU386"/>
    <mergeCell ref="AV385:AV386"/>
    <mergeCell ref="AW385:AW386"/>
    <mergeCell ref="AX385:AX386"/>
    <mergeCell ref="AY385:AY386"/>
    <mergeCell ref="AU391:AU392"/>
    <mergeCell ref="AV391:AV392"/>
    <mergeCell ref="AN391:AN392"/>
    <mergeCell ref="AO391:AO392"/>
    <mergeCell ref="AP391:AP392"/>
    <mergeCell ref="AQ391:AQ392"/>
    <mergeCell ref="AR391:AR392"/>
    <mergeCell ref="AS391:AS392"/>
    <mergeCell ref="AT391:AT392"/>
    <mergeCell ref="AL387:AL388"/>
    <mergeCell ref="AM387:AM388"/>
    <mergeCell ref="AE387:AE388"/>
    <mergeCell ref="AF387:AF388"/>
    <mergeCell ref="AG387:AG388"/>
    <mergeCell ref="AH387:AH388"/>
    <mergeCell ref="AI387:AI388"/>
    <mergeCell ref="AJ387:AJ388"/>
    <mergeCell ref="AK387:AK388"/>
    <mergeCell ref="AE389:AE390"/>
    <mergeCell ref="AF389:AF390"/>
    <mergeCell ref="AG389:AG390"/>
    <mergeCell ref="AH389:AH390"/>
    <mergeCell ref="AI389:AI390"/>
    <mergeCell ref="AJ389:AJ390"/>
    <mergeCell ref="AK389:AK390"/>
    <mergeCell ref="W389:W390"/>
    <mergeCell ref="X389:X390"/>
    <mergeCell ref="Y389:Y390"/>
    <mergeCell ref="AA389:AA390"/>
    <mergeCell ref="AB389:AB390"/>
    <mergeCell ref="AC389:AC390"/>
    <mergeCell ref="AD389:AD390"/>
    <mergeCell ref="W391:W392"/>
    <mergeCell ref="X391:X392"/>
    <mergeCell ref="Y391:Y392"/>
    <mergeCell ref="AA391:AA392"/>
    <mergeCell ref="AB391:AB392"/>
    <mergeCell ref="AC391:AC392"/>
    <mergeCell ref="AD391:AD392"/>
    <mergeCell ref="AL389:AL390"/>
    <mergeCell ref="AM389:AM390"/>
    <mergeCell ref="AN389:AN390"/>
    <mergeCell ref="AO389:AO390"/>
    <mergeCell ref="AP389:AP390"/>
    <mergeCell ref="AQ389:AQ390"/>
    <mergeCell ref="AR389:AR390"/>
    <mergeCell ref="AW391:AW392"/>
    <mergeCell ref="AX391:AX392"/>
    <mergeCell ref="AY391:AY392"/>
    <mergeCell ref="AS389:AS390"/>
    <mergeCell ref="AT389:AT390"/>
    <mergeCell ref="AU389:AU390"/>
    <mergeCell ref="AV389:AV390"/>
    <mergeCell ref="AW389:AW390"/>
    <mergeCell ref="AX389:AX390"/>
    <mergeCell ref="AY389:AY390"/>
    <mergeCell ref="AU413:AU414"/>
    <mergeCell ref="AV413:AV414"/>
    <mergeCell ref="AN413:AN414"/>
    <mergeCell ref="AO413:AO414"/>
    <mergeCell ref="AP413:AP414"/>
    <mergeCell ref="AQ413:AQ414"/>
    <mergeCell ref="AR413:AR414"/>
    <mergeCell ref="AS413:AS414"/>
    <mergeCell ref="AT413:AT414"/>
    <mergeCell ref="AL409:AL410"/>
    <mergeCell ref="AM409:AM410"/>
    <mergeCell ref="AE409:AE410"/>
    <mergeCell ref="AF409:AF410"/>
    <mergeCell ref="AG409:AG410"/>
    <mergeCell ref="AH409:AH410"/>
    <mergeCell ref="AI409:AI410"/>
    <mergeCell ref="AJ409:AJ410"/>
    <mergeCell ref="AK409:AK410"/>
    <mergeCell ref="AE411:AE412"/>
    <mergeCell ref="AF411:AF412"/>
    <mergeCell ref="AG411:AG412"/>
    <mergeCell ref="AH411:AH412"/>
    <mergeCell ref="AI411:AI412"/>
    <mergeCell ref="AJ411:AJ412"/>
    <mergeCell ref="AK411:AK412"/>
    <mergeCell ref="AO403:AO404"/>
    <mergeCell ref="AP403:AP404"/>
    <mergeCell ref="AQ403:AQ404"/>
    <mergeCell ref="AR403:AR404"/>
    <mergeCell ref="AW405:AW406"/>
    <mergeCell ref="AX405:AX406"/>
    <mergeCell ref="AY405:AY406"/>
    <mergeCell ref="AS403:AS404"/>
    <mergeCell ref="W411:W412"/>
    <mergeCell ref="X411:X412"/>
    <mergeCell ref="Y411:Y412"/>
    <mergeCell ref="AA411:AA412"/>
    <mergeCell ref="AB411:AB412"/>
    <mergeCell ref="AC411:AC412"/>
    <mergeCell ref="AD411:AD412"/>
    <mergeCell ref="W413:W414"/>
    <mergeCell ref="X413:X414"/>
    <mergeCell ref="Y413:Y414"/>
    <mergeCell ref="AA413:AA414"/>
    <mergeCell ref="AB413:AB414"/>
    <mergeCell ref="AC413:AC414"/>
    <mergeCell ref="AD413:AD414"/>
    <mergeCell ref="AL411:AL412"/>
    <mergeCell ref="AM411:AM412"/>
    <mergeCell ref="AN411:AN412"/>
    <mergeCell ref="AO411:AO412"/>
    <mergeCell ref="AP411:AP412"/>
    <mergeCell ref="AQ411:AQ412"/>
    <mergeCell ref="AR411:AR412"/>
    <mergeCell ref="AW413:AW414"/>
    <mergeCell ref="AX413:AX414"/>
    <mergeCell ref="AY413:AY414"/>
    <mergeCell ref="AS411:AS412"/>
    <mergeCell ref="AT411:AT412"/>
    <mergeCell ref="AU411:AU412"/>
    <mergeCell ref="AV411:AV412"/>
    <mergeCell ref="AW411:AW412"/>
    <mergeCell ref="AX411:AX412"/>
    <mergeCell ref="AY411:AY412"/>
    <mergeCell ref="AT409:AT410"/>
    <mergeCell ref="AE407:AE408"/>
    <mergeCell ref="AF407:AF408"/>
    <mergeCell ref="AG407:AG408"/>
    <mergeCell ref="AH407:AH408"/>
    <mergeCell ref="AI407:AI408"/>
    <mergeCell ref="AJ407:AJ408"/>
    <mergeCell ref="AK407:AK408"/>
    <mergeCell ref="W407:W408"/>
    <mergeCell ref="X407:X408"/>
    <mergeCell ref="Y407:Y408"/>
    <mergeCell ref="AA407:AA408"/>
    <mergeCell ref="AB407:AB408"/>
    <mergeCell ref="AC407:AC408"/>
    <mergeCell ref="AD407:AD408"/>
    <mergeCell ref="W409:W410"/>
    <mergeCell ref="X409:X410"/>
    <mergeCell ref="Y409:Y410"/>
    <mergeCell ref="AA409:AA410"/>
    <mergeCell ref="AB409:AB410"/>
    <mergeCell ref="AC409:AC410"/>
    <mergeCell ref="AD409:AD410"/>
    <mergeCell ref="AL407:AL408"/>
    <mergeCell ref="AM407:AM408"/>
    <mergeCell ref="AN407:AN408"/>
    <mergeCell ref="AR407:AR408"/>
    <mergeCell ref="AW409:AW410"/>
    <mergeCell ref="AX409:AX410"/>
    <mergeCell ref="AY409:AY410"/>
    <mergeCell ref="AS407:AS408"/>
    <mergeCell ref="AT407:AT408"/>
    <mergeCell ref="AU407:AU408"/>
    <mergeCell ref="AV407:AV408"/>
    <mergeCell ref="AX397:AX398"/>
    <mergeCell ref="AY397:AY398"/>
    <mergeCell ref="AN409:AN410"/>
    <mergeCell ref="AO409:AO410"/>
    <mergeCell ref="AL401:AL402"/>
    <mergeCell ref="AM401:AM402"/>
    <mergeCell ref="AE401:AE402"/>
    <mergeCell ref="AF401:AF402"/>
    <mergeCell ref="AG401:AG402"/>
    <mergeCell ref="AH401:AH402"/>
    <mergeCell ref="AI401:AI402"/>
    <mergeCell ref="AJ401:AJ402"/>
    <mergeCell ref="AK401:AK402"/>
    <mergeCell ref="AE403:AE404"/>
    <mergeCell ref="AF403:AF404"/>
    <mergeCell ref="AG403:AG404"/>
    <mergeCell ref="AH403:AH404"/>
    <mergeCell ref="AI403:AI404"/>
    <mergeCell ref="AJ403:AJ404"/>
    <mergeCell ref="AK403:AK404"/>
    <mergeCell ref="W403:W404"/>
    <mergeCell ref="X403:X404"/>
    <mergeCell ref="Y403:Y404"/>
    <mergeCell ref="AA403:AA404"/>
    <mergeCell ref="AB403:AB404"/>
    <mergeCell ref="AC403:AC404"/>
    <mergeCell ref="AD403:AD404"/>
    <mergeCell ref="W405:W406"/>
    <mergeCell ref="X405:X406"/>
    <mergeCell ref="Y405:Y406"/>
    <mergeCell ref="AA405:AA406"/>
    <mergeCell ref="AB405:AB406"/>
    <mergeCell ref="AC405:AC406"/>
    <mergeCell ref="AD405:AD406"/>
    <mergeCell ref="AL403:AL404"/>
    <mergeCell ref="AM403:AM404"/>
    <mergeCell ref="AN403:AN404"/>
    <mergeCell ref="AL405:AL406"/>
    <mergeCell ref="AM405:AM406"/>
    <mergeCell ref="AE405:AE406"/>
    <mergeCell ref="AF405:AF406"/>
    <mergeCell ref="AG405:AG406"/>
    <mergeCell ref="AH405:AH406"/>
    <mergeCell ref="AI405:AI406"/>
    <mergeCell ref="AJ405:AJ406"/>
    <mergeCell ref="AK405:AK406"/>
    <mergeCell ref="AB401:AB402"/>
    <mergeCell ref="AC401:AC402"/>
    <mergeCell ref="AD401:AD402"/>
    <mergeCell ref="AT403:AT404"/>
    <mergeCell ref="AU403:AU404"/>
    <mergeCell ref="AV403:AV404"/>
    <mergeCell ref="AW403:AW404"/>
    <mergeCell ref="AX403:AX404"/>
    <mergeCell ref="AY403:AY404"/>
    <mergeCell ref="AU409:AU410"/>
    <mergeCell ref="AV409:AV410"/>
    <mergeCell ref="W401:W402"/>
    <mergeCell ref="X401:X402"/>
    <mergeCell ref="Y401:Y402"/>
    <mergeCell ref="AA401:AA402"/>
    <mergeCell ref="AO407:AO408"/>
    <mergeCell ref="AP407:AP408"/>
    <mergeCell ref="AQ407:AQ408"/>
    <mergeCell ref="AW407:AW408"/>
    <mergeCell ref="AX407:AX408"/>
    <mergeCell ref="AY407:AY408"/>
    <mergeCell ref="AU395:AU396"/>
    <mergeCell ref="AV395:AV396"/>
    <mergeCell ref="AN395:AN396"/>
    <mergeCell ref="AO395:AO396"/>
    <mergeCell ref="AP395:AP396"/>
    <mergeCell ref="AQ395:AQ396"/>
    <mergeCell ref="AR395:AR396"/>
    <mergeCell ref="AS395:AS396"/>
    <mergeCell ref="AT395:AT396"/>
    <mergeCell ref="AL391:AL392"/>
    <mergeCell ref="AM391:AM392"/>
    <mergeCell ref="AE391:AE392"/>
    <mergeCell ref="AF391:AF392"/>
    <mergeCell ref="AG391:AG392"/>
    <mergeCell ref="AH391:AH392"/>
    <mergeCell ref="AI391:AI392"/>
    <mergeCell ref="AJ391:AJ392"/>
    <mergeCell ref="AK391:AK392"/>
    <mergeCell ref="AE393:AE394"/>
    <mergeCell ref="AF393:AF394"/>
    <mergeCell ref="AG393:AG394"/>
    <mergeCell ref="AH393:AH394"/>
    <mergeCell ref="AI393:AI394"/>
    <mergeCell ref="AJ393:AJ394"/>
    <mergeCell ref="AK393:AK394"/>
    <mergeCell ref="AS393:AS394"/>
    <mergeCell ref="AT393:AT394"/>
    <mergeCell ref="AU393:AU394"/>
    <mergeCell ref="AV393:AV394"/>
    <mergeCell ref="AW393:AW394"/>
    <mergeCell ref="AX393:AX394"/>
    <mergeCell ref="AY393:AY394"/>
    <mergeCell ref="AU401:AU402"/>
    <mergeCell ref="AV401:AV402"/>
    <mergeCell ref="AN401:AN402"/>
    <mergeCell ref="AO401:AO402"/>
    <mergeCell ref="AP401:AP402"/>
    <mergeCell ref="AQ401:AQ402"/>
    <mergeCell ref="AR401:AR402"/>
    <mergeCell ref="AS401:AS402"/>
    <mergeCell ref="AT401:AT402"/>
    <mergeCell ref="AS397:AS398"/>
    <mergeCell ref="AT397:AT398"/>
    <mergeCell ref="AU397:AU398"/>
    <mergeCell ref="AV397:AV398"/>
    <mergeCell ref="AW397:AW398"/>
    <mergeCell ref="AW401:AW402"/>
    <mergeCell ref="AX401:AX402"/>
    <mergeCell ref="AY401:AY402"/>
    <mergeCell ref="AS399:AS400"/>
    <mergeCell ref="AT399:AT400"/>
    <mergeCell ref="AU399:AU400"/>
    <mergeCell ref="AV399:AV400"/>
    <mergeCell ref="AW399:AW400"/>
    <mergeCell ref="AX399:AX400"/>
    <mergeCell ref="AY399:AY400"/>
    <mergeCell ref="AU405:AU406"/>
    <mergeCell ref="AV405:AV406"/>
    <mergeCell ref="AN405:AN406"/>
    <mergeCell ref="AO405:AO406"/>
    <mergeCell ref="AP405:AP406"/>
    <mergeCell ref="W393:W394"/>
    <mergeCell ref="X393:X394"/>
    <mergeCell ref="Y393:Y394"/>
    <mergeCell ref="AA393:AA394"/>
    <mergeCell ref="AB393:AB394"/>
    <mergeCell ref="AC393:AC394"/>
    <mergeCell ref="AD393:AD394"/>
    <mergeCell ref="AL393:AL394"/>
    <mergeCell ref="AM393:AM394"/>
    <mergeCell ref="AN393:AN394"/>
    <mergeCell ref="AO393:AO394"/>
    <mergeCell ref="AP393:AP394"/>
    <mergeCell ref="AQ393:AQ394"/>
    <mergeCell ref="AR393:AR394"/>
    <mergeCell ref="W395:W396"/>
    <mergeCell ref="X395:X396"/>
    <mergeCell ref="Y395:Y396"/>
    <mergeCell ref="AA395:AA396"/>
    <mergeCell ref="AB395:AB396"/>
    <mergeCell ref="AC395:AC396"/>
    <mergeCell ref="AD395:AD396"/>
    <mergeCell ref="AE399:AE400"/>
    <mergeCell ref="AF399:AF400"/>
    <mergeCell ref="AG399:AG400"/>
    <mergeCell ref="AH399:AH400"/>
    <mergeCell ref="AI399:AI400"/>
    <mergeCell ref="AJ399:AJ400"/>
    <mergeCell ref="AK399:AK400"/>
    <mergeCell ref="W399:W400"/>
    <mergeCell ref="X399:X400"/>
    <mergeCell ref="Y399:Y400"/>
    <mergeCell ref="AA399:AA400"/>
    <mergeCell ref="AB399:AB400"/>
    <mergeCell ref="AC399:AC400"/>
    <mergeCell ref="AD399:AD400"/>
    <mergeCell ref="AE397:AE398"/>
    <mergeCell ref="AF397:AF398"/>
    <mergeCell ref="AG397:AG398"/>
    <mergeCell ref="AH397:AH398"/>
    <mergeCell ref="AI397:AI398"/>
    <mergeCell ref="AJ397:AJ398"/>
    <mergeCell ref="AK397:AK398"/>
    <mergeCell ref="AL397:AL398"/>
    <mergeCell ref="AM397:AM398"/>
    <mergeCell ref="AN397:AN398"/>
    <mergeCell ref="AO397:AO398"/>
    <mergeCell ref="AP397:AP398"/>
    <mergeCell ref="AQ397:AQ398"/>
    <mergeCell ref="AR397:AR398"/>
    <mergeCell ref="W397:W398"/>
    <mergeCell ref="X397:X398"/>
    <mergeCell ref="Y397:Y398"/>
    <mergeCell ref="AA397:AA398"/>
    <mergeCell ref="AB397:AB398"/>
    <mergeCell ref="AC397:AC398"/>
    <mergeCell ref="AD397:AD398"/>
    <mergeCell ref="AL399:AL400"/>
    <mergeCell ref="AM399:AM400"/>
    <mergeCell ref="AN399:AN400"/>
    <mergeCell ref="AO399:AO400"/>
    <mergeCell ref="AP399:AP400"/>
    <mergeCell ref="AQ399:AQ400"/>
    <mergeCell ref="AR399:AR400"/>
    <mergeCell ref="AQ405:AQ406"/>
    <mergeCell ref="AR405:AR406"/>
    <mergeCell ref="AS405:AS406"/>
    <mergeCell ref="AT405:AT406"/>
    <mergeCell ref="AU417:AU418"/>
    <mergeCell ref="AV417:AV418"/>
    <mergeCell ref="AN417:AN418"/>
    <mergeCell ref="AO417:AO418"/>
    <mergeCell ref="AP417:AP418"/>
    <mergeCell ref="AQ417:AQ418"/>
    <mergeCell ref="AR417:AR418"/>
    <mergeCell ref="AS417:AS418"/>
    <mergeCell ref="AT417:AT418"/>
    <mergeCell ref="AL413:AL414"/>
    <mergeCell ref="AM413:AM414"/>
    <mergeCell ref="AP409:AP410"/>
    <mergeCell ref="AQ409:AQ410"/>
    <mergeCell ref="AR409:AR410"/>
    <mergeCell ref="AS409:AS410"/>
    <mergeCell ref="AE413:AE414"/>
    <mergeCell ref="AF413:AF414"/>
    <mergeCell ref="AG413:AG414"/>
    <mergeCell ref="AH413:AH414"/>
    <mergeCell ref="AI413:AI414"/>
    <mergeCell ref="AJ413:AJ414"/>
    <mergeCell ref="AK413:AK414"/>
    <mergeCell ref="AE415:AE416"/>
    <mergeCell ref="AF415:AF416"/>
    <mergeCell ref="AG415:AG416"/>
    <mergeCell ref="AH415:AH416"/>
    <mergeCell ref="AI415:AI416"/>
    <mergeCell ref="AJ415:AJ416"/>
    <mergeCell ref="AK415:AK416"/>
    <mergeCell ref="AH439:AH440"/>
    <mergeCell ref="AI439:AI440"/>
    <mergeCell ref="AJ439:AJ440"/>
    <mergeCell ref="AK439:AK440"/>
    <mergeCell ref="AS439:AS440"/>
    <mergeCell ref="AT439:AT440"/>
    <mergeCell ref="AU439:AU440"/>
    <mergeCell ref="AV439:AV440"/>
    <mergeCell ref="W415:W416"/>
    <mergeCell ref="X415:X416"/>
    <mergeCell ref="Y415:Y416"/>
    <mergeCell ref="AA415:AA416"/>
    <mergeCell ref="AB415:AB416"/>
    <mergeCell ref="AC415:AC416"/>
    <mergeCell ref="AD415:AD416"/>
    <mergeCell ref="W417:W418"/>
    <mergeCell ref="X417:X418"/>
    <mergeCell ref="Y417:Y418"/>
    <mergeCell ref="AA417:AA418"/>
    <mergeCell ref="AB417:AB418"/>
    <mergeCell ref="AC417:AC418"/>
    <mergeCell ref="AD417:AD418"/>
    <mergeCell ref="AL415:AL416"/>
    <mergeCell ref="AM415:AM416"/>
    <mergeCell ref="AN415:AN416"/>
    <mergeCell ref="AO415:AO416"/>
    <mergeCell ref="AP415:AP416"/>
    <mergeCell ref="AQ415:AQ416"/>
    <mergeCell ref="AR415:AR416"/>
    <mergeCell ref="W419:W420"/>
    <mergeCell ref="X419:X420"/>
    <mergeCell ref="Y419:Y420"/>
    <mergeCell ref="AA419:AA420"/>
    <mergeCell ref="AB419:AB420"/>
    <mergeCell ref="AC419:AC420"/>
    <mergeCell ref="AD419:AD420"/>
    <mergeCell ref="W421:W422"/>
    <mergeCell ref="X421:X422"/>
    <mergeCell ref="Y421:Y422"/>
    <mergeCell ref="AA421:AA422"/>
    <mergeCell ref="AB421:AB422"/>
    <mergeCell ref="AC421:AC422"/>
    <mergeCell ref="AD421:AD422"/>
    <mergeCell ref="AE423:AE424"/>
    <mergeCell ref="AF423:AF424"/>
    <mergeCell ref="AG423:AG424"/>
    <mergeCell ref="AH423:AH424"/>
    <mergeCell ref="AI423:AI424"/>
    <mergeCell ref="AJ423:AJ424"/>
    <mergeCell ref="AK423:AK424"/>
    <mergeCell ref="W423:W424"/>
    <mergeCell ref="X423:X424"/>
    <mergeCell ref="Y423:Y424"/>
    <mergeCell ref="AA423:AA424"/>
    <mergeCell ref="AB423:AB424"/>
    <mergeCell ref="AC423:AC424"/>
    <mergeCell ref="AD423:AD424"/>
    <mergeCell ref="W425:W426"/>
    <mergeCell ref="X425:X426"/>
    <mergeCell ref="Y425:Y426"/>
    <mergeCell ref="AA425:AA426"/>
    <mergeCell ref="AB425:AB426"/>
    <mergeCell ref="AC425:AC426"/>
    <mergeCell ref="AD425:AD426"/>
    <mergeCell ref="AW417:AW418"/>
    <mergeCell ref="AX417:AX418"/>
    <mergeCell ref="AY417:AY418"/>
    <mergeCell ref="AS415:AS416"/>
    <mergeCell ref="AT415:AT416"/>
    <mergeCell ref="AU415:AU416"/>
    <mergeCell ref="AV415:AV416"/>
    <mergeCell ref="AW415:AW416"/>
    <mergeCell ref="AX415:AX416"/>
    <mergeCell ref="AY415:AY416"/>
    <mergeCell ref="AU421:AU422"/>
    <mergeCell ref="AV421:AV422"/>
    <mergeCell ref="AN421:AN422"/>
    <mergeCell ref="AO421:AO422"/>
    <mergeCell ref="AP421:AP422"/>
    <mergeCell ref="AQ421:AQ422"/>
    <mergeCell ref="AR421:AR422"/>
    <mergeCell ref="AS421:AS422"/>
    <mergeCell ref="AT421:AT422"/>
    <mergeCell ref="AL417:AL418"/>
    <mergeCell ref="AM417:AM418"/>
    <mergeCell ref="AE417:AE418"/>
    <mergeCell ref="AF417:AF418"/>
    <mergeCell ref="AG417:AG418"/>
    <mergeCell ref="AH417:AH418"/>
    <mergeCell ref="AI417:AI418"/>
    <mergeCell ref="AJ417:AJ418"/>
    <mergeCell ref="AK417:AK418"/>
    <mergeCell ref="AE419:AE420"/>
    <mergeCell ref="AF419:AF420"/>
    <mergeCell ref="AG419:AG420"/>
    <mergeCell ref="AH419:AH420"/>
    <mergeCell ref="AI419:AI420"/>
    <mergeCell ref="AJ419:AJ420"/>
    <mergeCell ref="AK419:AK420"/>
    <mergeCell ref="AL419:AL420"/>
    <mergeCell ref="AM419:AM420"/>
    <mergeCell ref="AN419:AN420"/>
    <mergeCell ref="AO419:AO420"/>
    <mergeCell ref="AP419:AP420"/>
    <mergeCell ref="AQ419:AQ420"/>
    <mergeCell ref="AR419:AR420"/>
    <mergeCell ref="AW421:AW422"/>
    <mergeCell ref="AX421:AX422"/>
    <mergeCell ref="AY421:AY422"/>
    <mergeCell ref="AS419:AS420"/>
    <mergeCell ref="AT419:AT420"/>
    <mergeCell ref="AU419:AU420"/>
    <mergeCell ref="AV419:AV420"/>
    <mergeCell ref="AW419:AW420"/>
    <mergeCell ref="AX419:AX420"/>
    <mergeCell ref="AY419:AY420"/>
    <mergeCell ref="AL421:AL422"/>
    <mergeCell ref="AM421:AM422"/>
    <mergeCell ref="AE421:AE422"/>
    <mergeCell ref="AF421:AF422"/>
    <mergeCell ref="AG421:AG422"/>
    <mergeCell ref="AH421:AH422"/>
    <mergeCell ref="AI421:AI422"/>
    <mergeCell ref="AJ421:AJ422"/>
    <mergeCell ref="AK421:AK422"/>
    <mergeCell ref="AL423:AL424"/>
    <mergeCell ref="AM423:AM424"/>
    <mergeCell ref="AN423:AN424"/>
    <mergeCell ref="AW425:AW426"/>
    <mergeCell ref="AX425:AX426"/>
    <mergeCell ref="AY425:AY426"/>
    <mergeCell ref="AS423:AS424"/>
    <mergeCell ref="AT423:AT424"/>
    <mergeCell ref="AU423:AU424"/>
    <mergeCell ref="AV423:AV424"/>
    <mergeCell ref="AW423:AW424"/>
    <mergeCell ref="AX423:AX424"/>
    <mergeCell ref="AY423:AY424"/>
    <mergeCell ref="AU429:AU430"/>
    <mergeCell ref="AV429:AV430"/>
    <mergeCell ref="AN429:AN430"/>
    <mergeCell ref="AO429:AO430"/>
    <mergeCell ref="AP429:AP430"/>
    <mergeCell ref="AQ429:AQ430"/>
    <mergeCell ref="AR429:AR430"/>
    <mergeCell ref="AS429:AS430"/>
    <mergeCell ref="AT429:AT430"/>
    <mergeCell ref="AL425:AL426"/>
    <mergeCell ref="AM425:AM426"/>
    <mergeCell ref="AE425:AE426"/>
    <mergeCell ref="AF425:AF426"/>
    <mergeCell ref="AG425:AG426"/>
    <mergeCell ref="AH425:AH426"/>
    <mergeCell ref="AI425:AI426"/>
    <mergeCell ref="AJ425:AJ426"/>
    <mergeCell ref="AK425:AK426"/>
    <mergeCell ref="AE427:AE428"/>
    <mergeCell ref="AF427:AF428"/>
    <mergeCell ref="AG427:AG428"/>
    <mergeCell ref="AH427:AH428"/>
    <mergeCell ref="AI427:AI428"/>
    <mergeCell ref="AJ427:AJ428"/>
    <mergeCell ref="AK427:AK428"/>
    <mergeCell ref="AU425:AU426"/>
    <mergeCell ref="AV425:AV426"/>
    <mergeCell ref="AN425:AN426"/>
    <mergeCell ref="AO425:AO426"/>
    <mergeCell ref="AP425:AP426"/>
    <mergeCell ref="AQ425:AQ426"/>
    <mergeCell ref="AR425:AR426"/>
    <mergeCell ref="AS425:AS426"/>
    <mergeCell ref="AT425:AT426"/>
    <mergeCell ref="AO423:AO424"/>
    <mergeCell ref="AP423:AP424"/>
    <mergeCell ref="AQ423:AQ424"/>
    <mergeCell ref="AR423:AR424"/>
    <mergeCell ref="W427:W428"/>
    <mergeCell ref="X427:X428"/>
    <mergeCell ref="Y427:Y428"/>
    <mergeCell ref="AA427:AA428"/>
    <mergeCell ref="AB427:AB428"/>
    <mergeCell ref="AC427:AC428"/>
    <mergeCell ref="AD427:AD428"/>
    <mergeCell ref="W429:W430"/>
    <mergeCell ref="X429:X430"/>
    <mergeCell ref="Y429:Y430"/>
    <mergeCell ref="AA429:AA430"/>
    <mergeCell ref="AB429:AB430"/>
    <mergeCell ref="AC429:AC430"/>
    <mergeCell ref="AD429:AD430"/>
    <mergeCell ref="AL427:AL428"/>
    <mergeCell ref="AM427:AM428"/>
    <mergeCell ref="AN427:AN428"/>
    <mergeCell ref="AO427:AO428"/>
    <mergeCell ref="AP427:AP428"/>
    <mergeCell ref="AQ427:AQ428"/>
    <mergeCell ref="AR427:AR428"/>
    <mergeCell ref="AW429:AW430"/>
    <mergeCell ref="AX429:AX430"/>
    <mergeCell ref="AY429:AY430"/>
    <mergeCell ref="AS427:AS428"/>
    <mergeCell ref="AT427:AT428"/>
    <mergeCell ref="AU427:AU428"/>
    <mergeCell ref="AV427:AV428"/>
    <mergeCell ref="AW427:AW428"/>
    <mergeCell ref="AX427:AX428"/>
    <mergeCell ref="AY427:AY428"/>
    <mergeCell ref="AU433:AU434"/>
    <mergeCell ref="AV433:AV434"/>
    <mergeCell ref="AN433:AN434"/>
    <mergeCell ref="AO433:AO434"/>
    <mergeCell ref="AP433:AP434"/>
    <mergeCell ref="AQ433:AQ434"/>
    <mergeCell ref="AR433:AR434"/>
    <mergeCell ref="AS433:AS434"/>
    <mergeCell ref="AT433:AT434"/>
    <mergeCell ref="AL429:AL430"/>
    <mergeCell ref="AM429:AM430"/>
    <mergeCell ref="AE429:AE430"/>
    <mergeCell ref="AF429:AF430"/>
    <mergeCell ref="AG429:AG430"/>
    <mergeCell ref="AH429:AH430"/>
    <mergeCell ref="AI429:AI430"/>
    <mergeCell ref="AJ429:AJ430"/>
    <mergeCell ref="AK429:AK430"/>
    <mergeCell ref="AE431:AE432"/>
    <mergeCell ref="AF431:AF432"/>
    <mergeCell ref="AG431:AG432"/>
    <mergeCell ref="AH431:AH432"/>
    <mergeCell ref="AI431:AI432"/>
    <mergeCell ref="AJ431:AJ432"/>
    <mergeCell ref="AK431:AK432"/>
    <mergeCell ref="W431:W432"/>
    <mergeCell ref="X431:X432"/>
    <mergeCell ref="Y431:Y432"/>
    <mergeCell ref="AA431:AA432"/>
    <mergeCell ref="AB431:AB432"/>
    <mergeCell ref="AC431:AC432"/>
    <mergeCell ref="AD431:AD432"/>
    <mergeCell ref="W433:W434"/>
    <mergeCell ref="X433:X434"/>
    <mergeCell ref="Y433:Y434"/>
    <mergeCell ref="AA433:AA434"/>
    <mergeCell ref="AB433:AB434"/>
    <mergeCell ref="AC433:AC434"/>
    <mergeCell ref="AD433:AD434"/>
    <mergeCell ref="AL431:AL432"/>
    <mergeCell ref="AM431:AM432"/>
    <mergeCell ref="AN431:AN432"/>
    <mergeCell ref="AO431:AO432"/>
    <mergeCell ref="AP431:AP432"/>
    <mergeCell ref="AQ431:AQ432"/>
    <mergeCell ref="AR431:AR432"/>
    <mergeCell ref="AW433:AW434"/>
    <mergeCell ref="AX433:AX434"/>
    <mergeCell ref="AY433:AY434"/>
    <mergeCell ref="AS431:AS432"/>
    <mergeCell ref="AT431:AT432"/>
    <mergeCell ref="AU431:AU432"/>
    <mergeCell ref="AV431:AV432"/>
    <mergeCell ref="AW431:AW432"/>
    <mergeCell ref="AX431:AX432"/>
    <mergeCell ref="AY431:AY432"/>
    <mergeCell ref="AU437:AU438"/>
    <mergeCell ref="AV437:AV438"/>
    <mergeCell ref="AN437:AN438"/>
    <mergeCell ref="AO437:AO438"/>
    <mergeCell ref="AP437:AP438"/>
    <mergeCell ref="AQ437:AQ438"/>
    <mergeCell ref="AR437:AR438"/>
    <mergeCell ref="AS437:AS438"/>
    <mergeCell ref="AT437:AT438"/>
    <mergeCell ref="AL433:AL434"/>
    <mergeCell ref="AM433:AM434"/>
    <mergeCell ref="AE433:AE434"/>
    <mergeCell ref="AF433:AF434"/>
    <mergeCell ref="AG433:AG434"/>
    <mergeCell ref="AH433:AH434"/>
    <mergeCell ref="AI433:AI434"/>
    <mergeCell ref="AJ433:AJ434"/>
    <mergeCell ref="AK433:AK434"/>
    <mergeCell ref="AE435:AE436"/>
    <mergeCell ref="AF435:AF436"/>
    <mergeCell ref="AG435:AG436"/>
    <mergeCell ref="AH435:AH436"/>
    <mergeCell ref="AI435:AI436"/>
    <mergeCell ref="AJ435:AJ436"/>
    <mergeCell ref="AK435:AK436"/>
    <mergeCell ref="AL437:AL438"/>
    <mergeCell ref="AM437:AM438"/>
    <mergeCell ref="AE437:AE438"/>
    <mergeCell ref="AF437:AF438"/>
    <mergeCell ref="AG437:AG438"/>
    <mergeCell ref="AH437:AH438"/>
    <mergeCell ref="AI437:AI438"/>
    <mergeCell ref="AJ437:AJ438"/>
    <mergeCell ref="AK437:AK438"/>
    <mergeCell ref="W435:W436"/>
    <mergeCell ref="X435:X436"/>
    <mergeCell ref="Y435:Y436"/>
    <mergeCell ref="AA435:AA436"/>
    <mergeCell ref="AB435:AB436"/>
    <mergeCell ref="AC435:AC436"/>
    <mergeCell ref="AD435:AD436"/>
    <mergeCell ref="W437:W438"/>
    <mergeCell ref="X437:X438"/>
    <mergeCell ref="Y437:Y438"/>
    <mergeCell ref="AA437:AA438"/>
    <mergeCell ref="AB437:AB438"/>
    <mergeCell ref="AC437:AC438"/>
    <mergeCell ref="AD437:AD438"/>
    <mergeCell ref="AL435:AL436"/>
    <mergeCell ref="AM435:AM436"/>
    <mergeCell ref="AN435:AN436"/>
    <mergeCell ref="AO435:AO436"/>
    <mergeCell ref="AP435:AP436"/>
    <mergeCell ref="AQ435:AQ436"/>
    <mergeCell ref="AR435:AR436"/>
    <mergeCell ref="AW437:AW438"/>
    <mergeCell ref="AX437:AX438"/>
    <mergeCell ref="AY437:AY438"/>
    <mergeCell ref="AS435:AS436"/>
    <mergeCell ref="AT435:AT436"/>
    <mergeCell ref="AU435:AU436"/>
    <mergeCell ref="AV435:AV436"/>
    <mergeCell ref="AW435:AW436"/>
    <mergeCell ref="AX435:AX436"/>
    <mergeCell ref="AY435:AY436"/>
    <mergeCell ref="AU459:AU460"/>
    <mergeCell ref="AV459:AV460"/>
    <mergeCell ref="AN459:AN460"/>
    <mergeCell ref="AO459:AO460"/>
    <mergeCell ref="AP459:AP460"/>
    <mergeCell ref="AQ459:AQ460"/>
    <mergeCell ref="AR459:AR460"/>
    <mergeCell ref="AS459:AS460"/>
    <mergeCell ref="AT459:AT460"/>
    <mergeCell ref="AL455:AL456"/>
    <mergeCell ref="AM455:AM456"/>
    <mergeCell ref="AE455:AE456"/>
    <mergeCell ref="AF455:AF456"/>
    <mergeCell ref="AG455:AG456"/>
    <mergeCell ref="AH455:AH456"/>
    <mergeCell ref="AI455:AI456"/>
    <mergeCell ref="AJ455:AJ456"/>
    <mergeCell ref="AK455:AK456"/>
    <mergeCell ref="AE457:AE458"/>
    <mergeCell ref="AF457:AF458"/>
    <mergeCell ref="AG457:AG458"/>
    <mergeCell ref="AH457:AH458"/>
    <mergeCell ref="AI457:AI458"/>
    <mergeCell ref="AJ457:AJ458"/>
    <mergeCell ref="AK457:AK458"/>
    <mergeCell ref="AO449:AO450"/>
    <mergeCell ref="AP449:AP450"/>
    <mergeCell ref="AQ449:AQ450"/>
    <mergeCell ref="AR449:AR450"/>
    <mergeCell ref="AW451:AW452"/>
    <mergeCell ref="AX451:AX452"/>
    <mergeCell ref="AY451:AY452"/>
    <mergeCell ref="AS449:AS450"/>
    <mergeCell ref="AU455:AU456"/>
    <mergeCell ref="AV455:AV456"/>
    <mergeCell ref="AW455:AW456"/>
    <mergeCell ref="AX455:AX456"/>
    <mergeCell ref="AY455:AY456"/>
    <mergeCell ref="AS453:AS454"/>
    <mergeCell ref="AW459:AW460"/>
    <mergeCell ref="AX459:AX460"/>
    <mergeCell ref="AY459:AY460"/>
    <mergeCell ref="AS457:AS458"/>
    <mergeCell ref="AT457:AT458"/>
    <mergeCell ref="AU457:AU458"/>
    <mergeCell ref="AV457:AV458"/>
    <mergeCell ref="AW457:AW458"/>
    <mergeCell ref="AX457:AX458"/>
    <mergeCell ref="AY457:AY458"/>
    <mergeCell ref="AL447:AL448"/>
    <mergeCell ref="AM447:AM448"/>
    <mergeCell ref="AE447:AE448"/>
    <mergeCell ref="AF447:AF448"/>
    <mergeCell ref="AG447:AG448"/>
    <mergeCell ref="AH447:AH448"/>
    <mergeCell ref="AI447:AI448"/>
    <mergeCell ref="AJ447:AJ448"/>
    <mergeCell ref="AK447:AK448"/>
    <mergeCell ref="AE449:AE450"/>
    <mergeCell ref="AF449:AF450"/>
    <mergeCell ref="AG449:AG450"/>
    <mergeCell ref="AH449:AH450"/>
    <mergeCell ref="AI449:AI450"/>
    <mergeCell ref="AJ449:AJ450"/>
    <mergeCell ref="AK449:AK450"/>
    <mergeCell ref="AP453:AP454"/>
    <mergeCell ref="AQ453:AQ454"/>
    <mergeCell ref="AR453:AR454"/>
    <mergeCell ref="W449:W450"/>
    <mergeCell ref="X449:X450"/>
    <mergeCell ref="Y449:Y450"/>
    <mergeCell ref="AA449:AA450"/>
    <mergeCell ref="AB449:AB450"/>
    <mergeCell ref="AC449:AC450"/>
    <mergeCell ref="AD449:AD450"/>
    <mergeCell ref="W451:W452"/>
    <mergeCell ref="X451:X452"/>
    <mergeCell ref="Y451:Y452"/>
    <mergeCell ref="AA451:AA452"/>
    <mergeCell ref="AB451:AB452"/>
    <mergeCell ref="AC451:AC452"/>
    <mergeCell ref="AD451:AD452"/>
    <mergeCell ref="AL449:AL450"/>
    <mergeCell ref="AM449:AM450"/>
    <mergeCell ref="AN449:AN450"/>
    <mergeCell ref="AT453:AT454"/>
    <mergeCell ref="AU453:AU454"/>
    <mergeCell ref="AV453:AV454"/>
    <mergeCell ref="AW453:AW454"/>
    <mergeCell ref="AX453:AX454"/>
    <mergeCell ref="AY453:AY454"/>
    <mergeCell ref="AN455:AN456"/>
    <mergeCell ref="AO455:AO456"/>
    <mergeCell ref="AP455:AP456"/>
    <mergeCell ref="AQ455:AQ456"/>
    <mergeCell ref="AR455:AR456"/>
    <mergeCell ref="AS455:AS456"/>
    <mergeCell ref="AT455:AT456"/>
    <mergeCell ref="AL451:AL452"/>
    <mergeCell ref="AM451:AM452"/>
    <mergeCell ref="AE451:AE452"/>
    <mergeCell ref="AF451:AF452"/>
    <mergeCell ref="AG451:AG452"/>
    <mergeCell ref="AH451:AH452"/>
    <mergeCell ref="AI451:AI452"/>
    <mergeCell ref="AJ451:AJ452"/>
    <mergeCell ref="AK451:AK452"/>
    <mergeCell ref="AE453:AE454"/>
    <mergeCell ref="AF453:AF454"/>
    <mergeCell ref="AG453:AG454"/>
    <mergeCell ref="AH453:AH454"/>
    <mergeCell ref="AI453:AI454"/>
    <mergeCell ref="AJ453:AJ454"/>
    <mergeCell ref="AK453:AK454"/>
    <mergeCell ref="W453:W454"/>
    <mergeCell ref="X453:X454"/>
    <mergeCell ref="Y453:Y454"/>
    <mergeCell ref="AA453:AA454"/>
    <mergeCell ref="AB453:AB454"/>
    <mergeCell ref="AC453:AC454"/>
    <mergeCell ref="AD453:AD454"/>
    <mergeCell ref="W455:W456"/>
    <mergeCell ref="X455:X456"/>
    <mergeCell ref="Y455:Y456"/>
    <mergeCell ref="AA455:AA456"/>
    <mergeCell ref="AB455:AB456"/>
    <mergeCell ref="AC455:AC456"/>
    <mergeCell ref="AD455:AD456"/>
    <mergeCell ref="AL453:AL454"/>
    <mergeCell ref="AM453:AM454"/>
    <mergeCell ref="AN453:AN454"/>
    <mergeCell ref="AO453:AO454"/>
    <mergeCell ref="AW439:AW440"/>
    <mergeCell ref="AX439:AX440"/>
    <mergeCell ref="AY439:AY440"/>
    <mergeCell ref="AU447:AU448"/>
    <mergeCell ref="AV447:AV448"/>
    <mergeCell ref="AN447:AN448"/>
    <mergeCell ref="AO447:AO448"/>
    <mergeCell ref="AP447:AP448"/>
    <mergeCell ref="AQ447:AQ448"/>
    <mergeCell ref="AR447:AR448"/>
    <mergeCell ref="AS447:AS448"/>
    <mergeCell ref="AT447:AT448"/>
    <mergeCell ref="AS443:AS444"/>
    <mergeCell ref="AT443:AT444"/>
    <mergeCell ref="AW447:AW448"/>
    <mergeCell ref="AX447:AX448"/>
    <mergeCell ref="AY447:AY448"/>
    <mergeCell ref="AS445:AS446"/>
    <mergeCell ref="AT445:AT446"/>
    <mergeCell ref="AU445:AU446"/>
    <mergeCell ref="AV445:AV446"/>
    <mergeCell ref="AW445:AW446"/>
    <mergeCell ref="AX445:AX446"/>
    <mergeCell ref="AY445:AY446"/>
    <mergeCell ref="AU451:AU452"/>
    <mergeCell ref="AV451:AV452"/>
    <mergeCell ref="AN451:AN452"/>
    <mergeCell ref="AO451:AO452"/>
    <mergeCell ref="AP451:AP452"/>
    <mergeCell ref="AQ451:AQ452"/>
    <mergeCell ref="AR451:AR452"/>
    <mergeCell ref="AS451:AS452"/>
    <mergeCell ref="AT451:AT452"/>
    <mergeCell ref="AU443:AU444"/>
    <mergeCell ref="AV443:AV444"/>
    <mergeCell ref="AW443:AW444"/>
    <mergeCell ref="AX443:AX444"/>
    <mergeCell ref="AY443:AY444"/>
    <mergeCell ref="AO443:AO444"/>
    <mergeCell ref="AP443:AP444"/>
    <mergeCell ref="AQ443:AQ444"/>
    <mergeCell ref="AR443:AR444"/>
    <mergeCell ref="AW441:AW442"/>
    <mergeCell ref="AX441:AX442"/>
    <mergeCell ref="AY441:AY442"/>
    <mergeCell ref="AT449:AT450"/>
    <mergeCell ref="AU449:AU450"/>
    <mergeCell ref="AV449:AV450"/>
    <mergeCell ref="AW449:AW450"/>
    <mergeCell ref="AX449:AX450"/>
    <mergeCell ref="AY449:AY450"/>
    <mergeCell ref="AU441:AU442"/>
    <mergeCell ref="AV441:AV442"/>
    <mergeCell ref="AN441:AN442"/>
    <mergeCell ref="AO441:AO442"/>
    <mergeCell ref="AP441:AP442"/>
    <mergeCell ref="AQ441:AQ442"/>
    <mergeCell ref="AR441:AR442"/>
    <mergeCell ref="AS441:AS442"/>
    <mergeCell ref="AT441:AT442"/>
    <mergeCell ref="W439:W440"/>
    <mergeCell ref="X439:X440"/>
    <mergeCell ref="Y439:Y440"/>
    <mergeCell ref="AA439:AA440"/>
    <mergeCell ref="AB439:AB440"/>
    <mergeCell ref="AC439:AC440"/>
    <mergeCell ref="AD439:AD440"/>
    <mergeCell ref="AL439:AL440"/>
    <mergeCell ref="AM439:AM440"/>
    <mergeCell ref="AN439:AN440"/>
    <mergeCell ref="AO439:AO440"/>
    <mergeCell ref="AP439:AP440"/>
    <mergeCell ref="AQ439:AQ440"/>
    <mergeCell ref="AR439:AR440"/>
    <mergeCell ref="W441:W442"/>
    <mergeCell ref="X441:X442"/>
    <mergeCell ref="Y441:Y442"/>
    <mergeCell ref="AA441:AA442"/>
    <mergeCell ref="AB441:AB442"/>
    <mergeCell ref="AC441:AC442"/>
    <mergeCell ref="AD441:AD442"/>
    <mergeCell ref="AE445:AE446"/>
    <mergeCell ref="AF445:AF446"/>
    <mergeCell ref="AG445:AG446"/>
    <mergeCell ref="AH445:AH446"/>
    <mergeCell ref="AI445:AI446"/>
    <mergeCell ref="AJ445:AJ446"/>
    <mergeCell ref="AK445:AK446"/>
    <mergeCell ref="W445:W446"/>
    <mergeCell ref="X445:X446"/>
    <mergeCell ref="Y445:Y446"/>
    <mergeCell ref="AA445:AA446"/>
    <mergeCell ref="AB445:AB446"/>
    <mergeCell ref="AC445:AC446"/>
    <mergeCell ref="AD445:AD446"/>
    <mergeCell ref="AE443:AE444"/>
    <mergeCell ref="AF443:AF444"/>
    <mergeCell ref="AG443:AG444"/>
    <mergeCell ref="AH443:AH444"/>
    <mergeCell ref="AI443:AI444"/>
    <mergeCell ref="AJ443:AJ444"/>
    <mergeCell ref="AK443:AK444"/>
    <mergeCell ref="AL443:AL444"/>
    <mergeCell ref="AM443:AM444"/>
    <mergeCell ref="AN443:AN444"/>
    <mergeCell ref="W443:W444"/>
    <mergeCell ref="X443:X444"/>
    <mergeCell ref="Y443:Y444"/>
    <mergeCell ref="AA443:AA444"/>
    <mergeCell ref="AB443:AB444"/>
    <mergeCell ref="AC443:AC444"/>
    <mergeCell ref="AD443:AD444"/>
    <mergeCell ref="AL441:AL442"/>
    <mergeCell ref="AM441:AM442"/>
    <mergeCell ref="AE441:AE442"/>
    <mergeCell ref="AF441:AF442"/>
    <mergeCell ref="AG441:AG442"/>
    <mergeCell ref="AH441:AH442"/>
    <mergeCell ref="AI441:AI442"/>
    <mergeCell ref="AJ441:AJ442"/>
    <mergeCell ref="AK441:AK442"/>
    <mergeCell ref="AE439:AE440"/>
    <mergeCell ref="AF439:AF440"/>
    <mergeCell ref="AG439:AG440"/>
    <mergeCell ref="AU463:AU464"/>
    <mergeCell ref="AV463:AV464"/>
    <mergeCell ref="AN463:AN464"/>
    <mergeCell ref="AO463:AO464"/>
    <mergeCell ref="AP463:AP464"/>
    <mergeCell ref="AQ463:AQ464"/>
    <mergeCell ref="AR463:AR464"/>
    <mergeCell ref="AS463:AS464"/>
    <mergeCell ref="AT463:AT464"/>
    <mergeCell ref="AL459:AL460"/>
    <mergeCell ref="AM459:AM460"/>
    <mergeCell ref="AE459:AE460"/>
    <mergeCell ref="AF459:AF460"/>
    <mergeCell ref="AG459:AG460"/>
    <mergeCell ref="AH459:AH460"/>
    <mergeCell ref="AI459:AI460"/>
    <mergeCell ref="AJ459:AJ460"/>
    <mergeCell ref="AK459:AK460"/>
    <mergeCell ref="AE461:AE462"/>
    <mergeCell ref="AF461:AF462"/>
    <mergeCell ref="AG461:AG462"/>
    <mergeCell ref="AH461:AH462"/>
    <mergeCell ref="AI461:AI462"/>
    <mergeCell ref="AJ461:AJ462"/>
    <mergeCell ref="AK461:AK462"/>
    <mergeCell ref="W447:W448"/>
    <mergeCell ref="X447:X448"/>
    <mergeCell ref="Y447:Y448"/>
    <mergeCell ref="AA447:AA448"/>
    <mergeCell ref="AB447:AB448"/>
    <mergeCell ref="AC447:AC448"/>
    <mergeCell ref="AD447:AD448"/>
    <mergeCell ref="AL445:AL446"/>
    <mergeCell ref="AM445:AM446"/>
    <mergeCell ref="AN445:AN446"/>
    <mergeCell ref="AO445:AO446"/>
    <mergeCell ref="AP445:AP446"/>
    <mergeCell ref="AQ445:AQ446"/>
    <mergeCell ref="AR445:AR446"/>
    <mergeCell ref="W457:W458"/>
    <mergeCell ref="X457:X458"/>
    <mergeCell ref="Y457:Y458"/>
    <mergeCell ref="AA457:AA458"/>
    <mergeCell ref="AB457:AB458"/>
    <mergeCell ref="AC457:AC458"/>
    <mergeCell ref="AD457:AD458"/>
    <mergeCell ref="W459:W460"/>
    <mergeCell ref="X459:X460"/>
    <mergeCell ref="Y459:Y460"/>
    <mergeCell ref="AA459:AA460"/>
    <mergeCell ref="AB459:AB460"/>
    <mergeCell ref="AC459:AC460"/>
    <mergeCell ref="AD459:AD460"/>
    <mergeCell ref="AL457:AL458"/>
    <mergeCell ref="AM457:AM458"/>
    <mergeCell ref="AN457:AN458"/>
    <mergeCell ref="AO457:AO458"/>
    <mergeCell ref="AP457:AP458"/>
    <mergeCell ref="AQ457:AQ458"/>
    <mergeCell ref="AR457:AR458"/>
    <mergeCell ref="W461:W462"/>
    <mergeCell ref="X461:X462"/>
    <mergeCell ref="Y461:Y462"/>
    <mergeCell ref="AA461:AA462"/>
    <mergeCell ref="AB461:AB462"/>
    <mergeCell ref="AC461:AC462"/>
    <mergeCell ref="AD461:AD462"/>
    <mergeCell ref="W463:W464"/>
    <mergeCell ref="X463:X464"/>
    <mergeCell ref="Y463:Y464"/>
    <mergeCell ref="AA463:AA464"/>
    <mergeCell ref="AB463:AB464"/>
    <mergeCell ref="AC463:AC464"/>
    <mergeCell ref="AD463:AD464"/>
    <mergeCell ref="AL461:AL462"/>
    <mergeCell ref="AM461:AM462"/>
    <mergeCell ref="AN461:AN462"/>
    <mergeCell ref="AO461:AO462"/>
    <mergeCell ref="AP461:AP462"/>
    <mergeCell ref="AQ461:AQ462"/>
    <mergeCell ref="AR461:AR462"/>
    <mergeCell ref="AW463:AW464"/>
    <mergeCell ref="AX463:AX464"/>
    <mergeCell ref="AY463:AY464"/>
    <mergeCell ref="AS461:AS462"/>
    <mergeCell ref="AT461:AT462"/>
    <mergeCell ref="AU461:AU462"/>
    <mergeCell ref="AV461:AV462"/>
    <mergeCell ref="AW461:AW462"/>
    <mergeCell ref="AX461:AX462"/>
    <mergeCell ref="AY461:AY462"/>
    <mergeCell ref="AU467:AU468"/>
    <mergeCell ref="AV467:AV468"/>
    <mergeCell ref="AN467:AN468"/>
    <mergeCell ref="AO467:AO468"/>
    <mergeCell ref="AP467:AP468"/>
    <mergeCell ref="AQ467:AQ468"/>
    <mergeCell ref="AR467:AR468"/>
    <mergeCell ref="AS467:AS468"/>
    <mergeCell ref="AT467:AT468"/>
    <mergeCell ref="AL463:AL464"/>
    <mergeCell ref="AM463:AM464"/>
    <mergeCell ref="AE463:AE464"/>
    <mergeCell ref="AF463:AF464"/>
    <mergeCell ref="AG463:AG464"/>
    <mergeCell ref="AH463:AH464"/>
    <mergeCell ref="AI463:AI464"/>
    <mergeCell ref="AJ463:AJ464"/>
    <mergeCell ref="AK463:AK464"/>
    <mergeCell ref="AE465:AE466"/>
    <mergeCell ref="AF465:AF466"/>
    <mergeCell ref="AG465:AG466"/>
    <mergeCell ref="AH465:AH466"/>
    <mergeCell ref="AI465:AI466"/>
    <mergeCell ref="AJ465:AJ466"/>
    <mergeCell ref="AK465:AK466"/>
    <mergeCell ref="W465:W466"/>
    <mergeCell ref="X465:X466"/>
    <mergeCell ref="Y465:Y466"/>
    <mergeCell ref="AA465:AA466"/>
    <mergeCell ref="AB465:AB466"/>
    <mergeCell ref="AC465:AC466"/>
    <mergeCell ref="AD465:AD466"/>
    <mergeCell ref="W467:W468"/>
    <mergeCell ref="X467:X468"/>
    <mergeCell ref="Y467:Y468"/>
    <mergeCell ref="AA467:AA468"/>
    <mergeCell ref="AB467:AB468"/>
    <mergeCell ref="AC467:AC468"/>
    <mergeCell ref="AD467:AD468"/>
    <mergeCell ref="AL465:AL466"/>
    <mergeCell ref="AM465:AM466"/>
    <mergeCell ref="AN465:AN466"/>
    <mergeCell ref="AO465:AO466"/>
    <mergeCell ref="AP465:AP466"/>
    <mergeCell ref="AQ465:AQ466"/>
    <mergeCell ref="AR465:AR466"/>
    <mergeCell ref="AW467:AW468"/>
    <mergeCell ref="AX467:AX468"/>
    <mergeCell ref="AY467:AY468"/>
    <mergeCell ref="AS465:AS466"/>
    <mergeCell ref="AT465:AT466"/>
    <mergeCell ref="AU465:AU466"/>
    <mergeCell ref="AV465:AV466"/>
    <mergeCell ref="AW465:AW466"/>
    <mergeCell ref="AX465:AX466"/>
    <mergeCell ref="AY465:AY466"/>
    <mergeCell ref="AU471:AU472"/>
    <mergeCell ref="AV471:AV472"/>
    <mergeCell ref="AN471:AN472"/>
    <mergeCell ref="AO471:AO472"/>
    <mergeCell ref="AP471:AP472"/>
    <mergeCell ref="AQ471:AQ472"/>
    <mergeCell ref="AR471:AR472"/>
    <mergeCell ref="AS471:AS472"/>
    <mergeCell ref="AT471:AT472"/>
    <mergeCell ref="AL467:AL468"/>
    <mergeCell ref="AM467:AM468"/>
    <mergeCell ref="AE467:AE468"/>
    <mergeCell ref="AF467:AF468"/>
    <mergeCell ref="AG467:AG468"/>
    <mergeCell ref="AH467:AH468"/>
    <mergeCell ref="AI467:AI468"/>
    <mergeCell ref="AJ467:AJ468"/>
    <mergeCell ref="AK467:AK468"/>
    <mergeCell ref="AE469:AE470"/>
    <mergeCell ref="AF469:AF470"/>
    <mergeCell ref="AG469:AG470"/>
    <mergeCell ref="AH469:AH470"/>
    <mergeCell ref="AI469:AI470"/>
    <mergeCell ref="AJ469:AJ470"/>
    <mergeCell ref="AK469:AK470"/>
    <mergeCell ref="W469:W470"/>
    <mergeCell ref="X469:X470"/>
    <mergeCell ref="Y469:Y470"/>
    <mergeCell ref="AA469:AA470"/>
    <mergeCell ref="AB469:AB470"/>
    <mergeCell ref="AC469:AC470"/>
    <mergeCell ref="AD469:AD470"/>
    <mergeCell ref="W471:W472"/>
    <mergeCell ref="X471:X472"/>
    <mergeCell ref="Y471:Y472"/>
    <mergeCell ref="AA471:AA472"/>
    <mergeCell ref="AB471:AB472"/>
    <mergeCell ref="AC471:AC472"/>
    <mergeCell ref="AD471:AD472"/>
    <mergeCell ref="AL469:AL470"/>
    <mergeCell ref="AM469:AM470"/>
    <mergeCell ref="AN469:AN470"/>
    <mergeCell ref="AO469:AO470"/>
    <mergeCell ref="AP469:AP470"/>
    <mergeCell ref="AQ469:AQ470"/>
    <mergeCell ref="AR469:AR470"/>
    <mergeCell ref="AW471:AW472"/>
    <mergeCell ref="AX471:AX472"/>
    <mergeCell ref="AY471:AY472"/>
    <mergeCell ref="AS469:AS470"/>
    <mergeCell ref="AT469:AT470"/>
    <mergeCell ref="AU469:AU470"/>
    <mergeCell ref="AV469:AV470"/>
    <mergeCell ref="AW469:AW470"/>
    <mergeCell ref="AX469:AX470"/>
    <mergeCell ref="AY469:AY470"/>
    <mergeCell ref="AU475:AU476"/>
    <mergeCell ref="AV475:AV476"/>
    <mergeCell ref="AN475:AN476"/>
    <mergeCell ref="AO475:AO476"/>
    <mergeCell ref="AP475:AP476"/>
    <mergeCell ref="AQ475:AQ476"/>
    <mergeCell ref="AR475:AR476"/>
    <mergeCell ref="AS475:AS476"/>
    <mergeCell ref="AT475:AT476"/>
    <mergeCell ref="AL471:AL472"/>
    <mergeCell ref="AM471:AM472"/>
    <mergeCell ref="AE471:AE472"/>
    <mergeCell ref="AF471:AF472"/>
    <mergeCell ref="AG471:AG472"/>
    <mergeCell ref="AH471:AH472"/>
    <mergeCell ref="AI471:AI472"/>
    <mergeCell ref="AJ471:AJ472"/>
    <mergeCell ref="AK471:AK472"/>
    <mergeCell ref="AE473:AE474"/>
    <mergeCell ref="AF473:AF474"/>
    <mergeCell ref="AG473:AG474"/>
    <mergeCell ref="AH473:AH474"/>
    <mergeCell ref="AI473:AI474"/>
    <mergeCell ref="AJ473:AJ474"/>
    <mergeCell ref="AK473:AK474"/>
    <mergeCell ref="W473:W474"/>
    <mergeCell ref="X473:X474"/>
    <mergeCell ref="Y473:Y474"/>
    <mergeCell ref="AA473:AA474"/>
    <mergeCell ref="AB473:AB474"/>
    <mergeCell ref="AC473:AC474"/>
    <mergeCell ref="AD473:AD474"/>
    <mergeCell ref="W475:W476"/>
    <mergeCell ref="X475:X476"/>
    <mergeCell ref="Y475:Y476"/>
    <mergeCell ref="AA475:AA476"/>
    <mergeCell ref="AB475:AB476"/>
    <mergeCell ref="AC475:AC476"/>
    <mergeCell ref="AD475:AD476"/>
    <mergeCell ref="AL473:AL474"/>
    <mergeCell ref="AM473:AM474"/>
    <mergeCell ref="AN473:AN474"/>
    <mergeCell ref="AO473:AO474"/>
    <mergeCell ref="AP473:AP474"/>
    <mergeCell ref="AQ473:AQ474"/>
    <mergeCell ref="AR473:AR474"/>
    <mergeCell ref="AW475:AW476"/>
    <mergeCell ref="AX475:AX476"/>
    <mergeCell ref="AY475:AY476"/>
    <mergeCell ref="AS473:AS474"/>
    <mergeCell ref="AT473:AT474"/>
    <mergeCell ref="AU473:AU474"/>
    <mergeCell ref="AV473:AV474"/>
    <mergeCell ref="AW473:AW474"/>
    <mergeCell ref="AX473:AX474"/>
    <mergeCell ref="AY473:AY474"/>
    <mergeCell ref="AU479:AU480"/>
    <mergeCell ref="AV479:AV480"/>
    <mergeCell ref="AN479:AN480"/>
    <mergeCell ref="AO479:AO480"/>
    <mergeCell ref="AP479:AP480"/>
    <mergeCell ref="AQ479:AQ480"/>
    <mergeCell ref="AR479:AR480"/>
    <mergeCell ref="AS479:AS480"/>
    <mergeCell ref="AT479:AT480"/>
    <mergeCell ref="AL475:AL476"/>
    <mergeCell ref="AM475:AM476"/>
    <mergeCell ref="AE475:AE476"/>
    <mergeCell ref="AF475:AF476"/>
    <mergeCell ref="AG475:AG476"/>
    <mergeCell ref="AH475:AH476"/>
    <mergeCell ref="AI475:AI476"/>
    <mergeCell ref="AJ475:AJ476"/>
    <mergeCell ref="AK475:AK476"/>
    <mergeCell ref="AE477:AE478"/>
    <mergeCell ref="AF477:AF478"/>
    <mergeCell ref="AG477:AG478"/>
    <mergeCell ref="AH477:AH478"/>
    <mergeCell ref="AI477:AI478"/>
    <mergeCell ref="AJ477:AJ478"/>
    <mergeCell ref="AK477:AK478"/>
    <mergeCell ref="W477:W478"/>
    <mergeCell ref="X477:X478"/>
    <mergeCell ref="Y477:Y478"/>
    <mergeCell ref="AA477:AA478"/>
    <mergeCell ref="AB477:AB478"/>
    <mergeCell ref="AC477:AC478"/>
    <mergeCell ref="AD477:AD478"/>
    <mergeCell ref="W479:W480"/>
    <mergeCell ref="X479:X480"/>
    <mergeCell ref="Y479:Y480"/>
    <mergeCell ref="AA479:AA480"/>
    <mergeCell ref="AB479:AB480"/>
    <mergeCell ref="AC479:AC480"/>
    <mergeCell ref="AD479:AD480"/>
    <mergeCell ref="AL477:AL478"/>
    <mergeCell ref="AM477:AM478"/>
    <mergeCell ref="AN477:AN478"/>
    <mergeCell ref="AO477:AO478"/>
    <mergeCell ref="AP477:AP478"/>
    <mergeCell ref="AQ477:AQ478"/>
    <mergeCell ref="AR477:AR478"/>
    <mergeCell ref="AW479:AW480"/>
    <mergeCell ref="AX479:AX480"/>
    <mergeCell ref="AY479:AY480"/>
    <mergeCell ref="AS477:AS478"/>
    <mergeCell ref="AT477:AT478"/>
    <mergeCell ref="AU477:AU478"/>
    <mergeCell ref="AV477:AV478"/>
    <mergeCell ref="AW477:AW478"/>
    <mergeCell ref="AX477:AX478"/>
    <mergeCell ref="AY477:AY478"/>
    <mergeCell ref="AU483:AU484"/>
    <mergeCell ref="AV483:AV484"/>
    <mergeCell ref="AN483:AN484"/>
    <mergeCell ref="AO483:AO484"/>
    <mergeCell ref="AP483:AP484"/>
    <mergeCell ref="AQ483:AQ484"/>
    <mergeCell ref="AR483:AR484"/>
    <mergeCell ref="AS483:AS484"/>
    <mergeCell ref="AT483:AT484"/>
    <mergeCell ref="AL479:AL480"/>
    <mergeCell ref="AM479:AM480"/>
    <mergeCell ref="AE479:AE480"/>
    <mergeCell ref="AF479:AF480"/>
    <mergeCell ref="AG479:AG480"/>
    <mergeCell ref="AH479:AH480"/>
    <mergeCell ref="AI479:AI480"/>
    <mergeCell ref="AJ479:AJ480"/>
    <mergeCell ref="AK479:AK480"/>
    <mergeCell ref="AE481:AE482"/>
    <mergeCell ref="AF481:AF482"/>
    <mergeCell ref="AG481:AG482"/>
    <mergeCell ref="AH481:AH482"/>
    <mergeCell ref="AI481:AI482"/>
    <mergeCell ref="AJ481:AJ482"/>
    <mergeCell ref="AK481:AK482"/>
    <mergeCell ref="W481:W482"/>
    <mergeCell ref="X481:X482"/>
    <mergeCell ref="Y481:Y482"/>
    <mergeCell ref="AA481:AA482"/>
    <mergeCell ref="AB481:AB482"/>
    <mergeCell ref="AC481:AC482"/>
    <mergeCell ref="AD481:AD482"/>
    <mergeCell ref="W483:W484"/>
    <mergeCell ref="X483:X484"/>
    <mergeCell ref="Y483:Y484"/>
    <mergeCell ref="AA483:AA484"/>
    <mergeCell ref="AB483:AB484"/>
    <mergeCell ref="AC483:AC484"/>
    <mergeCell ref="AD483:AD484"/>
    <mergeCell ref="AL481:AL482"/>
    <mergeCell ref="AM481:AM482"/>
    <mergeCell ref="AN481:AN482"/>
    <mergeCell ref="AO481:AO482"/>
    <mergeCell ref="AP481:AP482"/>
    <mergeCell ref="AQ481:AQ482"/>
    <mergeCell ref="AR481:AR482"/>
    <mergeCell ref="AW483:AW484"/>
    <mergeCell ref="AX483:AX484"/>
    <mergeCell ref="AY483:AY484"/>
    <mergeCell ref="AS481:AS482"/>
    <mergeCell ref="AT481:AT482"/>
    <mergeCell ref="AU481:AU482"/>
    <mergeCell ref="AV481:AV482"/>
    <mergeCell ref="AW481:AW482"/>
    <mergeCell ref="AX481:AX482"/>
    <mergeCell ref="AY481:AY482"/>
    <mergeCell ref="AO495:AO496"/>
    <mergeCell ref="AP495:AP496"/>
    <mergeCell ref="AQ495:AQ496"/>
    <mergeCell ref="AR495:AR496"/>
    <mergeCell ref="AW497:AW498"/>
    <mergeCell ref="AX497:AX498"/>
    <mergeCell ref="AY497:AY498"/>
    <mergeCell ref="AS495:AS496"/>
    <mergeCell ref="AT495:AT496"/>
    <mergeCell ref="AU495:AU496"/>
    <mergeCell ref="AV495:AV496"/>
    <mergeCell ref="AW495:AW496"/>
    <mergeCell ref="AX495:AX496"/>
    <mergeCell ref="AY495:AY496"/>
    <mergeCell ref="AL487:AL488"/>
    <mergeCell ref="AM487:AM488"/>
    <mergeCell ref="AW487:AW488"/>
    <mergeCell ref="AX487:AX488"/>
    <mergeCell ref="AY487:AY488"/>
    <mergeCell ref="AE487:AE488"/>
    <mergeCell ref="AF487:AF488"/>
    <mergeCell ref="AG487:AG488"/>
    <mergeCell ref="AH487:AH488"/>
    <mergeCell ref="AI487:AI488"/>
    <mergeCell ref="Y489:Y490"/>
    <mergeCell ref="AD489:AD490"/>
    <mergeCell ref="AL503:AL504"/>
    <mergeCell ref="AM503:AM504"/>
    <mergeCell ref="AN503:AN504"/>
    <mergeCell ref="AO503:AO504"/>
    <mergeCell ref="AP503:AP504"/>
    <mergeCell ref="AQ503:AQ504"/>
    <mergeCell ref="AR503:AR504"/>
    <mergeCell ref="AW505:AW506"/>
    <mergeCell ref="AX505:AX506"/>
    <mergeCell ref="AY505:AY506"/>
    <mergeCell ref="AS503:AS504"/>
    <mergeCell ref="AT503:AT504"/>
    <mergeCell ref="AU503:AU504"/>
    <mergeCell ref="AV503:AV504"/>
    <mergeCell ref="AW503:AW504"/>
    <mergeCell ref="AX503:AX504"/>
    <mergeCell ref="AY503:AY504"/>
    <mergeCell ref="AL493:AL494"/>
    <mergeCell ref="AM493:AM494"/>
    <mergeCell ref="AE493:AE494"/>
    <mergeCell ref="AF493:AF494"/>
    <mergeCell ref="AG493:AG494"/>
    <mergeCell ref="AH493:AH494"/>
    <mergeCell ref="AI493:AI494"/>
    <mergeCell ref="AJ493:AJ494"/>
    <mergeCell ref="AK493:AK494"/>
    <mergeCell ref="AE495:AE496"/>
    <mergeCell ref="AF495:AF496"/>
    <mergeCell ref="AG495:AG496"/>
    <mergeCell ref="AH495:AH496"/>
    <mergeCell ref="AI495:AI496"/>
    <mergeCell ref="AJ495:AJ496"/>
    <mergeCell ref="AK495:AK496"/>
    <mergeCell ref="AU505:AU506"/>
    <mergeCell ref="AV505:AV506"/>
    <mergeCell ref="AN505:AN506"/>
    <mergeCell ref="AO505:AO506"/>
    <mergeCell ref="AP505:AP506"/>
    <mergeCell ref="AQ505:AQ506"/>
    <mergeCell ref="AR505:AR506"/>
    <mergeCell ref="AS505:AS506"/>
    <mergeCell ref="AT505:AT506"/>
    <mergeCell ref="AL501:AL502"/>
    <mergeCell ref="AM501:AM502"/>
    <mergeCell ref="AE501:AE502"/>
    <mergeCell ref="AF501:AF502"/>
    <mergeCell ref="AG501:AG502"/>
    <mergeCell ref="AH501:AH502"/>
    <mergeCell ref="AI501:AI502"/>
    <mergeCell ref="AJ501:AJ502"/>
    <mergeCell ref="AK501:AK502"/>
    <mergeCell ref="AE503:AE504"/>
    <mergeCell ref="AF503:AF504"/>
    <mergeCell ref="AG503:AG504"/>
    <mergeCell ref="AH503:AH504"/>
    <mergeCell ref="AI503:AI504"/>
    <mergeCell ref="AJ503:AJ504"/>
    <mergeCell ref="AK503:AK504"/>
    <mergeCell ref="AU501:AU502"/>
    <mergeCell ref="AV501:AV502"/>
    <mergeCell ref="AU497:AU498"/>
    <mergeCell ref="AV497:AV498"/>
    <mergeCell ref="AN497:AN498"/>
    <mergeCell ref="AO497:AO498"/>
    <mergeCell ref="AA499:AA500"/>
    <mergeCell ref="AL491:AL492"/>
    <mergeCell ref="AM491:AM492"/>
    <mergeCell ref="AN491:AN492"/>
    <mergeCell ref="AO491:AO492"/>
    <mergeCell ref="AP491:AP492"/>
    <mergeCell ref="AQ491:AQ492"/>
    <mergeCell ref="AR491:AR492"/>
    <mergeCell ref="AW493:AW494"/>
    <mergeCell ref="AX493:AX494"/>
    <mergeCell ref="AY493:AY494"/>
    <mergeCell ref="AS491:AS492"/>
    <mergeCell ref="AL483:AL484"/>
    <mergeCell ref="AM483:AM484"/>
    <mergeCell ref="AE483:AE484"/>
    <mergeCell ref="AF483:AF484"/>
    <mergeCell ref="AG483:AG484"/>
    <mergeCell ref="AH483:AH484"/>
    <mergeCell ref="AI483:AI484"/>
    <mergeCell ref="AJ483:AJ484"/>
    <mergeCell ref="AK483:AK484"/>
    <mergeCell ref="AE485:AE486"/>
    <mergeCell ref="AF485:AF486"/>
    <mergeCell ref="AG485:AG486"/>
    <mergeCell ref="AH485:AH486"/>
    <mergeCell ref="AI485:AI486"/>
    <mergeCell ref="AJ485:AJ486"/>
    <mergeCell ref="AK485:AK486"/>
    <mergeCell ref="AS485:AS486"/>
    <mergeCell ref="AT485:AT486"/>
    <mergeCell ref="AU485:AU486"/>
    <mergeCell ref="AV485:AV486"/>
    <mergeCell ref="AW485:AW486"/>
    <mergeCell ref="AX485:AX486"/>
    <mergeCell ref="AY485:AY486"/>
    <mergeCell ref="AU493:AU494"/>
    <mergeCell ref="AV493:AV494"/>
    <mergeCell ref="AN493:AN494"/>
    <mergeCell ref="AO493:AO494"/>
    <mergeCell ref="AP493:AP494"/>
    <mergeCell ref="AQ493:AQ494"/>
    <mergeCell ref="AR493:AR494"/>
    <mergeCell ref="AS493:AS494"/>
    <mergeCell ref="AT493:AT494"/>
    <mergeCell ref="AS489:AS490"/>
    <mergeCell ref="AT489:AT490"/>
    <mergeCell ref="AU489:AU490"/>
    <mergeCell ref="AV489:AV490"/>
    <mergeCell ref="AW489:AW490"/>
    <mergeCell ref="AX489:AX490"/>
    <mergeCell ref="AY489:AY490"/>
    <mergeCell ref="AJ487:AJ488"/>
    <mergeCell ref="AK487:AK48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A489:AA490"/>
    <mergeCell ref="AB489:AB490"/>
    <mergeCell ref="AC489:AC490"/>
    <mergeCell ref="AW501:AW502"/>
    <mergeCell ref="AX501:AX502"/>
    <mergeCell ref="AY501:AY502"/>
    <mergeCell ref="AS499:AS500"/>
    <mergeCell ref="AT499:AT500"/>
    <mergeCell ref="AU499:AU500"/>
    <mergeCell ref="AV499:AV500"/>
    <mergeCell ref="AW499:AW500"/>
    <mergeCell ref="AX499:AX500"/>
    <mergeCell ref="AY499:AY500"/>
    <mergeCell ref="AU487:AU488"/>
    <mergeCell ref="AV487:AV488"/>
    <mergeCell ref="AN487:AN488"/>
    <mergeCell ref="AO487:AO488"/>
    <mergeCell ref="AP487:AP488"/>
    <mergeCell ref="AQ487:AQ488"/>
    <mergeCell ref="AR487:AR488"/>
    <mergeCell ref="AS487:AS488"/>
    <mergeCell ref="AT487:AT488"/>
    <mergeCell ref="AN501:AN502"/>
    <mergeCell ref="AO501:AO502"/>
    <mergeCell ref="AP501:AP502"/>
    <mergeCell ref="AQ501:AQ502"/>
    <mergeCell ref="AR501:AR502"/>
    <mergeCell ref="AS501:AS502"/>
    <mergeCell ref="AT501:AT502"/>
    <mergeCell ref="AL497:AL498"/>
    <mergeCell ref="AM497:AM498"/>
    <mergeCell ref="AE497:AE498"/>
    <mergeCell ref="AF497:AF498"/>
    <mergeCell ref="AG497:AG498"/>
    <mergeCell ref="AH497:AH498"/>
    <mergeCell ref="AI497:AI498"/>
    <mergeCell ref="AJ497:AJ498"/>
    <mergeCell ref="AK497:AK498"/>
    <mergeCell ref="AE499:AE500"/>
    <mergeCell ref="AF499:AF500"/>
    <mergeCell ref="AG499:AG500"/>
    <mergeCell ref="AH499:AH500"/>
    <mergeCell ref="AI499:AI500"/>
    <mergeCell ref="AJ499:AJ500"/>
    <mergeCell ref="AK499:AK500"/>
    <mergeCell ref="AP489:AP490"/>
    <mergeCell ref="AQ489:AQ490"/>
    <mergeCell ref="AR489:AR490"/>
    <mergeCell ref="AT491:AT492"/>
    <mergeCell ref="AU491:AU492"/>
    <mergeCell ref="AV491:AV492"/>
    <mergeCell ref="AW491:AW492"/>
    <mergeCell ref="AX491:AX492"/>
    <mergeCell ref="AY491:AY492"/>
    <mergeCell ref="AL495:AL496"/>
    <mergeCell ref="AM495:AM496"/>
    <mergeCell ref="AN495:AN496"/>
    <mergeCell ref="AP497:AP498"/>
    <mergeCell ref="AQ497:AQ498"/>
    <mergeCell ref="AR497:AR498"/>
    <mergeCell ref="AS497:AS498"/>
    <mergeCell ref="AT497:AT498"/>
    <mergeCell ref="W507:W508"/>
    <mergeCell ref="X507:X508"/>
    <mergeCell ref="Y507:Y508"/>
    <mergeCell ref="AA507:AA508"/>
    <mergeCell ref="AB507:AB508"/>
    <mergeCell ref="AC507:AC508"/>
    <mergeCell ref="AD507:AD508"/>
    <mergeCell ref="W509:W510"/>
    <mergeCell ref="X509:X510"/>
    <mergeCell ref="Y509:Y510"/>
    <mergeCell ref="AA509:AA510"/>
    <mergeCell ref="AB509:AB510"/>
    <mergeCell ref="AC509:AC510"/>
    <mergeCell ref="AD509:AD510"/>
    <mergeCell ref="AL507:AL508"/>
    <mergeCell ref="AM507:AM508"/>
    <mergeCell ref="AN507:AN508"/>
    <mergeCell ref="AO507:AO508"/>
    <mergeCell ref="AP507:AP508"/>
    <mergeCell ref="AQ507:AQ508"/>
    <mergeCell ref="AR507:AR508"/>
    <mergeCell ref="W511:W512"/>
    <mergeCell ref="X511:X512"/>
    <mergeCell ref="Y511:Y512"/>
    <mergeCell ref="W485:W486"/>
    <mergeCell ref="X485:X486"/>
    <mergeCell ref="Y485:Y486"/>
    <mergeCell ref="AA485:AA486"/>
    <mergeCell ref="AB485:AB486"/>
    <mergeCell ref="AC485:AC486"/>
    <mergeCell ref="AD485:AD486"/>
    <mergeCell ref="AL485:AL486"/>
    <mergeCell ref="AM485:AM486"/>
    <mergeCell ref="AN485:AN486"/>
    <mergeCell ref="AO485:AO486"/>
    <mergeCell ref="AP485:AP486"/>
    <mergeCell ref="AQ485:AQ486"/>
    <mergeCell ref="AR485:AR486"/>
    <mergeCell ref="W487:W488"/>
    <mergeCell ref="X487:X488"/>
    <mergeCell ref="Y487:Y488"/>
    <mergeCell ref="AA487:AA488"/>
    <mergeCell ref="AB487:AB488"/>
    <mergeCell ref="AC487:AC488"/>
    <mergeCell ref="AD487:AD488"/>
    <mergeCell ref="AE491:AE492"/>
    <mergeCell ref="AF491:AF492"/>
    <mergeCell ref="AG491:AG492"/>
    <mergeCell ref="AH491:AH492"/>
    <mergeCell ref="AI491:AI492"/>
    <mergeCell ref="AJ491:AJ492"/>
    <mergeCell ref="AK491:AK492"/>
    <mergeCell ref="W491:W492"/>
    <mergeCell ref="X491:X492"/>
    <mergeCell ref="Y491:Y492"/>
    <mergeCell ref="AA491:AA492"/>
    <mergeCell ref="AB491:AB492"/>
    <mergeCell ref="AC491:AC492"/>
    <mergeCell ref="AD491:AD492"/>
    <mergeCell ref="AE489:AE490"/>
    <mergeCell ref="AF489:AF490"/>
    <mergeCell ref="AG489:AG490"/>
    <mergeCell ref="W489:W490"/>
    <mergeCell ref="X489:X490"/>
    <mergeCell ref="W493:W494"/>
    <mergeCell ref="X493:X494"/>
    <mergeCell ref="Y493:Y494"/>
    <mergeCell ref="AA493:AA494"/>
    <mergeCell ref="AB493:AB494"/>
    <mergeCell ref="AC493:AC494"/>
    <mergeCell ref="AD493:AD494"/>
    <mergeCell ref="AB499:AB500"/>
    <mergeCell ref="AC499:AC500"/>
    <mergeCell ref="AD499:AD500"/>
    <mergeCell ref="W501:W502"/>
    <mergeCell ref="X501:X502"/>
    <mergeCell ref="Y501:Y502"/>
    <mergeCell ref="AA501:AA502"/>
    <mergeCell ref="AB501:AB502"/>
    <mergeCell ref="AC501:AC502"/>
    <mergeCell ref="AD501:AD502"/>
    <mergeCell ref="AL499:AL500"/>
    <mergeCell ref="AM499:AM500"/>
    <mergeCell ref="AN499:AN500"/>
    <mergeCell ref="AO499:AO500"/>
    <mergeCell ref="AP499:AP500"/>
    <mergeCell ref="AQ499:AQ500"/>
    <mergeCell ref="AR499:AR500"/>
    <mergeCell ref="W503:W504"/>
    <mergeCell ref="X503:X504"/>
    <mergeCell ref="Y503:Y504"/>
    <mergeCell ref="AA503:AA504"/>
    <mergeCell ref="AB503:AB504"/>
    <mergeCell ref="AC503:AC504"/>
    <mergeCell ref="AD503:AD504"/>
    <mergeCell ref="W505:W506"/>
    <mergeCell ref="X505:X506"/>
    <mergeCell ref="Y505:Y506"/>
    <mergeCell ref="AA505:AA506"/>
    <mergeCell ref="AB505:AB506"/>
    <mergeCell ref="AC505:AC506"/>
    <mergeCell ref="AD505:AD506"/>
    <mergeCell ref="W495:W496"/>
    <mergeCell ref="X495:X496"/>
    <mergeCell ref="Y495:Y496"/>
    <mergeCell ref="AA495:AA496"/>
    <mergeCell ref="AB495:AB496"/>
    <mergeCell ref="AC495:AC496"/>
    <mergeCell ref="AD495:AD496"/>
    <mergeCell ref="W497:W498"/>
    <mergeCell ref="X497:X498"/>
    <mergeCell ref="Y497:Y498"/>
    <mergeCell ref="AA497:AA498"/>
    <mergeCell ref="AB497:AB498"/>
    <mergeCell ref="AC497:AC498"/>
    <mergeCell ref="AD497:AD498"/>
    <mergeCell ref="AL505:AL506"/>
    <mergeCell ref="AM505:AM506"/>
    <mergeCell ref="AE505:AE506"/>
    <mergeCell ref="AF505:AF506"/>
    <mergeCell ref="AG505:AG506"/>
    <mergeCell ref="AH505:AH506"/>
    <mergeCell ref="AI505:AI506"/>
    <mergeCell ref="AJ505:AJ506"/>
    <mergeCell ref="AK505:AK506"/>
    <mergeCell ref="W499:W500"/>
    <mergeCell ref="X499:X500"/>
    <mergeCell ref="Y499:Y500"/>
    <mergeCell ref="AW509:AW510"/>
    <mergeCell ref="AX509:AX510"/>
    <mergeCell ref="AY509:AY510"/>
    <mergeCell ref="AS507:AS508"/>
    <mergeCell ref="AT507:AT508"/>
    <mergeCell ref="AU507:AU508"/>
    <mergeCell ref="AV507:AV508"/>
    <mergeCell ref="AW507:AW508"/>
    <mergeCell ref="AX507:AX508"/>
    <mergeCell ref="AY507:AY508"/>
    <mergeCell ref="AU513:AU514"/>
    <mergeCell ref="AV513:AV514"/>
    <mergeCell ref="AN513:AN514"/>
    <mergeCell ref="AO513:AO514"/>
    <mergeCell ref="AP513:AP514"/>
    <mergeCell ref="AQ513:AQ514"/>
    <mergeCell ref="AR513:AR514"/>
    <mergeCell ref="AS513:AS514"/>
    <mergeCell ref="AT513:AT514"/>
    <mergeCell ref="AL509:AL510"/>
    <mergeCell ref="AM509:AM510"/>
    <mergeCell ref="AE509:AE510"/>
    <mergeCell ref="AF509:AF510"/>
    <mergeCell ref="AG509:AG510"/>
    <mergeCell ref="AH509:AH510"/>
    <mergeCell ref="AI509:AI510"/>
    <mergeCell ref="AJ509:AJ510"/>
    <mergeCell ref="AK509:AK510"/>
    <mergeCell ref="AE511:AE512"/>
    <mergeCell ref="AF511:AF512"/>
    <mergeCell ref="AG511:AG512"/>
    <mergeCell ref="AH511:AH512"/>
    <mergeCell ref="AI511:AI512"/>
    <mergeCell ref="AJ511:AJ512"/>
    <mergeCell ref="AK511:AK512"/>
    <mergeCell ref="AU509:AU510"/>
    <mergeCell ref="AV509:AV510"/>
    <mergeCell ref="AN509:AN510"/>
    <mergeCell ref="AO509:AO510"/>
    <mergeCell ref="AP509:AP510"/>
    <mergeCell ref="AQ509:AQ510"/>
    <mergeCell ref="AR509:AR510"/>
    <mergeCell ref="AS509:AS510"/>
    <mergeCell ref="AT509:AT510"/>
    <mergeCell ref="AE507:AE508"/>
    <mergeCell ref="AF507:AF508"/>
    <mergeCell ref="AG507:AG508"/>
    <mergeCell ref="AH507:AH508"/>
    <mergeCell ref="AI507:AI508"/>
    <mergeCell ref="AJ507:AJ508"/>
    <mergeCell ref="AK507:AK508"/>
    <mergeCell ref="AA511:AA512"/>
    <mergeCell ref="AB511:AB512"/>
    <mergeCell ref="AC511:AC512"/>
    <mergeCell ref="AD511:AD512"/>
    <mergeCell ref="W513:W514"/>
    <mergeCell ref="X513:X514"/>
    <mergeCell ref="Y513:Y514"/>
    <mergeCell ref="AA513:AA514"/>
    <mergeCell ref="AB513:AB514"/>
    <mergeCell ref="AC513:AC514"/>
    <mergeCell ref="AD513:AD514"/>
    <mergeCell ref="AL511:AL512"/>
    <mergeCell ref="AM511:AM512"/>
    <mergeCell ref="AN511:AN512"/>
    <mergeCell ref="AO511:AO512"/>
    <mergeCell ref="AP511:AP512"/>
    <mergeCell ref="AQ511:AQ512"/>
    <mergeCell ref="AR511:AR512"/>
    <mergeCell ref="AW513:AW514"/>
    <mergeCell ref="AX513:AX514"/>
    <mergeCell ref="AY513:AY514"/>
    <mergeCell ref="AS511:AS512"/>
    <mergeCell ref="AT511:AT512"/>
    <mergeCell ref="AU511:AU512"/>
    <mergeCell ref="AV511:AV512"/>
    <mergeCell ref="AW511:AW512"/>
    <mergeCell ref="AX511:AX512"/>
    <mergeCell ref="AY511:AY512"/>
    <mergeCell ref="AU517:AU518"/>
    <mergeCell ref="AV517:AV518"/>
    <mergeCell ref="AN517:AN518"/>
    <mergeCell ref="AO517:AO518"/>
    <mergeCell ref="AP517:AP518"/>
    <mergeCell ref="AQ517:AQ518"/>
    <mergeCell ref="AR517:AR518"/>
    <mergeCell ref="AS517:AS518"/>
    <mergeCell ref="AT517:AT518"/>
    <mergeCell ref="AL513:AL514"/>
    <mergeCell ref="AM513:AM514"/>
    <mergeCell ref="AE513:AE514"/>
    <mergeCell ref="AF513:AF514"/>
    <mergeCell ref="AG513:AG514"/>
    <mergeCell ref="AH513:AH514"/>
    <mergeCell ref="AI513:AI514"/>
    <mergeCell ref="AJ513:AJ514"/>
    <mergeCell ref="AK513:AK514"/>
    <mergeCell ref="AE515:AE516"/>
    <mergeCell ref="AF515:AF516"/>
    <mergeCell ref="AG515:AG516"/>
    <mergeCell ref="AH515:AH516"/>
    <mergeCell ref="AI515:AI516"/>
    <mergeCell ref="AJ515:AJ516"/>
    <mergeCell ref="AK515:AK516"/>
    <mergeCell ref="W515:W516"/>
    <mergeCell ref="X515:X516"/>
    <mergeCell ref="Y515:Y516"/>
    <mergeCell ref="AA515:AA516"/>
    <mergeCell ref="AB515:AB516"/>
    <mergeCell ref="AC515:AC516"/>
    <mergeCell ref="AD515:AD516"/>
    <mergeCell ref="W517:W518"/>
    <mergeCell ref="X517:X518"/>
    <mergeCell ref="Y517:Y518"/>
    <mergeCell ref="AA517:AA518"/>
    <mergeCell ref="AD523:AD524"/>
    <mergeCell ref="W525:W526"/>
    <mergeCell ref="AB517:AB518"/>
    <mergeCell ref="AC517:AC518"/>
    <mergeCell ref="AD517:AD518"/>
    <mergeCell ref="AL515:AL516"/>
    <mergeCell ref="AM515:AM516"/>
    <mergeCell ref="AN515:AN516"/>
    <mergeCell ref="AO515:AO516"/>
    <mergeCell ref="AP515:AP516"/>
    <mergeCell ref="AQ515:AQ516"/>
    <mergeCell ref="AR515:AR516"/>
    <mergeCell ref="AW517:AW518"/>
    <mergeCell ref="AX517:AX518"/>
    <mergeCell ref="AY517:AY518"/>
    <mergeCell ref="AS515:AS516"/>
    <mergeCell ref="AT515:AT516"/>
    <mergeCell ref="AU515:AU516"/>
    <mergeCell ref="AV515:AV516"/>
    <mergeCell ref="AW515:AW516"/>
    <mergeCell ref="AX515:AX516"/>
    <mergeCell ref="AY515:AY516"/>
    <mergeCell ref="AU521:AU522"/>
    <mergeCell ref="AV521:AV522"/>
    <mergeCell ref="AN521:AN522"/>
    <mergeCell ref="AO521:AO522"/>
    <mergeCell ref="AP521:AP522"/>
    <mergeCell ref="AQ521:AQ522"/>
    <mergeCell ref="AR521:AR522"/>
    <mergeCell ref="AS521:AS522"/>
    <mergeCell ref="AT521:AT522"/>
    <mergeCell ref="AL517:AL518"/>
    <mergeCell ref="AM517:AM518"/>
    <mergeCell ref="AE517:AE518"/>
    <mergeCell ref="AF517:AF518"/>
    <mergeCell ref="AG517:AG518"/>
    <mergeCell ref="AH517:AH518"/>
    <mergeCell ref="AI517:AI518"/>
    <mergeCell ref="AJ517:AJ518"/>
    <mergeCell ref="AK517:AK518"/>
    <mergeCell ref="AE519:AE520"/>
    <mergeCell ref="AF519:AF520"/>
    <mergeCell ref="AG519:AG520"/>
    <mergeCell ref="AH519:AH520"/>
    <mergeCell ref="AI519:AI520"/>
    <mergeCell ref="AJ519:AJ520"/>
    <mergeCell ref="AK519:AK520"/>
    <mergeCell ref="AK527:AK528"/>
    <mergeCell ref="AY527:AY528"/>
    <mergeCell ref="W519:W520"/>
    <mergeCell ref="X519:X520"/>
    <mergeCell ref="Y519:Y520"/>
    <mergeCell ref="AA519:AA520"/>
    <mergeCell ref="AB519:AB520"/>
    <mergeCell ref="AC519:AC520"/>
    <mergeCell ref="AD519:AD520"/>
    <mergeCell ref="W521:W522"/>
    <mergeCell ref="X521:X522"/>
    <mergeCell ref="Y521:Y522"/>
    <mergeCell ref="AA521:AA522"/>
    <mergeCell ref="AB521:AB522"/>
    <mergeCell ref="AC521:AC522"/>
    <mergeCell ref="AD521:AD522"/>
    <mergeCell ref="AL519:AL520"/>
    <mergeCell ref="AM519:AM520"/>
    <mergeCell ref="AN519:AN520"/>
    <mergeCell ref="AO519:AO520"/>
    <mergeCell ref="AP519:AP520"/>
    <mergeCell ref="AQ519:AQ520"/>
    <mergeCell ref="AR519:AR520"/>
    <mergeCell ref="AW521:AW522"/>
    <mergeCell ref="AX521:AX522"/>
    <mergeCell ref="AY521:AY522"/>
    <mergeCell ref="AS519:AS520"/>
    <mergeCell ref="AT519:AT520"/>
    <mergeCell ref="AU519:AU520"/>
    <mergeCell ref="AV519:AV520"/>
    <mergeCell ref="AW519:AW520"/>
    <mergeCell ref="AX519:AX520"/>
    <mergeCell ref="AY519:AY520"/>
    <mergeCell ref="AU525:AU526"/>
    <mergeCell ref="AV525:AV526"/>
    <mergeCell ref="AN525:AN526"/>
    <mergeCell ref="AO525:AO526"/>
    <mergeCell ref="AP525:AP526"/>
    <mergeCell ref="AQ525:AQ526"/>
    <mergeCell ref="AR525:AR526"/>
    <mergeCell ref="AS525:AS526"/>
    <mergeCell ref="AT525:AT526"/>
    <mergeCell ref="AL521:AL522"/>
    <mergeCell ref="AM521:AM522"/>
    <mergeCell ref="AE521:AE522"/>
    <mergeCell ref="AF521:AF522"/>
    <mergeCell ref="AG521:AG522"/>
    <mergeCell ref="AH521:AH522"/>
    <mergeCell ref="AI521:AI522"/>
    <mergeCell ref="AJ521:AJ522"/>
    <mergeCell ref="AK521:AK522"/>
    <mergeCell ref="AE523:AE524"/>
    <mergeCell ref="AF523:AF524"/>
    <mergeCell ref="AG523:AG524"/>
    <mergeCell ref="AH523:AH524"/>
    <mergeCell ref="AI523:AI524"/>
    <mergeCell ref="AJ523:AJ524"/>
    <mergeCell ref="AK523:AK524"/>
    <mergeCell ref="W523:W524"/>
    <mergeCell ref="X523:X524"/>
    <mergeCell ref="Y523:Y524"/>
    <mergeCell ref="AA523:AA524"/>
    <mergeCell ref="AB523:AB524"/>
    <mergeCell ref="AC523:AC524"/>
    <mergeCell ref="AY543:AY544"/>
    <mergeCell ref="AQ545:AQ546"/>
    <mergeCell ref="AR545:AR546"/>
    <mergeCell ref="AW547:AW548"/>
    <mergeCell ref="AX547:AX548"/>
    <mergeCell ref="AY547:AY548"/>
    <mergeCell ref="AS545:AS546"/>
    <mergeCell ref="AT545:AT546"/>
    <mergeCell ref="AU545:AU546"/>
    <mergeCell ref="AV545:AV546"/>
    <mergeCell ref="AW545:AW546"/>
    <mergeCell ref="AX545:AX546"/>
    <mergeCell ref="AY545:AY546"/>
    <mergeCell ref="AV547:AV548"/>
    <mergeCell ref="AN547:AN548"/>
    <mergeCell ref="AO547:AO548"/>
    <mergeCell ref="AP547:AP548"/>
    <mergeCell ref="X525:X526"/>
    <mergeCell ref="Y525:Y526"/>
    <mergeCell ref="AA525:AA526"/>
    <mergeCell ref="AB525:AB526"/>
    <mergeCell ref="AC525:AC526"/>
    <mergeCell ref="AD525:AD526"/>
    <mergeCell ref="AL523:AL524"/>
    <mergeCell ref="AM523:AM524"/>
    <mergeCell ref="AN523:AN524"/>
    <mergeCell ref="AO523:AO524"/>
    <mergeCell ref="AP523:AP524"/>
    <mergeCell ref="AQ523:AQ524"/>
    <mergeCell ref="AR523:AR524"/>
    <mergeCell ref="AW525:AW526"/>
    <mergeCell ref="AX525:AX526"/>
    <mergeCell ref="AY525:AY526"/>
    <mergeCell ref="AS523:AS524"/>
    <mergeCell ref="AT523:AT524"/>
    <mergeCell ref="AU523:AU524"/>
    <mergeCell ref="AV523:AV524"/>
    <mergeCell ref="AW523:AW524"/>
    <mergeCell ref="AX523:AX524"/>
    <mergeCell ref="AY523:AY524"/>
    <mergeCell ref="AU529:AU530"/>
    <mergeCell ref="AV529:AV530"/>
    <mergeCell ref="AN529:AN530"/>
    <mergeCell ref="AO529:AO530"/>
    <mergeCell ref="AP529:AP530"/>
    <mergeCell ref="AQ529:AQ530"/>
    <mergeCell ref="AR529:AR530"/>
    <mergeCell ref="AS529:AS530"/>
    <mergeCell ref="AT529:AT530"/>
    <mergeCell ref="AL525:AL526"/>
    <mergeCell ref="AM525:AM526"/>
    <mergeCell ref="AE525:AE526"/>
    <mergeCell ref="AF525:AF526"/>
    <mergeCell ref="AG525:AG526"/>
    <mergeCell ref="AH525:AH526"/>
    <mergeCell ref="AI525:AI526"/>
    <mergeCell ref="AJ525:AJ526"/>
    <mergeCell ref="AK525:AK526"/>
    <mergeCell ref="AE527:AE528"/>
    <mergeCell ref="AF527:AF528"/>
    <mergeCell ref="AG527:AG528"/>
    <mergeCell ref="AH527:AH528"/>
    <mergeCell ref="AI527:AI528"/>
    <mergeCell ref="AJ527:AJ528"/>
    <mergeCell ref="W551:W552"/>
    <mergeCell ref="X551:X552"/>
    <mergeCell ref="Y551:Y552"/>
    <mergeCell ref="AA551:AA552"/>
    <mergeCell ref="AB551:AB552"/>
    <mergeCell ref="AC551:AC552"/>
    <mergeCell ref="AD551:AD552"/>
    <mergeCell ref="AL549:AL550"/>
    <mergeCell ref="AM549:AM550"/>
    <mergeCell ref="AN549:AN550"/>
    <mergeCell ref="AO549:AO550"/>
    <mergeCell ref="AP549:AP550"/>
    <mergeCell ref="AQ549:AQ550"/>
    <mergeCell ref="AR549:AR550"/>
    <mergeCell ref="AW551:AW552"/>
    <mergeCell ref="AX551:AX552"/>
    <mergeCell ref="AY551:AY552"/>
    <mergeCell ref="AS549:AS550"/>
    <mergeCell ref="AT549:AT550"/>
    <mergeCell ref="AU549:AU550"/>
    <mergeCell ref="AV549:AV550"/>
    <mergeCell ref="AW549:AW550"/>
    <mergeCell ref="AX549:AX550"/>
    <mergeCell ref="AY549:AY550"/>
    <mergeCell ref="AQ547:AQ548"/>
    <mergeCell ref="AR547:AR548"/>
    <mergeCell ref="AS547:AS548"/>
    <mergeCell ref="AT547:AT548"/>
    <mergeCell ref="AL543:AL544"/>
    <mergeCell ref="AM543:AM544"/>
    <mergeCell ref="AE543:AE544"/>
    <mergeCell ref="AF543:AF544"/>
    <mergeCell ref="AG543:AG544"/>
    <mergeCell ref="AH543:AH544"/>
    <mergeCell ref="AI543:AI544"/>
    <mergeCell ref="AJ543:AJ544"/>
    <mergeCell ref="AK543:AK544"/>
    <mergeCell ref="AE545:AE546"/>
    <mergeCell ref="AF545:AF546"/>
    <mergeCell ref="AG545:AG546"/>
    <mergeCell ref="AH545:AH546"/>
    <mergeCell ref="AI545:AI546"/>
    <mergeCell ref="AJ545:AJ546"/>
    <mergeCell ref="AK545:AK546"/>
    <mergeCell ref="W545:W546"/>
    <mergeCell ref="X545:X546"/>
    <mergeCell ref="Y545:Y546"/>
    <mergeCell ref="AA545:AA546"/>
    <mergeCell ref="AB545:AB546"/>
    <mergeCell ref="AC545:AC546"/>
    <mergeCell ref="AD545:AD546"/>
    <mergeCell ref="W547:W548"/>
    <mergeCell ref="X547:X548"/>
    <mergeCell ref="Y547:Y548"/>
    <mergeCell ref="AA547:AA548"/>
    <mergeCell ref="AB547:AB548"/>
    <mergeCell ref="AC547:AC548"/>
    <mergeCell ref="AD547:AD548"/>
    <mergeCell ref="AL545:AL546"/>
    <mergeCell ref="AM545:AM546"/>
    <mergeCell ref="AN545:AN546"/>
    <mergeCell ref="AO545:AO546"/>
    <mergeCell ref="AP545:AP546"/>
    <mergeCell ref="AU551:AU552"/>
    <mergeCell ref="W277:W278"/>
    <mergeCell ref="X277:X278"/>
    <mergeCell ref="Y277:Y278"/>
    <mergeCell ref="AA277:AA278"/>
    <mergeCell ref="AB277:AB278"/>
    <mergeCell ref="AC277:AC278"/>
    <mergeCell ref="AD277:AD278"/>
    <mergeCell ref="W279:W280"/>
    <mergeCell ref="X279:X280"/>
    <mergeCell ref="Y279:Y280"/>
    <mergeCell ref="AA279:AA280"/>
    <mergeCell ref="AB279:AB280"/>
    <mergeCell ref="AC279:AC280"/>
    <mergeCell ref="AD279:AD280"/>
    <mergeCell ref="AL277:AL278"/>
    <mergeCell ref="AM277:AM278"/>
    <mergeCell ref="AN277:AN278"/>
    <mergeCell ref="AO277:AO278"/>
    <mergeCell ref="AP277:AP278"/>
    <mergeCell ref="AS541:AS542"/>
    <mergeCell ref="AT541:AT542"/>
    <mergeCell ref="AU541:AU542"/>
    <mergeCell ref="AV541:AV542"/>
    <mergeCell ref="AW541:AW542"/>
    <mergeCell ref="AX541:AX542"/>
    <mergeCell ref="AY541:AY542"/>
    <mergeCell ref="AU547:AU548"/>
    <mergeCell ref="W549:W550"/>
    <mergeCell ref="X549:X550"/>
    <mergeCell ref="Y549:Y550"/>
    <mergeCell ref="AA549:AA550"/>
    <mergeCell ref="AB549:AB550"/>
    <mergeCell ref="AC549:AC550"/>
    <mergeCell ref="AD549:AD550"/>
    <mergeCell ref="W527:W528"/>
    <mergeCell ref="X527:X528"/>
    <mergeCell ref="Y527:Y528"/>
    <mergeCell ref="AA527:AA528"/>
    <mergeCell ref="AB527:AB528"/>
    <mergeCell ref="AC527:AC528"/>
    <mergeCell ref="AD527:AD528"/>
    <mergeCell ref="W529:W530"/>
    <mergeCell ref="X529:X530"/>
    <mergeCell ref="Y529:Y530"/>
    <mergeCell ref="AA529:AA530"/>
    <mergeCell ref="AB529:AB530"/>
    <mergeCell ref="AC529:AC530"/>
    <mergeCell ref="AD529:AD530"/>
    <mergeCell ref="AL527:AL528"/>
    <mergeCell ref="AM527:AM528"/>
    <mergeCell ref="AN527:AN528"/>
    <mergeCell ref="AO527:AO528"/>
    <mergeCell ref="AP527:AP528"/>
    <mergeCell ref="AQ527:AQ528"/>
    <mergeCell ref="AR527:AR528"/>
    <mergeCell ref="AW529:AW530"/>
    <mergeCell ref="AX529:AX530"/>
    <mergeCell ref="AY529:AY530"/>
    <mergeCell ref="AS527:AS528"/>
    <mergeCell ref="AT527:AT528"/>
    <mergeCell ref="AU527:AU528"/>
    <mergeCell ref="AV527:AV528"/>
    <mergeCell ref="AW527:AW528"/>
    <mergeCell ref="AX527:AX528"/>
    <mergeCell ref="E269:E270"/>
    <mergeCell ref="E271:E272"/>
    <mergeCell ref="F271:F272"/>
    <mergeCell ref="G271:G272"/>
    <mergeCell ref="H271:H272"/>
    <mergeCell ref="I271:I272"/>
    <mergeCell ref="W269:W270"/>
    <mergeCell ref="X269:X270"/>
    <mergeCell ref="Y269:Y270"/>
    <mergeCell ref="AA269:AA270"/>
    <mergeCell ref="AB269:AB270"/>
    <mergeCell ref="AC269:AC270"/>
    <mergeCell ref="AD269:AD270"/>
    <mergeCell ref="AN265:AN266"/>
    <mergeCell ref="AO265:AO266"/>
    <mergeCell ref="AP265:AP266"/>
    <mergeCell ref="AQ265:AQ266"/>
    <mergeCell ref="AR265:AR266"/>
    <mergeCell ref="AS265:AS266"/>
    <mergeCell ref="AT265:AT266"/>
    <mergeCell ref="Y265:Y266"/>
    <mergeCell ref="AA265:AA266"/>
    <mergeCell ref="AB265:AB266"/>
    <mergeCell ref="AC265:AC266"/>
    <mergeCell ref="AD265:AD266"/>
    <mergeCell ref="AE265:AE266"/>
    <mergeCell ref="AF265:AF266"/>
    <mergeCell ref="W267:W268"/>
    <mergeCell ref="X267:X268"/>
    <mergeCell ref="Y267:Y268"/>
    <mergeCell ref="AA267:AA268"/>
    <mergeCell ref="AB267:AB268"/>
    <mergeCell ref="AC267:AC268"/>
    <mergeCell ref="AD267:AD268"/>
    <mergeCell ref="AJ271:AJ272"/>
    <mergeCell ref="AK271:AK272"/>
    <mergeCell ref="AL271:AL272"/>
    <mergeCell ref="AM271:AM272"/>
    <mergeCell ref="AP271:AP272"/>
    <mergeCell ref="AQ271:AQ272"/>
    <mergeCell ref="AR271:AR272"/>
    <mergeCell ref="AS271:AS272"/>
    <mergeCell ref="AT271:AT272"/>
    <mergeCell ref="E267:E268"/>
    <mergeCell ref="F267:F268"/>
    <mergeCell ref="G267:G268"/>
    <mergeCell ref="H267:H268"/>
    <mergeCell ref="I267:I268"/>
    <mergeCell ref="F269:F270"/>
    <mergeCell ref="I269:I270"/>
    <mergeCell ref="X265:X266"/>
    <mergeCell ref="E265:E266"/>
    <mergeCell ref="F265:F266"/>
    <mergeCell ref="G265:G266"/>
    <mergeCell ref="H265:H266"/>
    <mergeCell ref="I265:I266"/>
    <mergeCell ref="W265:W266"/>
    <mergeCell ref="AG265:AG266"/>
    <mergeCell ref="AH265:AH266"/>
    <mergeCell ref="AI265:AI266"/>
    <mergeCell ref="AJ265:AJ266"/>
    <mergeCell ref="AK265:AK266"/>
    <mergeCell ref="AL265:AL266"/>
    <mergeCell ref="AM265:AM266"/>
    <mergeCell ref="AU271:AU272"/>
    <mergeCell ref="AO273:AO274"/>
    <mergeCell ref="AP273:AP274"/>
    <mergeCell ref="AQ273:AQ274"/>
    <mergeCell ref="AR273:AR274"/>
    <mergeCell ref="AE271:AE272"/>
    <mergeCell ref="AF271:AF272"/>
    <mergeCell ref="W271:W272"/>
    <mergeCell ref="X271:X272"/>
    <mergeCell ref="Y271:Y272"/>
    <mergeCell ref="AA271:AA272"/>
    <mergeCell ref="AB271:AB272"/>
    <mergeCell ref="AC271:AC272"/>
    <mergeCell ref="AD271:AD272"/>
    <mergeCell ref="W273:W274"/>
    <mergeCell ref="X273:X274"/>
    <mergeCell ref="Y273:Y274"/>
    <mergeCell ref="AA273:AA274"/>
    <mergeCell ref="AB273:AB274"/>
    <mergeCell ref="AC273:AC274"/>
    <mergeCell ref="AD273:AD274"/>
    <mergeCell ref="W275:W276"/>
    <mergeCell ref="X275:X276"/>
    <mergeCell ref="Y275:Y276"/>
    <mergeCell ref="AA275:AA276"/>
    <mergeCell ref="AB275:AB276"/>
    <mergeCell ref="AC275:AC276"/>
    <mergeCell ref="AD275:AD276"/>
    <mergeCell ref="AW267:AW268"/>
    <mergeCell ref="AW269:AW270"/>
    <mergeCell ref="AX269:AX270"/>
    <mergeCell ref="AY269:AY270"/>
    <mergeCell ref="AY271:AY272"/>
    <mergeCell ref="AG271:AG272"/>
    <mergeCell ref="AH271:AH272"/>
    <mergeCell ref="AI271:AI272"/>
    <mergeCell ref="AS273:AS274"/>
    <mergeCell ref="AT273:AT274"/>
    <mergeCell ref="AU273:AU274"/>
    <mergeCell ref="AV273:AV274"/>
    <mergeCell ref="AW273:AW274"/>
    <mergeCell ref="AU265:AU266"/>
    <mergeCell ref="AV265:AV266"/>
    <mergeCell ref="AW265:AW266"/>
    <mergeCell ref="AX265:AX266"/>
    <mergeCell ref="AY265:AY266"/>
    <mergeCell ref="AX267:AX268"/>
    <mergeCell ref="AY267:AY268"/>
    <mergeCell ref="AW271:AW272"/>
    <mergeCell ref="AX271:AX272"/>
    <mergeCell ref="C249:C250"/>
    <mergeCell ref="C251:C252"/>
    <mergeCell ref="C271:C272"/>
    <mergeCell ref="C273:C274"/>
    <mergeCell ref="C257:C258"/>
    <mergeCell ref="C259:C260"/>
    <mergeCell ref="C261:C262"/>
    <mergeCell ref="C263:C264"/>
    <mergeCell ref="C265:C266"/>
    <mergeCell ref="C267:C268"/>
    <mergeCell ref="C269:C270"/>
    <mergeCell ref="AQ277:AQ278"/>
    <mergeCell ref="AR277:AR278"/>
    <mergeCell ref="AS277:AS278"/>
    <mergeCell ref="AT277:AT278"/>
    <mergeCell ref="AU277:AU278"/>
    <mergeCell ref="AV277:AV278"/>
    <mergeCell ref="AL269:AL270"/>
    <mergeCell ref="AM269:AM270"/>
    <mergeCell ref="AE269:AE270"/>
    <mergeCell ref="AF269:AF270"/>
    <mergeCell ref="AG269:AG270"/>
    <mergeCell ref="AH269:AH270"/>
    <mergeCell ref="AI269:AI270"/>
    <mergeCell ref="AJ269:AJ270"/>
    <mergeCell ref="AK269:AK270"/>
    <mergeCell ref="AU269:AU270"/>
    <mergeCell ref="AV269:AV270"/>
    <mergeCell ref="AN269:AN270"/>
    <mergeCell ref="AO269:AO270"/>
    <mergeCell ref="AP269:AP270"/>
    <mergeCell ref="AQ269:AQ270"/>
    <mergeCell ref="AR269:AR270"/>
    <mergeCell ref="AS269:AS270"/>
    <mergeCell ref="AT269:AT270"/>
    <mergeCell ref="G269:G270"/>
    <mergeCell ref="H269:H270"/>
    <mergeCell ref="D253:D254"/>
    <mergeCell ref="G275:G276"/>
    <mergeCell ref="H275:H276"/>
    <mergeCell ref="E273:E274"/>
    <mergeCell ref="F273:F274"/>
    <mergeCell ref="G273:G274"/>
    <mergeCell ref="H273:H274"/>
    <mergeCell ref="I273:I274"/>
    <mergeCell ref="F275:F276"/>
    <mergeCell ref="I275:I276"/>
    <mergeCell ref="E275:E276"/>
    <mergeCell ref="E277:E278"/>
    <mergeCell ref="F277:F278"/>
    <mergeCell ref="G277:G278"/>
    <mergeCell ref="H277:H278"/>
    <mergeCell ref="I277:I278"/>
    <mergeCell ref="AN271:AN272"/>
    <mergeCell ref="AO271:AO272"/>
    <mergeCell ref="D313:D314"/>
    <mergeCell ref="D315:D316"/>
    <mergeCell ref="D317:D318"/>
    <mergeCell ref="D319:D320"/>
    <mergeCell ref="D321:D322"/>
    <mergeCell ref="D323:D324"/>
    <mergeCell ref="D325:D326"/>
    <mergeCell ref="D327:D328"/>
    <mergeCell ref="D329:D330"/>
    <mergeCell ref="D331:D332"/>
    <mergeCell ref="D333:D334"/>
    <mergeCell ref="D335:D336"/>
    <mergeCell ref="D337:D338"/>
    <mergeCell ref="D339:D340"/>
    <mergeCell ref="AV271:AV272"/>
    <mergeCell ref="AL279:AL280"/>
    <mergeCell ref="AM279:AM280"/>
    <mergeCell ref="AE279:AE280"/>
    <mergeCell ref="AF279:AF280"/>
    <mergeCell ref="AG279:AG280"/>
    <mergeCell ref="AH279:AH280"/>
    <mergeCell ref="AI279:AI280"/>
    <mergeCell ref="AJ279:AJ280"/>
    <mergeCell ref="AK279:AK280"/>
    <mergeCell ref="AU279:AU280"/>
    <mergeCell ref="AV279:AV280"/>
    <mergeCell ref="AN279:AN280"/>
    <mergeCell ref="AO279:AO280"/>
    <mergeCell ref="AP279:AP280"/>
    <mergeCell ref="AQ279:AQ280"/>
    <mergeCell ref="AR279:AR280"/>
    <mergeCell ref="AS279:AS280"/>
    <mergeCell ref="AT279:AT280"/>
    <mergeCell ref="F279:F280"/>
    <mergeCell ref="G279:G280"/>
    <mergeCell ref="H279:H280"/>
    <mergeCell ref="I279:I280"/>
    <mergeCell ref="E279:E280"/>
    <mergeCell ref="W333:W334"/>
    <mergeCell ref="X333:X334"/>
    <mergeCell ref="Y333:Y334"/>
    <mergeCell ref="AA333:AA334"/>
    <mergeCell ref="AB333:AB334"/>
    <mergeCell ref="AC333:AC334"/>
    <mergeCell ref="AD333:AD334"/>
    <mergeCell ref="AL333:AL334"/>
    <mergeCell ref="AM333:AM334"/>
    <mergeCell ref="AN333:AN334"/>
    <mergeCell ref="AO333:AO334"/>
    <mergeCell ref="AP333:AP334"/>
    <mergeCell ref="AQ333:AQ334"/>
    <mergeCell ref="AR333:AR334"/>
    <mergeCell ref="W335:W336"/>
    <mergeCell ref="X335:X336"/>
    <mergeCell ref="Y335:Y336"/>
    <mergeCell ref="AA335:AA336"/>
    <mergeCell ref="AB335:AB336"/>
    <mergeCell ref="AC335:AC336"/>
    <mergeCell ref="AD335:AD336"/>
    <mergeCell ref="AE339:AE340"/>
    <mergeCell ref="AF339:AF340"/>
    <mergeCell ref="AG339:AG340"/>
    <mergeCell ref="AH339:AH340"/>
    <mergeCell ref="AI339:AI340"/>
    <mergeCell ref="D435:D436"/>
    <mergeCell ref="D437:D438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D461:D462"/>
    <mergeCell ref="D361:D362"/>
    <mergeCell ref="D363:D364"/>
    <mergeCell ref="C289:C290"/>
    <mergeCell ref="C291:C292"/>
    <mergeCell ref="C275:C276"/>
    <mergeCell ref="C277:C278"/>
    <mergeCell ref="C279:C280"/>
    <mergeCell ref="C281:C282"/>
    <mergeCell ref="C283:C284"/>
    <mergeCell ref="C285:C286"/>
    <mergeCell ref="C287:C288"/>
    <mergeCell ref="C307:C308"/>
    <mergeCell ref="C309:C310"/>
    <mergeCell ref="C293:C294"/>
    <mergeCell ref="C295:C296"/>
    <mergeCell ref="C297:C298"/>
    <mergeCell ref="C299:C300"/>
    <mergeCell ref="C301:C302"/>
    <mergeCell ref="C303:C304"/>
    <mergeCell ref="C305:C306"/>
    <mergeCell ref="C325:C326"/>
    <mergeCell ref="C327:C328"/>
    <mergeCell ref="C311:C312"/>
    <mergeCell ref="C313:C314"/>
    <mergeCell ref="C315:C316"/>
    <mergeCell ref="C317:C318"/>
    <mergeCell ref="C319:C320"/>
    <mergeCell ref="C321:C322"/>
    <mergeCell ref="C323:C324"/>
    <mergeCell ref="C343:C344"/>
    <mergeCell ref="C345:C346"/>
    <mergeCell ref="C329:C330"/>
    <mergeCell ref="C331:C332"/>
    <mergeCell ref="C333:C334"/>
    <mergeCell ref="C335:C336"/>
    <mergeCell ref="C337:C338"/>
    <mergeCell ref="C339:C340"/>
    <mergeCell ref="C341:C342"/>
    <mergeCell ref="C355:C356"/>
    <mergeCell ref="C357:C358"/>
    <mergeCell ref="C359:C360"/>
    <mergeCell ref="D295:D296"/>
    <mergeCell ref="D297:D298"/>
    <mergeCell ref="D299:D300"/>
    <mergeCell ref="D301:D302"/>
    <mergeCell ref="D303:D304"/>
    <mergeCell ref="D305:D306"/>
    <mergeCell ref="D307:D308"/>
    <mergeCell ref="D309:D310"/>
    <mergeCell ref="D311:D312"/>
    <mergeCell ref="D557:D558"/>
    <mergeCell ref="D559:D560"/>
    <mergeCell ref="D561:D562"/>
    <mergeCell ref="D563:D564"/>
    <mergeCell ref="D565:D566"/>
    <mergeCell ref="D567:D568"/>
    <mergeCell ref="D569:D570"/>
    <mergeCell ref="D571:D572"/>
    <mergeCell ref="D573:D574"/>
    <mergeCell ref="D589:D590"/>
    <mergeCell ref="D591:D592"/>
    <mergeCell ref="D593:D594"/>
    <mergeCell ref="D575:D576"/>
    <mergeCell ref="D577:D578"/>
    <mergeCell ref="D579:D580"/>
    <mergeCell ref="D581:D582"/>
    <mergeCell ref="D583:D584"/>
    <mergeCell ref="D585:D586"/>
    <mergeCell ref="D587:D588"/>
    <mergeCell ref="D341:D342"/>
    <mergeCell ref="D343:D344"/>
    <mergeCell ref="D345:D346"/>
    <mergeCell ref="D347:D348"/>
    <mergeCell ref="D349:D350"/>
    <mergeCell ref="D351:D352"/>
    <mergeCell ref="D353:D354"/>
    <mergeCell ref="D355:D356"/>
    <mergeCell ref="D357:D358"/>
    <mergeCell ref="D359:D360"/>
    <mergeCell ref="D491:D492"/>
    <mergeCell ref="D493:D494"/>
    <mergeCell ref="D495:D496"/>
    <mergeCell ref="D497:D498"/>
    <mergeCell ref="D499:D500"/>
    <mergeCell ref="D501:D502"/>
    <mergeCell ref="D503:D504"/>
    <mergeCell ref="D505:D506"/>
    <mergeCell ref="D507:D508"/>
    <mergeCell ref="D509:D510"/>
    <mergeCell ref="D511:D512"/>
    <mergeCell ref="D513:D514"/>
    <mergeCell ref="D515:D516"/>
    <mergeCell ref="D517:D518"/>
    <mergeCell ref="D519:D520"/>
    <mergeCell ref="D521:D522"/>
    <mergeCell ref="D523:D524"/>
    <mergeCell ref="D525:D526"/>
    <mergeCell ref="D527:D528"/>
    <mergeCell ref="D393:D394"/>
    <mergeCell ref="D395:D396"/>
    <mergeCell ref="D397:D398"/>
    <mergeCell ref="D399:D400"/>
    <mergeCell ref="D401:D402"/>
    <mergeCell ref="D403:D404"/>
    <mergeCell ref="D405:D406"/>
    <mergeCell ref="D407:D408"/>
    <mergeCell ref="D409:D410"/>
    <mergeCell ref="D411:D412"/>
    <mergeCell ref="D413:D414"/>
    <mergeCell ref="D415:D416"/>
    <mergeCell ref="D417:D418"/>
    <mergeCell ref="D419:D420"/>
    <mergeCell ref="D421:D422"/>
    <mergeCell ref="D423:D424"/>
    <mergeCell ref="C137:C138"/>
    <mergeCell ref="C139:C140"/>
    <mergeCell ref="C141:C142"/>
    <mergeCell ref="C143:C144"/>
    <mergeCell ref="C173:C174"/>
    <mergeCell ref="D109:D110"/>
    <mergeCell ref="C111:C112"/>
    <mergeCell ref="D111:D112"/>
    <mergeCell ref="C113:C114"/>
    <mergeCell ref="D113:D114"/>
    <mergeCell ref="C115:C116"/>
    <mergeCell ref="D115:D116"/>
    <mergeCell ref="C117:C118"/>
    <mergeCell ref="D117:D118"/>
    <mergeCell ref="C119:C120"/>
    <mergeCell ref="D119:D120"/>
    <mergeCell ref="C121:C122"/>
    <mergeCell ref="D121:D122"/>
    <mergeCell ref="C123:C124"/>
    <mergeCell ref="D123:D124"/>
    <mergeCell ref="C217:C218"/>
    <mergeCell ref="C219:C220"/>
    <mergeCell ref="C203:C204"/>
    <mergeCell ref="C205:C206"/>
    <mergeCell ref="C207:C208"/>
    <mergeCell ref="C209:C210"/>
    <mergeCell ref="C211:C212"/>
    <mergeCell ref="C213:C214"/>
    <mergeCell ref="C215:C216"/>
    <mergeCell ref="C235:C236"/>
    <mergeCell ref="C237:C238"/>
    <mergeCell ref="C221:C222"/>
    <mergeCell ref="C223:C224"/>
    <mergeCell ref="C225:C226"/>
    <mergeCell ref="C227:C228"/>
    <mergeCell ref="C229:C230"/>
    <mergeCell ref="C231:C232"/>
    <mergeCell ref="C233:C234"/>
    <mergeCell ref="C145:C146"/>
    <mergeCell ref="C147:C148"/>
    <mergeCell ref="C149:C150"/>
    <mergeCell ref="C151:C152"/>
    <mergeCell ref="C105:C106"/>
    <mergeCell ref="D105:D106"/>
    <mergeCell ref="C107:C108"/>
    <mergeCell ref="D107:D108"/>
    <mergeCell ref="C109:C110"/>
    <mergeCell ref="C43:C44"/>
    <mergeCell ref="D43:D44"/>
    <mergeCell ref="B49:B90"/>
    <mergeCell ref="C49:C50"/>
    <mergeCell ref="D49:D50"/>
    <mergeCell ref="D51:D52"/>
    <mergeCell ref="B91:B132"/>
    <mergeCell ref="C131:C132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C199:C200"/>
    <mergeCell ref="C201:C202"/>
    <mergeCell ref="C185:C186"/>
    <mergeCell ref="C187:C188"/>
    <mergeCell ref="C189:C190"/>
    <mergeCell ref="C191:C192"/>
    <mergeCell ref="C193:C194"/>
    <mergeCell ref="C195:C196"/>
    <mergeCell ref="C197:C198"/>
    <mergeCell ref="D157:D158"/>
    <mergeCell ref="D159:D160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D177:D178"/>
    <mergeCell ref="D179:D180"/>
    <mergeCell ref="D181:D182"/>
    <mergeCell ref="D183:D184"/>
    <mergeCell ref="D185:D186"/>
    <mergeCell ref="D187:D188"/>
    <mergeCell ref="D189:D190"/>
    <mergeCell ref="D191:D192"/>
    <mergeCell ref="D193:D194"/>
    <mergeCell ref="D195:D196"/>
    <mergeCell ref="D197:D198"/>
    <mergeCell ref="D199:D200"/>
    <mergeCell ref="D201:D202"/>
    <mergeCell ref="C65:C66"/>
    <mergeCell ref="D65:D66"/>
    <mergeCell ref="C169:C170"/>
    <mergeCell ref="C171:C172"/>
    <mergeCell ref="C133:C134"/>
    <mergeCell ref="C135:C136"/>
    <mergeCell ref="C239:C240"/>
    <mergeCell ref="C241:C242"/>
    <mergeCell ref="C243:C244"/>
    <mergeCell ref="C245:C246"/>
    <mergeCell ref="C247:C248"/>
    <mergeCell ref="C51:C52"/>
    <mergeCell ref="C91:C92"/>
    <mergeCell ref="C125:C126"/>
    <mergeCell ref="D125:D126"/>
    <mergeCell ref="C127:C128"/>
    <mergeCell ref="D127:D128"/>
    <mergeCell ref="C129:C130"/>
    <mergeCell ref="D129:D130"/>
    <mergeCell ref="C433:C434"/>
    <mergeCell ref="C435:C436"/>
    <mergeCell ref="C419:C420"/>
    <mergeCell ref="C421:C422"/>
    <mergeCell ref="C423:C424"/>
    <mergeCell ref="C425:C426"/>
    <mergeCell ref="C427:C428"/>
    <mergeCell ref="C429:C430"/>
    <mergeCell ref="C431:C432"/>
    <mergeCell ref="C451:C452"/>
    <mergeCell ref="C453:C454"/>
    <mergeCell ref="C437:C438"/>
    <mergeCell ref="C439:C440"/>
    <mergeCell ref="C441:C442"/>
    <mergeCell ref="C443:C444"/>
    <mergeCell ref="C445:C446"/>
    <mergeCell ref="C447:C448"/>
    <mergeCell ref="C449:C450"/>
    <mergeCell ref="D203:D204"/>
    <mergeCell ref="D205:D206"/>
    <mergeCell ref="D207:D208"/>
    <mergeCell ref="D209:D210"/>
    <mergeCell ref="D211:D212"/>
    <mergeCell ref="D213:D214"/>
    <mergeCell ref="D215:D216"/>
    <mergeCell ref="D217:D218"/>
    <mergeCell ref="D219:D220"/>
    <mergeCell ref="D221:D222"/>
    <mergeCell ref="D223:D224"/>
    <mergeCell ref="D225:D226"/>
    <mergeCell ref="D227:D228"/>
    <mergeCell ref="D229:D230"/>
    <mergeCell ref="D231:D232"/>
    <mergeCell ref="D233:D234"/>
    <mergeCell ref="D235:D236"/>
    <mergeCell ref="D237:D238"/>
    <mergeCell ref="D239:D240"/>
    <mergeCell ref="D241:D242"/>
    <mergeCell ref="D243:D244"/>
    <mergeCell ref="D245:D246"/>
    <mergeCell ref="D247:D248"/>
    <mergeCell ref="D249:D250"/>
    <mergeCell ref="D251:D252"/>
    <mergeCell ref="C97:C98"/>
    <mergeCell ref="D97:D98"/>
    <mergeCell ref="C99:C100"/>
    <mergeCell ref="D99:D100"/>
    <mergeCell ref="C101:C102"/>
    <mergeCell ref="D101:D102"/>
    <mergeCell ref="C103:C104"/>
    <mergeCell ref="D103:D104"/>
    <mergeCell ref="C349:C350"/>
    <mergeCell ref="C351:C352"/>
    <mergeCell ref="C353:C354"/>
    <mergeCell ref="D463:D464"/>
    <mergeCell ref="D465:D466"/>
    <mergeCell ref="B427:B468"/>
    <mergeCell ref="B469:B510"/>
    <mergeCell ref="B511:B552"/>
    <mergeCell ref="B553:B594"/>
    <mergeCell ref="B133:B174"/>
    <mergeCell ref="B175:B216"/>
    <mergeCell ref="B217:B258"/>
    <mergeCell ref="B259:B300"/>
    <mergeCell ref="B301:B342"/>
    <mergeCell ref="B343:B384"/>
    <mergeCell ref="B385:B426"/>
    <mergeCell ref="C581:C582"/>
    <mergeCell ref="C583:C584"/>
    <mergeCell ref="C585:C586"/>
    <mergeCell ref="C587:C588"/>
    <mergeCell ref="C589:C590"/>
    <mergeCell ref="C591:C592"/>
    <mergeCell ref="C593:C594"/>
    <mergeCell ref="C567:C568"/>
    <mergeCell ref="C569:C570"/>
    <mergeCell ref="C571:C572"/>
    <mergeCell ref="C573:C574"/>
    <mergeCell ref="C575:C576"/>
    <mergeCell ref="C577:C578"/>
    <mergeCell ref="C579:C580"/>
    <mergeCell ref="C469:C470"/>
    <mergeCell ref="C471:C472"/>
    <mergeCell ref="C473:C474"/>
    <mergeCell ref="C475:C476"/>
    <mergeCell ref="C477:C478"/>
    <mergeCell ref="C479:C480"/>
    <mergeCell ref="C481:C482"/>
    <mergeCell ref="C483:C484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75:C176"/>
    <mergeCell ref="C177:C178"/>
    <mergeCell ref="C179:C180"/>
    <mergeCell ref="C181:C182"/>
    <mergeCell ref="C183:C184"/>
    <mergeCell ref="C253:C254"/>
    <mergeCell ref="C255:C256"/>
    <mergeCell ref="D425:D426"/>
    <mergeCell ref="D427:D428"/>
    <mergeCell ref="D429:D430"/>
    <mergeCell ref="D431:D432"/>
    <mergeCell ref="D433:D434"/>
    <mergeCell ref="C557:C558"/>
    <mergeCell ref="C559:C560"/>
    <mergeCell ref="C561:C562"/>
    <mergeCell ref="C563:C564"/>
    <mergeCell ref="C565:C566"/>
    <mergeCell ref="AL283:AL284"/>
    <mergeCell ref="AM283:AM284"/>
    <mergeCell ref="AE283:AE284"/>
    <mergeCell ref="AF283:AF284"/>
    <mergeCell ref="AG283:AG284"/>
    <mergeCell ref="AH283:AH284"/>
    <mergeCell ref="AI283:AI284"/>
    <mergeCell ref="AJ283:AJ284"/>
    <mergeCell ref="AK283:AK284"/>
    <mergeCell ref="AE285:AE286"/>
    <mergeCell ref="AF285:AF286"/>
    <mergeCell ref="AG285:AG286"/>
    <mergeCell ref="AH285:AH286"/>
    <mergeCell ref="AI285:AI286"/>
    <mergeCell ref="AJ285:AJ286"/>
    <mergeCell ref="AK285:AK286"/>
    <mergeCell ref="W285:W286"/>
    <mergeCell ref="X285:X286"/>
    <mergeCell ref="Y285:Y286"/>
    <mergeCell ref="AA285:AA286"/>
    <mergeCell ref="AB285:AB286"/>
    <mergeCell ref="AC285:AC286"/>
    <mergeCell ref="AD285:AD286"/>
    <mergeCell ref="W287:W288"/>
    <mergeCell ref="X287:X288"/>
    <mergeCell ref="Y287:Y288"/>
    <mergeCell ref="AA287:AA288"/>
    <mergeCell ref="AB287:AB288"/>
    <mergeCell ref="AC287:AC288"/>
    <mergeCell ref="AD287:AD288"/>
    <mergeCell ref="AL285:AL286"/>
    <mergeCell ref="AM285:AM286"/>
    <mergeCell ref="W291:W292"/>
    <mergeCell ref="X291:X292"/>
    <mergeCell ref="Y291:Y292"/>
    <mergeCell ref="AA291:AA292"/>
    <mergeCell ref="AB291:AB292"/>
    <mergeCell ref="D365:D366"/>
    <mergeCell ref="D367:D368"/>
    <mergeCell ref="D369:D370"/>
    <mergeCell ref="D371:D372"/>
    <mergeCell ref="D373:D374"/>
    <mergeCell ref="D375:D376"/>
    <mergeCell ref="D377:D378"/>
    <mergeCell ref="D379:D380"/>
    <mergeCell ref="D381:D382"/>
    <mergeCell ref="D383:D384"/>
    <mergeCell ref="D385:D386"/>
    <mergeCell ref="D387:D388"/>
    <mergeCell ref="D389:D390"/>
    <mergeCell ref="D391:D392"/>
    <mergeCell ref="C361:C362"/>
    <mergeCell ref="C363:C364"/>
    <mergeCell ref="C347:C348"/>
    <mergeCell ref="C507:C508"/>
    <mergeCell ref="C509:C510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535:C536"/>
    <mergeCell ref="C537:C538"/>
    <mergeCell ref="C539:C540"/>
    <mergeCell ref="C541:C542"/>
    <mergeCell ref="C543:C544"/>
    <mergeCell ref="C545:C546"/>
    <mergeCell ref="C553:C554"/>
    <mergeCell ref="C555:C556"/>
    <mergeCell ref="D467:D468"/>
    <mergeCell ref="D469:D470"/>
    <mergeCell ref="D471:D472"/>
    <mergeCell ref="D473:D474"/>
    <mergeCell ref="D475:D476"/>
    <mergeCell ref="D477:D478"/>
    <mergeCell ref="D479:D480"/>
    <mergeCell ref="D481:D482"/>
    <mergeCell ref="D483:D484"/>
    <mergeCell ref="D485:D486"/>
    <mergeCell ref="D487:D488"/>
    <mergeCell ref="D489:D490"/>
    <mergeCell ref="D529:D530"/>
    <mergeCell ref="D531:D532"/>
    <mergeCell ref="D533:D534"/>
    <mergeCell ref="D535:D536"/>
    <mergeCell ref="D537:D538"/>
    <mergeCell ref="D539:D540"/>
    <mergeCell ref="D541:D542"/>
    <mergeCell ref="D543:D544"/>
    <mergeCell ref="D545:D546"/>
    <mergeCell ref="D547:D548"/>
    <mergeCell ref="D549:D550"/>
    <mergeCell ref="D551:D552"/>
    <mergeCell ref="D553:D554"/>
    <mergeCell ref="D555:D556"/>
    <mergeCell ref="AC291:AC292"/>
    <mergeCell ref="AD291:AD292"/>
    <mergeCell ref="AL299:AL300"/>
    <mergeCell ref="AM299:AM300"/>
    <mergeCell ref="W309:W310"/>
    <mergeCell ref="X309:X310"/>
    <mergeCell ref="Y309:Y310"/>
    <mergeCell ref="AA309:AA310"/>
    <mergeCell ref="AB309:AB310"/>
    <mergeCell ref="AC309:AC310"/>
    <mergeCell ref="AD309:AD310"/>
    <mergeCell ref="W311:W312"/>
    <mergeCell ref="X311:X312"/>
    <mergeCell ref="Y311:Y312"/>
    <mergeCell ref="AA311:AA312"/>
    <mergeCell ref="AB311:AB312"/>
    <mergeCell ref="AC311:AC312"/>
    <mergeCell ref="C455:C456"/>
    <mergeCell ref="C457:C458"/>
    <mergeCell ref="C459:C460"/>
    <mergeCell ref="AE289:AE290"/>
    <mergeCell ref="AF289:AF290"/>
    <mergeCell ref="AG289:AG290"/>
    <mergeCell ref="AH289:AH290"/>
    <mergeCell ref="AI289:AI290"/>
    <mergeCell ref="AJ289:AJ290"/>
    <mergeCell ref="AK289:AK290"/>
    <mergeCell ref="W289:W290"/>
    <mergeCell ref="X289:X290"/>
    <mergeCell ref="Y289:Y290"/>
    <mergeCell ref="AA289:AA290"/>
    <mergeCell ref="AB289:AB290"/>
    <mergeCell ref="AC289:AC290"/>
    <mergeCell ref="AD289:AD290"/>
    <mergeCell ref="AL289:AL290"/>
    <mergeCell ref="AM289:AM290"/>
    <mergeCell ref="AI307:AI308"/>
    <mergeCell ref="AJ307:AJ308"/>
    <mergeCell ref="AK307:AK308"/>
    <mergeCell ref="W307:W308"/>
    <mergeCell ref="X307:X308"/>
    <mergeCell ref="Y307:Y308"/>
    <mergeCell ref="AA307:AA308"/>
    <mergeCell ref="AB307:AB308"/>
    <mergeCell ref="AC307:AC308"/>
    <mergeCell ref="AD307:AD308"/>
    <mergeCell ref="AL307:AL308"/>
    <mergeCell ref="AM307:AM308"/>
    <mergeCell ref="AD311:AD312"/>
    <mergeCell ref="W313:W314"/>
    <mergeCell ref="X313:X314"/>
    <mergeCell ref="Y313:Y314"/>
    <mergeCell ref="AA313:AA314"/>
    <mergeCell ref="AB313:AB314"/>
    <mergeCell ref="AC313:AC314"/>
    <mergeCell ref="AD313:AD314"/>
    <mergeCell ref="AI303:AI304"/>
    <mergeCell ref="AJ303:AJ304"/>
    <mergeCell ref="AK303:AK304"/>
    <mergeCell ref="W303:W304"/>
    <mergeCell ref="X303:X304"/>
    <mergeCell ref="Y303:Y304"/>
    <mergeCell ref="AA303:AA304"/>
    <mergeCell ref="AB303:AB304"/>
    <mergeCell ref="AM273:AM274"/>
    <mergeCell ref="AN273:AN274"/>
    <mergeCell ref="AN281:AN282"/>
    <mergeCell ref="AO281:AO282"/>
    <mergeCell ref="AP281:AP282"/>
    <mergeCell ref="AQ281:AQ282"/>
    <mergeCell ref="AR281:AR282"/>
    <mergeCell ref="AW283:AW284"/>
    <mergeCell ref="AX283:AX284"/>
    <mergeCell ref="AY283:AY284"/>
    <mergeCell ref="AS281:AS282"/>
    <mergeCell ref="AT281:AT282"/>
    <mergeCell ref="AU281:AU282"/>
    <mergeCell ref="AV281:AV282"/>
    <mergeCell ref="AW281:AW282"/>
    <mergeCell ref="AX281:AX282"/>
    <mergeCell ref="AY281:AY282"/>
    <mergeCell ref="AX273:AX274"/>
    <mergeCell ref="AU287:AU288"/>
    <mergeCell ref="AV287:AV288"/>
    <mergeCell ref="AN287:AN288"/>
    <mergeCell ref="AE277:AE278"/>
    <mergeCell ref="AF277:AF278"/>
    <mergeCell ref="AG277:AG278"/>
    <mergeCell ref="AH277:AH278"/>
    <mergeCell ref="AI277:AI278"/>
    <mergeCell ref="AJ277:AJ278"/>
    <mergeCell ref="AK277:AK278"/>
    <mergeCell ref="C547:C548"/>
    <mergeCell ref="C549:C550"/>
    <mergeCell ref="C551:C552"/>
    <mergeCell ref="C461:C462"/>
    <mergeCell ref="C463:C464"/>
    <mergeCell ref="C465:C466"/>
    <mergeCell ref="C467:C468"/>
    <mergeCell ref="C379:C380"/>
    <mergeCell ref="C381:C382"/>
    <mergeCell ref="C365:C366"/>
    <mergeCell ref="C367:C368"/>
    <mergeCell ref="C369:C370"/>
    <mergeCell ref="C371:C372"/>
    <mergeCell ref="C373:C374"/>
    <mergeCell ref="C375:C376"/>
    <mergeCell ref="C377:C378"/>
    <mergeCell ref="C397:C398"/>
    <mergeCell ref="C399:C400"/>
    <mergeCell ref="C383:C384"/>
    <mergeCell ref="C385:C386"/>
    <mergeCell ref="C387:C388"/>
    <mergeCell ref="C389:C390"/>
    <mergeCell ref="C391:C392"/>
    <mergeCell ref="C393:C394"/>
    <mergeCell ref="C395:C396"/>
    <mergeCell ref="C415:C416"/>
    <mergeCell ref="C417:C418"/>
    <mergeCell ref="C401:C402"/>
    <mergeCell ref="C403:C404"/>
    <mergeCell ref="C405:C406"/>
    <mergeCell ref="C407:C408"/>
    <mergeCell ref="C409:C410"/>
    <mergeCell ref="C411:C412"/>
    <mergeCell ref="C413:C414"/>
    <mergeCell ref="AE305:AE306"/>
    <mergeCell ref="AF305:AF306"/>
    <mergeCell ref="W281:W282"/>
    <mergeCell ref="X281:X282"/>
    <mergeCell ref="Y281:Y282"/>
    <mergeCell ref="AA281:AA282"/>
    <mergeCell ref="AB281:AB282"/>
    <mergeCell ref="AC281:AC282"/>
    <mergeCell ref="AD281:AD282"/>
    <mergeCell ref="W283:W284"/>
    <mergeCell ref="X283:X284"/>
    <mergeCell ref="Y283:Y284"/>
    <mergeCell ref="AA283:AA284"/>
    <mergeCell ref="AB283:AB284"/>
    <mergeCell ref="AC283:AC284"/>
    <mergeCell ref="AD283:AD284"/>
    <mergeCell ref="AL281:AL282"/>
    <mergeCell ref="AM281:AM282"/>
    <mergeCell ref="AW291:AW292"/>
    <mergeCell ref="AX291:AX292"/>
    <mergeCell ref="AY291:AY292"/>
    <mergeCell ref="AS289:AS290"/>
    <mergeCell ref="AT289:AT290"/>
    <mergeCell ref="AU289:AU290"/>
    <mergeCell ref="AV289:AV290"/>
    <mergeCell ref="AW289:AW290"/>
    <mergeCell ref="AX289:AX290"/>
    <mergeCell ref="AY289:AY290"/>
    <mergeCell ref="AU275:AU276"/>
    <mergeCell ref="AV275:AV276"/>
    <mergeCell ref="AN275:AN276"/>
    <mergeCell ref="AO275:AO276"/>
    <mergeCell ref="AP275:AP276"/>
    <mergeCell ref="AQ275:AQ276"/>
    <mergeCell ref="AR275:AR276"/>
    <mergeCell ref="AS275:AS276"/>
    <mergeCell ref="AT275:AT276"/>
    <mergeCell ref="AW275:AW276"/>
    <mergeCell ref="AX275:AX276"/>
    <mergeCell ref="AY275:AY276"/>
    <mergeCell ref="AN289:AN290"/>
    <mergeCell ref="AO289:AO290"/>
    <mergeCell ref="AP289:AP290"/>
    <mergeCell ref="AQ289:AQ290"/>
    <mergeCell ref="AR289:AR290"/>
    <mergeCell ref="AO287:AO288"/>
    <mergeCell ref="AP287:AP288"/>
    <mergeCell ref="AQ287:AQ288"/>
    <mergeCell ref="AR287:AR288"/>
    <mergeCell ref="AS287:AS288"/>
    <mergeCell ref="AT287:AT288"/>
    <mergeCell ref="AN285:AN286"/>
    <mergeCell ref="AO285:AO286"/>
    <mergeCell ref="AP285:AP286"/>
    <mergeCell ref="AQ285:AQ286"/>
    <mergeCell ref="AR285:AR286"/>
    <mergeCell ref="AW287:AW288"/>
    <mergeCell ref="AX287:AX288"/>
    <mergeCell ref="AY287:AY288"/>
    <mergeCell ref="AS285:AS286"/>
    <mergeCell ref="AT285:AT286"/>
    <mergeCell ref="AU285:AU286"/>
    <mergeCell ref="AV285:AV286"/>
    <mergeCell ref="AW285:AW286"/>
    <mergeCell ref="AX285:AX286"/>
    <mergeCell ref="AY285:AY286"/>
    <mergeCell ref="AY273:AY274"/>
    <mergeCell ref="AU283:AU284"/>
    <mergeCell ref="AV283:AV284"/>
    <mergeCell ref="AN283:AN284"/>
    <mergeCell ref="AO283:AO284"/>
    <mergeCell ref="AP283:AP284"/>
    <mergeCell ref="AQ283:AQ284"/>
    <mergeCell ref="AR283:AR284"/>
    <mergeCell ref="AS283:AS284"/>
    <mergeCell ref="AT283:AT284"/>
    <mergeCell ref="AL275:AL276"/>
    <mergeCell ref="AM275:AM276"/>
    <mergeCell ref="AE275:AE276"/>
    <mergeCell ref="AF275:AF276"/>
    <mergeCell ref="AG275:AG276"/>
    <mergeCell ref="AH275:AH276"/>
    <mergeCell ref="AI275:AI276"/>
    <mergeCell ref="AJ275:AJ276"/>
    <mergeCell ref="AK275:AK276"/>
    <mergeCell ref="AE281:AE282"/>
    <mergeCell ref="AF281:AF282"/>
    <mergeCell ref="AG281:AG282"/>
    <mergeCell ref="AH281:AH282"/>
    <mergeCell ref="AI281:AI282"/>
    <mergeCell ref="AJ281:AJ282"/>
    <mergeCell ref="AK281:AK282"/>
    <mergeCell ref="AV301:AV302"/>
    <mergeCell ref="AW301:AW302"/>
    <mergeCell ref="AX301:AX302"/>
    <mergeCell ref="AY301:AY302"/>
    <mergeCell ref="AL301:AL302"/>
    <mergeCell ref="AM301:AM302"/>
    <mergeCell ref="AN301:AN302"/>
    <mergeCell ref="AO301:AO302"/>
    <mergeCell ref="AP301:AP302"/>
    <mergeCell ref="AQ301:AQ302"/>
    <mergeCell ref="AR301:AR302"/>
    <mergeCell ref="AU299:AU300"/>
    <mergeCell ref="AV299:AV300"/>
    <mergeCell ref="AN299:AN300"/>
    <mergeCell ref="AO299:AO300"/>
    <mergeCell ref="AL287:AL288"/>
    <mergeCell ref="AM287:AM288"/>
    <mergeCell ref="AE287:AE288"/>
    <mergeCell ref="AF287:AF288"/>
    <mergeCell ref="AG287:AG288"/>
    <mergeCell ref="AH287:AH288"/>
    <mergeCell ref="AI287:AI288"/>
    <mergeCell ref="AJ287:AJ288"/>
    <mergeCell ref="AK287:AK288"/>
    <mergeCell ref="AW279:AW280"/>
    <mergeCell ref="AX279:AX280"/>
    <mergeCell ref="AY279:AY280"/>
    <mergeCell ref="AW277:AW278"/>
    <mergeCell ref="AX277:AX278"/>
    <mergeCell ref="AY277:AY278"/>
    <mergeCell ref="AE273:AE274"/>
    <mergeCell ref="AF273:AF274"/>
    <mergeCell ref="AG273:AG274"/>
    <mergeCell ref="AH273:AH274"/>
    <mergeCell ref="AI273:AI274"/>
    <mergeCell ref="AJ273:AJ274"/>
    <mergeCell ref="AK273:AK274"/>
    <mergeCell ref="AL273:AL274"/>
    <mergeCell ref="W301:W302"/>
    <mergeCell ref="X301:X302"/>
    <mergeCell ref="Y301:Y302"/>
    <mergeCell ref="AA301:AA302"/>
    <mergeCell ref="AB301:AB302"/>
    <mergeCell ref="AC301:AC302"/>
    <mergeCell ref="AD301:AD302"/>
    <mergeCell ref="AP299:AP300"/>
    <mergeCell ref="AQ299:AQ300"/>
    <mergeCell ref="AR299:AR300"/>
    <mergeCell ref="AS299:AS300"/>
    <mergeCell ref="AT299:AT300"/>
    <mergeCell ref="W305:W306"/>
    <mergeCell ref="X305:X306"/>
    <mergeCell ref="Y305:Y306"/>
    <mergeCell ref="AL305:AL306"/>
    <mergeCell ref="AM305:AM306"/>
    <mergeCell ref="AJ311:AJ312"/>
    <mergeCell ref="AK311:AK312"/>
    <mergeCell ref="AL311:AL312"/>
    <mergeCell ref="AM311:AM312"/>
    <mergeCell ref="AN311:AN312"/>
    <mergeCell ref="AO311:AO312"/>
    <mergeCell ref="AP311:AP312"/>
    <mergeCell ref="AQ311:AQ312"/>
    <mergeCell ref="AR311:AR312"/>
    <mergeCell ref="AW313:AW314"/>
    <mergeCell ref="AX313:AX314"/>
    <mergeCell ref="AY313:AY314"/>
    <mergeCell ref="AS311:AS312"/>
    <mergeCell ref="AT311:AT312"/>
    <mergeCell ref="AU311:AU312"/>
    <mergeCell ref="AV311:AV312"/>
    <mergeCell ref="AW311:AW312"/>
    <mergeCell ref="AX311:AX312"/>
    <mergeCell ref="AY311:AY312"/>
    <mergeCell ref="AE303:AE304"/>
    <mergeCell ref="AF303:AF304"/>
    <mergeCell ref="AG303:AG304"/>
    <mergeCell ref="AH303:AH304"/>
    <mergeCell ref="AG305:AG306"/>
    <mergeCell ref="AH305:AH306"/>
    <mergeCell ref="AI305:AI306"/>
    <mergeCell ref="AJ305:AJ306"/>
    <mergeCell ref="AK305:AK306"/>
    <mergeCell ref="AE307:AE308"/>
    <mergeCell ref="AF307:AF308"/>
    <mergeCell ref="AG307:AG308"/>
    <mergeCell ref="AH307:AH308"/>
    <mergeCell ref="AU313:AU314"/>
    <mergeCell ref="AV313:AV314"/>
    <mergeCell ref="AN313:AN314"/>
    <mergeCell ref="AO313:AO314"/>
    <mergeCell ref="AP313:AP314"/>
    <mergeCell ref="AQ313:AQ314"/>
    <mergeCell ref="AR313:AR314"/>
    <mergeCell ref="AS313:AS314"/>
    <mergeCell ref="AT313:AT314"/>
    <mergeCell ref="AL309:AL310"/>
    <mergeCell ref="AM309:AM310"/>
    <mergeCell ref="AE309:AE310"/>
    <mergeCell ref="AF309:AF310"/>
    <mergeCell ref="AG309:AG310"/>
    <mergeCell ref="AH309:AH310"/>
    <mergeCell ref="AI309:AI310"/>
    <mergeCell ref="AJ309:AJ310"/>
    <mergeCell ref="AK309:AK310"/>
    <mergeCell ref="AE311:AE312"/>
    <mergeCell ref="AF311:AF312"/>
    <mergeCell ref="AG311:AG312"/>
    <mergeCell ref="AH311:AH312"/>
    <mergeCell ref="AI311:AI312"/>
    <mergeCell ref="W297:W298"/>
    <mergeCell ref="X297:X298"/>
    <mergeCell ref="Y297:Y298"/>
    <mergeCell ref="AA297:AA298"/>
    <mergeCell ref="AB297:AB298"/>
    <mergeCell ref="AC297:AC298"/>
    <mergeCell ref="AD297:AD298"/>
    <mergeCell ref="AL297:AL298"/>
    <mergeCell ref="AM297:AM298"/>
    <mergeCell ref="AN297:AN298"/>
    <mergeCell ref="AO297:AO298"/>
    <mergeCell ref="AP297:AP298"/>
    <mergeCell ref="AQ297:AQ298"/>
    <mergeCell ref="AR297:AR298"/>
    <mergeCell ref="W299:W300"/>
    <mergeCell ref="X299:X300"/>
    <mergeCell ref="Y299:Y300"/>
    <mergeCell ref="AA299:AA300"/>
    <mergeCell ref="AB299:AB300"/>
    <mergeCell ref="AC299:AC300"/>
    <mergeCell ref="AD299:AD300"/>
    <mergeCell ref="AE299:AE300"/>
    <mergeCell ref="AF299:AF300"/>
    <mergeCell ref="AG299:AG300"/>
    <mergeCell ref="AH299:AH300"/>
    <mergeCell ref="AI299:AI300"/>
    <mergeCell ref="AJ299:AJ300"/>
    <mergeCell ref="AK299:AK300"/>
    <mergeCell ref="AA305:AA306"/>
    <mergeCell ref="AN307:AN308"/>
    <mergeCell ref="AO307:AO308"/>
    <mergeCell ref="AP307:AP308"/>
    <mergeCell ref="AQ307:AQ308"/>
    <mergeCell ref="AR307:AR308"/>
    <mergeCell ref="AS301:AS302"/>
    <mergeCell ref="AT301:AT302"/>
    <mergeCell ref="AU301:AU302"/>
    <mergeCell ref="AS307:AS308"/>
    <mergeCell ref="AT307:AT308"/>
    <mergeCell ref="AU307:AU308"/>
    <mergeCell ref="AV307:AV308"/>
    <mergeCell ref="AC303:AC304"/>
    <mergeCell ref="AD303:AD304"/>
    <mergeCell ref="AU305:AU306"/>
    <mergeCell ref="AV305:AV306"/>
    <mergeCell ref="AN305:AN306"/>
    <mergeCell ref="AO305:AO306"/>
    <mergeCell ref="AP305:AP306"/>
    <mergeCell ref="AQ305:AQ306"/>
    <mergeCell ref="AR305:AR306"/>
    <mergeCell ref="AS305:AS306"/>
    <mergeCell ref="AT305:AT306"/>
    <mergeCell ref="AE301:AE302"/>
    <mergeCell ref="AF301:AF302"/>
    <mergeCell ref="AG301:AG302"/>
    <mergeCell ref="AH301:AH302"/>
    <mergeCell ref="AI301:AI302"/>
    <mergeCell ref="AJ301:AJ302"/>
    <mergeCell ref="AK301:AK302"/>
    <mergeCell ref="AE297:AE298"/>
    <mergeCell ref="AF297:AF298"/>
    <mergeCell ref="AG297:AG298"/>
    <mergeCell ref="AH297:AH298"/>
    <mergeCell ref="AI297:AI298"/>
    <mergeCell ref="AJ297:AJ298"/>
    <mergeCell ref="AK297:AK298"/>
    <mergeCell ref="AS297:AS298"/>
    <mergeCell ref="AT297:AT298"/>
    <mergeCell ref="AU297:AU298"/>
    <mergeCell ref="AV297:AV298"/>
    <mergeCell ref="AW297:AW298"/>
    <mergeCell ref="AX297:AX298"/>
    <mergeCell ref="AY297:AY298"/>
    <mergeCell ref="AW309:AW310"/>
    <mergeCell ref="AX309:AX310"/>
    <mergeCell ref="AY309:AY310"/>
    <mergeCell ref="AW299:AW300"/>
    <mergeCell ref="AX299:AX300"/>
    <mergeCell ref="AY299:AY300"/>
    <mergeCell ref="AW307:AW308"/>
    <mergeCell ref="AX307:AX308"/>
    <mergeCell ref="AY307:AY308"/>
    <mergeCell ref="AB305:AB306"/>
    <mergeCell ref="AC305:AC306"/>
    <mergeCell ref="AD305:AD306"/>
    <mergeCell ref="AL303:AL304"/>
    <mergeCell ref="AM303:AM304"/>
    <mergeCell ref="AN303:AN304"/>
    <mergeCell ref="AO303:AO304"/>
    <mergeCell ref="AP303:AP304"/>
    <mergeCell ref="AQ303:AQ304"/>
    <mergeCell ref="AR303:AR304"/>
    <mergeCell ref="AW305:AW306"/>
    <mergeCell ref="AX305:AX306"/>
    <mergeCell ref="AY305:AY306"/>
    <mergeCell ref="AS303:AS304"/>
    <mergeCell ref="AT303:AT304"/>
    <mergeCell ref="AU303:AU304"/>
    <mergeCell ref="AV303:AV304"/>
    <mergeCell ref="AW303:AW304"/>
    <mergeCell ref="AX303:AX304"/>
    <mergeCell ref="AY303:AY304"/>
    <mergeCell ref="AU309:AU310"/>
    <mergeCell ref="AV309:AV310"/>
    <mergeCell ref="AN309:AN310"/>
    <mergeCell ref="AO309:AO310"/>
    <mergeCell ref="AP309:AP310"/>
    <mergeCell ref="AQ309:AQ310"/>
    <mergeCell ref="AR309:AR310"/>
    <mergeCell ref="AS309:AS310"/>
    <mergeCell ref="AT309:AT310"/>
    <mergeCell ref="AL317:AL318"/>
    <mergeCell ref="AM317:AM318"/>
    <mergeCell ref="AW317:AW318"/>
    <mergeCell ref="AX317:AX318"/>
    <mergeCell ref="AY317:AY318"/>
    <mergeCell ref="AE317:AE318"/>
    <mergeCell ref="AF317:AF318"/>
    <mergeCell ref="AG317:AG318"/>
    <mergeCell ref="AH317:AH318"/>
    <mergeCell ref="AI317:AI318"/>
    <mergeCell ref="AJ317:AJ318"/>
    <mergeCell ref="AK317:AK318"/>
    <mergeCell ref="AL313:AL314"/>
    <mergeCell ref="AM313:AM314"/>
    <mergeCell ref="AE313:AE314"/>
    <mergeCell ref="AF313:AF314"/>
    <mergeCell ref="AG313:AG314"/>
    <mergeCell ref="AH313:AH314"/>
    <mergeCell ref="AI313:AI314"/>
    <mergeCell ref="AJ313:AJ314"/>
    <mergeCell ref="AK313:AK314"/>
    <mergeCell ref="AE315:AE316"/>
    <mergeCell ref="AF315:AF316"/>
    <mergeCell ref="AG315:AG316"/>
    <mergeCell ref="AH315:AH316"/>
    <mergeCell ref="AI315:AI316"/>
    <mergeCell ref="AJ315:AJ316"/>
    <mergeCell ref="AK315:AK316"/>
    <mergeCell ref="AS315:AS316"/>
    <mergeCell ref="AT315:AT316"/>
    <mergeCell ref="AU315:AU316"/>
    <mergeCell ref="AV315:AV316"/>
    <mergeCell ref="AW315:AW316"/>
    <mergeCell ref="AX315:AX316"/>
    <mergeCell ref="AY315:AY316"/>
    <mergeCell ref="AU331:AU332"/>
    <mergeCell ref="AV331:AV332"/>
    <mergeCell ref="AN331:AN332"/>
    <mergeCell ref="AO331:AO332"/>
    <mergeCell ref="AP331:AP332"/>
    <mergeCell ref="AQ331:AQ332"/>
    <mergeCell ref="AR331:AR332"/>
    <mergeCell ref="AS331:AS332"/>
    <mergeCell ref="AT331:AT332"/>
    <mergeCell ref="AL327:AL328"/>
    <mergeCell ref="AM327:AM328"/>
    <mergeCell ref="AE327:AE328"/>
    <mergeCell ref="AF327:AF328"/>
    <mergeCell ref="AG327:AG328"/>
    <mergeCell ref="AH327:AH328"/>
    <mergeCell ref="AI327:AI328"/>
    <mergeCell ref="AJ327:AJ328"/>
    <mergeCell ref="AK327:AK328"/>
    <mergeCell ref="AE329:AE330"/>
    <mergeCell ref="AF329:AF330"/>
    <mergeCell ref="AG329:AG330"/>
    <mergeCell ref="AH329:AH330"/>
    <mergeCell ref="AI329:AI330"/>
    <mergeCell ref="AJ329:AJ330"/>
    <mergeCell ref="AK329:AK330"/>
    <mergeCell ref="AL323:AL324"/>
    <mergeCell ref="AM323:AM324"/>
    <mergeCell ref="AE323:AE324"/>
    <mergeCell ref="AF323:AF324"/>
    <mergeCell ref="AG323:AG324"/>
    <mergeCell ref="AH323:AH324"/>
    <mergeCell ref="AI323:AI324"/>
    <mergeCell ref="AJ323:AJ324"/>
    <mergeCell ref="AK323:AK324"/>
    <mergeCell ref="AE325:AE326"/>
    <mergeCell ref="AF325:AF326"/>
    <mergeCell ref="AG325:AG326"/>
    <mergeCell ref="AH325:AH326"/>
    <mergeCell ref="AI325:AI326"/>
    <mergeCell ref="AJ325:AJ326"/>
    <mergeCell ref="AK325:AK326"/>
    <mergeCell ref="AL325:AL326"/>
    <mergeCell ref="AM325:AM326"/>
    <mergeCell ref="AN325:AN326"/>
    <mergeCell ref="AC329:AC330"/>
    <mergeCell ref="AD329:AD330"/>
    <mergeCell ref="W331:W332"/>
    <mergeCell ref="X331:X332"/>
    <mergeCell ref="Y331:Y332"/>
    <mergeCell ref="AA331:AA332"/>
    <mergeCell ref="AB331:AB332"/>
    <mergeCell ref="AC331:AC332"/>
    <mergeCell ref="AD331:AD332"/>
    <mergeCell ref="AL329:AL330"/>
    <mergeCell ref="AM329:AM330"/>
    <mergeCell ref="AN329:AN330"/>
    <mergeCell ref="AO329:AO330"/>
    <mergeCell ref="AP329:AP330"/>
    <mergeCell ref="AQ329:AQ330"/>
    <mergeCell ref="AR329:AR330"/>
    <mergeCell ref="AW331:AW332"/>
    <mergeCell ref="AX331:AX332"/>
    <mergeCell ref="AY331:AY332"/>
    <mergeCell ref="AS329:AS330"/>
    <mergeCell ref="AT329:AT330"/>
    <mergeCell ref="AU329:AU330"/>
    <mergeCell ref="AV329:AV330"/>
    <mergeCell ref="AW329:AW330"/>
    <mergeCell ref="AX329:AX330"/>
    <mergeCell ref="AY329:AY330"/>
    <mergeCell ref="AU317:AU318"/>
    <mergeCell ref="AV317:AV318"/>
    <mergeCell ref="AN317:AN318"/>
    <mergeCell ref="AO317:AO318"/>
    <mergeCell ref="AP317:AP318"/>
    <mergeCell ref="AQ317:AQ318"/>
    <mergeCell ref="AR317:AR318"/>
    <mergeCell ref="AS317:AS318"/>
    <mergeCell ref="AT317:AT318"/>
    <mergeCell ref="AU323:AU324"/>
    <mergeCell ref="AV323:AV324"/>
    <mergeCell ref="AN323:AN324"/>
    <mergeCell ref="AO323:AO324"/>
    <mergeCell ref="AP323:AP324"/>
    <mergeCell ref="AQ323:AQ324"/>
    <mergeCell ref="AR323:AR324"/>
    <mergeCell ref="AS323:AS324"/>
    <mergeCell ref="AT323:AT324"/>
    <mergeCell ref="W323:W324"/>
    <mergeCell ref="X323:X324"/>
    <mergeCell ref="Y323:Y324"/>
    <mergeCell ref="AA323:AA324"/>
    <mergeCell ref="AB323:AB324"/>
    <mergeCell ref="AC323:AC324"/>
    <mergeCell ref="AD323:AD324"/>
    <mergeCell ref="AL321:AL322"/>
    <mergeCell ref="AM321:AM322"/>
    <mergeCell ref="AN321:AN322"/>
    <mergeCell ref="AO321:AO322"/>
    <mergeCell ref="AP321:AP322"/>
    <mergeCell ref="AQ321:AQ322"/>
    <mergeCell ref="AR321:AR322"/>
    <mergeCell ref="AW323:AW324"/>
    <mergeCell ref="AS319:AS320"/>
    <mergeCell ref="AT319:AT320"/>
    <mergeCell ref="AU319:AU320"/>
    <mergeCell ref="AV319:AV320"/>
    <mergeCell ref="AW319:AW320"/>
    <mergeCell ref="W315:W316"/>
    <mergeCell ref="X315:X316"/>
    <mergeCell ref="Y315:Y316"/>
    <mergeCell ref="AA315:AA316"/>
    <mergeCell ref="AB315:AB316"/>
    <mergeCell ref="AC315:AC316"/>
    <mergeCell ref="AD315:AD316"/>
    <mergeCell ref="AL315:AL316"/>
    <mergeCell ref="AM315:AM316"/>
    <mergeCell ref="AN315:AN316"/>
    <mergeCell ref="AO315:AO316"/>
    <mergeCell ref="AP315:AP316"/>
    <mergeCell ref="AQ315:AQ316"/>
    <mergeCell ref="AR315:AR316"/>
    <mergeCell ref="W317:W318"/>
    <mergeCell ref="X317:X318"/>
    <mergeCell ref="Y317:Y318"/>
    <mergeCell ref="AA317:AA318"/>
    <mergeCell ref="AB317:AB318"/>
    <mergeCell ref="AC317:AC318"/>
    <mergeCell ref="AD317:AD318"/>
    <mergeCell ref="AE321:AE322"/>
    <mergeCell ref="AF321:AF322"/>
    <mergeCell ref="AG321:AG322"/>
    <mergeCell ref="AH321:AH322"/>
    <mergeCell ref="AI321:AI322"/>
    <mergeCell ref="AJ321:AJ322"/>
    <mergeCell ref="AK321:AK322"/>
    <mergeCell ref="W321:W322"/>
    <mergeCell ref="X321:X322"/>
    <mergeCell ref="Y321:Y322"/>
    <mergeCell ref="AA321:AA322"/>
    <mergeCell ref="AB321:AB322"/>
    <mergeCell ref="AC321:AC322"/>
    <mergeCell ref="AD321:AD322"/>
    <mergeCell ref="AE319:AE320"/>
    <mergeCell ref="AF319:AF320"/>
    <mergeCell ref="AG319:AG320"/>
    <mergeCell ref="AH319:AH320"/>
    <mergeCell ref="AI319:AI320"/>
    <mergeCell ref="AJ319:AJ320"/>
    <mergeCell ref="AK319:AK320"/>
    <mergeCell ref="AY319:AY320"/>
    <mergeCell ref="AL319:AL320"/>
    <mergeCell ref="AM319:AM320"/>
    <mergeCell ref="AN319:AN320"/>
    <mergeCell ref="AO319:AO320"/>
    <mergeCell ref="AP319:AP320"/>
    <mergeCell ref="AQ319:AQ320"/>
    <mergeCell ref="AR319:AR320"/>
    <mergeCell ref="W319:W320"/>
    <mergeCell ref="X319:X320"/>
    <mergeCell ref="Y319:Y320"/>
    <mergeCell ref="AA319:AA320"/>
    <mergeCell ref="AB319:AB320"/>
    <mergeCell ref="AC319:AC320"/>
    <mergeCell ref="AD319:AD320"/>
    <mergeCell ref="AX323:AX324"/>
    <mergeCell ref="AY323:AY324"/>
    <mergeCell ref="AS321:AS322"/>
    <mergeCell ref="AT321:AT322"/>
    <mergeCell ref="AU321:AU322"/>
    <mergeCell ref="AV321:AV322"/>
    <mergeCell ref="AW321:AW322"/>
    <mergeCell ref="AX321:AX322"/>
    <mergeCell ref="AY321:AY322"/>
    <mergeCell ref="AU327:AU328"/>
    <mergeCell ref="AV327:AV328"/>
    <mergeCell ref="AN327:AN328"/>
    <mergeCell ref="AO327:AO328"/>
    <mergeCell ref="AP327:AP328"/>
    <mergeCell ref="AQ327:AQ328"/>
    <mergeCell ref="AR327:AR328"/>
    <mergeCell ref="AS327:AS328"/>
    <mergeCell ref="AT327:AT328"/>
    <mergeCell ref="AO325:AO326"/>
    <mergeCell ref="AP325:AP326"/>
    <mergeCell ref="AQ325:AQ326"/>
    <mergeCell ref="AR325:AR326"/>
    <mergeCell ref="AW327:AW328"/>
    <mergeCell ref="AX327:AX328"/>
    <mergeCell ref="AY327:AY328"/>
    <mergeCell ref="AS325:AS326"/>
    <mergeCell ref="AT325:AT326"/>
    <mergeCell ref="AU325:AU326"/>
    <mergeCell ref="AV325:AV326"/>
    <mergeCell ref="AW325:AW326"/>
    <mergeCell ref="AX325:AX326"/>
    <mergeCell ref="AY325:AY326"/>
    <mergeCell ref="W325:W326"/>
    <mergeCell ref="X325:X326"/>
    <mergeCell ref="Y325:Y326"/>
    <mergeCell ref="AA325:AA326"/>
    <mergeCell ref="AB325:AB326"/>
    <mergeCell ref="AC325:AC326"/>
    <mergeCell ref="AD325:AD326"/>
    <mergeCell ref="W327:W328"/>
    <mergeCell ref="X327:X328"/>
    <mergeCell ref="Y327:Y328"/>
    <mergeCell ref="AA327:AA328"/>
    <mergeCell ref="AC327:AC328"/>
    <mergeCell ref="AD327:AD328"/>
    <mergeCell ref="AX319:AX320"/>
    <mergeCell ref="AM335:AM336"/>
    <mergeCell ref="AW335:AW336"/>
    <mergeCell ref="AX335:AX336"/>
    <mergeCell ref="AY335:AY336"/>
    <mergeCell ref="AE335:AE336"/>
    <mergeCell ref="AF335:AF336"/>
    <mergeCell ref="AG335:AG336"/>
    <mergeCell ref="AH335:AH336"/>
    <mergeCell ref="AI335:AI336"/>
    <mergeCell ref="AJ335:AJ336"/>
    <mergeCell ref="AK335:AK336"/>
    <mergeCell ref="D255:D256"/>
    <mergeCell ref="D257:D258"/>
    <mergeCell ref="D259:D260"/>
    <mergeCell ref="D261:D262"/>
    <mergeCell ref="D263:D264"/>
    <mergeCell ref="D265:D266"/>
    <mergeCell ref="D267:D268"/>
    <mergeCell ref="D269:D270"/>
    <mergeCell ref="D271:D272"/>
    <mergeCell ref="D273:D274"/>
    <mergeCell ref="D275:D276"/>
    <mergeCell ref="D277:D278"/>
    <mergeCell ref="D279:D280"/>
    <mergeCell ref="D281:D282"/>
    <mergeCell ref="G283:G284"/>
    <mergeCell ref="H283:H284"/>
    <mergeCell ref="E281:E282"/>
    <mergeCell ref="F281:F282"/>
    <mergeCell ref="G281:G282"/>
    <mergeCell ref="H281:H282"/>
    <mergeCell ref="I281:I282"/>
    <mergeCell ref="E283:E284"/>
    <mergeCell ref="F283:F284"/>
    <mergeCell ref="I283:I284"/>
    <mergeCell ref="E287:E288"/>
    <mergeCell ref="F287:F288"/>
    <mergeCell ref="G287:G288"/>
    <mergeCell ref="H287:H288"/>
    <mergeCell ref="I287:I288"/>
    <mergeCell ref="D283:D284"/>
    <mergeCell ref="D285:D286"/>
    <mergeCell ref="E285:E286"/>
    <mergeCell ref="F285:F286"/>
    <mergeCell ref="G285:G286"/>
    <mergeCell ref="H285:H286"/>
    <mergeCell ref="I285:I286"/>
    <mergeCell ref="E291:E292"/>
    <mergeCell ref="F291:F292"/>
    <mergeCell ref="G291:G292"/>
    <mergeCell ref="H291:H292"/>
    <mergeCell ref="I291:I292"/>
    <mergeCell ref="D287:D288"/>
    <mergeCell ref="D289:D290"/>
    <mergeCell ref="E289:E290"/>
    <mergeCell ref="F289:F290"/>
    <mergeCell ref="G289:G290"/>
    <mergeCell ref="H289:H290"/>
    <mergeCell ref="I289:I290"/>
    <mergeCell ref="D291:D292"/>
    <mergeCell ref="D293:D294"/>
    <mergeCell ref="E293:E294"/>
    <mergeCell ref="F293:F294"/>
    <mergeCell ref="G293:G294"/>
    <mergeCell ref="H293:H294"/>
    <mergeCell ref="I293:I294"/>
    <mergeCell ref="H309:H310"/>
    <mergeCell ref="I309:I310"/>
    <mergeCell ref="H311:H312"/>
    <mergeCell ref="I311:I312"/>
    <mergeCell ref="H313:H314"/>
    <mergeCell ref="I313:I314"/>
    <mergeCell ref="F309:F310"/>
    <mergeCell ref="G309:G310"/>
    <mergeCell ref="E311:E312"/>
    <mergeCell ref="F311:F312"/>
    <mergeCell ref="G311:G312"/>
    <mergeCell ref="F313:F314"/>
    <mergeCell ref="G313:G314"/>
    <mergeCell ref="H317:H318"/>
    <mergeCell ref="I317:I318"/>
    <mergeCell ref="E313:E314"/>
    <mergeCell ref="E315:E316"/>
    <mergeCell ref="F315:F316"/>
    <mergeCell ref="G315:G316"/>
    <mergeCell ref="H315:H316"/>
    <mergeCell ref="I315:I316"/>
    <mergeCell ref="E317:E318"/>
    <mergeCell ref="G297:G298"/>
    <mergeCell ref="H297:H298"/>
    <mergeCell ref="E295:E296"/>
    <mergeCell ref="F295:F296"/>
    <mergeCell ref="G295:G296"/>
    <mergeCell ref="H295:H296"/>
    <mergeCell ref="I295:I296"/>
    <mergeCell ref="F297:F298"/>
    <mergeCell ref="I297:I298"/>
    <mergeCell ref="H301:H302"/>
    <mergeCell ref="I301:I302"/>
    <mergeCell ref="H303:H304"/>
    <mergeCell ref="I303:I304"/>
    <mergeCell ref="H305:H306"/>
    <mergeCell ref="I305:I306"/>
    <mergeCell ref="E297:E298"/>
    <mergeCell ref="E299:E300"/>
    <mergeCell ref="F299:F300"/>
    <mergeCell ref="G299:G300"/>
    <mergeCell ref="H299:H300"/>
    <mergeCell ref="I299:I300"/>
    <mergeCell ref="E301:E302"/>
    <mergeCell ref="F301:F302"/>
    <mergeCell ref="G301:G302"/>
    <mergeCell ref="E303:E304"/>
    <mergeCell ref="F303:F304"/>
    <mergeCell ref="G303:G304"/>
    <mergeCell ref="F305:F306"/>
    <mergeCell ref="G305:G306"/>
    <mergeCell ref="E305:E306"/>
    <mergeCell ref="E307:E308"/>
    <mergeCell ref="F307:F308"/>
    <mergeCell ref="G307:G308"/>
    <mergeCell ref="H307:H308"/>
    <mergeCell ref="I307:I308"/>
    <mergeCell ref="E309:E310"/>
    <mergeCell ref="F317:F318"/>
    <mergeCell ref="G317:G318"/>
    <mergeCell ref="E319:E320"/>
    <mergeCell ref="F319:F320"/>
    <mergeCell ref="G319:G320"/>
    <mergeCell ref="H319:H320"/>
    <mergeCell ref="I319:I320"/>
    <mergeCell ref="H335:H336"/>
    <mergeCell ref="I335:I336"/>
    <mergeCell ref="H337:H338"/>
    <mergeCell ref="I337:I338"/>
    <mergeCell ref="H339:H340"/>
    <mergeCell ref="I339:I340"/>
    <mergeCell ref="F335:F336"/>
    <mergeCell ref="G335:G336"/>
    <mergeCell ref="E337:E338"/>
    <mergeCell ref="F337:F338"/>
    <mergeCell ref="G337:G338"/>
    <mergeCell ref="F339:F340"/>
    <mergeCell ref="G339:G340"/>
    <mergeCell ref="H361:H362"/>
    <mergeCell ref="I361:I362"/>
    <mergeCell ref="H363:H364"/>
    <mergeCell ref="I363:I364"/>
    <mergeCell ref="H365:H366"/>
    <mergeCell ref="I365:I366"/>
    <mergeCell ref="F361:F362"/>
    <mergeCell ref="G361:G362"/>
    <mergeCell ref="E363:E364"/>
    <mergeCell ref="F363:F364"/>
    <mergeCell ref="G363:G364"/>
    <mergeCell ref="F365:F366"/>
    <mergeCell ref="G365:G366"/>
    <mergeCell ref="H421:H422"/>
    <mergeCell ref="I421:I422"/>
    <mergeCell ref="E417:E418"/>
    <mergeCell ref="E419:E420"/>
    <mergeCell ref="F419:F420"/>
    <mergeCell ref="G419:G420"/>
    <mergeCell ref="H419:H420"/>
    <mergeCell ref="I419:I420"/>
    <mergeCell ref="E421:E422"/>
    <mergeCell ref="G401:G402"/>
    <mergeCell ref="H401:H402"/>
    <mergeCell ref="E399:E400"/>
    <mergeCell ref="F399:F400"/>
    <mergeCell ref="G399:G400"/>
    <mergeCell ref="H399:H400"/>
    <mergeCell ref="I399:I400"/>
    <mergeCell ref="F401:F402"/>
    <mergeCell ref="I401:I402"/>
    <mergeCell ref="H405:H406"/>
    <mergeCell ref="I405:I406"/>
    <mergeCell ref="H407:H408"/>
    <mergeCell ref="I407:I408"/>
    <mergeCell ref="H409:H410"/>
    <mergeCell ref="I409:I410"/>
    <mergeCell ref="E401:E402"/>
    <mergeCell ref="E403:E404"/>
    <mergeCell ref="F403:F404"/>
    <mergeCell ref="G403:G404"/>
    <mergeCell ref="H403:H404"/>
    <mergeCell ref="I403:I404"/>
    <mergeCell ref="E405:E406"/>
    <mergeCell ref="F405:F406"/>
    <mergeCell ref="G405:G406"/>
    <mergeCell ref="H369:H370"/>
    <mergeCell ref="I369:I370"/>
    <mergeCell ref="E365:E366"/>
    <mergeCell ref="E367:E368"/>
    <mergeCell ref="F367:F368"/>
    <mergeCell ref="G367:G368"/>
    <mergeCell ref="H367:H368"/>
    <mergeCell ref="I367:I368"/>
    <mergeCell ref="E369:E370"/>
    <mergeCell ref="G349:G350"/>
    <mergeCell ref="H349:H350"/>
    <mergeCell ref="E347:E348"/>
    <mergeCell ref="F347:F348"/>
    <mergeCell ref="G347:G348"/>
    <mergeCell ref="H347:H348"/>
    <mergeCell ref="I347:I348"/>
    <mergeCell ref="F349:F350"/>
    <mergeCell ref="I349:I350"/>
    <mergeCell ref="H353:H354"/>
    <mergeCell ref="I353:I354"/>
    <mergeCell ref="H355:H356"/>
    <mergeCell ref="I355:I356"/>
    <mergeCell ref="H357:H358"/>
    <mergeCell ref="I357:I358"/>
    <mergeCell ref="E349:E350"/>
    <mergeCell ref="E351:E352"/>
    <mergeCell ref="F351:F352"/>
    <mergeCell ref="G351:G352"/>
    <mergeCell ref="H351:H352"/>
    <mergeCell ref="I351:I352"/>
    <mergeCell ref="E353:E354"/>
    <mergeCell ref="F353:F354"/>
    <mergeCell ref="G353:G354"/>
    <mergeCell ref="E355:E356"/>
    <mergeCell ref="F355:F356"/>
    <mergeCell ref="G355:G356"/>
    <mergeCell ref="F357:F358"/>
    <mergeCell ref="G357:G358"/>
    <mergeCell ref="E357:E358"/>
    <mergeCell ref="E359:E360"/>
    <mergeCell ref="F359:F360"/>
    <mergeCell ref="G359:G360"/>
    <mergeCell ref="H359:H360"/>
    <mergeCell ref="I359:I360"/>
    <mergeCell ref="E361:E362"/>
    <mergeCell ref="F369:F370"/>
    <mergeCell ref="G369:G370"/>
    <mergeCell ref="E371:E372"/>
    <mergeCell ref="F371:F372"/>
    <mergeCell ref="G371:G372"/>
    <mergeCell ref="H371:H372"/>
    <mergeCell ref="I371:I372"/>
    <mergeCell ref="H387:H388"/>
    <mergeCell ref="I387:I388"/>
    <mergeCell ref="H389:H390"/>
    <mergeCell ref="I389:I390"/>
    <mergeCell ref="H391:H392"/>
    <mergeCell ref="I391:I392"/>
    <mergeCell ref="F387:F388"/>
    <mergeCell ref="G387:G388"/>
    <mergeCell ref="E389:E390"/>
    <mergeCell ref="F389:F390"/>
    <mergeCell ref="G389:G390"/>
    <mergeCell ref="F391:F392"/>
    <mergeCell ref="G391:G392"/>
    <mergeCell ref="H395:H396"/>
    <mergeCell ref="I395:I396"/>
    <mergeCell ref="E391:E392"/>
    <mergeCell ref="E393:E394"/>
    <mergeCell ref="F393:F394"/>
    <mergeCell ref="G393:G394"/>
    <mergeCell ref="H393:H394"/>
    <mergeCell ref="I393:I394"/>
    <mergeCell ref="E395:E396"/>
    <mergeCell ref="G375:G376"/>
    <mergeCell ref="H375:H376"/>
    <mergeCell ref="E373:E374"/>
    <mergeCell ref="F373:F374"/>
    <mergeCell ref="G373:G374"/>
    <mergeCell ref="H373:H374"/>
    <mergeCell ref="I373:I374"/>
    <mergeCell ref="F375:F376"/>
    <mergeCell ref="I375:I376"/>
    <mergeCell ref="H379:H380"/>
    <mergeCell ref="I379:I380"/>
    <mergeCell ref="H381:H382"/>
    <mergeCell ref="I381:I382"/>
    <mergeCell ref="H383:H384"/>
    <mergeCell ref="I383:I384"/>
    <mergeCell ref="E375:E376"/>
    <mergeCell ref="E377:E378"/>
    <mergeCell ref="F377:F378"/>
    <mergeCell ref="G377:G378"/>
    <mergeCell ref="H377:H378"/>
    <mergeCell ref="I377:I378"/>
    <mergeCell ref="E379:E380"/>
    <mergeCell ref="F379:F380"/>
    <mergeCell ref="G379:G380"/>
    <mergeCell ref="E381:E382"/>
    <mergeCell ref="F381:F382"/>
    <mergeCell ref="G381:G382"/>
    <mergeCell ref="F383:F384"/>
    <mergeCell ref="G383:G384"/>
    <mergeCell ref="E383:E384"/>
    <mergeCell ref="E385:E386"/>
    <mergeCell ref="F385:F386"/>
    <mergeCell ref="G385:G386"/>
    <mergeCell ref="H385:H386"/>
    <mergeCell ref="I385:I386"/>
    <mergeCell ref="E387:E388"/>
    <mergeCell ref="F395:F396"/>
    <mergeCell ref="G395:G396"/>
    <mergeCell ref="E397:E398"/>
    <mergeCell ref="F397:F398"/>
    <mergeCell ref="G397:G398"/>
    <mergeCell ref="H397:H398"/>
    <mergeCell ref="I397:I398"/>
    <mergeCell ref="H413:H414"/>
    <mergeCell ref="I413:I414"/>
    <mergeCell ref="H415:H416"/>
    <mergeCell ref="I415:I416"/>
    <mergeCell ref="H417:H418"/>
    <mergeCell ref="I417:I418"/>
    <mergeCell ref="F413:F414"/>
    <mergeCell ref="G413:G414"/>
    <mergeCell ref="E415:E416"/>
    <mergeCell ref="F415:F416"/>
    <mergeCell ref="G415:G416"/>
    <mergeCell ref="F417:F418"/>
    <mergeCell ref="G417:G418"/>
    <mergeCell ref="H439:H440"/>
    <mergeCell ref="I439:I440"/>
    <mergeCell ref="H441:H442"/>
    <mergeCell ref="I441:I442"/>
    <mergeCell ref="H443:H444"/>
    <mergeCell ref="I443:I444"/>
    <mergeCell ref="F439:F440"/>
    <mergeCell ref="G439:G440"/>
    <mergeCell ref="E441:E442"/>
    <mergeCell ref="F441:F442"/>
    <mergeCell ref="G441:G442"/>
    <mergeCell ref="F443:F444"/>
    <mergeCell ref="G443:G444"/>
    <mergeCell ref="E407:E408"/>
    <mergeCell ref="F407:F408"/>
    <mergeCell ref="G407:G408"/>
    <mergeCell ref="F409:F410"/>
    <mergeCell ref="G409:G410"/>
    <mergeCell ref="E409:E410"/>
    <mergeCell ref="E411:E412"/>
    <mergeCell ref="F411:F412"/>
    <mergeCell ref="G411:G412"/>
    <mergeCell ref="H411:H412"/>
    <mergeCell ref="I411:I412"/>
    <mergeCell ref="E413:E414"/>
    <mergeCell ref="F421:F422"/>
    <mergeCell ref="G421:G422"/>
    <mergeCell ref="E423:E424"/>
    <mergeCell ref="F423:F424"/>
    <mergeCell ref="G423:G424"/>
    <mergeCell ref="H423:H424"/>
    <mergeCell ref="I423:I424"/>
    <mergeCell ref="H499:H500"/>
    <mergeCell ref="I499:I500"/>
    <mergeCell ref="E495:E496"/>
    <mergeCell ref="E497:E498"/>
    <mergeCell ref="F497:F498"/>
    <mergeCell ref="G497:G498"/>
    <mergeCell ref="H497:H498"/>
    <mergeCell ref="I497:I498"/>
    <mergeCell ref="E499:E500"/>
    <mergeCell ref="G479:G480"/>
    <mergeCell ref="H479:H480"/>
    <mergeCell ref="E477:E478"/>
    <mergeCell ref="F477:F478"/>
    <mergeCell ref="G477:G478"/>
    <mergeCell ref="H477:H478"/>
    <mergeCell ref="I477:I478"/>
    <mergeCell ref="F479:F480"/>
    <mergeCell ref="I479:I480"/>
    <mergeCell ref="H483:H484"/>
    <mergeCell ref="I483:I484"/>
    <mergeCell ref="H485:H486"/>
    <mergeCell ref="I485:I486"/>
    <mergeCell ref="H487:H488"/>
    <mergeCell ref="I487:I488"/>
    <mergeCell ref="E479:E480"/>
    <mergeCell ref="E481:E482"/>
    <mergeCell ref="F481:F482"/>
    <mergeCell ref="G481:G482"/>
    <mergeCell ref="H481:H482"/>
    <mergeCell ref="I481:I482"/>
    <mergeCell ref="E483:E484"/>
    <mergeCell ref="F483:F484"/>
    <mergeCell ref="G483:G484"/>
    <mergeCell ref="E485:E486"/>
    <mergeCell ref="F485:F486"/>
    <mergeCell ref="G485:G486"/>
    <mergeCell ref="F487:F488"/>
    <mergeCell ref="G487:G488"/>
    <mergeCell ref="E487:E488"/>
    <mergeCell ref="E489:E490"/>
    <mergeCell ref="F489:F490"/>
    <mergeCell ref="G489:G490"/>
    <mergeCell ref="H489:H490"/>
    <mergeCell ref="I489:I490"/>
    <mergeCell ref="E491:E492"/>
    <mergeCell ref="F499:F500"/>
    <mergeCell ref="G499:G500"/>
    <mergeCell ref="E501:E502"/>
    <mergeCell ref="F501:F502"/>
    <mergeCell ref="G501:G502"/>
    <mergeCell ref="H501:H502"/>
    <mergeCell ref="I501:I502"/>
    <mergeCell ref="H447:H448"/>
    <mergeCell ref="I447:I448"/>
    <mergeCell ref="E443:E444"/>
    <mergeCell ref="E445:E446"/>
    <mergeCell ref="F445:F446"/>
    <mergeCell ref="G445:G446"/>
    <mergeCell ref="H445:H446"/>
    <mergeCell ref="I445:I446"/>
    <mergeCell ref="E447:E448"/>
    <mergeCell ref="G427:G428"/>
    <mergeCell ref="H427:H428"/>
    <mergeCell ref="E425:E426"/>
    <mergeCell ref="F425:F426"/>
    <mergeCell ref="G425:G426"/>
    <mergeCell ref="H425:H426"/>
    <mergeCell ref="I425:I426"/>
    <mergeCell ref="F427:F428"/>
    <mergeCell ref="I427:I428"/>
    <mergeCell ref="H431:H432"/>
    <mergeCell ref="I431:I432"/>
    <mergeCell ref="H433:H434"/>
    <mergeCell ref="I433:I434"/>
    <mergeCell ref="H435:H436"/>
    <mergeCell ref="I435:I436"/>
    <mergeCell ref="E427:E428"/>
    <mergeCell ref="E429:E430"/>
    <mergeCell ref="F429:F430"/>
    <mergeCell ref="G429:G430"/>
    <mergeCell ref="H429:H430"/>
    <mergeCell ref="I429:I430"/>
    <mergeCell ref="E431:E432"/>
    <mergeCell ref="F431:F432"/>
    <mergeCell ref="G431:G432"/>
    <mergeCell ref="E433:E434"/>
    <mergeCell ref="F433:F434"/>
    <mergeCell ref="G433:G434"/>
    <mergeCell ref="F435:F436"/>
    <mergeCell ref="G435:G436"/>
    <mergeCell ref="E435:E436"/>
    <mergeCell ref="E437:E438"/>
    <mergeCell ref="F437:F438"/>
    <mergeCell ref="G437:G438"/>
    <mergeCell ref="H437:H438"/>
    <mergeCell ref="I437:I438"/>
    <mergeCell ref="E439:E440"/>
    <mergeCell ref="F447:F448"/>
    <mergeCell ref="G447:G448"/>
    <mergeCell ref="E449:E450"/>
    <mergeCell ref="F449:F450"/>
    <mergeCell ref="G449:G450"/>
    <mergeCell ref="H449:H450"/>
    <mergeCell ref="I449:I450"/>
    <mergeCell ref="H465:H466"/>
    <mergeCell ref="I465:I466"/>
    <mergeCell ref="H467:H468"/>
    <mergeCell ref="I467:I468"/>
    <mergeCell ref="H469:H470"/>
    <mergeCell ref="I469:I470"/>
    <mergeCell ref="F465:F466"/>
    <mergeCell ref="G465:G466"/>
    <mergeCell ref="E467:E468"/>
    <mergeCell ref="F467:F468"/>
    <mergeCell ref="G467:G468"/>
    <mergeCell ref="F469:F470"/>
    <mergeCell ref="G469:G470"/>
    <mergeCell ref="H473:H474"/>
    <mergeCell ref="I473:I474"/>
    <mergeCell ref="E469:E470"/>
    <mergeCell ref="E471:E472"/>
    <mergeCell ref="F471:F472"/>
    <mergeCell ref="G471:G472"/>
    <mergeCell ref="H471:H472"/>
    <mergeCell ref="I471:I472"/>
    <mergeCell ref="E473:E474"/>
    <mergeCell ref="G453:G454"/>
    <mergeCell ref="H453:H454"/>
    <mergeCell ref="E451:E452"/>
    <mergeCell ref="F451:F452"/>
    <mergeCell ref="G451:G452"/>
    <mergeCell ref="H451:H452"/>
    <mergeCell ref="I451:I452"/>
    <mergeCell ref="F453:F454"/>
    <mergeCell ref="I453:I454"/>
    <mergeCell ref="H457:H458"/>
    <mergeCell ref="I457:I458"/>
    <mergeCell ref="H459:H460"/>
    <mergeCell ref="I459:I460"/>
    <mergeCell ref="H461:H462"/>
    <mergeCell ref="I461:I462"/>
    <mergeCell ref="E453:E454"/>
    <mergeCell ref="E455:E456"/>
    <mergeCell ref="F455:F456"/>
    <mergeCell ref="G455:G456"/>
    <mergeCell ref="H455:H456"/>
    <mergeCell ref="I455:I456"/>
    <mergeCell ref="E457:E458"/>
    <mergeCell ref="F457:F458"/>
    <mergeCell ref="G457:G458"/>
    <mergeCell ref="E459:E460"/>
    <mergeCell ref="F459:F460"/>
    <mergeCell ref="G459:G460"/>
    <mergeCell ref="F461:F462"/>
    <mergeCell ref="G461:G462"/>
    <mergeCell ref="E461:E462"/>
    <mergeCell ref="E463:E464"/>
    <mergeCell ref="F463:F464"/>
    <mergeCell ref="G463:G464"/>
    <mergeCell ref="H463:H464"/>
    <mergeCell ref="I463:I464"/>
    <mergeCell ref="E465:E466"/>
    <mergeCell ref="F473:F474"/>
    <mergeCell ref="G473:G474"/>
    <mergeCell ref="E475:E476"/>
    <mergeCell ref="F475:F476"/>
    <mergeCell ref="G475:G476"/>
    <mergeCell ref="H475:H476"/>
    <mergeCell ref="I475:I476"/>
    <mergeCell ref="H491:H492"/>
    <mergeCell ref="I491:I492"/>
    <mergeCell ref="H493:H494"/>
    <mergeCell ref="I493:I494"/>
    <mergeCell ref="H495:H496"/>
    <mergeCell ref="I495:I496"/>
    <mergeCell ref="F491:F492"/>
    <mergeCell ref="G491:G492"/>
    <mergeCell ref="E493:E494"/>
    <mergeCell ref="F493:F494"/>
    <mergeCell ref="G493:G494"/>
    <mergeCell ref="F495:F496"/>
    <mergeCell ref="G495:G496"/>
    <mergeCell ref="H517:H518"/>
    <mergeCell ref="I517:I518"/>
    <mergeCell ref="H519:H520"/>
    <mergeCell ref="I519:I520"/>
    <mergeCell ref="H521:H522"/>
    <mergeCell ref="I521:I522"/>
    <mergeCell ref="F517:F518"/>
    <mergeCell ref="G517:G518"/>
    <mergeCell ref="E519:E520"/>
    <mergeCell ref="F519:F520"/>
    <mergeCell ref="G519:G520"/>
    <mergeCell ref="F521:F522"/>
    <mergeCell ref="G521:G522"/>
    <mergeCell ref="H577:H578"/>
    <mergeCell ref="I577:I578"/>
    <mergeCell ref="E573:E574"/>
    <mergeCell ref="E575:E576"/>
    <mergeCell ref="F575:F576"/>
    <mergeCell ref="G575:G576"/>
    <mergeCell ref="H575:H576"/>
    <mergeCell ref="I575:I576"/>
    <mergeCell ref="E577:E578"/>
    <mergeCell ref="G557:G558"/>
    <mergeCell ref="H557:H558"/>
    <mergeCell ref="E555:E556"/>
    <mergeCell ref="F555:F556"/>
    <mergeCell ref="G555:G556"/>
    <mergeCell ref="H555:H556"/>
    <mergeCell ref="I555:I556"/>
    <mergeCell ref="F557:F558"/>
    <mergeCell ref="I557:I558"/>
    <mergeCell ref="H561:H562"/>
    <mergeCell ref="I561:I562"/>
    <mergeCell ref="H563:H564"/>
    <mergeCell ref="I563:I564"/>
    <mergeCell ref="H565:H566"/>
    <mergeCell ref="I565:I566"/>
    <mergeCell ref="E557:E558"/>
    <mergeCell ref="E559:E560"/>
    <mergeCell ref="F559:F560"/>
    <mergeCell ref="G559:G560"/>
    <mergeCell ref="H559:H560"/>
    <mergeCell ref="I559:I560"/>
    <mergeCell ref="E561:E562"/>
    <mergeCell ref="F561:F562"/>
    <mergeCell ref="G561:G562"/>
    <mergeCell ref="H525:H526"/>
    <mergeCell ref="I525:I526"/>
    <mergeCell ref="E521:E522"/>
    <mergeCell ref="E523:E524"/>
    <mergeCell ref="F523:F524"/>
    <mergeCell ref="G523:G524"/>
    <mergeCell ref="H523:H524"/>
    <mergeCell ref="I523:I524"/>
    <mergeCell ref="E525:E526"/>
    <mergeCell ref="G505:G506"/>
    <mergeCell ref="H505:H506"/>
    <mergeCell ref="E503:E504"/>
    <mergeCell ref="F503:F504"/>
    <mergeCell ref="G503:G504"/>
    <mergeCell ref="H503:H504"/>
    <mergeCell ref="I503:I504"/>
    <mergeCell ref="F505:F506"/>
    <mergeCell ref="I505:I506"/>
    <mergeCell ref="H509:H510"/>
    <mergeCell ref="I509:I510"/>
    <mergeCell ref="H511:H512"/>
    <mergeCell ref="I511:I512"/>
    <mergeCell ref="H513:H514"/>
    <mergeCell ref="I513:I514"/>
    <mergeCell ref="E505:E506"/>
    <mergeCell ref="E507:E508"/>
    <mergeCell ref="F507:F508"/>
    <mergeCell ref="G507:G508"/>
    <mergeCell ref="H507:H508"/>
    <mergeCell ref="I507:I508"/>
    <mergeCell ref="E509:E510"/>
    <mergeCell ref="F509:F510"/>
    <mergeCell ref="G509:G510"/>
    <mergeCell ref="E511:E512"/>
    <mergeCell ref="F511:F512"/>
    <mergeCell ref="G511:G512"/>
    <mergeCell ref="F513:F514"/>
    <mergeCell ref="G513:G514"/>
    <mergeCell ref="E513:E514"/>
    <mergeCell ref="E515:E516"/>
    <mergeCell ref="F515:F516"/>
    <mergeCell ref="G515:G516"/>
    <mergeCell ref="H515:H516"/>
    <mergeCell ref="I515:I516"/>
    <mergeCell ref="E517:E518"/>
    <mergeCell ref="F525:F526"/>
    <mergeCell ref="G525:G526"/>
    <mergeCell ref="E527:E528"/>
    <mergeCell ref="F527:F528"/>
    <mergeCell ref="G527:G528"/>
    <mergeCell ref="H527:H528"/>
    <mergeCell ref="I527:I528"/>
    <mergeCell ref="H543:H544"/>
    <mergeCell ref="I543:I544"/>
    <mergeCell ref="H545:H546"/>
    <mergeCell ref="I545:I546"/>
    <mergeCell ref="H547:H548"/>
    <mergeCell ref="I547:I548"/>
    <mergeCell ref="F543:F544"/>
    <mergeCell ref="G543:G544"/>
    <mergeCell ref="E545:E546"/>
    <mergeCell ref="F545:F546"/>
    <mergeCell ref="G545:G546"/>
    <mergeCell ref="F547:F548"/>
    <mergeCell ref="G547:G548"/>
    <mergeCell ref="H551:H552"/>
    <mergeCell ref="I551:I552"/>
    <mergeCell ref="E547:E548"/>
    <mergeCell ref="E549:E550"/>
    <mergeCell ref="F549:F550"/>
    <mergeCell ref="G549:G550"/>
    <mergeCell ref="H549:H550"/>
    <mergeCell ref="I549:I550"/>
    <mergeCell ref="E551:E552"/>
    <mergeCell ref="G531:G532"/>
    <mergeCell ref="H531:H532"/>
    <mergeCell ref="E529:E530"/>
    <mergeCell ref="F529:F530"/>
    <mergeCell ref="G529:G530"/>
    <mergeCell ref="H529:H530"/>
    <mergeCell ref="I529:I530"/>
    <mergeCell ref="F531:F532"/>
    <mergeCell ref="I531:I532"/>
    <mergeCell ref="H535:H536"/>
    <mergeCell ref="I535:I536"/>
    <mergeCell ref="H537:H538"/>
    <mergeCell ref="I537:I538"/>
    <mergeCell ref="H539:H540"/>
    <mergeCell ref="I539:I540"/>
    <mergeCell ref="E531:E532"/>
    <mergeCell ref="E533:E534"/>
    <mergeCell ref="F533:F534"/>
    <mergeCell ref="G533:G534"/>
    <mergeCell ref="H533:H534"/>
    <mergeCell ref="I533:I534"/>
    <mergeCell ref="E535:E536"/>
    <mergeCell ref="F535:F536"/>
    <mergeCell ref="G535:G536"/>
    <mergeCell ref="E537:E538"/>
    <mergeCell ref="F537:F538"/>
    <mergeCell ref="G537:G538"/>
    <mergeCell ref="F539:F540"/>
    <mergeCell ref="G539:G540"/>
    <mergeCell ref="E539:E540"/>
    <mergeCell ref="E541:E542"/>
    <mergeCell ref="F541:F542"/>
    <mergeCell ref="G541:G542"/>
    <mergeCell ref="H541:H542"/>
    <mergeCell ref="I541:I542"/>
    <mergeCell ref="E543:E544"/>
    <mergeCell ref="F551:F552"/>
    <mergeCell ref="G551:G552"/>
    <mergeCell ref="E553:E554"/>
    <mergeCell ref="F553:F554"/>
    <mergeCell ref="G553:G554"/>
    <mergeCell ref="H553:H554"/>
    <mergeCell ref="I553:I554"/>
    <mergeCell ref="H569:H570"/>
    <mergeCell ref="I569:I570"/>
    <mergeCell ref="H571:H572"/>
    <mergeCell ref="I571:I572"/>
    <mergeCell ref="H573:H574"/>
    <mergeCell ref="I573:I574"/>
    <mergeCell ref="F569:F570"/>
    <mergeCell ref="G569:G570"/>
    <mergeCell ref="E571:E572"/>
    <mergeCell ref="F571:F572"/>
    <mergeCell ref="G571:G572"/>
    <mergeCell ref="F573:F574"/>
    <mergeCell ref="G573:G574"/>
    <mergeCell ref="G583:G584"/>
    <mergeCell ref="H583:H584"/>
    <mergeCell ref="E581:E582"/>
    <mergeCell ref="F581:F582"/>
    <mergeCell ref="G581:G582"/>
    <mergeCell ref="H581:H582"/>
    <mergeCell ref="I581:I582"/>
    <mergeCell ref="F583:F584"/>
    <mergeCell ref="I583:I584"/>
    <mergeCell ref="H587:H588"/>
    <mergeCell ref="I587:I588"/>
    <mergeCell ref="H589:H590"/>
    <mergeCell ref="I589:I590"/>
    <mergeCell ref="E563:E564"/>
    <mergeCell ref="F563:F564"/>
    <mergeCell ref="G563:G564"/>
    <mergeCell ref="F565:F566"/>
    <mergeCell ref="G565:G566"/>
    <mergeCell ref="E565:E566"/>
    <mergeCell ref="E567:E568"/>
    <mergeCell ref="F567:F568"/>
    <mergeCell ref="G567:G568"/>
    <mergeCell ref="H567:H568"/>
    <mergeCell ref="I567:I568"/>
    <mergeCell ref="E569:E570"/>
    <mergeCell ref="F577:F578"/>
    <mergeCell ref="G577:G578"/>
    <mergeCell ref="E579:E580"/>
    <mergeCell ref="F579:F580"/>
    <mergeCell ref="G579:G580"/>
    <mergeCell ref="H579:H580"/>
    <mergeCell ref="I579:I580"/>
    <mergeCell ref="H591:H592"/>
    <mergeCell ref="I591:I592"/>
    <mergeCell ref="E583:E584"/>
    <mergeCell ref="E585:E586"/>
    <mergeCell ref="F585:F586"/>
    <mergeCell ref="G585:G586"/>
    <mergeCell ref="H585:H586"/>
    <mergeCell ref="I585:I586"/>
    <mergeCell ref="E587:E588"/>
    <mergeCell ref="E591:E592"/>
    <mergeCell ref="E593:E594"/>
    <mergeCell ref="F593:F594"/>
    <mergeCell ref="G593:G594"/>
    <mergeCell ref="H593:H594"/>
    <mergeCell ref="I593:I594"/>
    <mergeCell ref="F587:F588"/>
    <mergeCell ref="G587:G588"/>
    <mergeCell ref="E589:E590"/>
    <mergeCell ref="F589:F590"/>
    <mergeCell ref="G589:G590"/>
    <mergeCell ref="F591:F592"/>
    <mergeCell ref="G591:G592"/>
    <mergeCell ref="AL539:AL540"/>
    <mergeCell ref="AM539:AM540"/>
    <mergeCell ref="AE539:AE540"/>
    <mergeCell ref="AF539:AF540"/>
    <mergeCell ref="AG539:AG540"/>
    <mergeCell ref="AH539:AH540"/>
    <mergeCell ref="AI539:AI540"/>
    <mergeCell ref="AJ539:AJ540"/>
    <mergeCell ref="AK539:AK540"/>
    <mergeCell ref="AE541:AE542"/>
    <mergeCell ref="AF541:AF542"/>
    <mergeCell ref="AG541:AG542"/>
    <mergeCell ref="AH541:AH542"/>
    <mergeCell ref="AI541:AI542"/>
    <mergeCell ref="AJ541:AJ542"/>
    <mergeCell ref="AK541:AK542"/>
    <mergeCell ref="W541:W542"/>
    <mergeCell ref="X541:X542"/>
    <mergeCell ref="Y541:Y542"/>
    <mergeCell ref="AA541:AA542"/>
    <mergeCell ref="AB541:AB542"/>
    <mergeCell ref="AC541:AC542"/>
    <mergeCell ref="AD541:AD542"/>
    <mergeCell ref="W543:W544"/>
    <mergeCell ref="X543:X544"/>
    <mergeCell ref="Y543:Y544"/>
    <mergeCell ref="AA543:AA544"/>
    <mergeCell ref="AB543:AB544"/>
    <mergeCell ref="AC543:AC544"/>
    <mergeCell ref="AD543:AD544"/>
    <mergeCell ref="AL541:AL542"/>
    <mergeCell ref="AM541:AM542"/>
    <mergeCell ref="W539:W540"/>
    <mergeCell ref="X539:X540"/>
    <mergeCell ref="Y539:Y540"/>
    <mergeCell ref="AA539:AA540"/>
    <mergeCell ref="AB539:AB540"/>
    <mergeCell ref="AC539:AC540"/>
    <mergeCell ref="AD539:AD540"/>
    <mergeCell ref="W553:W554"/>
    <mergeCell ref="X553:X554"/>
    <mergeCell ref="Y553:Y554"/>
    <mergeCell ref="AL529:AL530"/>
    <mergeCell ref="AM529:AM530"/>
    <mergeCell ref="AE529:AE530"/>
    <mergeCell ref="AF529:AF530"/>
    <mergeCell ref="AG529:AG530"/>
    <mergeCell ref="AH529:AH530"/>
    <mergeCell ref="AI529:AI530"/>
    <mergeCell ref="AJ529:AJ530"/>
    <mergeCell ref="AK529:AK530"/>
    <mergeCell ref="AE531:AE532"/>
    <mergeCell ref="AF531:AF532"/>
    <mergeCell ref="AG531:AG532"/>
    <mergeCell ref="AH531:AH532"/>
    <mergeCell ref="AI531:AI532"/>
    <mergeCell ref="AJ531:AJ532"/>
    <mergeCell ref="AK531:AK532"/>
    <mergeCell ref="AS531:AS532"/>
    <mergeCell ref="AT531:AT532"/>
    <mergeCell ref="AU531:AU532"/>
    <mergeCell ref="AV531:AV532"/>
    <mergeCell ref="W531:W532"/>
    <mergeCell ref="X531:X532"/>
    <mergeCell ref="Y531:Y532"/>
    <mergeCell ref="AA531:AA532"/>
    <mergeCell ref="AB531:AB532"/>
    <mergeCell ref="AC531:AC532"/>
    <mergeCell ref="AD531:AD532"/>
    <mergeCell ref="W533:W534"/>
    <mergeCell ref="X533:X534"/>
    <mergeCell ref="Y533:Y534"/>
    <mergeCell ref="AA533:AA534"/>
    <mergeCell ref="AB533:AB534"/>
    <mergeCell ref="AC533:AC534"/>
    <mergeCell ref="AD533:AD534"/>
    <mergeCell ref="AK533:AK534"/>
    <mergeCell ref="AY531:AY532"/>
    <mergeCell ref="AU539:AU540"/>
    <mergeCell ref="AV539:AV540"/>
    <mergeCell ref="AN539:AN540"/>
    <mergeCell ref="AO539:AO540"/>
    <mergeCell ref="AP539:AP540"/>
    <mergeCell ref="AQ539:AQ540"/>
    <mergeCell ref="AR539:AR540"/>
    <mergeCell ref="AS539:AS540"/>
    <mergeCell ref="AT539:AT540"/>
    <mergeCell ref="AS535:AS536"/>
    <mergeCell ref="AT535:AT536"/>
    <mergeCell ref="AU535:AU536"/>
    <mergeCell ref="AV535:AV536"/>
    <mergeCell ref="AW535:AW536"/>
    <mergeCell ref="AX535:AX536"/>
    <mergeCell ref="AY535:AY536"/>
    <mergeCell ref="AW539:AW540"/>
    <mergeCell ref="AX539:AX540"/>
    <mergeCell ref="AY539:AY540"/>
    <mergeCell ref="AS537:AS538"/>
    <mergeCell ref="AT537:AT538"/>
    <mergeCell ref="AU537:AU538"/>
    <mergeCell ref="AL533:AL534"/>
    <mergeCell ref="AM533:AM534"/>
    <mergeCell ref="AW533:AW534"/>
    <mergeCell ref="AX533:AX534"/>
    <mergeCell ref="AY533:AY534"/>
    <mergeCell ref="AE533:AE534"/>
    <mergeCell ref="AF533:AF534"/>
    <mergeCell ref="AG533:AG534"/>
    <mergeCell ref="AH533:AH534"/>
    <mergeCell ref="AI533:AI534"/>
    <mergeCell ref="AL531:AL532"/>
    <mergeCell ref="AM531:AM532"/>
    <mergeCell ref="AN531:AN532"/>
    <mergeCell ref="AO531:AO532"/>
    <mergeCell ref="AP531:AP532"/>
    <mergeCell ref="AQ531:AQ532"/>
    <mergeCell ref="AR531:AR532"/>
    <mergeCell ref="AE537:AE538"/>
    <mergeCell ref="AF537:AF538"/>
    <mergeCell ref="AG537:AG538"/>
    <mergeCell ref="AH537:AH538"/>
    <mergeCell ref="AI537:AI538"/>
    <mergeCell ref="AJ537:AJ538"/>
    <mergeCell ref="AK537:AK538"/>
    <mergeCell ref="AX537:AX538"/>
    <mergeCell ref="AY537:AY538"/>
    <mergeCell ref="AE535:AE536"/>
    <mergeCell ref="AF535:AF536"/>
    <mergeCell ref="AG535:AG536"/>
    <mergeCell ref="AH535:AH536"/>
    <mergeCell ref="AI535:AI536"/>
    <mergeCell ref="AJ535:AJ536"/>
    <mergeCell ref="AU533:AU534"/>
    <mergeCell ref="AV533:AV534"/>
    <mergeCell ref="AN533:AN534"/>
    <mergeCell ref="AO533:AO534"/>
    <mergeCell ref="AP533:AP534"/>
    <mergeCell ref="AQ533:AQ534"/>
    <mergeCell ref="AR533:AR534"/>
    <mergeCell ref="AS533:AS534"/>
    <mergeCell ref="AT533:AT534"/>
    <mergeCell ref="W535:W536"/>
    <mergeCell ref="X535:X536"/>
    <mergeCell ref="Y535:Y536"/>
    <mergeCell ref="AA535:AA536"/>
    <mergeCell ref="AB535:AB536"/>
    <mergeCell ref="AC535:AC536"/>
    <mergeCell ref="AD535:AD536"/>
    <mergeCell ref="AL537:AL538"/>
    <mergeCell ref="AM537:AM538"/>
    <mergeCell ref="AN537:AN538"/>
    <mergeCell ref="AO537:AO538"/>
    <mergeCell ref="AP537:AP538"/>
    <mergeCell ref="AQ537:AQ538"/>
    <mergeCell ref="AR537:AR538"/>
    <mergeCell ref="AJ533:AJ534"/>
    <mergeCell ref="AV537:AV538"/>
    <mergeCell ref="AW537:AW538"/>
    <mergeCell ref="AU543:AU544"/>
    <mergeCell ref="AV543:AV544"/>
    <mergeCell ref="AN543:AN544"/>
    <mergeCell ref="AO543:AO544"/>
    <mergeCell ref="AP543:AP544"/>
    <mergeCell ref="AQ543:AQ544"/>
    <mergeCell ref="AR543:AR544"/>
    <mergeCell ref="AS543:AS544"/>
    <mergeCell ref="AT543:AT544"/>
    <mergeCell ref="W537:W538"/>
    <mergeCell ref="X537:X538"/>
    <mergeCell ref="Y537:Y538"/>
    <mergeCell ref="AA537:AA538"/>
    <mergeCell ref="AB537:AB538"/>
    <mergeCell ref="AW531:AW532"/>
    <mergeCell ref="AX531:AX532"/>
    <mergeCell ref="AC537:AC538"/>
    <mergeCell ref="AD537:AD538"/>
    <mergeCell ref="AN541:AN542"/>
    <mergeCell ref="AO541:AO542"/>
    <mergeCell ref="AP541:AP542"/>
    <mergeCell ref="AQ541:AQ542"/>
    <mergeCell ref="AR541:AR542"/>
    <mergeCell ref="AW543:AW544"/>
    <mergeCell ref="AX543:AX544"/>
    <mergeCell ref="AU555:AU556"/>
    <mergeCell ref="AV555:AV556"/>
    <mergeCell ref="AN555:AN556"/>
    <mergeCell ref="AO555:AO556"/>
    <mergeCell ref="AP555:AP556"/>
    <mergeCell ref="AQ555:AQ556"/>
    <mergeCell ref="AR555:AR556"/>
    <mergeCell ref="AS555:AS556"/>
    <mergeCell ref="AT555:AT556"/>
    <mergeCell ref="AL551:AL552"/>
    <mergeCell ref="AM551:AM552"/>
    <mergeCell ref="AE551:AE552"/>
    <mergeCell ref="AF551:AF552"/>
    <mergeCell ref="AG551:AG552"/>
    <mergeCell ref="AH551:AH552"/>
    <mergeCell ref="AI551:AI552"/>
    <mergeCell ref="AJ551:AJ552"/>
    <mergeCell ref="AK551:AK552"/>
    <mergeCell ref="AE553:AE554"/>
    <mergeCell ref="AF553:AF554"/>
    <mergeCell ref="AG553:AG554"/>
    <mergeCell ref="AH553:AH554"/>
    <mergeCell ref="AI553:AI554"/>
    <mergeCell ref="AJ553:AJ554"/>
    <mergeCell ref="AK553:AK554"/>
    <mergeCell ref="AK535:AK536"/>
    <mergeCell ref="AL535:AL536"/>
    <mergeCell ref="AM535:AM536"/>
    <mergeCell ref="AN535:AN536"/>
    <mergeCell ref="AO535:AO536"/>
    <mergeCell ref="AP535:AP536"/>
    <mergeCell ref="AQ535:AQ536"/>
    <mergeCell ref="AR535:AR536"/>
    <mergeCell ref="AV551:AV552"/>
    <mergeCell ref="AN551:AN552"/>
    <mergeCell ref="AO551:AO552"/>
    <mergeCell ref="AP551:AP552"/>
    <mergeCell ref="AQ551:AQ552"/>
    <mergeCell ref="AR551:AR552"/>
    <mergeCell ref="AS551:AS552"/>
    <mergeCell ref="AT551:AT552"/>
    <mergeCell ref="AL547:AL548"/>
    <mergeCell ref="AM547:AM548"/>
    <mergeCell ref="AE547:AE548"/>
    <mergeCell ref="AF547:AF548"/>
    <mergeCell ref="AG547:AG548"/>
    <mergeCell ref="AH547:AH548"/>
    <mergeCell ref="AI547:AI548"/>
    <mergeCell ref="AJ547:AJ548"/>
    <mergeCell ref="AK547:AK548"/>
    <mergeCell ref="AE549:AE550"/>
    <mergeCell ref="AF549:AF550"/>
    <mergeCell ref="AG549:AG550"/>
    <mergeCell ref="AH549:AH550"/>
    <mergeCell ref="AI549:AI550"/>
    <mergeCell ref="AJ549:AJ550"/>
    <mergeCell ref="AK549:AK550"/>
    <mergeCell ref="AA553:AA554"/>
    <mergeCell ref="AB553:AB554"/>
    <mergeCell ref="AC553:AC554"/>
    <mergeCell ref="AD553:AD554"/>
    <mergeCell ref="W555:W556"/>
    <mergeCell ref="X555:X556"/>
    <mergeCell ref="Y555:Y556"/>
    <mergeCell ref="AA555:AA556"/>
    <mergeCell ref="AB555:AB556"/>
    <mergeCell ref="AC555:AC556"/>
    <mergeCell ref="AD555:AD556"/>
    <mergeCell ref="AL553:AL554"/>
    <mergeCell ref="AM553:AM554"/>
    <mergeCell ref="AN553:AN554"/>
    <mergeCell ref="AO553:AO554"/>
    <mergeCell ref="AP553:AP554"/>
    <mergeCell ref="AQ553:AQ554"/>
    <mergeCell ref="AR553:AR554"/>
    <mergeCell ref="AW555:AW556"/>
    <mergeCell ref="AX555:AX556"/>
    <mergeCell ref="AY555:AY556"/>
    <mergeCell ref="AS553:AS554"/>
    <mergeCell ref="AT553:AT554"/>
    <mergeCell ref="AU553:AU554"/>
    <mergeCell ref="AV553:AV554"/>
    <mergeCell ref="AW553:AW554"/>
    <mergeCell ref="AX553:AX554"/>
    <mergeCell ref="AY553:AY554"/>
    <mergeCell ref="AU559:AU560"/>
    <mergeCell ref="AV559:AV560"/>
    <mergeCell ref="AN559:AN560"/>
    <mergeCell ref="AO559:AO560"/>
    <mergeCell ref="AP559:AP560"/>
    <mergeCell ref="AQ559:AQ560"/>
    <mergeCell ref="AR559:AR560"/>
    <mergeCell ref="AS559:AS560"/>
    <mergeCell ref="AT559:AT560"/>
    <mergeCell ref="AL555:AL556"/>
    <mergeCell ref="AM555:AM556"/>
    <mergeCell ref="AE555:AE556"/>
    <mergeCell ref="AF555:AF556"/>
    <mergeCell ref="AG555:AG556"/>
    <mergeCell ref="AH555:AH556"/>
    <mergeCell ref="AI555:AI556"/>
    <mergeCell ref="AJ555:AJ556"/>
    <mergeCell ref="AK555:AK556"/>
    <mergeCell ref="AE557:AE558"/>
    <mergeCell ref="AF557:AF558"/>
    <mergeCell ref="AG557:AG558"/>
    <mergeCell ref="AH557:AH558"/>
    <mergeCell ref="AI557:AI558"/>
    <mergeCell ref="AJ557:AJ558"/>
    <mergeCell ref="AK557:AK558"/>
    <mergeCell ref="W557:W558"/>
    <mergeCell ref="X557:X558"/>
    <mergeCell ref="Y557:Y558"/>
    <mergeCell ref="AA557:AA558"/>
    <mergeCell ref="AB557:AB558"/>
    <mergeCell ref="AC557:AC558"/>
    <mergeCell ref="AD557:AD558"/>
    <mergeCell ref="W559:W560"/>
    <mergeCell ref="X559:X560"/>
    <mergeCell ref="Y559:Y560"/>
    <mergeCell ref="AA559:AA560"/>
    <mergeCell ref="AB559:AB560"/>
    <mergeCell ref="AC559:AC560"/>
    <mergeCell ref="AD559:AD560"/>
    <mergeCell ref="AL557:AL558"/>
    <mergeCell ref="AM557:AM558"/>
    <mergeCell ref="AN557:AN558"/>
    <mergeCell ref="AO557:AO558"/>
    <mergeCell ref="AP557:AP558"/>
    <mergeCell ref="AQ557:AQ558"/>
    <mergeCell ref="AR557:AR558"/>
    <mergeCell ref="AW559:AW560"/>
    <mergeCell ref="AX559:AX560"/>
    <mergeCell ref="AY559:AY560"/>
    <mergeCell ref="AS557:AS558"/>
    <mergeCell ref="AT557:AT558"/>
    <mergeCell ref="AU557:AU558"/>
    <mergeCell ref="AV557:AV558"/>
    <mergeCell ref="AW557:AW558"/>
    <mergeCell ref="AX557:AX558"/>
    <mergeCell ref="AY557:AY558"/>
    <mergeCell ref="AU563:AU564"/>
    <mergeCell ref="AV563:AV564"/>
    <mergeCell ref="AN563:AN564"/>
    <mergeCell ref="AO563:AO564"/>
    <mergeCell ref="AP563:AP564"/>
    <mergeCell ref="AQ563:AQ564"/>
    <mergeCell ref="AR563:AR564"/>
    <mergeCell ref="AS563:AS564"/>
    <mergeCell ref="AT563:AT564"/>
    <mergeCell ref="AL559:AL560"/>
    <mergeCell ref="AM559:AM560"/>
    <mergeCell ref="AE559:AE560"/>
    <mergeCell ref="AF559:AF560"/>
    <mergeCell ref="AG559:AG560"/>
    <mergeCell ref="AH559:AH560"/>
    <mergeCell ref="AI559:AI560"/>
    <mergeCell ref="AJ559:AJ560"/>
    <mergeCell ref="AK559:AK560"/>
    <mergeCell ref="AE561:AE562"/>
    <mergeCell ref="AF561:AF562"/>
    <mergeCell ref="AG561:AG562"/>
    <mergeCell ref="AH561:AH562"/>
    <mergeCell ref="AI561:AI562"/>
    <mergeCell ref="AJ561:AJ562"/>
    <mergeCell ref="AK561:AK562"/>
    <mergeCell ref="W561:W562"/>
    <mergeCell ref="X561:X562"/>
    <mergeCell ref="Y561:Y562"/>
    <mergeCell ref="AA561:AA562"/>
    <mergeCell ref="AB561:AB562"/>
    <mergeCell ref="AC561:AC562"/>
    <mergeCell ref="AD561:AD562"/>
    <mergeCell ref="W563:W564"/>
    <mergeCell ref="X563:X564"/>
    <mergeCell ref="Y563:Y564"/>
    <mergeCell ref="AA563:AA564"/>
    <mergeCell ref="AB563:AB564"/>
    <mergeCell ref="AC563:AC564"/>
    <mergeCell ref="AD563:AD564"/>
    <mergeCell ref="AL561:AL562"/>
    <mergeCell ref="AM561:AM562"/>
    <mergeCell ref="AN561:AN562"/>
    <mergeCell ref="AO561:AO562"/>
    <mergeCell ref="AP561:AP562"/>
    <mergeCell ref="AQ561:AQ562"/>
    <mergeCell ref="AR561:AR562"/>
    <mergeCell ref="AW563:AW564"/>
    <mergeCell ref="AX563:AX564"/>
    <mergeCell ref="AY563:AY564"/>
    <mergeCell ref="AS561:AS562"/>
    <mergeCell ref="AT561:AT562"/>
    <mergeCell ref="AU561:AU562"/>
    <mergeCell ref="AV561:AV562"/>
    <mergeCell ref="AW561:AW562"/>
    <mergeCell ref="AX561:AX562"/>
    <mergeCell ref="AY561:AY562"/>
    <mergeCell ref="AU567:AU568"/>
    <mergeCell ref="AV567:AV568"/>
    <mergeCell ref="AN567:AN568"/>
    <mergeCell ref="AO567:AO568"/>
    <mergeCell ref="AP567:AP568"/>
    <mergeCell ref="AQ567:AQ568"/>
    <mergeCell ref="AR567:AR568"/>
    <mergeCell ref="AS567:AS568"/>
    <mergeCell ref="AT567:AT568"/>
    <mergeCell ref="AL563:AL564"/>
    <mergeCell ref="AM563:AM564"/>
    <mergeCell ref="AE563:AE564"/>
    <mergeCell ref="AF563:AF564"/>
    <mergeCell ref="AG563:AG564"/>
    <mergeCell ref="AH563:AH564"/>
    <mergeCell ref="AI563:AI564"/>
    <mergeCell ref="AJ563:AJ564"/>
    <mergeCell ref="AK563:AK564"/>
    <mergeCell ref="AE565:AE566"/>
    <mergeCell ref="AF565:AF566"/>
    <mergeCell ref="AG565:AG566"/>
    <mergeCell ref="AH565:AH566"/>
    <mergeCell ref="AI565:AI566"/>
    <mergeCell ref="AJ565:AJ566"/>
    <mergeCell ref="AK565:AK566"/>
    <mergeCell ref="W565:W566"/>
    <mergeCell ref="X565:X566"/>
    <mergeCell ref="Y565:Y566"/>
    <mergeCell ref="AA565:AA566"/>
    <mergeCell ref="AB565:AB566"/>
    <mergeCell ref="AC565:AC566"/>
    <mergeCell ref="AD565:AD566"/>
    <mergeCell ref="W567:W568"/>
    <mergeCell ref="X567:X568"/>
    <mergeCell ref="Y567:Y568"/>
    <mergeCell ref="AA567:AA568"/>
    <mergeCell ref="AB567:AB568"/>
    <mergeCell ref="AC567:AC568"/>
    <mergeCell ref="AD567:AD568"/>
    <mergeCell ref="AL565:AL566"/>
    <mergeCell ref="AM565:AM566"/>
    <mergeCell ref="AN565:AN566"/>
    <mergeCell ref="AO565:AO566"/>
    <mergeCell ref="AP565:AP566"/>
    <mergeCell ref="AQ565:AQ566"/>
    <mergeCell ref="AR565:AR566"/>
    <mergeCell ref="AW567:AW568"/>
    <mergeCell ref="AX567:AX568"/>
    <mergeCell ref="AY567:AY568"/>
    <mergeCell ref="AS565:AS566"/>
    <mergeCell ref="AT565:AT566"/>
    <mergeCell ref="AU565:AU566"/>
    <mergeCell ref="AV565:AV566"/>
    <mergeCell ref="AW565:AW566"/>
    <mergeCell ref="AX565:AX566"/>
    <mergeCell ref="AY565:AY566"/>
    <mergeCell ref="AU571:AU572"/>
    <mergeCell ref="AV571:AV572"/>
    <mergeCell ref="AN571:AN572"/>
    <mergeCell ref="AO571:AO572"/>
    <mergeCell ref="AP571:AP572"/>
    <mergeCell ref="AQ571:AQ572"/>
    <mergeCell ref="AR571:AR572"/>
    <mergeCell ref="AS571:AS572"/>
    <mergeCell ref="AT571:AT572"/>
    <mergeCell ref="AL567:AL568"/>
    <mergeCell ref="AM567:AM568"/>
    <mergeCell ref="AE567:AE568"/>
    <mergeCell ref="AF567:AF568"/>
    <mergeCell ref="AG567:AG568"/>
    <mergeCell ref="AH567:AH568"/>
    <mergeCell ref="AI567:AI568"/>
    <mergeCell ref="AJ567:AJ568"/>
    <mergeCell ref="AK567:AK568"/>
    <mergeCell ref="AE569:AE570"/>
    <mergeCell ref="AF569:AF570"/>
    <mergeCell ref="AG569:AG570"/>
    <mergeCell ref="AH569:AH570"/>
    <mergeCell ref="AI569:AI570"/>
    <mergeCell ref="AJ569:AJ570"/>
    <mergeCell ref="AK569:AK570"/>
    <mergeCell ref="W569:W570"/>
    <mergeCell ref="X569:X570"/>
    <mergeCell ref="Y569:Y570"/>
    <mergeCell ref="AA569:AA570"/>
    <mergeCell ref="AB569:AB570"/>
    <mergeCell ref="AC569:AC570"/>
    <mergeCell ref="AD569:AD570"/>
    <mergeCell ref="W571:W572"/>
    <mergeCell ref="X571:X572"/>
    <mergeCell ref="Y571:Y572"/>
    <mergeCell ref="AA571:AA572"/>
    <mergeCell ref="AB571:AB572"/>
    <mergeCell ref="AC571:AC572"/>
    <mergeCell ref="AD571:AD572"/>
    <mergeCell ref="AL569:AL570"/>
    <mergeCell ref="AM569:AM570"/>
    <mergeCell ref="AN569:AN570"/>
    <mergeCell ref="AO569:AO570"/>
    <mergeCell ref="AP569:AP570"/>
    <mergeCell ref="AQ569:AQ570"/>
    <mergeCell ref="AR569:AR570"/>
    <mergeCell ref="AW571:AW572"/>
    <mergeCell ref="AX571:AX572"/>
    <mergeCell ref="AY571:AY572"/>
    <mergeCell ref="AS569:AS570"/>
    <mergeCell ref="AT569:AT570"/>
    <mergeCell ref="AU569:AU570"/>
    <mergeCell ref="AV569:AV570"/>
    <mergeCell ref="AW569:AW570"/>
    <mergeCell ref="AX569:AX570"/>
    <mergeCell ref="AY569:AY570"/>
    <mergeCell ref="AU575:AU576"/>
    <mergeCell ref="AV575:AV576"/>
    <mergeCell ref="AN575:AN576"/>
    <mergeCell ref="AO575:AO576"/>
    <mergeCell ref="AP575:AP576"/>
    <mergeCell ref="AQ575:AQ576"/>
    <mergeCell ref="AR575:AR576"/>
    <mergeCell ref="AS575:AS576"/>
    <mergeCell ref="AT575:AT576"/>
    <mergeCell ref="AL571:AL572"/>
    <mergeCell ref="AM571:AM572"/>
    <mergeCell ref="AE571:AE572"/>
    <mergeCell ref="AF571:AF572"/>
    <mergeCell ref="AG571:AG572"/>
    <mergeCell ref="AH571:AH572"/>
    <mergeCell ref="AI571:AI572"/>
    <mergeCell ref="AJ571:AJ572"/>
    <mergeCell ref="AK571:AK572"/>
    <mergeCell ref="AE573:AE574"/>
    <mergeCell ref="AF573:AF574"/>
    <mergeCell ref="AG573:AG574"/>
    <mergeCell ref="AH573:AH574"/>
    <mergeCell ref="AI573:AI574"/>
    <mergeCell ref="AJ573:AJ574"/>
    <mergeCell ref="AK573:AK574"/>
    <mergeCell ref="W573:W574"/>
    <mergeCell ref="X573:X574"/>
    <mergeCell ref="Y573:Y574"/>
    <mergeCell ref="AA573:AA574"/>
    <mergeCell ref="AB573:AB574"/>
    <mergeCell ref="AC573:AC574"/>
    <mergeCell ref="AD573:AD574"/>
    <mergeCell ref="W575:W576"/>
    <mergeCell ref="X575:X576"/>
    <mergeCell ref="Y575:Y576"/>
    <mergeCell ref="AA575:AA576"/>
    <mergeCell ref="AB575:AB576"/>
    <mergeCell ref="AC575:AC576"/>
    <mergeCell ref="AD575:AD576"/>
    <mergeCell ref="AL573:AL574"/>
    <mergeCell ref="AM573:AM574"/>
    <mergeCell ref="AN573:AN574"/>
    <mergeCell ref="AO573:AO574"/>
    <mergeCell ref="AP573:AP574"/>
    <mergeCell ref="AQ573:AQ574"/>
    <mergeCell ref="AR573:AR574"/>
    <mergeCell ref="AW575:AW576"/>
    <mergeCell ref="AX575:AX576"/>
    <mergeCell ref="AY575:AY576"/>
    <mergeCell ref="AS573:AS574"/>
    <mergeCell ref="AT573:AT574"/>
    <mergeCell ref="AU573:AU574"/>
    <mergeCell ref="AV573:AV574"/>
    <mergeCell ref="AW573:AW574"/>
    <mergeCell ref="AX573:AX574"/>
    <mergeCell ref="AY573:AY574"/>
    <mergeCell ref="AL585:AL586"/>
    <mergeCell ref="AM585:AM586"/>
    <mergeCell ref="AE585:AE586"/>
    <mergeCell ref="AF585:AF586"/>
    <mergeCell ref="AG585:AG586"/>
    <mergeCell ref="AH585:AH586"/>
    <mergeCell ref="AI585:AI586"/>
    <mergeCell ref="AJ585:AJ586"/>
    <mergeCell ref="AK585:AK586"/>
    <mergeCell ref="AE587:AE588"/>
    <mergeCell ref="AF587:AF588"/>
    <mergeCell ref="AG587:AG588"/>
    <mergeCell ref="AH587:AH588"/>
    <mergeCell ref="AI587:AI588"/>
    <mergeCell ref="AJ587:AJ588"/>
    <mergeCell ref="AK587:AK588"/>
    <mergeCell ref="AS581:AS582"/>
    <mergeCell ref="AT581:AT582"/>
    <mergeCell ref="AU581:AU582"/>
    <mergeCell ref="AV581:AV582"/>
    <mergeCell ref="AW581:AW582"/>
    <mergeCell ref="AX581:AX582"/>
    <mergeCell ref="AY581:AY582"/>
    <mergeCell ref="AL579:AL580"/>
    <mergeCell ref="AM579:AM580"/>
    <mergeCell ref="AW579:AW580"/>
    <mergeCell ref="AX579:AX580"/>
    <mergeCell ref="AY579:AY580"/>
    <mergeCell ref="AE579:AE580"/>
    <mergeCell ref="AF579:AF580"/>
    <mergeCell ref="AG579:AG580"/>
    <mergeCell ref="AH579:AH580"/>
    <mergeCell ref="AI579:AI580"/>
    <mergeCell ref="AJ579:AJ580"/>
    <mergeCell ref="AK579:AK580"/>
    <mergeCell ref="W587:W588"/>
    <mergeCell ref="X587:X588"/>
    <mergeCell ref="Y587:Y588"/>
    <mergeCell ref="AA587:AA588"/>
    <mergeCell ref="AB587:AB588"/>
    <mergeCell ref="AC587:AC588"/>
    <mergeCell ref="AD587:AD588"/>
    <mergeCell ref="W589:W590"/>
    <mergeCell ref="X589:X590"/>
    <mergeCell ref="Y589:Y590"/>
    <mergeCell ref="AA589:AA590"/>
    <mergeCell ref="AB589:AB590"/>
    <mergeCell ref="AC589:AC590"/>
    <mergeCell ref="AD589:AD590"/>
    <mergeCell ref="AL587:AL588"/>
    <mergeCell ref="AM587:AM588"/>
    <mergeCell ref="AN587:AN588"/>
    <mergeCell ref="AO587:AO588"/>
    <mergeCell ref="AP587:AP588"/>
    <mergeCell ref="AQ587:AQ588"/>
    <mergeCell ref="AR587:AR588"/>
    <mergeCell ref="AW589:AW590"/>
    <mergeCell ref="AX589:AX590"/>
    <mergeCell ref="AY589:AY590"/>
    <mergeCell ref="AS587:AS588"/>
    <mergeCell ref="AT587:AT588"/>
    <mergeCell ref="AU587:AU588"/>
    <mergeCell ref="AV587:AV588"/>
    <mergeCell ref="AW587:AW588"/>
    <mergeCell ref="AX587:AX588"/>
    <mergeCell ref="AY587:AY588"/>
    <mergeCell ref="AU593:AU594"/>
    <mergeCell ref="AV593:AV594"/>
    <mergeCell ref="AN593:AN594"/>
    <mergeCell ref="AO593:AO594"/>
    <mergeCell ref="AP593:AP594"/>
    <mergeCell ref="AQ593:AQ594"/>
    <mergeCell ref="AR593:AR594"/>
    <mergeCell ref="AS593:AS594"/>
    <mergeCell ref="AT593:AT594"/>
    <mergeCell ref="AL589:AL590"/>
    <mergeCell ref="AM589:AM590"/>
    <mergeCell ref="AE589:AE590"/>
    <mergeCell ref="AF589:AF590"/>
    <mergeCell ref="AG589:AG590"/>
    <mergeCell ref="AH589:AH590"/>
    <mergeCell ref="AI589:AI590"/>
    <mergeCell ref="AJ589:AJ590"/>
    <mergeCell ref="AK589:AK590"/>
    <mergeCell ref="AE591:AE592"/>
    <mergeCell ref="AF591:AF592"/>
    <mergeCell ref="AG591:AG592"/>
    <mergeCell ref="AH591:AH592"/>
    <mergeCell ref="AI591:AI592"/>
    <mergeCell ref="AJ591:AJ592"/>
    <mergeCell ref="AK591:AK592"/>
    <mergeCell ref="W591:W592"/>
    <mergeCell ref="X591:X592"/>
    <mergeCell ref="Y591:Y592"/>
    <mergeCell ref="AA591:AA592"/>
    <mergeCell ref="AB591:AB592"/>
    <mergeCell ref="AC591:AC592"/>
    <mergeCell ref="AD591:AD592"/>
    <mergeCell ref="W593:W594"/>
    <mergeCell ref="AY591:AY592"/>
    <mergeCell ref="AU579:AU580"/>
    <mergeCell ref="AV579:AV580"/>
    <mergeCell ref="AN579:AN580"/>
    <mergeCell ref="AO579:AO580"/>
    <mergeCell ref="AP579:AP580"/>
    <mergeCell ref="AQ579:AQ580"/>
    <mergeCell ref="AR579:AR580"/>
    <mergeCell ref="AS579:AS580"/>
    <mergeCell ref="AT579:AT580"/>
    <mergeCell ref="AL575:AL576"/>
    <mergeCell ref="AM575:AM576"/>
    <mergeCell ref="AE575:AE576"/>
    <mergeCell ref="AF575:AF576"/>
    <mergeCell ref="AG575:AG576"/>
    <mergeCell ref="AH575:AH576"/>
    <mergeCell ref="AI575:AI576"/>
    <mergeCell ref="AJ575:AJ576"/>
    <mergeCell ref="AK575:AK576"/>
    <mergeCell ref="AE577:AE578"/>
    <mergeCell ref="AF577:AF578"/>
    <mergeCell ref="AG577:AG578"/>
    <mergeCell ref="AH577:AH578"/>
    <mergeCell ref="AI577:AI578"/>
    <mergeCell ref="AJ577:AJ578"/>
    <mergeCell ref="AK577:AK578"/>
    <mergeCell ref="AS577:AS578"/>
    <mergeCell ref="AT577:AT578"/>
    <mergeCell ref="AU577:AU578"/>
    <mergeCell ref="AV577:AV578"/>
    <mergeCell ref="AW577:AW578"/>
    <mergeCell ref="AX577:AX578"/>
    <mergeCell ref="AY577:AY578"/>
    <mergeCell ref="AU585:AU586"/>
    <mergeCell ref="AV585:AV586"/>
    <mergeCell ref="AN585:AN586"/>
    <mergeCell ref="AO585:AO586"/>
    <mergeCell ref="AP585:AP586"/>
    <mergeCell ref="AQ585:AQ586"/>
    <mergeCell ref="AR585:AR586"/>
    <mergeCell ref="AS585:AS586"/>
    <mergeCell ref="AT585:AT586"/>
    <mergeCell ref="W577:W578"/>
    <mergeCell ref="X577:X578"/>
    <mergeCell ref="Y577:Y578"/>
    <mergeCell ref="AA577:AA578"/>
    <mergeCell ref="AB577:AB578"/>
    <mergeCell ref="AC577:AC578"/>
    <mergeCell ref="AD577:AD578"/>
    <mergeCell ref="AL577:AL578"/>
    <mergeCell ref="AM577:AM578"/>
    <mergeCell ref="AN577:AN578"/>
    <mergeCell ref="AO577:AO578"/>
    <mergeCell ref="AP577:AP578"/>
    <mergeCell ref="AQ577:AQ578"/>
    <mergeCell ref="AR577:AR578"/>
    <mergeCell ref="W579:W580"/>
    <mergeCell ref="X579:X580"/>
    <mergeCell ref="Y579:Y580"/>
    <mergeCell ref="AA579:AA580"/>
    <mergeCell ref="AB579:AB580"/>
    <mergeCell ref="AC579:AC580"/>
    <mergeCell ref="AD579:AD580"/>
    <mergeCell ref="AE583:AE584"/>
    <mergeCell ref="AF583:AF584"/>
    <mergeCell ref="AG583:AG584"/>
    <mergeCell ref="AH583:AH584"/>
    <mergeCell ref="AI583:AI584"/>
    <mergeCell ref="AJ583:AJ584"/>
    <mergeCell ref="AK583:AK584"/>
    <mergeCell ref="W583:W584"/>
    <mergeCell ref="X583:X584"/>
    <mergeCell ref="Y583:Y584"/>
    <mergeCell ref="AA583:AA584"/>
    <mergeCell ref="AB583:AB584"/>
    <mergeCell ref="AC583:AC584"/>
    <mergeCell ref="AD583:AD584"/>
    <mergeCell ref="AE581:AE582"/>
    <mergeCell ref="AF581:AF582"/>
    <mergeCell ref="AG581:AG582"/>
    <mergeCell ref="AH581:AH582"/>
    <mergeCell ref="AI581:AI582"/>
    <mergeCell ref="AJ581:AJ582"/>
    <mergeCell ref="AK581:AK582"/>
    <mergeCell ref="AL581:AL582"/>
    <mergeCell ref="AM581:AM582"/>
    <mergeCell ref="AN581:AN582"/>
    <mergeCell ref="AO581:AO582"/>
    <mergeCell ref="AP581:AP582"/>
    <mergeCell ref="AQ581:AQ582"/>
    <mergeCell ref="AR581:AR582"/>
    <mergeCell ref="W581:W582"/>
    <mergeCell ref="X581:X582"/>
    <mergeCell ref="Y581:Y582"/>
    <mergeCell ref="AA581:AA582"/>
    <mergeCell ref="AB581:AB582"/>
    <mergeCell ref="AC581:AC582"/>
    <mergeCell ref="AD581:AD582"/>
    <mergeCell ref="AL593:AL594"/>
    <mergeCell ref="AM593:AM594"/>
    <mergeCell ref="AE593:AE594"/>
    <mergeCell ref="AF593:AF594"/>
    <mergeCell ref="AG593:AG594"/>
    <mergeCell ref="AH593:AH594"/>
    <mergeCell ref="AI593:AI594"/>
    <mergeCell ref="AJ593:AJ594"/>
    <mergeCell ref="AK593:AK594"/>
    <mergeCell ref="W585:W586"/>
    <mergeCell ref="X585:X586"/>
    <mergeCell ref="Y585:Y586"/>
    <mergeCell ref="AA585:AA586"/>
    <mergeCell ref="AB585:AB586"/>
    <mergeCell ref="AC585:AC586"/>
    <mergeCell ref="AD585:AD586"/>
    <mergeCell ref="AL583:AL584"/>
    <mergeCell ref="AM583:AM584"/>
    <mergeCell ref="AN583:AN584"/>
    <mergeCell ref="AO583:AO584"/>
    <mergeCell ref="AP583:AP584"/>
    <mergeCell ref="AQ583:AQ584"/>
    <mergeCell ref="AR583:AR584"/>
    <mergeCell ref="AW585:AW586"/>
    <mergeCell ref="AX585:AX586"/>
    <mergeCell ref="AY585:AY586"/>
    <mergeCell ref="AS583:AS584"/>
    <mergeCell ref="AT583:AT584"/>
    <mergeCell ref="AU583:AU584"/>
    <mergeCell ref="AV583:AV584"/>
    <mergeCell ref="AW583:AW584"/>
    <mergeCell ref="AX583:AX584"/>
    <mergeCell ref="AY583:AY584"/>
    <mergeCell ref="AU589:AU590"/>
    <mergeCell ref="AV589:AV590"/>
    <mergeCell ref="AN589:AN590"/>
    <mergeCell ref="AO589:AO590"/>
    <mergeCell ref="AP589:AP590"/>
    <mergeCell ref="AQ589:AQ590"/>
    <mergeCell ref="AR589:AR590"/>
    <mergeCell ref="AS589:AS590"/>
    <mergeCell ref="AT589:AT590"/>
    <mergeCell ref="X593:X594"/>
    <mergeCell ref="Y593:Y594"/>
    <mergeCell ref="AA593:AA594"/>
    <mergeCell ref="AB593:AB594"/>
    <mergeCell ref="AC593:AC594"/>
    <mergeCell ref="AD593:AD594"/>
    <mergeCell ref="AL591:AL592"/>
    <mergeCell ref="AM591:AM592"/>
    <mergeCell ref="AN591:AN592"/>
    <mergeCell ref="AO591:AO592"/>
    <mergeCell ref="AP591:AP592"/>
    <mergeCell ref="AQ591:AQ592"/>
    <mergeCell ref="AR591:AR592"/>
    <mergeCell ref="AW593:AW594"/>
    <mergeCell ref="AX593:AX594"/>
    <mergeCell ref="AY593:AY594"/>
    <mergeCell ref="AS591:AS592"/>
    <mergeCell ref="AT591:AT592"/>
    <mergeCell ref="AU591:AU592"/>
    <mergeCell ref="AV591:AV592"/>
    <mergeCell ref="AW591:AW592"/>
    <mergeCell ref="AX591:AX592"/>
  </mergeCells>
  <conditionalFormatting sqref="J7:V299 J301:V341 J343:V383 J385:V551 J553:V593">
    <cfRule type="expression" dxfId="4" priority="1">
      <formula>LEFT(J302,1)="3"</formula>
    </cfRule>
  </conditionalFormatting>
  <conditionalFormatting sqref="J300:V300">
    <cfRule type="expression" dxfId="3" priority="2">
      <formula>LEFT(J343,1)="3"</formula>
    </cfRule>
  </conditionalFormatting>
  <conditionalFormatting sqref="J384:V384">
    <cfRule type="expression" dxfId="2" priority="3">
      <formula>LEFT(J301,1)="3"</formula>
    </cfRule>
  </conditionalFormatting>
  <conditionalFormatting sqref="J594:V594">
    <cfRule type="expression" dxfId="1" priority="4">
      <formula>LEFT(J385,1)="3"</formula>
    </cfRule>
  </conditionalFormatting>
  <conditionalFormatting sqref="J342:V342">
    <cfRule type="expression" dxfId="0" priority="5">
      <formula>LEFT(J553,1)="3"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000"/>
  <sheetViews>
    <sheetView showGridLines="0" topLeftCell="A5" workbookViewId="0">
      <selection activeCell="Y12" sqref="Y12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30" width="5.7109375" customWidth="1"/>
    <col min="31" max="34" width="5.7109375" hidden="1" customWidth="1"/>
    <col min="35" max="35" width="8.7109375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87">
        <v>8</v>
      </c>
      <c r="E2" s="189" t="s">
        <v>59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1"/>
      <c r="AD2" s="37"/>
      <c r="AE2" s="37"/>
      <c r="AF2" s="37"/>
      <c r="AG2" s="37"/>
      <c r="AH2" s="37"/>
      <c r="AI2" s="1"/>
      <c r="AJ2" s="1"/>
      <c r="AK2" s="189" t="s">
        <v>60</v>
      </c>
      <c r="AL2" s="190"/>
      <c r="AM2" s="190"/>
      <c r="AN2" s="190"/>
      <c r="AO2" s="190"/>
      <c r="AP2" s="190"/>
      <c r="AQ2" s="190"/>
      <c r="AR2" s="190"/>
      <c r="AS2" s="190"/>
      <c r="AT2" s="190"/>
      <c r="AU2" s="191"/>
      <c r="AV2" s="1"/>
      <c r="AW2" s="1"/>
    </row>
    <row r="3" spans="1:49" ht="19.5" customHeight="1" x14ac:dyDescent="0.2">
      <c r="A3" s="1"/>
      <c r="B3" s="1"/>
      <c r="C3" s="1"/>
      <c r="D3" s="188"/>
      <c r="E3" s="192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4"/>
      <c r="AD3" s="37"/>
      <c r="AE3" s="37"/>
      <c r="AF3" s="37"/>
      <c r="AG3" s="37"/>
      <c r="AH3" s="37"/>
      <c r="AI3" s="1"/>
      <c r="AJ3" s="1"/>
      <c r="AK3" s="192"/>
      <c r="AL3" s="193"/>
      <c r="AM3" s="193"/>
      <c r="AN3" s="193"/>
      <c r="AO3" s="193"/>
      <c r="AP3" s="193"/>
      <c r="AQ3" s="193"/>
      <c r="AR3" s="193"/>
      <c r="AS3" s="193"/>
      <c r="AT3" s="193"/>
      <c r="AU3" s="194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2.75" x14ac:dyDescent="0.2">
      <c r="A7" s="1"/>
      <c r="B7" s="1"/>
      <c r="C7" s="1"/>
      <c r="D7" s="185"/>
      <c r="E7" s="181" t="s">
        <v>76</v>
      </c>
      <c r="F7" s="38"/>
      <c r="G7" s="181">
        <f>IF(COUNT(M7:Y7)=0,"",(COUNT(M7:Y7)))</f>
        <v>12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10</v>
      </c>
      <c r="I7" s="186">
        <f>IF(ISERROR(G7-H7),"",G7-H7)</f>
        <v>2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42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14</v>
      </c>
      <c r="L7" s="39"/>
      <c r="M7" s="40">
        <v>22.77</v>
      </c>
      <c r="N7" s="41">
        <v>19.079999999999998</v>
      </c>
      <c r="O7" s="41">
        <v>22.72</v>
      </c>
      <c r="P7" s="41"/>
      <c r="Q7" s="41">
        <v>25.78</v>
      </c>
      <c r="R7" s="41">
        <v>20.55</v>
      </c>
      <c r="S7" s="41">
        <v>21.78</v>
      </c>
      <c r="T7" s="41">
        <v>27.67</v>
      </c>
      <c r="U7" s="41">
        <v>26.72</v>
      </c>
      <c r="V7" s="41">
        <v>21.2</v>
      </c>
      <c r="W7" s="41">
        <v>24.66</v>
      </c>
      <c r="X7" s="41">
        <v>23.58</v>
      </c>
      <c r="Y7" s="41">
        <v>25.53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6</v>
      </c>
      <c r="AB7" s="183">
        <f>IF(ISERROR(SUM(M7:Y7)/G7),"",(SUM(M7:Y7)/G7))</f>
        <v>23.50333333333333</v>
      </c>
      <c r="AC7" s="184">
        <f>IF(ISERROR(SUM(M7:Y7)/G7+H7),"",(SUM(M7:Y7)/G7+H7))</f>
        <v>33.50333333333333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Allocation'!$B$30:$B$37,MATCH(Alderholt!$D$2,'Number Allocation'!$D$30:$D$37,0))),0,(INDEX('Number Allocation'!$B$30:$B$37,MATCH(Alderholt!$D$2,'Number Allocation'!$D$30:$D$37,0))))+IF(ISERROR(INDEX('Number Allocation'!$D$30:$D$37,MATCH(Alderholt!$D$2,'Number Allocation'!$B$30:$B$37,0))),0,(INDEX('Number Allocation'!$D$30:$D$37,MATCH(Alderholt!$D$2,'Number Allocation'!$B$30:$B$37,0))))</f>
        <v>7</v>
      </c>
      <c r="AK7" s="44">
        <v>1</v>
      </c>
      <c r="AL7" s="44" t="str">
        <f>VLOOKUP(AJ7,'Number Allocation'!$I$7:$J$22,2,0)</f>
        <v>Shaftesbury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1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AS7" s="44">
        <f t="shared" ref="AS7:AS19" si="0">IF(SUM(AO7:AQ7)=0,0,(12-AR7))</f>
        <v>6</v>
      </c>
      <c r="AT7" s="2"/>
      <c r="AU7" s="44">
        <f t="shared" ref="AU7:AU19" si="1">(AR7)</f>
        <v>6</v>
      </c>
      <c r="AV7" s="1"/>
      <c r="AW7" s="11"/>
    </row>
    <row r="8" spans="1:49" ht="12.75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77</v>
      </c>
      <c r="N8" s="41" t="s">
        <v>78</v>
      </c>
      <c r="O8" s="41" t="s">
        <v>78</v>
      </c>
      <c r="P8" s="41"/>
      <c r="Q8" s="41" t="s">
        <v>78</v>
      </c>
      <c r="R8" s="41" t="s">
        <v>79</v>
      </c>
      <c r="S8" s="41" t="s">
        <v>77</v>
      </c>
      <c r="T8" s="41" t="s">
        <v>80</v>
      </c>
      <c r="U8" s="41" t="s">
        <v>77</v>
      </c>
      <c r="V8" s="41" t="s">
        <v>77</v>
      </c>
      <c r="W8" s="41" t="s">
        <v>81</v>
      </c>
      <c r="X8" s="41" t="s">
        <v>77</v>
      </c>
      <c r="Y8" s="41" t="s">
        <v>91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Allocation'!$H$30:$H$37,MATCH(Alderholt!$D$2,'Number Allocation'!$F$30:$F$37,0))),0,(INDEX('Number Allocation'!$H$30:$H$37,MATCH(Alderholt!$D$2,'Number Allocation'!$F$30:$F$37,0))))+IF(ISERROR(INDEX('Number Allocation'!$F$30:$F$37,MATCH(Alderholt!$D$2,'Number Allocation'!$H$30:$H$37,0))),0,(INDEX('Number Allocation'!$F$30:$F$37,MATCH(Alderholt!$D$2,'Number Allocation'!$H$30:$H$37,0))))</f>
        <v>14</v>
      </c>
      <c r="AK8" s="44">
        <v>2</v>
      </c>
      <c r="AL8" s="44" t="str">
        <f>VLOOKUP(AJ8,'Number Allocation'!$I$7:$J$22,2,0)</f>
        <v>Christchurch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44">
        <f t="shared" si="0"/>
        <v>8</v>
      </c>
      <c r="AT8" s="2"/>
      <c r="AU8" s="44">
        <f t="shared" si="1"/>
        <v>4</v>
      </c>
      <c r="AV8" s="1"/>
      <c r="AW8" s="11"/>
    </row>
    <row r="9" spans="1:49" ht="12.75" x14ac:dyDescent="0.2">
      <c r="A9" s="1"/>
      <c r="B9" s="1"/>
      <c r="C9" s="1"/>
      <c r="D9" s="185"/>
      <c r="E9" s="181" t="s">
        <v>82</v>
      </c>
      <c r="F9" s="38"/>
      <c r="G9" s="181">
        <f>IF(COUNT(M9:Y9)=0,"",(COUNT(M9:Y9)))</f>
        <v>10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9</v>
      </c>
      <c r="I9" s="186">
        <f>IF(ISERROR(G9-H9),"",G9-H9)</f>
        <v>1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39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15</v>
      </c>
      <c r="L9" s="39"/>
      <c r="M9" s="41"/>
      <c r="N9" s="41">
        <v>26.41</v>
      </c>
      <c r="O9" s="41">
        <v>22.02</v>
      </c>
      <c r="P9" s="41"/>
      <c r="Q9" s="41">
        <v>23.91</v>
      </c>
      <c r="R9" s="41"/>
      <c r="S9" s="41">
        <v>22.85</v>
      </c>
      <c r="T9" s="41">
        <v>29.04</v>
      </c>
      <c r="U9" s="41">
        <v>23.49</v>
      </c>
      <c r="V9" s="41">
        <v>27.39</v>
      </c>
      <c r="W9" s="41">
        <v>27.83</v>
      </c>
      <c r="X9" s="41">
        <v>20.27</v>
      </c>
      <c r="Y9" s="41">
        <v>28.83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4</v>
      </c>
      <c r="AB9" s="183">
        <f>IF(ISERROR(SUM(M9:Y9)/G9),"",(SUM(M9:Y9)/G9))</f>
        <v>25.204000000000001</v>
      </c>
      <c r="AC9" s="184">
        <f>IF(ISERROR(SUM(M9:Y9)/G9+H9),"",(SUM(M9:Y9)/G9+H9))</f>
        <v>34.204000000000001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Allocation'!$J$30:$J$37,MATCH(Alderholt!$D$2,'Number Allocation'!$L$30:$L$37,0))),0,(INDEX('Number Allocation'!$J$30:$J$37,MATCH(Alderholt!$D$2,'Number Allocation'!$L$30:$L$37,0))))+IF(ISERROR(INDEX('Number Allocation'!$L$30:$L$37,MATCH(Alderholt!$D$2,'Number Allocation'!$J$30:$J$37,0))),0,(INDEX('Number Allocation'!$L$30:$L$37,MATCH(Alderholt!$D$2,'Number Allocation'!$J$30:$J$37,0))))</f>
        <v>9</v>
      </c>
      <c r="AK9" s="44">
        <v>3</v>
      </c>
      <c r="AL9" s="44" t="str">
        <f>VLOOKUP(AJ9,'Number Allocation'!$I$7:$J$22,2,0)</f>
        <v>Poole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AS9" s="44">
        <f t="shared" si="0"/>
        <v>9</v>
      </c>
      <c r="AT9" s="2"/>
      <c r="AU9" s="44">
        <f t="shared" si="1"/>
        <v>3</v>
      </c>
      <c r="AV9" s="1"/>
      <c r="AW9" s="11"/>
    </row>
    <row r="10" spans="1:49" ht="12.75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/>
      <c r="N10" s="41" t="s">
        <v>83</v>
      </c>
      <c r="O10" s="41" t="s">
        <v>77</v>
      </c>
      <c r="P10" s="41"/>
      <c r="Q10" s="41" t="s">
        <v>84</v>
      </c>
      <c r="R10" s="41"/>
      <c r="S10" s="41" t="s">
        <v>84</v>
      </c>
      <c r="T10" s="41" t="s">
        <v>77</v>
      </c>
      <c r="U10" s="41" t="s">
        <v>85</v>
      </c>
      <c r="V10" s="41" t="s">
        <v>78</v>
      </c>
      <c r="W10" s="41" t="s">
        <v>86</v>
      </c>
      <c r="X10" s="41" t="s">
        <v>79</v>
      </c>
      <c r="Y10" s="41" t="s">
        <v>93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Allocation'!$N$30:$N$37,MATCH(Alderholt!$D$2,'Number Allocation'!$P$30:$P$37,0))),0,(INDEX('Number Allocation'!$N$30:$N$37,MATCH(Alderholt!$D$2,'Number Allocation'!$P$30:$P$37,0))))+IF(ISERROR(INDEX('Number Allocation'!$P$30:$P$37,MATCH(Alderholt!$D$2,'Number Allocation'!$N$30:$N$37,0))),0,(INDEX('Number Allocation'!$P$30:$P$37,MATCH(Alderholt!$D$2,'Number Allocation'!$N$30:$N$37,0))))</f>
        <v>10</v>
      </c>
      <c r="AK10" s="44">
        <v>4</v>
      </c>
      <c r="AL10" s="44" t="str">
        <f>VLOOKUP(AJ10,'Number Allocation'!$I$7:$J$22,2,0)</f>
        <v>Lytchett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44">
        <f t="shared" si="0"/>
        <v>12</v>
      </c>
      <c r="AT10" s="2"/>
      <c r="AU10" s="44">
        <f t="shared" si="1"/>
        <v>0</v>
      </c>
      <c r="AV10" s="1"/>
      <c r="AW10" s="11"/>
    </row>
    <row r="11" spans="1:49" ht="12.75" x14ac:dyDescent="0.2">
      <c r="A11" s="1"/>
      <c r="B11" s="1"/>
      <c r="C11" s="1"/>
      <c r="D11" s="185"/>
      <c r="E11" s="181" t="s">
        <v>87</v>
      </c>
      <c r="F11" s="38"/>
      <c r="G11" s="181">
        <f>IF(COUNT(M11:Y11)=0,"",(COUNT(M11:Y11)))</f>
        <v>1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186">
        <f>IF(ISERROR(G11-H11),"",G11-H11)</f>
        <v>1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39"/>
      <c r="M11" s="41">
        <v>20.63</v>
      </c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183">
        <f>IF(ISERROR(SUM(M11:Y11)/G11),"",(SUM(M11:Y11)/G11))</f>
        <v>20.63</v>
      </c>
      <c r="AC11" s="184">
        <f>IF(ISERROR(SUM(M11:Y11)/G11+H11),"",(SUM(M11:Y11)/G11+H11))</f>
        <v>20.63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Allocation'!$R$30:$R$37,MATCH(Alderholt!$D$2,'Number Allocation'!$T$30:$T$37,0))),0,(INDEX('Number Allocation'!$R$30:$R$37,MATCH(Alderholt!$D$2,'Number Allocation'!$T$30:$T$37,0))))+IF(ISERROR(INDEX('Number Allocation'!$T$30:$T$37,MATCH(Alderholt!$D$2,'Number Allocation'!$R$30:$R$37,0))),0,(INDEX('Number Allocation'!$T$30:$T$37,MATCH(Alderholt!$D$2,'Number Allocation'!$R$30:$R$37,0))))</f>
        <v>11</v>
      </c>
      <c r="AK11" s="44">
        <v>5</v>
      </c>
      <c r="AL11" s="44" t="str">
        <f>VLOOKUP(AJ11,'Number Allocation'!$I$7:$J$22,2,0)</f>
        <v>Portland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11</v>
      </c>
      <c r="AS11" s="44">
        <f t="shared" si="0"/>
        <v>1</v>
      </c>
      <c r="AT11" s="2"/>
      <c r="AU11" s="44">
        <f t="shared" si="1"/>
        <v>11</v>
      </c>
      <c r="AV11" s="1"/>
      <c r="AW11" s="11"/>
    </row>
    <row r="12" spans="1:49" ht="12.75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88</v>
      </c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Allocation'!$B$44:$B$51,MATCH(Alderholt!$D$2,'Number Allocation'!$D$44:$D$51,0))),0,(INDEX('Number Allocation'!$B$44:$B$51,MATCH(Alderholt!$D$2,'Number Allocation'!$D$44:$D$51,0))))+IF(ISERROR(INDEX('Number Allocation'!$D$44:$D$51,MATCH(Alderholt!$D$2,'Number Allocation'!$B$44:$B$51,0))),0,(INDEX('Number Allocation'!$D$44:$D$51,MATCH(Alderholt!$D$2,'Number Allocation'!$B$44:$B$51,0))))</f>
        <v>12</v>
      </c>
      <c r="AK12" s="44">
        <v>6</v>
      </c>
      <c r="AL12" s="44" t="str">
        <f>VLOOKUP(AJ12,'Number Allocation'!$I$7:$J$22,2,0)</f>
        <v>Swanage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AS12" s="44">
        <f t="shared" si="0"/>
        <v>4</v>
      </c>
      <c r="AT12" s="2"/>
      <c r="AU12" s="44">
        <f t="shared" si="1"/>
        <v>8</v>
      </c>
      <c r="AV12" s="1"/>
      <c r="AW12" s="11"/>
    </row>
    <row r="13" spans="1:49" ht="12.75" x14ac:dyDescent="0.2">
      <c r="A13" s="1"/>
      <c r="B13" s="1"/>
      <c r="C13" s="1"/>
      <c r="D13" s="185"/>
      <c r="E13" s="181" t="s">
        <v>89</v>
      </c>
      <c r="F13" s="38"/>
      <c r="G13" s="181">
        <f>IF(COUNT(M13:Y13)=0,"",(COUNT(M13:Y13)))</f>
        <v>12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10</v>
      </c>
      <c r="I13" s="186">
        <f>IF(ISERROR(G13-H13),"",G13-H13)</f>
        <v>2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43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23</v>
      </c>
      <c r="L13" s="39"/>
      <c r="M13" s="41">
        <v>23.3</v>
      </c>
      <c r="N13" s="41">
        <v>23.68</v>
      </c>
      <c r="O13" s="41">
        <v>27.1</v>
      </c>
      <c r="P13" s="41">
        <v>21.88</v>
      </c>
      <c r="Q13" s="41">
        <v>23.93</v>
      </c>
      <c r="R13" s="41">
        <v>20.87</v>
      </c>
      <c r="S13" s="41">
        <v>23.71</v>
      </c>
      <c r="T13" s="41">
        <v>21.08</v>
      </c>
      <c r="U13" s="41">
        <v>26.22</v>
      </c>
      <c r="V13" s="41">
        <v>21.8</v>
      </c>
      <c r="W13" s="41">
        <v>22.74</v>
      </c>
      <c r="X13" s="41"/>
      <c r="Y13" s="41">
        <v>27.21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7</v>
      </c>
      <c r="AB13" s="183">
        <f>IF(ISERROR(SUM(M13:Y13)/G13),"",(SUM(M13:Y13)/G13))</f>
        <v>23.626666666666665</v>
      </c>
      <c r="AC13" s="184">
        <f>IF(ISERROR(SUM(M13:Y13)/G13+H13),"",(SUM(M13:Y13)/G13+H13))</f>
        <v>33.626666666666665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Allocation'!$H$44:$H$51,MATCH(Alderholt!$D$2,'Number Allocation'!$F$44:$F$51,0))),0,(INDEX('Number Allocation'!$H$44:$H$51,MATCH(Alderholt!$D$2,'Number Allocation'!$F$44:$F$51,0))))+IF(ISERROR(INDEX('Number Allocation'!$F$44:$F$51,MATCH(Alderholt!$D$2,'Number Allocation'!$H$44:$H$51,0))),0,(INDEX('Number Allocation'!$F$44:$F$51,MATCH(Alderholt!$D$2,'Number Allocation'!$H$44:$H$51,0))))</f>
        <v>13</v>
      </c>
      <c r="AK13" s="44">
        <v>7</v>
      </c>
      <c r="AL13" s="44" t="str">
        <f>VLOOKUP(AJ13,'Number Allocation'!$I$7:$J$22,2,0)</f>
        <v>Bournemouth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1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AS13" s="44">
        <f t="shared" si="0"/>
        <v>4</v>
      </c>
      <c r="AT13" s="2"/>
      <c r="AU13" s="44">
        <f t="shared" si="1"/>
        <v>8</v>
      </c>
      <c r="AV13" s="1"/>
      <c r="AW13" s="11"/>
    </row>
    <row r="14" spans="1:49" ht="12.75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77</v>
      </c>
      <c r="N14" s="41" t="s">
        <v>79</v>
      </c>
      <c r="O14" s="41" t="s">
        <v>90</v>
      </c>
      <c r="P14" s="41" t="s">
        <v>91</v>
      </c>
      <c r="Q14" s="41" t="s">
        <v>92</v>
      </c>
      <c r="R14" s="41" t="s">
        <v>93</v>
      </c>
      <c r="S14" s="41" t="s">
        <v>78</v>
      </c>
      <c r="T14" s="41" t="s">
        <v>84</v>
      </c>
      <c r="U14" s="41" t="s">
        <v>92</v>
      </c>
      <c r="V14" s="41" t="s">
        <v>84</v>
      </c>
      <c r="W14" s="41" t="s">
        <v>94</v>
      </c>
      <c r="X14" s="41"/>
      <c r="Y14" s="41" t="s">
        <v>78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Allocation'!$J$44:$J$51,MATCH(Alderholt!$D$2,'Number Allocation'!$L$44:$L$51,0))),0,(INDEX('Number Allocation'!$J$44:$J$51,MATCH(Alderholt!$D$2,'Number Allocation'!$L$44:$L$51,0))))+IF(ISERROR(INDEX('Number Allocation'!$L$44:$L$51,MATCH(Alderholt!$D$2,'Number Allocation'!$J$44:$J$51,0))),0,(INDEX('Number Allocation'!$L$44:$L$51,MATCH(Alderholt!$D$2,'Number Allocation'!$J$44:$J$51,0))))</f>
        <v>1</v>
      </c>
      <c r="AK14" s="44">
        <v>8</v>
      </c>
      <c r="AL14" s="44" t="str">
        <f>VLOOKUP(AJ14,'Number Allocation'!$I$7:$J$22,2,0)</f>
        <v>Parkstone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9</v>
      </c>
      <c r="AS14" s="44">
        <f t="shared" si="0"/>
        <v>3</v>
      </c>
      <c r="AT14" s="2"/>
      <c r="AU14" s="44">
        <f t="shared" si="1"/>
        <v>9</v>
      </c>
      <c r="AV14" s="1"/>
      <c r="AW14" s="11"/>
    </row>
    <row r="15" spans="1:49" ht="12.75" x14ac:dyDescent="0.2">
      <c r="A15" s="1"/>
      <c r="B15" s="1"/>
      <c r="C15" s="1"/>
      <c r="D15" s="185"/>
      <c r="E15" s="181" t="s">
        <v>95</v>
      </c>
      <c r="F15" s="38"/>
      <c r="G15" s="181">
        <f>IF(COUNT(M15:Y15)=0,"",(COUNT(M15:Y15)))</f>
        <v>13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7</v>
      </c>
      <c r="I15" s="186">
        <f>IF(ISERROR(G15-H15),"",G15-H15)</f>
        <v>6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38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35</v>
      </c>
      <c r="L15" s="39"/>
      <c r="M15" s="41">
        <v>23.61</v>
      </c>
      <c r="N15" s="41">
        <v>20.62</v>
      </c>
      <c r="O15" s="41">
        <v>23.83</v>
      </c>
      <c r="P15" s="41">
        <v>22.57</v>
      </c>
      <c r="Q15" s="41">
        <v>22.9</v>
      </c>
      <c r="R15" s="41">
        <v>23.58</v>
      </c>
      <c r="S15" s="41">
        <v>19.21</v>
      </c>
      <c r="T15" s="41">
        <v>22.5</v>
      </c>
      <c r="U15" s="41">
        <v>19.88</v>
      </c>
      <c r="V15" s="41">
        <v>23.6</v>
      </c>
      <c r="W15" s="41">
        <v>22.83</v>
      </c>
      <c r="X15" s="41">
        <v>21.59</v>
      </c>
      <c r="Y15" s="41">
        <v>23.99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183">
        <f>IF(ISERROR(SUM(M15:Y15)/G15),"",(SUM(M15:Y15)/G15))</f>
        <v>22.362307692307692</v>
      </c>
      <c r="AC15" s="184">
        <f>IF(ISERROR(SUM(M15:Y15)/G15+H15),"",(SUM(M15:Y15)/G15+H15))</f>
        <v>29.362307692307692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Allocation'!$N$44:$N$51,MATCH(Alderholt!$D$2,'Number Allocation'!$P$44:$P$51,0))),0,(INDEX('Number Allocation'!$N$44:$N$51,MATCH(Alderholt!$D$2,'Number Allocation'!$P$44:$P$51,0))))+IF(ISERROR(INDEX('Number Allocation'!$P$44:$P$51,MATCH(Alderholt!$D$2,'Number Allocation'!$N$44:$N$51,0))),0,(INDEX('Number Allocation'!$P$44:$P$51,MATCH(Alderholt!$D$2,'Number Allocation'!$N$44:$N$51,0))))</f>
        <v>2</v>
      </c>
      <c r="AK15" s="44">
        <v>9</v>
      </c>
      <c r="AL15" s="44" t="str">
        <f>VLOOKUP(AJ15,'Number Allocation'!$I$7:$J$22,2,0)</f>
        <v>Alderney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AS15" s="44">
        <f t="shared" si="0"/>
        <v>2</v>
      </c>
      <c r="AT15" s="2"/>
      <c r="AU15" s="44">
        <f t="shared" si="1"/>
        <v>10</v>
      </c>
      <c r="AV15" s="1"/>
      <c r="AW15" s="11"/>
    </row>
    <row r="16" spans="1:49" ht="12.75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78</v>
      </c>
      <c r="N16" s="41" t="s">
        <v>88</v>
      </c>
      <c r="O16" s="41" t="s">
        <v>94</v>
      </c>
      <c r="P16" s="41" t="s">
        <v>88</v>
      </c>
      <c r="Q16" s="41" t="s">
        <v>84</v>
      </c>
      <c r="R16" s="41" t="s">
        <v>77</v>
      </c>
      <c r="S16" s="41" t="s">
        <v>90</v>
      </c>
      <c r="T16" s="41" t="s">
        <v>78</v>
      </c>
      <c r="U16" s="41" t="s">
        <v>84</v>
      </c>
      <c r="V16" s="41" t="s">
        <v>81</v>
      </c>
      <c r="W16" s="41" t="s">
        <v>90</v>
      </c>
      <c r="X16" s="41" t="s">
        <v>99</v>
      </c>
      <c r="Y16" s="41" t="s">
        <v>84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Allocation'!$R$44:$R$51,MATCH(Alderholt!$D$2,'Number Allocation'!$T$44:$T$51,0))),0,(INDEX('Number Allocation'!$R$44:$R$51,MATCH(Alderholt!$D$2,'Number Allocation'!$T$44:$T$51,0))))+IF(ISERROR(INDEX('Number Allocation'!$T$44:$T$51,MATCH(Alderholt!$D$2,'Number Allocation'!$R$44:$R$51,0))),0,(INDEX('Number Allocation'!$T$44:$T$51,MATCH(Alderholt!$D$2,'Number Allocation'!$R$44:$R$51,0))))</f>
        <v>3</v>
      </c>
      <c r="AK16" s="44">
        <v>10</v>
      </c>
      <c r="AL16" s="44" t="str">
        <f>VLOOKUP(AJ16,'Number Allocation'!$I$7:$J$22,2,0)</f>
        <v>Weymouth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8</v>
      </c>
      <c r="AS16" s="44">
        <f t="shared" si="0"/>
        <v>4</v>
      </c>
      <c r="AT16" s="2"/>
      <c r="AU16" s="44">
        <f t="shared" si="1"/>
        <v>8</v>
      </c>
      <c r="AV16" s="1"/>
      <c r="AW16" s="11"/>
    </row>
    <row r="17" spans="1:49" ht="12.75" x14ac:dyDescent="0.2">
      <c r="A17" s="1"/>
      <c r="B17" s="1"/>
      <c r="C17" s="1"/>
      <c r="D17" s="185"/>
      <c r="E17" s="181" t="s">
        <v>96</v>
      </c>
      <c r="F17" s="38"/>
      <c r="G17" s="181">
        <f>IF(COUNT(M17:Y17)=0,"",(COUNT(M17:Y17)))</f>
        <v>13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6</v>
      </c>
      <c r="I17" s="186">
        <f>IF(ISERROR(G17-H17),"",G17-H17)</f>
        <v>7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33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33</v>
      </c>
      <c r="L17" s="39"/>
      <c r="M17" s="41">
        <v>12.73</v>
      </c>
      <c r="N17" s="41">
        <v>17.62</v>
      </c>
      <c r="O17" s="41">
        <v>25.33</v>
      </c>
      <c r="P17" s="41">
        <v>19.899999999999999</v>
      </c>
      <c r="Q17" s="41">
        <v>21.44</v>
      </c>
      <c r="R17" s="41">
        <v>23.25</v>
      </c>
      <c r="S17" s="41">
        <v>23.19</v>
      </c>
      <c r="T17" s="41">
        <v>22.15</v>
      </c>
      <c r="U17" s="41">
        <v>24.14</v>
      </c>
      <c r="V17" s="41">
        <v>18.41</v>
      </c>
      <c r="W17" s="41">
        <v>21.89</v>
      </c>
      <c r="X17" s="41">
        <v>21.54</v>
      </c>
      <c r="Y17" s="41">
        <v>19.84</v>
      </c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3</v>
      </c>
      <c r="AB17" s="183">
        <f>IF(ISERROR(SUM(M17:Y17)/G17),"",(SUM(M17:Y17)/G17))</f>
        <v>20.879230769230769</v>
      </c>
      <c r="AC17" s="184">
        <f>IF(ISERROR(SUM(M17:Y17)/G17+H17),"",(SUM(M17:Y17)/G17+H17))</f>
        <v>26.879230769230769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Allocation'!$B$58:$B$65,MATCH(Alderholt!$D$2,'Number Allocation'!$D$58:$D$65,0))),0,(INDEX('Number Allocation'!$B$58:$B$65,MATCH(Alderholt!$D$2,'Number Allocation'!$D$58:$D$65,0))))+IF(ISERROR(INDEX('Number Allocation'!$D$58:$D$65,MATCH(Alderholt!$D$2,'Number Allocation'!$B$58:$B$65,0))),0,(INDEX('Number Allocation'!$D$58:$D$65,MATCH(Alderholt!$D$2,'Number Allocation'!$B$58:$B$65,0))))</f>
        <v>4</v>
      </c>
      <c r="AK17" s="44">
        <v>11</v>
      </c>
      <c r="AL17" s="44" t="str">
        <f>VLOOKUP(AJ17,'Number Allocation'!$I$7:$J$22,2,0)</f>
        <v>Dorchester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1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AS17" s="44">
        <f t="shared" si="0"/>
        <v>8</v>
      </c>
      <c r="AT17" s="2"/>
      <c r="AU17" s="44">
        <f t="shared" si="1"/>
        <v>4</v>
      </c>
      <c r="AV17" s="1"/>
      <c r="AW17" s="11"/>
    </row>
    <row r="18" spans="1:49" ht="12.75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90</v>
      </c>
      <c r="N18" s="41" t="s">
        <v>81</v>
      </c>
      <c r="O18" s="41" t="s">
        <v>90</v>
      </c>
      <c r="P18" s="41" t="s">
        <v>97</v>
      </c>
      <c r="Q18" s="41" t="s">
        <v>78</v>
      </c>
      <c r="R18" s="41" t="s">
        <v>83</v>
      </c>
      <c r="S18" s="41" t="s">
        <v>81</v>
      </c>
      <c r="T18" s="41" t="s">
        <v>84</v>
      </c>
      <c r="U18" s="41" t="s">
        <v>86</v>
      </c>
      <c r="V18" s="41" t="s">
        <v>77</v>
      </c>
      <c r="W18" s="41" t="s">
        <v>88</v>
      </c>
      <c r="X18" s="41" t="s">
        <v>84</v>
      </c>
      <c r="Y18" s="41" t="s">
        <v>77</v>
      </c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Allocation'!$H$58:$H$65,MATCH(Alderholt!$D$2,'Number Allocation'!$F$58:$F$65,0))),0,(INDEX('Number Allocation'!$H$58:$H$65,MATCH(Alderholt!$D$2,'Number Allocation'!$F$58:$F$65,0))))+IF(ISERROR(INDEX('Number Allocation'!$F$58:$F$65,MATCH(Alderholt!$D$2,'Number Allocation'!$H$58:$H$65,0))),0,(INDEX('Number Allocation'!$F$58:$F$65,MATCH(Alderholt!$D$2,'Number Allocation'!$H$58:$H$65,0))))</f>
        <v>5</v>
      </c>
      <c r="AK18" s="44">
        <v>12</v>
      </c>
      <c r="AL18" s="44" t="str">
        <f>VLOOKUP(AJ18,'Number Allocation'!$I$7:$J$22,2,0)</f>
        <v>Boscombe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4</v>
      </c>
      <c r="AS18" s="44">
        <f t="shared" si="0"/>
        <v>8</v>
      </c>
      <c r="AT18" s="2"/>
      <c r="AU18" s="44">
        <f t="shared" si="1"/>
        <v>4</v>
      </c>
      <c r="AV18" s="1"/>
      <c r="AW18" s="11"/>
    </row>
    <row r="19" spans="1:49" ht="12.75" x14ac:dyDescent="0.2">
      <c r="A19" s="1"/>
      <c r="B19" s="1"/>
      <c r="C19" s="1"/>
      <c r="D19" s="185"/>
      <c r="E19" s="181" t="s">
        <v>98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5</v>
      </c>
      <c r="I19" s="186">
        <f>IF(ISERROR(G19-H19),"",G19-H19)</f>
        <v>8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30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40</v>
      </c>
      <c r="L19" s="39"/>
      <c r="M19" s="41">
        <v>21.97</v>
      </c>
      <c r="N19" s="41">
        <v>23.66</v>
      </c>
      <c r="O19" s="41">
        <v>21.32</v>
      </c>
      <c r="P19" s="41">
        <v>19.07</v>
      </c>
      <c r="Q19" s="41">
        <v>21.73</v>
      </c>
      <c r="R19" s="41">
        <v>19.7</v>
      </c>
      <c r="S19" s="41">
        <v>21.55</v>
      </c>
      <c r="T19" s="41">
        <v>19.75</v>
      </c>
      <c r="U19" s="41">
        <v>20.72</v>
      </c>
      <c r="V19" s="41">
        <v>21.83</v>
      </c>
      <c r="W19" s="41">
        <v>26.14</v>
      </c>
      <c r="X19" s="41">
        <v>20.68</v>
      </c>
      <c r="Y19" s="41">
        <v>17.190000000000001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183">
        <f>IF(ISERROR(SUM(M19:Y19)/G19),"",(SUM(M19:Y19)/G19))</f>
        <v>21.177692307692308</v>
      </c>
      <c r="AC19" s="184">
        <f>IF(ISERROR(SUM(M19:Y19)/G19+H19),"",(SUM(M19:Y19)/G19+H19))</f>
        <v>26.177692307692308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Allocation'!$J$58:$J$65,MATCH(Alderholt!$D$2,'Number Allocation'!$L$58:$L$65,0))),0,(INDEX('Number Allocation'!$J$58:$J$65,MATCH(Alderholt!$D$2,'Number Allocation'!$L$58:$L$65,0))))+IF(ISERROR(INDEX('Number Allocation'!$L$58:$L$65,MATCH(Alderholt!$D$2,'Number Allocation'!$J$58:$J$65,0))),0,(INDEX('Number Allocation'!$L$58:$L$65,MATCH(Alderholt!$D$2,'Number Allocation'!$J$58:$J$65,0))))</f>
        <v>6</v>
      </c>
      <c r="AK19" s="44">
        <v>13</v>
      </c>
      <c r="AL19" s="44" t="str">
        <f>VLOOKUP(AJ19,'Number Allocation'!$I$7:$J$22,2,0)</f>
        <v>Bridport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5</v>
      </c>
      <c r="AS19" s="44">
        <f t="shared" si="0"/>
        <v>7</v>
      </c>
      <c r="AT19" s="2"/>
      <c r="AU19" s="44">
        <f t="shared" si="1"/>
        <v>5</v>
      </c>
      <c r="AV19" s="1"/>
      <c r="AW19" s="11"/>
    </row>
    <row r="20" spans="1:49" ht="12.75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99</v>
      </c>
      <c r="N20" s="41" t="s">
        <v>93</v>
      </c>
      <c r="O20" s="41" t="s">
        <v>90</v>
      </c>
      <c r="P20" s="41" t="s">
        <v>81</v>
      </c>
      <c r="Q20" s="41" t="s">
        <v>78</v>
      </c>
      <c r="R20" s="41" t="s">
        <v>93</v>
      </c>
      <c r="S20" s="41" t="s">
        <v>77</v>
      </c>
      <c r="T20" s="41" t="s">
        <v>88</v>
      </c>
      <c r="U20" s="41" t="s">
        <v>100</v>
      </c>
      <c r="V20" s="41" t="s">
        <v>78</v>
      </c>
      <c r="W20" s="41" t="s">
        <v>83</v>
      </c>
      <c r="X20" s="41" t="s">
        <v>81</v>
      </c>
      <c r="Y20" s="41" t="s">
        <v>90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101</v>
      </c>
      <c r="F21" s="38"/>
      <c r="G21" s="181" t="str">
        <f>IF(COUNT(M21:Y21)=0,"",(COUNT(M21:Y21)))</f>
        <v/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186" t="str">
        <f>IF(ISERROR(G21-H21),"",G21-H21)</f>
        <v/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39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183" t="str">
        <f>IF(ISERROR(SUM(M21:Y21)/G21),"",(SUM(M21:Y21)/G21))</f>
        <v/>
      </c>
      <c r="AC21" s="184" t="str">
        <f>IF(ISERROR(SUM(M21:Y21)/G21+H21),"",(SUM(M21:Y21)/G21+H21))</f>
        <v/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6</v>
      </c>
      <c r="AP21" s="44">
        <f t="shared" si="2"/>
        <v>1</v>
      </c>
      <c r="AQ21" s="44">
        <f t="shared" si="2"/>
        <v>6</v>
      </c>
      <c r="AR21" s="44">
        <f t="shared" si="2"/>
        <v>80</v>
      </c>
      <c r="AS21" s="44">
        <f t="shared" si="2"/>
        <v>76</v>
      </c>
      <c r="AT21" s="2"/>
      <c r="AU21" s="44">
        <f>SUM(AU7:AU19)</f>
        <v>80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103</v>
      </c>
      <c r="F23" s="38"/>
      <c r="G23" s="181">
        <f>IF(COUNT(M23:Y23)=0,"",(COUNT(M23:Y23)))</f>
        <v>4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186">
        <f>IF(ISERROR(G23-H23),"",G23-H23)</f>
        <v>3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7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14</v>
      </c>
      <c r="L23" s="39"/>
      <c r="M23" s="41">
        <v>18.72</v>
      </c>
      <c r="N23" s="41">
        <v>17.84</v>
      </c>
      <c r="O23" s="41">
        <v>19.47</v>
      </c>
      <c r="P23" s="41">
        <v>10.85</v>
      </c>
      <c r="Q23" s="41"/>
      <c r="R23" s="41"/>
      <c r="S23" s="41"/>
      <c r="T23" s="41"/>
      <c r="U23" s="41"/>
      <c r="V23" s="41"/>
      <c r="W23" s="41"/>
      <c r="X23" s="41"/>
      <c r="Y23" s="41"/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16.72</v>
      </c>
      <c r="AC23" s="184">
        <f>IF(ISERROR(SUM(M23:Y23)/G23+H23),"",(SUM(M23:Y23)/G23+H23))</f>
        <v>17.72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84</v>
      </c>
      <c r="N24" s="41" t="s">
        <v>90</v>
      </c>
      <c r="O24" s="41" t="s">
        <v>91</v>
      </c>
      <c r="P24" s="41" t="s">
        <v>81</v>
      </c>
      <c r="Q24" s="41"/>
      <c r="R24" s="41"/>
      <c r="S24" s="41"/>
      <c r="T24" s="41"/>
      <c r="U24" s="41"/>
      <c r="V24" s="41"/>
      <c r="W24" s="41"/>
      <c r="X24" s="41"/>
      <c r="Y24" s="41"/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104</v>
      </c>
      <c r="F25" s="38"/>
      <c r="G25" s="181">
        <f>IF(COUNT(M25:Y25)=0,"",(COUNT(M25:Y25)))</f>
        <v>3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1</v>
      </c>
      <c r="I25" s="186">
        <f>IF(ISERROR(G25-H25),"",G25-H25)</f>
        <v>2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4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10</v>
      </c>
      <c r="L25" s="39"/>
      <c r="M25" s="41">
        <v>20.16</v>
      </c>
      <c r="N25" s="41">
        <v>23.44</v>
      </c>
      <c r="O25" s="41"/>
      <c r="P25" s="41"/>
      <c r="Q25" s="41"/>
      <c r="R25" s="41">
        <v>21.96</v>
      </c>
      <c r="S25" s="41"/>
      <c r="T25" s="41"/>
      <c r="U25" s="41"/>
      <c r="V25" s="41"/>
      <c r="W25" s="41"/>
      <c r="X25" s="41"/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21.853333333333335</v>
      </c>
      <c r="AC25" s="184">
        <f>IF(ISERROR(SUM(M25:Y25)/G25+H25),"",(SUM(M25:Y25)/G25+H25))</f>
        <v>22.853333333333335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81</v>
      </c>
      <c r="N26" s="41" t="s">
        <v>81</v>
      </c>
      <c r="O26" s="41"/>
      <c r="P26" s="41"/>
      <c r="Q26" s="41"/>
      <c r="R26" s="41" t="s">
        <v>84</v>
      </c>
      <c r="S26" s="41"/>
      <c r="T26" s="41"/>
      <c r="U26" s="41"/>
      <c r="V26" s="41"/>
      <c r="W26" s="41"/>
      <c r="X26" s="41"/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105</v>
      </c>
      <c r="F27" s="38"/>
      <c r="G27" s="181">
        <f>IF(COUNT(M27:Y27)=0,"",(COUNT(M27:Y27)))</f>
        <v>10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6</v>
      </c>
      <c r="I27" s="186">
        <f>IF(ISERROR(G27-H27),"",G27-H27)</f>
        <v>4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30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21</v>
      </c>
      <c r="L27" s="39"/>
      <c r="M27" s="41"/>
      <c r="N27" s="41"/>
      <c r="O27" s="41">
        <v>24.32</v>
      </c>
      <c r="P27" s="41">
        <v>20.81</v>
      </c>
      <c r="Q27" s="41">
        <v>27.45</v>
      </c>
      <c r="R27" s="41">
        <v>22.08</v>
      </c>
      <c r="S27" s="41">
        <v>22.27</v>
      </c>
      <c r="T27" s="41">
        <v>22.39</v>
      </c>
      <c r="U27" s="41">
        <v>21.26</v>
      </c>
      <c r="V27" s="41">
        <v>22.61</v>
      </c>
      <c r="W27" s="41">
        <v>21.33</v>
      </c>
      <c r="X27" s="41">
        <v>17.260000000000002</v>
      </c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2</v>
      </c>
      <c r="AB27" s="183">
        <f>IF(ISERROR(SUM(M27:Y27)/G27),"",(SUM(M27:Y27)/G27))</f>
        <v>22.177999999999997</v>
      </c>
      <c r="AC27" s="184">
        <f>IF(ISERROR(SUM(M27:Y27)/G27+H27),"",(SUM(M27:Y27)/G27+H27))</f>
        <v>28.177999999999997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 t="s">
        <v>81</v>
      </c>
      <c r="P28" s="41" t="s">
        <v>90</v>
      </c>
      <c r="Q28" s="41" t="s">
        <v>86</v>
      </c>
      <c r="R28" s="41" t="s">
        <v>78</v>
      </c>
      <c r="S28" s="41" t="s">
        <v>77</v>
      </c>
      <c r="T28" s="41" t="s">
        <v>78</v>
      </c>
      <c r="U28" s="41" t="s">
        <v>84</v>
      </c>
      <c r="V28" s="41" t="s">
        <v>78</v>
      </c>
      <c r="W28" s="41" t="s">
        <v>88</v>
      </c>
      <c r="X28" s="41" t="s">
        <v>91</v>
      </c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106</v>
      </c>
      <c r="F29" s="38"/>
      <c r="G29" s="181">
        <f>IF(COUNT(M29:Y29)=0,"",(COUNT(M29:Y29)))</f>
        <v>5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1</v>
      </c>
      <c r="I29" s="186">
        <f>IF(ISERROR(G29-H29),"",G29-H29)</f>
        <v>4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11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16</v>
      </c>
      <c r="L29" s="39"/>
      <c r="M29" s="41"/>
      <c r="N29" s="41"/>
      <c r="O29" s="41"/>
      <c r="P29" s="41"/>
      <c r="Q29" s="41">
        <v>22.17</v>
      </c>
      <c r="R29" s="41">
        <v>18.13</v>
      </c>
      <c r="S29" s="41"/>
      <c r="T29" s="41"/>
      <c r="U29" s="41"/>
      <c r="V29" s="41"/>
      <c r="W29" s="41">
        <v>18.53</v>
      </c>
      <c r="X29" s="41">
        <v>16.7</v>
      </c>
      <c r="Y29" s="41">
        <v>20.51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1</v>
      </c>
      <c r="AB29" s="183">
        <f>IF(ISERROR(SUM(M29:Y29)/G29),"",(SUM(M29:Y29)/G29))</f>
        <v>19.208000000000002</v>
      </c>
      <c r="AC29" s="184">
        <f>IF(ISERROR(SUM(M29:Y29)/G29+H29),"",(SUM(M29:Y29)/G29+H29))</f>
        <v>20.208000000000002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 t="s">
        <v>86</v>
      </c>
      <c r="R30" s="41" t="s">
        <v>99</v>
      </c>
      <c r="S30" s="41"/>
      <c r="T30" s="41"/>
      <c r="U30" s="41"/>
      <c r="V30" s="41"/>
      <c r="W30" s="41" t="s">
        <v>90</v>
      </c>
      <c r="X30" s="41" t="s">
        <v>88</v>
      </c>
      <c r="Y30" s="41" t="s">
        <v>90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107</v>
      </c>
      <c r="F31" s="38"/>
      <c r="G31" s="181">
        <f>IF(COUNT(M31:Y31)=0,"",(COUNT(M31:Y31)))</f>
        <v>6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6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8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24</v>
      </c>
      <c r="L31" s="39"/>
      <c r="M31" s="41"/>
      <c r="N31" s="41"/>
      <c r="O31" s="41"/>
      <c r="P31" s="41"/>
      <c r="Q31" s="41"/>
      <c r="R31" s="41"/>
      <c r="S31" s="41">
        <v>17.920000000000002</v>
      </c>
      <c r="T31" s="41">
        <v>18.5</v>
      </c>
      <c r="U31" s="41">
        <v>17.48</v>
      </c>
      <c r="V31" s="41">
        <v>17.98</v>
      </c>
      <c r="W31" s="41"/>
      <c r="X31" s="41">
        <v>17.91</v>
      </c>
      <c r="Y31" s="41">
        <v>16.309999999999999</v>
      </c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17.683333333333334</v>
      </c>
      <c r="AC31" s="184">
        <f>IF(ISERROR(SUM(M31:Y31)/G31+H31),"",(SUM(M31:Y31)/G31+H31))</f>
        <v>17.683333333333334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 t="s">
        <v>81</v>
      </c>
      <c r="T32" s="41" t="s">
        <v>99</v>
      </c>
      <c r="U32" s="41" t="s">
        <v>99</v>
      </c>
      <c r="V32" s="41" t="s">
        <v>99</v>
      </c>
      <c r="W32" s="41"/>
      <c r="X32" s="41" t="s">
        <v>81</v>
      </c>
      <c r="Y32" s="41" t="s">
        <v>99</v>
      </c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108</v>
      </c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4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 t="s">
        <v>81</v>
      </c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 t="s">
        <v>108</v>
      </c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4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 t="s">
        <v>81</v>
      </c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43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43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1</v>
      </c>
      <c r="O50" s="44">
        <v>0</v>
      </c>
      <c r="P50" s="44">
        <v>0</v>
      </c>
      <c r="Q50" s="44">
        <v>3</v>
      </c>
      <c r="R50" s="44">
        <v>2</v>
      </c>
      <c r="S50" s="44">
        <v>3</v>
      </c>
      <c r="T50" s="44">
        <v>3</v>
      </c>
      <c r="U50" s="44">
        <v>4</v>
      </c>
      <c r="V50" s="44">
        <v>2</v>
      </c>
      <c r="W50" s="44">
        <v>2</v>
      </c>
      <c r="X50" s="44">
        <v>1</v>
      </c>
      <c r="Y50" s="44">
        <v>1</v>
      </c>
      <c r="Z50" s="59"/>
      <c r="AA50" s="1"/>
      <c r="AB50" s="1"/>
      <c r="AC50" s="1"/>
      <c r="AD50" s="1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11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9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8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4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5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3:Z33 M35:Z35 M37:Z37 M39:Z39 M41:Z41 M43:Z43 M45:Z45 M47:Z47 Q7:Z7 Q9:Z9 Q11:Z11 Q13:Z13 Q15:Z15 Q17:Z17 Q19:Z19 Q21:Z21 Q23:Z23 Q25:Z25 Q27:Z27 Q29:Z29 Q31:Z31 R18">
    <cfRule type="expression" dxfId="154" priority="1">
      <formula>LEFT(R19,1)="4"</formula>
    </cfRule>
  </conditionalFormatting>
  <conditionalFormatting sqref="G7:L7 G9:L9 G11:K11 G13:K13 G15:K15 G17:K17 G19:K19 G21:K21 G23:K23 G25:K25 G27:K27 G29:K29 G31:K31 G33:K33 G35:K35 G37:K37 G39:K39 G41:K41 G43:K43 G45:K45 G47:K47 L11:L48">
    <cfRule type="expression" dxfId="153" priority="2">
      <formula>G7=0</formula>
    </cfRule>
  </conditionalFormatting>
  <conditionalFormatting sqref="AA7 AA9 AA11 AA13 AA15 AA17 AA19 AA21 AA23 AA25 AA27 AA29 AA31 AA33 AA35 AA37 AA39 AA41 AA43 AA45 AA47">
    <cfRule type="expression" dxfId="152" priority="3">
      <formula>AA7=0</formula>
    </cfRule>
  </conditionalFormatting>
  <conditionalFormatting sqref="M32:Y32 M34:Y34 M36:Y36 M38:Y38 M40:Y40 M42:Y42 M44:Y44 M46:Y46 M48:Y48 Q8:Y8 Q10:Y10 Q12:Y12 Q14:Y14 Q16:Y16 Q18:Y18 Q20:Y20 Q22:Y22 Q24:Y24 Q26:Y26 Q28:Y28 Q30:Y30">
    <cfRule type="expression" dxfId="151" priority="4">
      <formula>LEFT(Q10,1)="4"</formula>
    </cfRule>
  </conditionalFormatting>
  <conditionalFormatting sqref="M7:P7 M9:P9 M23:P23 M25:P25 M27:P27 M29:P29 M31:P31 N11:P11 N13:P13 N15:P15 N17:P17 N19:P19 N21:P21">
    <cfRule type="expression" dxfId="150" priority="5">
      <formula>LEFT(M8,1)="4"</formula>
    </cfRule>
  </conditionalFormatting>
  <conditionalFormatting sqref="M11 M13 M15 M17 M19 M21">
    <cfRule type="expression" dxfId="149" priority="6">
      <formula>LEFT(M12,1)="4"</formula>
    </cfRule>
  </conditionalFormatting>
  <conditionalFormatting sqref="M8:P8 M10:P10 M12:P12 M14:P14 M16:P16 M18:P18 M20:P20 M22:P22 M24:P24 M26:P26 M28:P28 M30:P30">
    <cfRule type="expression" dxfId="148" priority="7">
      <formula>LEFT(M10,1)="4"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000"/>
  <sheetViews>
    <sheetView showGridLines="0" topLeftCell="A4" workbookViewId="0">
      <selection activeCell="Y24" sqref="Y24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2</v>
      </c>
      <c r="E2" s="196" t="s">
        <v>111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112</v>
      </c>
      <c r="F7" s="38"/>
      <c r="G7" s="181">
        <f>IF(COUNT(M7:Y7)=0,"",(COUNT(M7:Y7)))</f>
        <v>13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4</v>
      </c>
      <c r="I7" s="186">
        <f>IF(ISERROR(G7-H7),"",G7-H7)</f>
        <v>9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28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42</v>
      </c>
      <c r="L7" s="39"/>
      <c r="M7" s="41">
        <v>21.78</v>
      </c>
      <c r="N7" s="41">
        <v>21.76</v>
      </c>
      <c r="O7" s="41">
        <v>22.17</v>
      </c>
      <c r="P7" s="41">
        <v>20.91</v>
      </c>
      <c r="Q7" s="41">
        <v>19.71</v>
      </c>
      <c r="R7" s="41">
        <v>18.25</v>
      </c>
      <c r="S7" s="41">
        <v>19.559999999999999</v>
      </c>
      <c r="T7" s="41">
        <v>20.5</v>
      </c>
      <c r="U7" s="41">
        <v>21.67</v>
      </c>
      <c r="V7" s="41">
        <v>18.32</v>
      </c>
      <c r="W7" s="41">
        <v>19.77</v>
      </c>
      <c r="X7" s="60">
        <v>19.04</v>
      </c>
      <c r="Y7" s="41">
        <v>18.22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5</v>
      </c>
      <c r="AB7" s="183">
        <f>IF(ISERROR(SUM(M7:Y7)/G7),"",(SUM(M7:Y7)/G7))</f>
        <v>20.127692307692307</v>
      </c>
      <c r="AC7" s="184">
        <f>IF(ISERROR(SUM(M7:Y7)/G7+H7),"",(SUM(M7:Y7)/G7+H7))</f>
        <v>24.127692307692307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Allocation'!$B$30:$B$37,MATCH(Alderney!$D$2,'Number Allocation'!$D$30:$D$37,0))),0,(INDEX('Number Allocation'!$B$30:$B$37,MATCH(Alderney!$D$2,'Number Allocation'!$D$30:$D$37,0))))+IF(ISERROR(INDEX('Number Allocation'!$D$30:$D$37,MATCH(Alderney!$D$2,'Number Allocation'!$B$30:$B$37,0))),0,(INDEX('Number Allocation'!$D$30:$D$37,MATCH(Alderney!$D$2,'Number Allocation'!$B$30:$B$37,0))))</f>
        <v>13</v>
      </c>
      <c r="AK7" s="44">
        <v>1</v>
      </c>
      <c r="AL7" s="44" t="str">
        <f>VLOOKUP(AJ7,'Number Allocation'!$I$7:$J$22,2,0)</f>
        <v>Bournemouth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5</v>
      </c>
      <c r="AS7" s="44">
        <f t="shared" ref="AS7:AS19" si="0">IF(SUM(AO7:AQ7)=0,0,(12-AR7))</f>
        <v>7</v>
      </c>
      <c r="AT7" s="2"/>
      <c r="AU7" s="44">
        <f t="shared" ref="AU7:AU19" si="1">(AR7)</f>
        <v>5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86</v>
      </c>
      <c r="N8" s="41" t="s">
        <v>88</v>
      </c>
      <c r="O8" s="41" t="s">
        <v>91</v>
      </c>
      <c r="P8" s="41" t="s">
        <v>78</v>
      </c>
      <c r="Q8" s="41" t="s">
        <v>81</v>
      </c>
      <c r="R8" s="41" t="s">
        <v>90</v>
      </c>
      <c r="S8" s="41" t="s">
        <v>93</v>
      </c>
      <c r="T8" s="41" t="s">
        <v>91</v>
      </c>
      <c r="U8" s="41" t="s">
        <v>97</v>
      </c>
      <c r="V8" s="41" t="s">
        <v>90</v>
      </c>
      <c r="W8" s="41" t="s">
        <v>100</v>
      </c>
      <c r="X8" s="60" t="s">
        <v>99</v>
      </c>
      <c r="Y8" s="41" t="s">
        <v>84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Allocation'!$H$30:$H$37,MATCH(Alderney!$D$2,'Number Allocation'!$F$30:$F$37,0))),0,(INDEX('Number Allocation'!$H$30:$H$37,MATCH(Alderney!$D$2,'Number Allocation'!$F$30:$F$37,0))))+IF(ISERROR(INDEX('Number Allocation'!$F$30:$F$37,MATCH(Alderney!$D$2,'Number Allocation'!$H$30:$H$37,0))),0,(INDEX('Number Allocation'!$F$30:$F$37,MATCH(Alderney!$D$2,'Number Allocation'!$H$30:$H$37,0))))</f>
        <v>1</v>
      </c>
      <c r="AK8" s="44">
        <v>2</v>
      </c>
      <c r="AL8" s="44" t="str">
        <f>VLOOKUP(AJ8,'Number Allocation'!$I$7:$J$22,2,0)</f>
        <v>Parkstone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44">
        <f t="shared" si="0"/>
        <v>8</v>
      </c>
      <c r="AT8" s="2"/>
      <c r="AU8" s="44">
        <f t="shared" si="1"/>
        <v>4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113</v>
      </c>
      <c r="F9" s="38"/>
      <c r="G9" s="181">
        <f>IF(COUNT(M9:Y9)=0,"",(COUNT(M9:Y9)))</f>
        <v>2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186">
        <f>IF(ISERROR(G9-H9),"",G9-H9)</f>
        <v>2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0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8</v>
      </c>
      <c r="L9" s="39"/>
      <c r="M9" s="41">
        <v>15.28</v>
      </c>
      <c r="N9" s="41"/>
      <c r="O9" s="41"/>
      <c r="P9" s="41">
        <v>16.46</v>
      </c>
      <c r="Q9" s="41"/>
      <c r="R9" s="41"/>
      <c r="S9" s="41"/>
      <c r="T9" s="41"/>
      <c r="U9" s="41"/>
      <c r="V9" s="41"/>
      <c r="W9" s="41"/>
      <c r="X9" s="41"/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183">
        <f>IF(ISERROR(SUM(M9:Y9)/G9),"",(SUM(M9:Y9)/G9))</f>
        <v>15.870000000000001</v>
      </c>
      <c r="AC9" s="184">
        <f>IF(ISERROR(SUM(M9:Y9)/G9+H9),"",(SUM(M9:Y9)/G9+H9))</f>
        <v>15.870000000000001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Allocation'!$J$30:$J$37,MATCH(Alderney!$D$2,'Number Allocation'!$L$30:$L$37,0))),0,(INDEX('Number Allocation'!$J$30:$J$37,MATCH(Alderney!$D$2,'Number Allocation'!$L$30:$L$37,0))))+IF(ISERROR(INDEX('Number Allocation'!$L$30:$L$37,MATCH(Alderney!$D$2,'Number Allocation'!$J$30:$J$37,0))),0,(INDEX('Number Allocation'!$L$30:$L$37,MATCH(Alderney!$D$2,'Number Allocation'!$J$30:$J$37,0))))</f>
        <v>14</v>
      </c>
      <c r="AK9" s="44">
        <v>3</v>
      </c>
      <c r="AL9" s="44" t="str">
        <f>VLOOKUP(AJ9,'Number Allocation'!$I$7:$J$22,2,0)</f>
        <v>Christchurch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44">
        <f t="shared" si="0"/>
        <v>12</v>
      </c>
      <c r="AT9" s="2"/>
      <c r="AU9" s="44">
        <f t="shared" si="1"/>
        <v>0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81</v>
      </c>
      <c r="N10" s="41"/>
      <c r="O10" s="41"/>
      <c r="P10" s="41" t="s">
        <v>81</v>
      </c>
      <c r="Q10" s="41"/>
      <c r="R10" s="41"/>
      <c r="S10" s="41"/>
      <c r="T10" s="41"/>
      <c r="U10" s="41"/>
      <c r="V10" s="41"/>
      <c r="W10" s="41"/>
      <c r="X10" s="41"/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Allocation'!$N$30:$N$37,MATCH(Alderney!$D$2,'Number Allocation'!$P$30:$P$37,0))),0,(INDEX('Number Allocation'!$N$30:$N$37,MATCH(Alderney!$D$2,'Number Allocation'!$P$30:$P$37,0))))+IF(ISERROR(INDEX('Number Allocation'!$P$30:$P$37,MATCH(Alderney!$D$2,'Number Allocation'!$N$30:$N$37,0))),0,(INDEX('Number Allocation'!$P$30:$P$37,MATCH(Alderney!$D$2,'Number Allocation'!$N$30:$N$37,0))))</f>
        <v>3</v>
      </c>
      <c r="AK10" s="44">
        <v>4</v>
      </c>
      <c r="AL10" s="44" t="str">
        <f>VLOOKUP(AJ10,'Number Allocation'!$I$7:$J$22,2,0)</f>
        <v>Weymouth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AS10" s="44">
        <f t="shared" si="0"/>
        <v>7</v>
      </c>
      <c r="AT10" s="2"/>
      <c r="AU10" s="44">
        <f t="shared" si="1"/>
        <v>5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114</v>
      </c>
      <c r="F11" s="38"/>
      <c r="G11" s="181">
        <f>IF(COUNT(M11:Y11)=0,"",(COUNT(M11:Y11)))</f>
        <v>12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8</v>
      </c>
      <c r="I11" s="186">
        <f>IF(ISERROR(G11-H11),"",G11-H11)</f>
        <v>4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35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33</v>
      </c>
      <c r="L11" s="39"/>
      <c r="M11" s="41">
        <v>19.46</v>
      </c>
      <c r="N11" s="41">
        <v>20.55</v>
      </c>
      <c r="O11" s="41">
        <v>20.16</v>
      </c>
      <c r="P11" s="41"/>
      <c r="Q11" s="41">
        <v>18.13</v>
      </c>
      <c r="R11" s="41">
        <v>21.1</v>
      </c>
      <c r="S11" s="41">
        <v>17.760000000000002</v>
      </c>
      <c r="T11" s="41">
        <v>19.64</v>
      </c>
      <c r="U11" s="41">
        <v>17.22</v>
      </c>
      <c r="V11" s="41">
        <v>20.12</v>
      </c>
      <c r="W11" s="41">
        <v>22.56</v>
      </c>
      <c r="X11" s="60">
        <v>22.33</v>
      </c>
      <c r="Y11" s="41">
        <v>21.25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</v>
      </c>
      <c r="AB11" s="183">
        <f>IF(ISERROR(SUM(M11:Y11)/G11),"",(SUM(M11:Y11)/G11))</f>
        <v>20.023333333333337</v>
      </c>
      <c r="AC11" s="184">
        <f>IF(ISERROR(SUM(M11:Y11)/G11+H11),"",(SUM(M11:Y11)/G11+H11))</f>
        <v>28.023333333333337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Allocation'!$R$30:$R$37,MATCH(Alderney!$D$2,'Number Allocation'!$T$30:$T$37,0))),0,(INDEX('Number Allocation'!$R$30:$R$37,MATCH(Alderney!$D$2,'Number Allocation'!$T$30:$T$37,0))))+IF(ISERROR(INDEX('Number Allocation'!$T$30:$T$37,MATCH(Alderney!$D$2,'Number Allocation'!$R$30:$R$37,0))),0,(INDEX('Number Allocation'!$T$30:$T$37,MATCH(Alderney!$D$2,'Number Allocation'!$R$30:$R$37,0))))</f>
        <v>4</v>
      </c>
      <c r="AK11" s="44">
        <v>5</v>
      </c>
      <c r="AL11" s="44" t="str">
        <f>VLOOKUP(AJ11,'Number Allocation'!$I$7:$J$22,2,0)</f>
        <v>Dorchester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2</v>
      </c>
      <c r="AS11" s="44">
        <f t="shared" si="0"/>
        <v>10</v>
      </c>
      <c r="AT11" s="2"/>
      <c r="AU11" s="44">
        <f t="shared" si="1"/>
        <v>2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77</v>
      </c>
      <c r="N12" s="41" t="s">
        <v>84</v>
      </c>
      <c r="O12" s="41" t="s">
        <v>99</v>
      </c>
      <c r="P12" s="41"/>
      <c r="Q12" s="41" t="s">
        <v>81</v>
      </c>
      <c r="R12" s="41" t="s">
        <v>85</v>
      </c>
      <c r="S12" s="41" t="s">
        <v>93</v>
      </c>
      <c r="T12" s="41" t="s">
        <v>84</v>
      </c>
      <c r="U12" s="41" t="s">
        <v>84</v>
      </c>
      <c r="V12" s="41" t="s">
        <v>81</v>
      </c>
      <c r="W12" s="41" t="s">
        <v>90</v>
      </c>
      <c r="X12" s="60" t="s">
        <v>93</v>
      </c>
      <c r="Y12" s="41" t="s">
        <v>93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Allocation'!$B$44:$B$51,MATCH(Alderney!$D$2,'Number Allocation'!$D$44:$D$51,0))),0,(INDEX('Number Allocation'!$B$44:$B$51,MATCH(Alderney!$D$2,'Number Allocation'!$D$44:$D$51,0))))+IF(ISERROR(INDEX('Number Allocation'!$D$44:$D$51,MATCH(Alderney!$D$2,'Number Allocation'!$B$44:$B$51,0))),0,(INDEX('Number Allocation'!$D$44:$D$51,MATCH(Alderney!$D$2,'Number Allocation'!$B$44:$B$51,0))))</f>
        <v>5</v>
      </c>
      <c r="AK12" s="44">
        <v>6</v>
      </c>
      <c r="AL12" s="44" t="str">
        <f>VLOOKUP(AJ12,'Number Allocation'!$I$7:$J$22,2,0)</f>
        <v>Boscombe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3</v>
      </c>
      <c r="AS12" s="44">
        <f t="shared" si="0"/>
        <v>9</v>
      </c>
      <c r="AT12" s="2"/>
      <c r="AU12" s="44">
        <f t="shared" si="1"/>
        <v>3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115</v>
      </c>
      <c r="F13" s="38"/>
      <c r="G13" s="181">
        <f>IF(COUNT(M13:Y13)=0,"",(COUNT(M13:Y13)))</f>
        <v>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186">
        <f>IF(ISERROR(G13-H13),"",G13-H13)</f>
        <v>2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8</v>
      </c>
      <c r="L13" s="39"/>
      <c r="M13" s="41">
        <v>15.23</v>
      </c>
      <c r="N13" s="41"/>
      <c r="O13" s="41">
        <v>20.34</v>
      </c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>
        <f>IF(ISERROR(SUM(M13:Y13)/G13),"",(SUM(M13:Y13)/G13))</f>
        <v>17.785</v>
      </c>
      <c r="AC13" s="184">
        <f>IF(ISERROR(SUM(M13:Y13)/G13+H13),"",(SUM(M13:Y13)/G13+H13))</f>
        <v>17.785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Allocation'!$H$44:$H$51,MATCH(Alderney!$D$2,'Number Allocation'!$F$44:$F$51,0))),0,(INDEX('Number Allocation'!$H$44:$H$51,MATCH(Alderney!$D$2,'Number Allocation'!$F$44:$F$51,0))))+IF(ISERROR(INDEX('Number Allocation'!$F$44:$F$51,MATCH(Alderney!$D$2,'Number Allocation'!$H$44:$H$51,0))),0,(INDEX('Number Allocation'!$F$44:$F$51,MATCH(Alderney!$D$2,'Number Allocation'!$H$44:$H$51,0))))</f>
        <v>6</v>
      </c>
      <c r="AK13" s="44">
        <v>7</v>
      </c>
      <c r="AL13" s="44" t="str">
        <f>VLOOKUP(AJ13,'Number Allocation'!$I$7:$J$22,2,0)</f>
        <v>Bridport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81</v>
      </c>
      <c r="N14" s="41"/>
      <c r="O14" s="41" t="s">
        <v>90</v>
      </c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Allocation'!$J$44:$J$51,MATCH(Alderney!$D$2,'Number Allocation'!$L$44:$L$51,0))),0,(INDEX('Number Allocation'!$J$44:$J$51,MATCH(Alderney!$D$2,'Number Allocation'!$L$44:$L$51,0))))+IF(ISERROR(INDEX('Number Allocation'!$L$44:$L$51,MATCH(Alderney!$D$2,'Number Allocation'!$J$44:$J$51,0))),0,(INDEX('Number Allocation'!$L$44:$L$51,MATCH(Alderney!$D$2,'Number Allocation'!$J$44:$J$51,0))))</f>
        <v>7</v>
      </c>
      <c r="AK14" s="44">
        <v>8</v>
      </c>
      <c r="AL14" s="44" t="str">
        <f>VLOOKUP(AJ14,'Number Allocation'!$I$7:$J$22,2,0)</f>
        <v>Shaftesbury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AS14" s="44">
        <f t="shared" si="0"/>
        <v>8</v>
      </c>
      <c r="AT14" s="2"/>
      <c r="AU14" s="44">
        <f t="shared" si="1"/>
        <v>4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116</v>
      </c>
      <c r="F15" s="38"/>
      <c r="G15" s="181">
        <f>IF(COUNT(M15:Y15)=0,"",(COUNT(M15:Y15)))</f>
        <v>10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4</v>
      </c>
      <c r="I15" s="186">
        <f>IF(ISERROR(G15-H15),"",G15-H15)</f>
        <v>6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21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32</v>
      </c>
      <c r="L15" s="39"/>
      <c r="M15" s="41"/>
      <c r="N15" s="41">
        <v>17.34</v>
      </c>
      <c r="O15" s="41">
        <v>22.55</v>
      </c>
      <c r="P15" s="41">
        <v>19.309999999999999</v>
      </c>
      <c r="Q15" s="41">
        <v>18.079999999999998</v>
      </c>
      <c r="R15" s="41">
        <v>18.64</v>
      </c>
      <c r="S15" s="41">
        <v>19.04</v>
      </c>
      <c r="T15" s="41"/>
      <c r="U15" s="41">
        <v>25.05</v>
      </c>
      <c r="V15" s="41"/>
      <c r="W15" s="41">
        <v>16.559999999999999</v>
      </c>
      <c r="X15" s="60">
        <v>20.46</v>
      </c>
      <c r="Y15" s="41">
        <v>19.96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2</v>
      </c>
      <c r="AB15" s="183">
        <f>IF(ISERROR(SUM(M15:Y15)/G15),"",(SUM(M15:Y15)/G15))</f>
        <v>19.699000000000005</v>
      </c>
      <c r="AC15" s="184">
        <f>IF(ISERROR(SUM(M15:Y15)/G15+H15),"",(SUM(M15:Y15)/G15+H15))</f>
        <v>23.699000000000005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Allocation'!$N$44:$N$51,MATCH(Alderney!$D$2,'Number Allocation'!$P$44:$P$51,0))),0,(INDEX('Number Allocation'!$N$44:$N$51,MATCH(Alderney!$D$2,'Number Allocation'!$P$44:$P$51,0))))+IF(ISERROR(INDEX('Number Allocation'!$P$44:$P$51,MATCH(Alderney!$D$2,'Number Allocation'!$N$44:$N$51,0))),0,(INDEX('Number Allocation'!$P$44:$P$51,MATCH(Alderney!$D$2,'Number Allocation'!$N$44:$N$51,0))))</f>
        <v>8</v>
      </c>
      <c r="AK15" s="44">
        <v>9</v>
      </c>
      <c r="AL15" s="44" t="str">
        <f>VLOOKUP(AJ15,'Number Allocation'!$I$7:$J$22,2,0)</f>
        <v>Alderholt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AS15" s="44">
        <f t="shared" si="0"/>
        <v>10</v>
      </c>
      <c r="AT15" s="2"/>
      <c r="AU15" s="44">
        <f t="shared" si="1"/>
        <v>2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 t="s">
        <v>90</v>
      </c>
      <c r="O16" s="41" t="s">
        <v>81</v>
      </c>
      <c r="P16" s="41" t="s">
        <v>93</v>
      </c>
      <c r="Q16" s="41" t="s">
        <v>91</v>
      </c>
      <c r="R16" s="41" t="s">
        <v>81</v>
      </c>
      <c r="S16" s="41" t="s">
        <v>93</v>
      </c>
      <c r="T16" s="41"/>
      <c r="U16" s="41" t="s">
        <v>86</v>
      </c>
      <c r="V16" s="41"/>
      <c r="W16" s="41" t="s">
        <v>81</v>
      </c>
      <c r="X16" s="60" t="s">
        <v>84</v>
      </c>
      <c r="Y16" s="41" t="s">
        <v>99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Allocation'!$R$44:$R$51,MATCH(Alderney!$D$2,'Number Allocation'!$T$44:$T$51,0))),0,(INDEX('Number Allocation'!$R$44:$R$51,MATCH(Alderney!$D$2,'Number Allocation'!$T$44:$T$51,0))))+IF(ISERROR(INDEX('Number Allocation'!$T$44:$T$51,MATCH(Alderney!$D$2,'Number Allocation'!$R$44:$R$51,0))),0,(INDEX('Number Allocation'!$T$44:$T$51,MATCH(Alderney!$D$2,'Number Allocation'!$R$44:$R$51,0))))</f>
        <v>9</v>
      </c>
      <c r="AK16" s="44">
        <v>10</v>
      </c>
      <c r="AL16" s="44" t="str">
        <f>VLOOKUP(AJ16,'Number Allocation'!$I$7:$J$22,2,0)</f>
        <v>Poole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</v>
      </c>
      <c r="AS16" s="44">
        <f t="shared" si="0"/>
        <v>11</v>
      </c>
      <c r="AT16" s="2"/>
      <c r="AU16" s="44">
        <f t="shared" si="1"/>
        <v>1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117</v>
      </c>
      <c r="F17" s="38"/>
      <c r="G17" s="181">
        <f>IF(COUNT(M17:Y17)=0,"",(COUNT(M17:Y17)))</f>
        <v>12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2</v>
      </c>
      <c r="I17" s="186">
        <f>IF(ISERROR(G17-H17),"",G17-H17)</f>
        <v>10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22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43</v>
      </c>
      <c r="L17" s="39"/>
      <c r="M17" s="41">
        <v>18.72</v>
      </c>
      <c r="N17" s="41">
        <v>16.88</v>
      </c>
      <c r="O17" s="41">
        <v>18.600000000000001</v>
      </c>
      <c r="P17" s="41">
        <v>17.47</v>
      </c>
      <c r="Q17" s="41">
        <v>18.91</v>
      </c>
      <c r="R17" s="41"/>
      <c r="S17" s="41">
        <v>17.61</v>
      </c>
      <c r="T17" s="41">
        <v>21.65</v>
      </c>
      <c r="U17" s="41">
        <v>18.82</v>
      </c>
      <c r="V17" s="41">
        <v>21.55</v>
      </c>
      <c r="W17" s="41">
        <v>19.53</v>
      </c>
      <c r="X17" s="60">
        <v>18.64</v>
      </c>
      <c r="Y17" s="41">
        <v>24.14</v>
      </c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183">
        <f>IF(ISERROR(SUM(M17:Y17)/G17),"",(SUM(M17:Y17)/G17))</f>
        <v>19.376666666666665</v>
      </c>
      <c r="AC17" s="184">
        <f>IF(ISERROR(SUM(M17:Y17)/G17+H17),"",(SUM(M17:Y17)/G17+H17))</f>
        <v>21.376666666666665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Allocation'!$B$58:$B$65,MATCH(Alderney!$D$2,'Number Allocation'!$D$58:$D$65,0))),0,(INDEX('Number Allocation'!$B$58:$B$65,MATCH(Alderney!$D$2,'Number Allocation'!$D$58:$D$65,0))))+IF(ISERROR(INDEX('Number Allocation'!$D$58:$D$65,MATCH(Alderney!$D$2,'Number Allocation'!$B$58:$B$65,0))),0,(INDEX('Number Allocation'!$D$58:$D$65,MATCH(Alderney!$D$2,'Number Allocation'!$B$58:$B$65,0))))</f>
        <v>10</v>
      </c>
      <c r="AK17" s="44">
        <v>11</v>
      </c>
      <c r="AL17" s="44" t="str">
        <f>VLOOKUP(AJ17,'Number Allocation'!$I$7:$J$22,2,0)</f>
        <v>Lytchett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1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44">
        <f t="shared" si="0"/>
        <v>12</v>
      </c>
      <c r="AT17" s="2"/>
      <c r="AU17" s="44">
        <f t="shared" si="1"/>
        <v>0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99</v>
      </c>
      <c r="N18" s="41" t="s">
        <v>99</v>
      </c>
      <c r="O18" s="41" t="s">
        <v>81</v>
      </c>
      <c r="P18" s="41" t="s">
        <v>78</v>
      </c>
      <c r="Q18" s="41" t="s">
        <v>81</v>
      </c>
      <c r="R18" s="41"/>
      <c r="S18" s="41" t="s">
        <v>90</v>
      </c>
      <c r="T18" s="41" t="s">
        <v>85</v>
      </c>
      <c r="U18" s="41" t="s">
        <v>99</v>
      </c>
      <c r="V18" s="41" t="s">
        <v>81</v>
      </c>
      <c r="W18" s="41" t="s">
        <v>88</v>
      </c>
      <c r="X18" s="60" t="s">
        <v>88</v>
      </c>
      <c r="Y18" s="41" t="s">
        <v>90</v>
      </c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Allocation'!$H$58:$H$65,MATCH(Alderney!$D$2,'Number Allocation'!$F$58:$F$65,0))),0,(INDEX('Number Allocation'!$H$58:$H$65,MATCH(Alderney!$D$2,'Number Allocation'!$F$58:$F$65,0))))+IF(ISERROR(INDEX('Number Allocation'!$F$58:$F$65,MATCH(Alderney!$D$2,'Number Allocation'!$H$58:$H$65,0))),0,(INDEX('Number Allocation'!$F$58:$F$65,MATCH(Alderney!$D$2,'Number Allocation'!$H$58:$H$65,0))))</f>
        <v>11</v>
      </c>
      <c r="AK18" s="44">
        <v>12</v>
      </c>
      <c r="AL18" s="44" t="str">
        <f>VLOOKUP(AJ18,'Number Allocation'!$I$7:$J$22,2,0)</f>
        <v>Portland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AS18" s="44">
        <f t="shared" si="0"/>
        <v>7</v>
      </c>
      <c r="AT18" s="2"/>
      <c r="AU18" s="44">
        <f t="shared" si="1"/>
        <v>5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118</v>
      </c>
      <c r="F19" s="38"/>
      <c r="G19" s="181">
        <f>IF(COUNT(M19:Y19)=0,"",(COUNT(M19:Y19)))</f>
        <v>11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6</v>
      </c>
      <c r="I19" s="186">
        <f>IF(ISERROR(G19-H19),"",G19-H19)</f>
        <v>5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31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28</v>
      </c>
      <c r="L19" s="39"/>
      <c r="M19" s="40">
        <v>19.09</v>
      </c>
      <c r="N19" s="41">
        <v>21.87</v>
      </c>
      <c r="O19" s="41"/>
      <c r="P19" s="41">
        <v>23.78</v>
      </c>
      <c r="Q19" s="41">
        <v>26.52</v>
      </c>
      <c r="R19" s="41">
        <v>22.02</v>
      </c>
      <c r="S19" s="41">
        <v>22.85</v>
      </c>
      <c r="T19" s="41">
        <v>23.69</v>
      </c>
      <c r="U19" s="41">
        <v>20.94</v>
      </c>
      <c r="V19" s="41">
        <v>19.8</v>
      </c>
      <c r="W19" s="41">
        <v>21.59</v>
      </c>
      <c r="X19" s="60">
        <v>21.71</v>
      </c>
      <c r="Y19" s="41"/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5</v>
      </c>
      <c r="AB19" s="183">
        <f>IF(ISERROR(SUM(M19:Y19)/G19),"",(SUM(M19:Y19)/G19))</f>
        <v>22.169090909090912</v>
      </c>
      <c r="AC19" s="184">
        <f>IF(ISERROR(SUM(M19:Y19)/G19+H19),"",(SUM(M19:Y19)/G19+H19))</f>
        <v>28.169090909090912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Allocation'!$J$58:$J$65,MATCH(Alderney!$D$2,'Number Allocation'!$L$58:$L$65,0))),0,(INDEX('Number Allocation'!$J$58:$J$65,MATCH(Alderney!$D$2,'Number Allocation'!$L$58:$L$65,0))))+IF(ISERROR(INDEX('Number Allocation'!$L$58:$L$65,MATCH(Alderney!$D$2,'Number Allocation'!$J$58:$J$65,0))),0,(INDEX('Number Allocation'!$L$58:$L$65,MATCH(Alderney!$D$2,'Number Allocation'!$J$58:$J$65,0))))</f>
        <v>12</v>
      </c>
      <c r="AK19" s="44">
        <v>13</v>
      </c>
      <c r="AL19" s="44" t="str">
        <f>VLOOKUP(AJ19,'Number Allocation'!$I$7:$J$22,2,0)</f>
        <v>Swanage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AS19" s="44">
        <f t="shared" si="0"/>
        <v>8</v>
      </c>
      <c r="AT19" s="2"/>
      <c r="AU19" s="44">
        <f t="shared" si="1"/>
        <v>4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77</v>
      </c>
      <c r="N20" s="41" t="s">
        <v>119</v>
      </c>
      <c r="O20" s="41"/>
      <c r="P20" s="41" t="s">
        <v>78</v>
      </c>
      <c r="Q20" s="41" t="s">
        <v>78</v>
      </c>
      <c r="R20" s="41" t="s">
        <v>97</v>
      </c>
      <c r="S20" s="41" t="s">
        <v>84</v>
      </c>
      <c r="T20" s="41" t="s">
        <v>100</v>
      </c>
      <c r="U20" s="41" t="s">
        <v>91</v>
      </c>
      <c r="V20" s="41" t="s">
        <v>90</v>
      </c>
      <c r="W20" s="41" t="s">
        <v>88</v>
      </c>
      <c r="X20" s="60" t="s">
        <v>78</v>
      </c>
      <c r="Y20" s="41"/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120</v>
      </c>
      <c r="F21" s="38"/>
      <c r="G21" s="181">
        <f>IF(COUNT(M21:Y21)=0,"",(COUNT(M21:Y21)))</f>
        <v>12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186">
        <f>IF(ISERROR(G21-H21),"",G21-H21)</f>
        <v>10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19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45</v>
      </c>
      <c r="L21" s="39"/>
      <c r="M21" s="41">
        <v>16.190000000000001</v>
      </c>
      <c r="N21" s="41"/>
      <c r="O21" s="41">
        <v>17.559999999999999</v>
      </c>
      <c r="P21" s="41">
        <v>17.2</v>
      </c>
      <c r="Q21" s="41">
        <v>22.05</v>
      </c>
      <c r="R21" s="41">
        <v>19.149999999999999</v>
      </c>
      <c r="S21" s="41">
        <v>18.91</v>
      </c>
      <c r="T21" s="41">
        <v>19.920000000000002</v>
      </c>
      <c r="U21" s="41">
        <v>21.13</v>
      </c>
      <c r="V21" s="41">
        <v>21.01</v>
      </c>
      <c r="W21" s="41">
        <v>23.77</v>
      </c>
      <c r="X21" s="60">
        <v>22.06</v>
      </c>
      <c r="Y21" s="41">
        <v>24.47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20.285</v>
      </c>
      <c r="AC21" s="184">
        <f>IF(ISERROR(SUM(M21:Y21)/G21+H21),"",(SUM(M21:Y21)/G21+H21))</f>
        <v>22.285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0</v>
      </c>
      <c r="AP21" s="44">
        <f t="shared" si="2"/>
        <v>1</v>
      </c>
      <c r="AQ21" s="44">
        <f t="shared" si="2"/>
        <v>12</v>
      </c>
      <c r="AR21" s="44">
        <f t="shared" si="2"/>
        <v>41</v>
      </c>
      <c r="AS21" s="44">
        <f t="shared" si="2"/>
        <v>115</v>
      </c>
      <c r="AT21" s="2"/>
      <c r="AU21" s="44">
        <f>SUM(AU7:AU19)</f>
        <v>41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81</v>
      </c>
      <c r="N22" s="41"/>
      <c r="O22" s="41" t="s">
        <v>81</v>
      </c>
      <c r="P22" s="41" t="s">
        <v>81</v>
      </c>
      <c r="Q22" s="41" t="s">
        <v>97</v>
      </c>
      <c r="R22" s="41" t="s">
        <v>88</v>
      </c>
      <c r="S22" s="41" t="s">
        <v>88</v>
      </c>
      <c r="T22" s="41" t="s">
        <v>90</v>
      </c>
      <c r="U22" s="41" t="s">
        <v>99</v>
      </c>
      <c r="V22" s="41" t="s">
        <v>93</v>
      </c>
      <c r="W22" s="41" t="s">
        <v>81</v>
      </c>
      <c r="X22" s="60" t="s">
        <v>90</v>
      </c>
      <c r="Y22" s="41" t="s">
        <v>84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121</v>
      </c>
      <c r="F23" s="38"/>
      <c r="G23" s="181">
        <f>IF(COUNT(M23:Y23)=0,"",(COUNT(M23:Y23)))</f>
        <v>4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186">
        <f>IF(ISERROR(G23-H23),"",G23-H23)</f>
        <v>4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1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16</v>
      </c>
      <c r="L23" s="39"/>
      <c r="M23" s="41"/>
      <c r="N23" s="41">
        <v>18.25</v>
      </c>
      <c r="O23" s="41">
        <v>22.24</v>
      </c>
      <c r="P23" s="41">
        <v>16.25</v>
      </c>
      <c r="Q23" s="41">
        <v>19.010000000000002</v>
      </c>
      <c r="R23" s="41"/>
      <c r="S23" s="41"/>
      <c r="T23" s="41"/>
      <c r="U23" s="41"/>
      <c r="V23" s="41"/>
      <c r="W23" s="41"/>
      <c r="X23" s="41"/>
      <c r="Y23" s="41"/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183">
        <f>IF(ISERROR(SUM(M23:Y23)/G23),"",(SUM(M23:Y23)/G23))</f>
        <v>18.9375</v>
      </c>
      <c r="AC23" s="184">
        <f>IF(ISERROR(SUM(M23:Y23)/G23+H23),"",(SUM(M23:Y23)/G23+H23))</f>
        <v>18.9375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/>
      <c r="N24" s="41" t="s">
        <v>81</v>
      </c>
      <c r="O24" s="41" t="s">
        <v>81</v>
      </c>
      <c r="P24" s="41" t="s">
        <v>90</v>
      </c>
      <c r="Q24" s="41" t="s">
        <v>81</v>
      </c>
      <c r="R24" s="41"/>
      <c r="S24" s="41"/>
      <c r="T24" s="41"/>
      <c r="U24" s="41"/>
      <c r="V24" s="41"/>
      <c r="W24" s="41"/>
      <c r="X24" s="41"/>
      <c r="Y24" s="41"/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122</v>
      </c>
      <c r="F25" s="38"/>
      <c r="G25" s="181">
        <f>IF(COUNT(M25:Y25)=0,"",(COUNT(M25:Y25)))</f>
        <v>10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>
        <f>IF(ISERROR(G25-H25),"",G25-H25)</f>
        <v>10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10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40</v>
      </c>
      <c r="L25" s="39"/>
      <c r="M25" s="41">
        <v>16.579999999999998</v>
      </c>
      <c r="N25" s="41">
        <v>14.65</v>
      </c>
      <c r="O25" s="41">
        <v>15.02</v>
      </c>
      <c r="P25" s="41">
        <v>17.95</v>
      </c>
      <c r="Q25" s="41">
        <v>19.68</v>
      </c>
      <c r="R25" s="41">
        <v>15.6</v>
      </c>
      <c r="S25" s="41">
        <v>15.65</v>
      </c>
      <c r="T25" s="41"/>
      <c r="U25" s="41"/>
      <c r="V25" s="41">
        <v>19.2</v>
      </c>
      <c r="W25" s="41"/>
      <c r="X25" s="60">
        <v>18.95</v>
      </c>
      <c r="Y25" s="41">
        <v>18.600000000000001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1</v>
      </c>
      <c r="AB25" s="183">
        <f>IF(ISERROR(SUM(M25:Y25)/G25),"",(SUM(M25:Y25)/G25))</f>
        <v>17.187999999999995</v>
      </c>
      <c r="AC25" s="184">
        <f>IF(ISERROR(SUM(M25:Y25)/G25+H25),"",(SUM(M25:Y25)/G25+H25))</f>
        <v>17.187999999999995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90</v>
      </c>
      <c r="N26" s="41" t="s">
        <v>81</v>
      </c>
      <c r="O26" s="41" t="s">
        <v>90</v>
      </c>
      <c r="P26" s="41" t="s">
        <v>99</v>
      </c>
      <c r="Q26" s="41" t="s">
        <v>97</v>
      </c>
      <c r="R26" s="41" t="s">
        <v>81</v>
      </c>
      <c r="S26" s="41" t="s">
        <v>81</v>
      </c>
      <c r="T26" s="41"/>
      <c r="U26" s="41"/>
      <c r="V26" s="41" t="s">
        <v>90</v>
      </c>
      <c r="W26" s="41"/>
      <c r="X26" s="60" t="s">
        <v>90</v>
      </c>
      <c r="Y26" s="41" t="s">
        <v>88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123</v>
      </c>
      <c r="F27" s="38"/>
      <c r="G27" s="181">
        <f>IF(COUNT(M27:Y27)=0,"",(COUNT(M27:Y27)))</f>
        <v>8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186">
        <f>IF(ISERROR(G27-H27),"",G27-H27)</f>
        <v>8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6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32</v>
      </c>
      <c r="L27" s="39"/>
      <c r="M27" s="41"/>
      <c r="N27" s="41"/>
      <c r="O27" s="41"/>
      <c r="P27" s="41"/>
      <c r="Q27" s="41"/>
      <c r="R27" s="41">
        <v>13.84</v>
      </c>
      <c r="S27" s="41">
        <v>16.2</v>
      </c>
      <c r="T27" s="41">
        <v>18.489999999999998</v>
      </c>
      <c r="U27" s="41">
        <v>21.04</v>
      </c>
      <c r="V27" s="41">
        <v>15.41</v>
      </c>
      <c r="W27" s="41">
        <v>19.43</v>
      </c>
      <c r="X27" s="60">
        <v>19.11</v>
      </c>
      <c r="Y27" s="41">
        <v>17.68</v>
      </c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17.649999999999999</v>
      </c>
      <c r="AC27" s="184">
        <f>IF(ISERROR(SUM(M27:Y27)/G27+H27),"",(SUM(M27:Y27)/G27+H27))</f>
        <v>17.649999999999999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/>
      <c r="P28" s="41"/>
      <c r="Q28" s="41"/>
      <c r="R28" s="41" t="s">
        <v>99</v>
      </c>
      <c r="S28" s="41" t="s">
        <v>90</v>
      </c>
      <c r="T28" s="41" t="s">
        <v>81</v>
      </c>
      <c r="U28" s="41" t="s">
        <v>81</v>
      </c>
      <c r="V28" s="41" t="s">
        <v>81</v>
      </c>
      <c r="W28" s="41" t="s">
        <v>81</v>
      </c>
      <c r="X28" s="60" t="s">
        <v>81</v>
      </c>
      <c r="Y28" s="41" t="s">
        <v>88</v>
      </c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124</v>
      </c>
      <c r="F29" s="38"/>
      <c r="G29" s="181">
        <f>IF(COUNT(M29:Y29)=0,"",(COUNT(M29:Y29)))</f>
        <v>6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186">
        <f>IF(ISERROR(G29-H29),"",G29-H29)</f>
        <v>6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4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24</v>
      </c>
      <c r="L29" s="39"/>
      <c r="M29" s="41"/>
      <c r="N29" s="41"/>
      <c r="O29" s="41"/>
      <c r="P29" s="41"/>
      <c r="Q29" s="41"/>
      <c r="R29" s="41">
        <v>19.670000000000002</v>
      </c>
      <c r="S29" s="41"/>
      <c r="T29" s="41">
        <v>15.34</v>
      </c>
      <c r="U29" s="41">
        <v>18.03</v>
      </c>
      <c r="V29" s="41">
        <v>15.99</v>
      </c>
      <c r="W29" s="41">
        <v>18.16</v>
      </c>
      <c r="X29" s="41"/>
      <c r="Y29" s="41">
        <v>15.63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183">
        <f>IF(ISERROR(SUM(M29:Y29)/G29),"",(SUM(M29:Y29)/G29))</f>
        <v>17.136666666666667</v>
      </c>
      <c r="AC29" s="184">
        <f>IF(ISERROR(SUM(M29:Y29)/G29+H29),"",(SUM(M29:Y29)/G29+H29))</f>
        <v>17.136666666666667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/>
      <c r="R30" s="41" t="s">
        <v>99</v>
      </c>
      <c r="S30" s="41"/>
      <c r="T30" s="41" t="s">
        <v>81</v>
      </c>
      <c r="U30" s="41" t="s">
        <v>81</v>
      </c>
      <c r="V30" s="41" t="s">
        <v>81</v>
      </c>
      <c r="W30" s="41" t="s">
        <v>81</v>
      </c>
      <c r="X30" s="41"/>
      <c r="Y30" s="41" t="s">
        <v>99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125</v>
      </c>
      <c r="F31" s="38"/>
      <c r="G31" s="181">
        <f>IF(COUNT(M31:Y31)=0,"",(COUNT(M31:Y31)))</f>
        <v>1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186">
        <f>IF(ISERROR(G31-H31),"",G31-H31)</f>
        <v>0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2</v>
      </c>
      <c r="L31" s="39"/>
      <c r="M31" s="41"/>
      <c r="N31" s="41"/>
      <c r="O31" s="41"/>
      <c r="P31" s="41"/>
      <c r="Q31" s="41"/>
      <c r="R31" s="41"/>
      <c r="S31" s="41"/>
      <c r="T31" s="41">
        <v>21.29</v>
      </c>
      <c r="U31" s="41"/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21.29</v>
      </c>
      <c r="AC31" s="184">
        <f>IF(ISERROR(SUM(M31:Y31)/G31+H31),"",(SUM(M31:Y31)/G31+H31))</f>
        <v>22.29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 t="s">
        <v>84</v>
      </c>
      <c r="U32" s="41"/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2</v>
      </c>
      <c r="O50" s="44">
        <v>0</v>
      </c>
      <c r="P50" s="44">
        <v>1</v>
      </c>
      <c r="Q50" s="44">
        <v>1</v>
      </c>
      <c r="R50" s="44">
        <v>2</v>
      </c>
      <c r="S50" s="44">
        <v>2</v>
      </c>
      <c r="T50" s="44">
        <v>1</v>
      </c>
      <c r="U50" s="44">
        <v>0</v>
      </c>
      <c r="V50" s="44">
        <v>0</v>
      </c>
      <c r="W50" s="44">
        <v>0</v>
      </c>
      <c r="X50" s="61">
        <v>2</v>
      </c>
      <c r="Y50" s="44">
        <v>1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5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5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2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3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5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3:Z33 M35:Z35 M37:Z37 M39:Z39 M41:Z41 M43:Z43 M45:Z45 M47:Z47 Q7:Z7 Q9:Z9 Q11:Z11 Q13:Z13 Q15:Z15 Q17:Z17 Q19:Z19 Q21:Z21 Q23:Z23 Q25:Z25 Q27:Z27 Q29:Z29 Q31:Z31 R18">
    <cfRule type="expression" dxfId="147" priority="1">
      <formula>LEFT(R19,1)="4"</formula>
    </cfRule>
  </conditionalFormatting>
  <conditionalFormatting sqref="G7:L7 G9:L9 G11:K11 G13:K13 G15:K15 G17:K17 G19:K19 G21:K21 G23:K23 G25:K25 G27:K27 G29:K29 G31:K31 G33:K33 G35:K35 G37:K37 G39:K39 G41:K41 G43:K43 G45:K45 G47:K47 L11:L48">
    <cfRule type="expression" dxfId="146" priority="2">
      <formula>G7=0</formula>
    </cfRule>
  </conditionalFormatting>
  <conditionalFormatting sqref="AA7 AA9 AA11 AA13 AA15 AA17 AA19 AA21 AA23 AA25 AA27 AA29 AA31 AA33 AA35 AA37 AA39 AA41 AA43 AA45 AA47">
    <cfRule type="expression" dxfId="145" priority="3">
      <formula>AA7=0</formula>
    </cfRule>
  </conditionalFormatting>
  <conditionalFormatting sqref="M34:Y34 M36:Y36 M38:Y38 M40:Y40 M42:Y42 M44:Y44 M46:Y46 M48:Y48 Q8:Y8 Q10:Y10 Q12:Y12 Q14:Y14 Q16:Y16 Q18:Y18 Q20:Y20 Q22:Y22 Q24:Y24 Q26:Y26 Q28:Y28 Q30:Y30 Q32:Y32">
    <cfRule type="expression" dxfId="144" priority="4">
      <formula>LEFT(Q8,1)="4"</formula>
    </cfRule>
  </conditionalFormatting>
  <conditionalFormatting sqref="M7:P7 M9:P9 M23:P23 M25:P25 M27:P27 M29:P29 M31:P31 N11:P11 N13:P13 N15:P15 N17:P17 N19:P19 N21:P21">
    <cfRule type="expression" dxfId="143" priority="5">
      <formula>LEFT(M8,1)="4"</formula>
    </cfRule>
  </conditionalFormatting>
  <conditionalFormatting sqref="M11 M13 M15 M17 M19 M21">
    <cfRule type="expression" dxfId="142" priority="6">
      <formula>LEFT(M12,1)="4"</formula>
    </cfRule>
  </conditionalFormatting>
  <conditionalFormatting sqref="M8:P8 M10:P10 M12:P12 M14:P14 M16:P16 M18:P18 M20:P20 M22:P22 M24:P24 M26:P26 M28:P28 M30:P30 M32:P32">
    <cfRule type="expression" dxfId="141" priority="7">
      <formula>LEFT(M8,1)="4"</formula>
    </cfRule>
  </conditionalFormatting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000"/>
  <sheetViews>
    <sheetView showGridLines="0" topLeftCell="A12" workbookViewId="0">
      <selection activeCell="Y6" sqref="Y6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.7109375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 t="s">
        <v>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5</v>
      </c>
      <c r="E2" s="196" t="s">
        <v>126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127</v>
      </c>
      <c r="F7" s="38"/>
      <c r="G7" s="181">
        <f>IF(COUNT(M7:Y7)=0,"",(COUNT(M7:Y7)))</f>
        <v>8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4</v>
      </c>
      <c r="I7" s="186">
        <f>IF(ISERROR(G7-H7),"",G7-H7)</f>
        <v>4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26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20</v>
      </c>
      <c r="L7" s="39"/>
      <c r="M7" s="41">
        <v>23.05</v>
      </c>
      <c r="N7" s="41">
        <v>23.7</v>
      </c>
      <c r="O7" s="41"/>
      <c r="P7" s="41"/>
      <c r="Q7" s="41"/>
      <c r="R7" s="41">
        <v>21.49</v>
      </c>
      <c r="S7" s="41">
        <v>23.3</v>
      </c>
      <c r="T7" s="41">
        <v>27.07</v>
      </c>
      <c r="U7" s="41">
        <v>24.43</v>
      </c>
      <c r="V7" s="41">
        <v>20.09</v>
      </c>
      <c r="W7" s="41"/>
      <c r="X7" s="41">
        <v>25.05</v>
      </c>
      <c r="Y7" s="41"/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3</v>
      </c>
      <c r="AB7" s="183">
        <f>IF(ISERROR(SUM(M7:Y7)/G7),"",(SUM(M7:Y7)/G7))</f>
        <v>23.522500000000001</v>
      </c>
      <c r="AC7" s="184">
        <f>IF(ISERROR(SUM(M7:Y7)/G7+H7),"",(SUM(M7:Y7)/G7+H7))</f>
        <v>27.522500000000001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Allocation'!$B$30:$B$37,MATCH(Boscombe!$D$2,'Number Allocation'!$D$30:$D$37,0))),0,(INDEX('Number Allocation'!$B$30:$B$37,MATCH(Boscombe!$D$2,'Number Allocation'!$D$30:$D$37,0))))+IF(ISERROR(INDEX('Number Allocation'!$D$30:$D$37,MATCH(Boscombe!$D$2,'Number Allocation'!$B$30:$B$37,0))),0,(INDEX('Number Allocation'!$D$30:$D$37,MATCH(Boscombe!$D$2,'Number Allocation'!$B$30:$B$37,0))))</f>
        <v>10</v>
      </c>
      <c r="AK7" s="44">
        <v>1</v>
      </c>
      <c r="AL7" s="44" t="str">
        <f>VLOOKUP(AJ7,'Number Allocation'!$I$7:$J$22,2,0)</f>
        <v>Lytchett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AS7" s="44">
        <f t="shared" ref="AS7:AS19" si="0">IF(SUM(AO7:AQ7)=0,0,(12-AR7))</f>
        <v>12</v>
      </c>
      <c r="AT7" s="2"/>
      <c r="AU7" s="44">
        <f t="shared" ref="AU7:AU19" si="1">(AR7)</f>
        <v>0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88</v>
      </c>
      <c r="N8" s="41" t="s">
        <v>93</v>
      </c>
      <c r="O8" s="41"/>
      <c r="P8" s="41"/>
      <c r="Q8" s="41"/>
      <c r="R8" s="41" t="s">
        <v>128</v>
      </c>
      <c r="S8" s="41" t="s">
        <v>77</v>
      </c>
      <c r="T8" s="41" t="s">
        <v>88</v>
      </c>
      <c r="U8" s="41" t="s">
        <v>79</v>
      </c>
      <c r="V8" s="41" t="s">
        <v>99</v>
      </c>
      <c r="W8" s="41"/>
      <c r="X8" s="41" t="s">
        <v>77</v>
      </c>
      <c r="Y8" s="41"/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Allocation'!$H$30:$H$37,MATCH(Boscombe!$D$2,'Number Allocation'!$F$30:$F$37,0))),0,(INDEX('Number Allocation'!$H$30:$H$37,MATCH(Boscombe!$D$2,'Number Allocation'!$F$30:$F$37,0))))+IF(ISERROR(INDEX('Number Allocation'!$F$30:$F$37,MATCH(Boscombe!$D$2,'Number Allocation'!$H$30:$H$37,0))),0,(INDEX('Number Allocation'!$F$30:$F$37,MATCH(Boscombe!$D$2,'Number Allocation'!$H$30:$H$37,0))))</f>
        <v>11</v>
      </c>
      <c r="AK8" s="44">
        <v>2</v>
      </c>
      <c r="AL8" s="44" t="str">
        <f>VLOOKUP(AJ8,'Number Allocation'!$I$7:$J$22,2,0)</f>
        <v>Portland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AS8" s="44">
        <f t="shared" si="0"/>
        <v>5</v>
      </c>
      <c r="AT8" s="2"/>
      <c r="AU8" s="44">
        <f t="shared" si="1"/>
        <v>7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129</v>
      </c>
      <c r="F9" s="38"/>
      <c r="G9" s="181">
        <f>IF(COUNT(M9:Y9)=0,"",(COUNT(M9:Y9)))</f>
        <v>12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4</v>
      </c>
      <c r="I9" s="186">
        <f>IF(ISERROR(G9-H9),"",G9-H9)</f>
        <v>8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22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37</v>
      </c>
      <c r="L9" s="39"/>
      <c r="M9" s="41"/>
      <c r="N9" s="41">
        <v>17.579999999999998</v>
      </c>
      <c r="O9" s="41">
        <v>19.2</v>
      </c>
      <c r="P9" s="41">
        <v>16.84</v>
      </c>
      <c r="Q9" s="41">
        <v>24.28</v>
      </c>
      <c r="R9" s="41">
        <v>20.77</v>
      </c>
      <c r="S9" s="41">
        <v>19.41</v>
      </c>
      <c r="T9" s="41">
        <v>20.23</v>
      </c>
      <c r="U9" s="41">
        <v>20.67</v>
      </c>
      <c r="V9" s="41">
        <v>18.22</v>
      </c>
      <c r="W9" s="41">
        <v>19.04</v>
      </c>
      <c r="X9" s="41">
        <v>19.48</v>
      </c>
      <c r="Y9" s="41">
        <v>20.99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183">
        <f>IF(ISERROR(SUM(M9:Y9)/G9),"",(SUM(M9:Y9)/G9))</f>
        <v>19.725833333333334</v>
      </c>
      <c r="AC9" s="184">
        <f>IF(ISERROR(SUM(M9:Y9)/G9+H9),"",(SUM(M9:Y9)/G9+H9))</f>
        <v>23.725833333333334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Allocation'!$J$30:$J$37,MATCH(Boscombe!$D$2,'Number Allocation'!$L$30:$L$37,0))),0,(INDEX('Number Allocation'!$J$30:$J$37,MATCH(Boscombe!$D$2,'Number Allocation'!$L$30:$L$37,0))))+IF(ISERROR(INDEX('Number Allocation'!$L$30:$L$37,MATCH(Boscombe!$D$2,'Number Allocation'!$J$30:$J$37,0))),0,(INDEX('Number Allocation'!$L$30:$L$37,MATCH(Boscombe!$D$2,'Number Allocation'!$J$30:$J$37,0))))</f>
        <v>12</v>
      </c>
      <c r="AK9" s="44">
        <v>3</v>
      </c>
      <c r="AL9" s="44" t="str">
        <f>VLOOKUP(AJ9,'Number Allocation'!$I$7:$J$22,2,0)</f>
        <v>Swanage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AS9" s="44">
        <f t="shared" si="0"/>
        <v>9</v>
      </c>
      <c r="AT9" s="2"/>
      <c r="AU9" s="44">
        <f t="shared" si="1"/>
        <v>3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/>
      <c r="N10" s="41" t="s">
        <v>77</v>
      </c>
      <c r="O10" s="41" t="s">
        <v>81</v>
      </c>
      <c r="P10" s="41" t="s">
        <v>99</v>
      </c>
      <c r="Q10" s="41" t="s">
        <v>79</v>
      </c>
      <c r="R10" s="41" t="s">
        <v>84</v>
      </c>
      <c r="S10" s="41" t="s">
        <v>84</v>
      </c>
      <c r="T10" s="41" t="s">
        <v>81</v>
      </c>
      <c r="U10" s="41" t="s">
        <v>81</v>
      </c>
      <c r="V10" s="41" t="s">
        <v>81</v>
      </c>
      <c r="W10" s="41" t="s">
        <v>99</v>
      </c>
      <c r="X10" s="41" t="s">
        <v>81</v>
      </c>
      <c r="Y10" s="41" t="s">
        <v>99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Allocation'!$N$30:$N$37,MATCH(Boscombe!$D$2,'Number Allocation'!$P$30:$P$37,0))),0,(INDEX('Number Allocation'!$N$30:$N$37,MATCH(Boscombe!$D$2,'Number Allocation'!$P$30:$P$37,0))))+IF(ISERROR(INDEX('Number Allocation'!$P$30:$P$37,MATCH(Boscombe!$D$2,'Number Allocation'!$N$30:$N$37,0))),0,(INDEX('Number Allocation'!$P$30:$P$37,MATCH(Boscombe!$D$2,'Number Allocation'!$N$30:$N$37,0))))</f>
        <v>13</v>
      </c>
      <c r="AK10" s="44">
        <v>4</v>
      </c>
      <c r="AL10" s="44" t="str">
        <f>VLOOKUP(AJ10,'Number Allocation'!$I$7:$J$22,2,0)</f>
        <v>Bournemouth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1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4</v>
      </c>
      <c r="AS10" s="44">
        <f t="shared" si="0"/>
        <v>8</v>
      </c>
      <c r="AT10" s="2"/>
      <c r="AU10" s="44">
        <f t="shared" si="1"/>
        <v>4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130</v>
      </c>
      <c r="F11" s="38"/>
      <c r="G11" s="181" t="str">
        <f>IF(COUNT(M11:Y11)=0,"",(COUNT(M11:Y11)))</f>
        <v/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186" t="str">
        <f>IF(ISERROR(G11-H11),"",G11-H11)</f>
        <v/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39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183" t="str">
        <f>IF(ISERROR(SUM(M11:Y11)/G11),"",(SUM(M11:Y11)/G11))</f>
        <v/>
      </c>
      <c r="AC11" s="184" t="str">
        <f>IF(ISERROR(SUM(M11:Y11)/G11+H11),"",(SUM(M11:Y11)/G11+H11))</f>
        <v/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Allocation'!$R$30:$R$37,MATCH(Boscombe!$D$2,'Number Allocation'!$T$30:$T$37,0))),0,(INDEX('Number Allocation'!$R$30:$R$37,MATCH(Boscombe!$D$2,'Number Allocation'!$T$30:$T$37,0))))+IF(ISERROR(INDEX('Number Allocation'!$T$30:$T$37,MATCH(Boscombe!$D$2,'Number Allocation'!$R$30:$R$37,0))),0,(INDEX('Number Allocation'!$T$30:$T$37,MATCH(Boscombe!$D$2,'Number Allocation'!$R$30:$R$37,0))))</f>
        <v>1</v>
      </c>
      <c r="AK11" s="44">
        <v>5</v>
      </c>
      <c r="AL11" s="44" t="str">
        <f>VLOOKUP(AJ11,'Number Allocation'!$I$7:$J$22,2,0)</f>
        <v>Parkstone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4</v>
      </c>
      <c r="AS11" s="44">
        <f t="shared" si="0"/>
        <v>8</v>
      </c>
      <c r="AT11" s="2"/>
      <c r="AU11" s="44">
        <f t="shared" si="1"/>
        <v>4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Allocation'!$B$44:$B$51,MATCH(Boscombe!$D$2,'Number Allocation'!$D$44:$D$51,0))),0,(INDEX('Number Allocation'!$B$44:$B$51,MATCH(Boscombe!$D$2,'Number Allocation'!$D$44:$D$51,0))))+IF(ISERROR(INDEX('Number Allocation'!$D$44:$D$51,MATCH(Boscombe!$D$2,'Number Allocation'!$B$44:$B$51,0))),0,(INDEX('Number Allocation'!$D$44:$D$51,MATCH(Boscombe!$D$2,'Number Allocation'!$B$44:$B$51,0))))</f>
        <v>2</v>
      </c>
      <c r="AK12" s="44">
        <v>6</v>
      </c>
      <c r="AL12" s="44" t="str">
        <f>VLOOKUP(AJ12,'Number Allocation'!$I$7:$J$22,2,0)</f>
        <v>Alderney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9</v>
      </c>
      <c r="AS12" s="44">
        <f t="shared" si="0"/>
        <v>3</v>
      </c>
      <c r="AT12" s="2"/>
      <c r="AU12" s="44">
        <f t="shared" si="1"/>
        <v>9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131</v>
      </c>
      <c r="F13" s="38"/>
      <c r="G13" s="181">
        <f>IF(COUNT(M13:Y13)=0,"",(COUNT(M13:Y13)))</f>
        <v>1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186">
        <f>IF(ISERROR(G13-H13),"",G13-H13)</f>
        <v>1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3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4</v>
      </c>
      <c r="L13" s="39"/>
      <c r="M13" s="41"/>
      <c r="N13" s="41"/>
      <c r="O13" s="41"/>
      <c r="P13" s="41"/>
      <c r="Q13" s="41"/>
      <c r="R13" s="41"/>
      <c r="S13" s="41"/>
      <c r="T13" s="41"/>
      <c r="U13" s="41">
        <v>18.54</v>
      </c>
      <c r="V13" s="41"/>
      <c r="W13" s="41"/>
      <c r="X13" s="41"/>
      <c r="Y13" s="41"/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>
        <f>IF(ISERROR(SUM(M13:Y13)/G13),"",(SUM(M13:Y13)/G13))</f>
        <v>18.54</v>
      </c>
      <c r="AC13" s="184">
        <f>IF(ISERROR(SUM(M13:Y13)/G13+H13),"",(SUM(M13:Y13)/G13+H13))</f>
        <v>18.54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Allocation'!$H$44:$H$51,MATCH(Boscombe!$D$2,'Number Allocation'!$F$44:$F$51,0))),0,(INDEX('Number Allocation'!$H$44:$H$51,MATCH(Boscombe!$D$2,'Number Allocation'!$F$44:$F$51,0))))+IF(ISERROR(INDEX('Number Allocation'!$F$44:$F$51,MATCH(Boscombe!$D$2,'Number Allocation'!$H$44:$H$51,0))),0,(INDEX('Number Allocation'!$F$44:$F$51,MATCH(Boscombe!$D$2,'Number Allocation'!$H$44:$H$51,0))))</f>
        <v>3</v>
      </c>
      <c r="AK13" s="44">
        <v>7</v>
      </c>
      <c r="AL13" s="44" t="str">
        <f>VLOOKUP(AJ13,'Number Allocation'!$I$7:$J$22,2,0)</f>
        <v>Weymouth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1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AS13" s="44">
        <f t="shared" si="0"/>
        <v>4</v>
      </c>
      <c r="AT13" s="2"/>
      <c r="AU13" s="44">
        <f t="shared" si="1"/>
        <v>8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/>
      <c r="N14" s="41"/>
      <c r="O14" s="41"/>
      <c r="P14" s="41"/>
      <c r="Q14" s="41"/>
      <c r="R14" s="41"/>
      <c r="S14" s="41"/>
      <c r="T14" s="41"/>
      <c r="U14" s="41" t="s">
        <v>88</v>
      </c>
      <c r="V14" s="41"/>
      <c r="W14" s="41"/>
      <c r="X14" s="41"/>
      <c r="Y14" s="41"/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Allocation'!$J$44:$J$51,MATCH(Boscombe!$D$2,'Number Allocation'!$L$44:$L$51,0))),0,(INDEX('Number Allocation'!$J$44:$J$51,MATCH(Boscombe!$D$2,'Number Allocation'!$L$44:$L$51,0))))+IF(ISERROR(INDEX('Number Allocation'!$L$44:$L$51,MATCH(Boscombe!$D$2,'Number Allocation'!$J$44:$J$51,0))),0,(INDEX('Number Allocation'!$L$44:$L$51,MATCH(Boscombe!$D$2,'Number Allocation'!$J$44:$J$51,0))))</f>
        <v>4</v>
      </c>
      <c r="AK14" s="44">
        <v>8</v>
      </c>
      <c r="AL14" s="44" t="str">
        <f>VLOOKUP(AJ14,'Number Allocation'!$I$7:$J$22,2,0)</f>
        <v>Dorchester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3</v>
      </c>
      <c r="AS14" s="44">
        <f t="shared" si="0"/>
        <v>9</v>
      </c>
      <c r="AT14" s="2"/>
      <c r="AU14" s="44">
        <f t="shared" si="1"/>
        <v>3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132</v>
      </c>
      <c r="F15" s="38"/>
      <c r="G15" s="181" t="str">
        <f>IF(COUNT(M15:Y15)=0,"",(COUNT(M15:Y15)))</f>
        <v/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186" t="str">
        <f>IF(ISERROR(G15-H15),"",G15-H15)</f>
        <v/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0</v>
      </c>
      <c r="L15" s="39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183" t="str">
        <f>IF(ISERROR(SUM(M15:Y15)/G15),"",(SUM(M15:Y15)/G15))</f>
        <v/>
      </c>
      <c r="AC15" s="184" t="str">
        <f>IF(ISERROR(SUM(M15:Y15)/G15+H15),"",(SUM(M15:Y15)/G15+H15))</f>
        <v/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Allocation'!$N$44:$N$51,MATCH(Boscombe!$D$2,'Number Allocation'!$P$44:$P$51,0))),0,(INDEX('Number Allocation'!$N$44:$N$51,MATCH(Boscombe!$D$2,'Number Allocation'!$P$44:$P$51,0))))+IF(ISERROR(INDEX('Number Allocation'!$P$44:$P$51,MATCH(Boscombe!$D$2,'Number Allocation'!$N$44:$N$51,0))),0,(INDEX('Number Allocation'!$P$44:$P$51,MATCH(Boscombe!$D$2,'Number Allocation'!$N$44:$N$51,0))))</f>
        <v>14</v>
      </c>
      <c r="AK15" s="44">
        <v>9</v>
      </c>
      <c r="AL15" s="44" t="str">
        <f>VLOOKUP(AJ15,'Number Allocation'!$I$7:$J$22,2,0)</f>
        <v>Christchurch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3</v>
      </c>
      <c r="AS15" s="44">
        <f t="shared" si="0"/>
        <v>9</v>
      </c>
      <c r="AT15" s="2"/>
      <c r="AU15" s="44">
        <f t="shared" si="1"/>
        <v>3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Allocation'!$R$44:$R$51,MATCH(Boscombe!$D$2,'Number Allocation'!$T$44:$T$51,0))),0,(INDEX('Number Allocation'!$R$44:$R$51,MATCH(Boscombe!$D$2,'Number Allocation'!$T$44:$T$51,0))))+IF(ISERROR(INDEX('Number Allocation'!$T$44:$T$51,MATCH(Boscombe!$D$2,'Number Allocation'!$R$44:$R$51,0))),0,(INDEX('Number Allocation'!$T$44:$T$51,MATCH(Boscombe!$D$2,'Number Allocation'!$R$44:$R$51,0))))</f>
        <v>6</v>
      </c>
      <c r="AK16" s="44">
        <v>10</v>
      </c>
      <c r="AL16" s="44" t="str">
        <f>VLOOKUP(AJ16,'Number Allocation'!$I$7:$J$22,2,0)</f>
        <v>Bridport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7</v>
      </c>
      <c r="AS16" s="44">
        <f t="shared" si="0"/>
        <v>5</v>
      </c>
      <c r="AT16" s="2"/>
      <c r="AU16" s="44">
        <f t="shared" si="1"/>
        <v>7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133</v>
      </c>
      <c r="F17" s="38"/>
      <c r="G17" s="181">
        <f>IF(COUNT(M17:Y17)=0,"",(COUNT(M17:Y17)))</f>
        <v>1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186">
        <f>IF(ISERROR(G17-H17),"",G17-H17)</f>
        <v>1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1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4</v>
      </c>
      <c r="L17" s="39"/>
      <c r="M17" s="41"/>
      <c r="N17" s="41"/>
      <c r="O17" s="41"/>
      <c r="P17" s="41"/>
      <c r="Q17" s="41">
        <v>17.829999999999998</v>
      </c>
      <c r="R17" s="41"/>
      <c r="S17" s="41"/>
      <c r="T17" s="41"/>
      <c r="U17" s="41"/>
      <c r="V17" s="41"/>
      <c r="W17" s="41"/>
      <c r="X17" s="41"/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>
        <f>IF(ISERROR(SUM(M17:Y17)/G17),"",(SUM(M17:Y17)/G17))</f>
        <v>17.829999999999998</v>
      </c>
      <c r="AC17" s="184">
        <f>IF(ISERROR(SUM(M17:Y17)/G17+H17),"",(SUM(M17:Y17)/G17+H17))</f>
        <v>17.829999999999998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Allocation'!$B$58:$B$65,MATCH(Boscombe!$D$2,'Number Allocation'!$D$58:$D$65,0))),0,(INDEX('Number Allocation'!$B$58:$B$65,MATCH(Boscombe!$D$2,'Number Allocation'!$D$58:$D$65,0))))+IF(ISERROR(INDEX('Number Allocation'!$D$58:$D$65,MATCH(Boscombe!$D$2,'Number Allocation'!$B$58:$B$65,0))),0,(INDEX('Number Allocation'!$D$58:$D$65,MATCH(Boscombe!$D$2,'Number Allocation'!$B$58:$B$65,0))))</f>
        <v>7</v>
      </c>
      <c r="AK17" s="44">
        <v>11</v>
      </c>
      <c r="AL17" s="44" t="str">
        <f>VLOOKUP(AJ17,'Number Allocation'!$I$7:$J$22,2,0)</f>
        <v>Shaftesbury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1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5</v>
      </c>
      <c r="AS17" s="44">
        <f t="shared" si="0"/>
        <v>7</v>
      </c>
      <c r="AT17" s="2"/>
      <c r="AU17" s="44">
        <f t="shared" si="1"/>
        <v>5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/>
      <c r="O18" s="41"/>
      <c r="P18" s="41"/>
      <c r="Q18" s="41" t="s">
        <v>90</v>
      </c>
      <c r="R18" s="41"/>
      <c r="S18" s="41"/>
      <c r="T18" s="41"/>
      <c r="U18" s="41"/>
      <c r="V18" s="41"/>
      <c r="W18" s="41"/>
      <c r="X18" s="41"/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Allocation'!$H$58:$H$65,MATCH(Boscombe!$D$2,'Number Allocation'!$F$58:$F$65,0))),0,(INDEX('Number Allocation'!$H$58:$H$65,MATCH(Boscombe!$D$2,'Number Allocation'!$F$58:$F$65,0))))+IF(ISERROR(INDEX('Number Allocation'!$F$58:$F$65,MATCH(Boscombe!$D$2,'Number Allocation'!$H$58:$H$65,0))),0,(INDEX('Number Allocation'!$F$58:$F$65,MATCH(Boscombe!$D$2,'Number Allocation'!$H$58:$H$65,0))))</f>
        <v>8</v>
      </c>
      <c r="AK18" s="44">
        <v>12</v>
      </c>
      <c r="AL18" s="44" t="str">
        <f>VLOOKUP(AJ18,'Number Allocation'!$I$7:$J$22,2,0)</f>
        <v>Alderholt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8</v>
      </c>
      <c r="AS18" s="44">
        <f t="shared" si="0"/>
        <v>4</v>
      </c>
      <c r="AT18" s="2"/>
      <c r="AU18" s="44">
        <f t="shared" si="1"/>
        <v>8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134</v>
      </c>
      <c r="F19" s="38"/>
      <c r="G19" s="181">
        <f>IF(COUNT(M19:Y19)=0,"",(COUNT(M19:Y19)))</f>
        <v>6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186">
        <f>IF(ISERROR(G19-H19),"",G19-H19)</f>
        <v>5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12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22</v>
      </c>
      <c r="L19" s="39"/>
      <c r="M19" s="41">
        <v>22.82</v>
      </c>
      <c r="N19" s="41">
        <v>18.2</v>
      </c>
      <c r="O19" s="41"/>
      <c r="P19" s="41">
        <v>19.32</v>
      </c>
      <c r="Q19" s="41"/>
      <c r="R19" s="41"/>
      <c r="S19" s="41"/>
      <c r="T19" s="41"/>
      <c r="U19" s="41"/>
      <c r="V19" s="41"/>
      <c r="W19" s="41">
        <v>18.649999999999999</v>
      </c>
      <c r="X19" s="41">
        <v>17.96</v>
      </c>
      <c r="Y19" s="41">
        <v>17.61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183">
        <f>IF(ISERROR(SUM(M19:Y19)/G19),"",(SUM(M19:Y19)/G19))</f>
        <v>19.09333333333333</v>
      </c>
      <c r="AC19" s="184">
        <f>IF(ISERROR(SUM(M19:Y19)/G19+H19),"",(SUM(M19:Y19)/G19+H19))</f>
        <v>20.09333333333333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Allocation'!$J$58:$J$65,MATCH(Boscombe!$D$2,'Number Allocation'!$L$58:$L$65,0))),0,(INDEX('Number Allocation'!$J$58:$J$65,MATCH(Boscombe!$D$2,'Number Allocation'!$L$58:$L$65,0))))+IF(ISERROR(INDEX('Number Allocation'!$L$58:$L$65,MATCH(Boscombe!$D$2,'Number Allocation'!$J$58:$J$65,0))),0,(INDEX('Number Allocation'!$L$58:$L$65,MATCH(Boscombe!$D$2,'Number Allocation'!$J$58:$J$65,0))))</f>
        <v>9</v>
      </c>
      <c r="AK19" s="44">
        <v>13</v>
      </c>
      <c r="AL19" s="44" t="str">
        <f>VLOOKUP(AJ19,'Number Allocation'!$I$7:$J$22,2,0)</f>
        <v>Poole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AS19" s="44">
        <f t="shared" si="0"/>
        <v>8</v>
      </c>
      <c r="AT19" s="2"/>
      <c r="AU19" s="44">
        <f t="shared" si="1"/>
        <v>4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128</v>
      </c>
      <c r="N20" s="41" t="s">
        <v>90</v>
      </c>
      <c r="O20" s="41"/>
      <c r="P20" s="41" t="s">
        <v>90</v>
      </c>
      <c r="Q20" s="41"/>
      <c r="R20" s="41"/>
      <c r="S20" s="41"/>
      <c r="T20" s="41"/>
      <c r="U20" s="41"/>
      <c r="V20" s="41"/>
      <c r="W20" s="41" t="s">
        <v>99</v>
      </c>
      <c r="X20" s="41" t="s">
        <v>84</v>
      </c>
      <c r="Y20" s="41" t="s">
        <v>99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135</v>
      </c>
      <c r="F21" s="38"/>
      <c r="G21" s="181">
        <f>IF(COUNT(M21:Y21)=0,"",(COUNT(M21:Y21)))</f>
        <v>5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1</v>
      </c>
      <c r="I21" s="186">
        <f>IF(ISERROR(G21-H21),"",G21-H21)</f>
        <v>4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7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17</v>
      </c>
      <c r="L21" s="39"/>
      <c r="M21" s="41">
        <v>21.23</v>
      </c>
      <c r="N21" s="41">
        <v>20.2</v>
      </c>
      <c r="O21" s="41">
        <v>16.989999999999998</v>
      </c>
      <c r="P21" s="41">
        <v>20.13</v>
      </c>
      <c r="Q21" s="41"/>
      <c r="R21" s="41"/>
      <c r="S21" s="41"/>
      <c r="T21" s="41"/>
      <c r="U21" s="41"/>
      <c r="V21" s="41"/>
      <c r="W21" s="41"/>
      <c r="X21" s="41"/>
      <c r="Y21" s="41">
        <v>21.99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20.107999999999997</v>
      </c>
      <c r="AC21" s="184">
        <f>IF(ISERROR(SUM(M21:Y21)/G21+H21),"",(SUM(M21:Y21)/G21+H21))</f>
        <v>21.107999999999997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5</v>
      </c>
      <c r="AP21" s="44">
        <f t="shared" si="2"/>
        <v>0</v>
      </c>
      <c r="AQ21" s="44">
        <f t="shared" si="2"/>
        <v>8</v>
      </c>
      <c r="AR21" s="44">
        <f t="shared" si="2"/>
        <v>65</v>
      </c>
      <c r="AS21" s="44">
        <f t="shared" si="2"/>
        <v>91</v>
      </c>
      <c r="AT21" s="2"/>
      <c r="AU21" s="44">
        <f>SUM(AU7:AU19)</f>
        <v>65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81</v>
      </c>
      <c r="N22" s="41" t="s">
        <v>78</v>
      </c>
      <c r="O22" s="41" t="s">
        <v>81</v>
      </c>
      <c r="P22" s="41" t="s">
        <v>97</v>
      </c>
      <c r="Q22" s="41"/>
      <c r="R22" s="41"/>
      <c r="S22" s="41"/>
      <c r="T22" s="41"/>
      <c r="U22" s="41"/>
      <c r="V22" s="41"/>
      <c r="W22" s="41"/>
      <c r="X22" s="41"/>
      <c r="Y22" s="41" t="s">
        <v>99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136</v>
      </c>
      <c r="F23" s="38"/>
      <c r="G23" s="181">
        <f>IF(COUNT(M23:Y23)=0,"",(COUNT(M23:Y23)))</f>
        <v>13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6</v>
      </c>
      <c r="I23" s="186">
        <f>IF(ISERROR(G23-H23),"",G23-H23)</f>
        <v>7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33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41</v>
      </c>
      <c r="L23" s="39"/>
      <c r="M23" s="41">
        <v>20.43</v>
      </c>
      <c r="N23" s="41">
        <v>21.68</v>
      </c>
      <c r="O23" s="41">
        <v>22.05</v>
      </c>
      <c r="P23" s="41">
        <v>22.21</v>
      </c>
      <c r="Q23" s="41">
        <v>19.12</v>
      </c>
      <c r="R23" s="41">
        <v>19.600000000000001</v>
      </c>
      <c r="S23" s="41">
        <v>19.61</v>
      </c>
      <c r="T23" s="41">
        <v>22.31</v>
      </c>
      <c r="U23" s="41">
        <v>18.46</v>
      </c>
      <c r="V23" s="41">
        <v>20.79</v>
      </c>
      <c r="W23" s="41">
        <v>18.86</v>
      </c>
      <c r="X23" s="41">
        <v>16.05</v>
      </c>
      <c r="Y23" s="41">
        <v>21.55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20.209230769230771</v>
      </c>
      <c r="AC23" s="184">
        <f>IF(ISERROR(SUM(M23:Y23)/G23+H23),"",(SUM(M23:Y23)/G23+H23))</f>
        <v>26.209230769230771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99</v>
      </c>
      <c r="N24" s="41" t="s">
        <v>81</v>
      </c>
      <c r="O24" s="41" t="s">
        <v>93</v>
      </c>
      <c r="P24" s="41" t="s">
        <v>84</v>
      </c>
      <c r="Q24" s="41" t="s">
        <v>88</v>
      </c>
      <c r="R24" s="41" t="s">
        <v>93</v>
      </c>
      <c r="S24" s="41" t="s">
        <v>93</v>
      </c>
      <c r="T24" s="41" t="s">
        <v>88</v>
      </c>
      <c r="U24" s="41" t="s">
        <v>81</v>
      </c>
      <c r="V24" s="41" t="s">
        <v>84</v>
      </c>
      <c r="W24" s="41" t="s">
        <v>81</v>
      </c>
      <c r="X24" s="41" t="s">
        <v>90</v>
      </c>
      <c r="Y24" s="41" t="s">
        <v>86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137</v>
      </c>
      <c r="F25" s="38"/>
      <c r="G25" s="181" t="str">
        <f>IF(COUNT(M25:Y25)=0,"",(COUNT(M25:Y25)))</f>
        <v/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 t="str">
        <f>IF(ISERROR(G25-H25),"",G25-H25)</f>
        <v/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39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 t="str">
        <f>IF(ISERROR(SUM(M25:Y25)/G25),"",(SUM(M25:Y25)/G25))</f>
        <v/>
      </c>
      <c r="AC25" s="184" t="str">
        <f>IF(ISERROR(SUM(M25:Y25)/G25+H25),"",(SUM(M25:Y25)/G25+H25))</f>
        <v/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138</v>
      </c>
      <c r="F27" s="38"/>
      <c r="G27" s="181">
        <f>IF(COUNT(M27:Y27)=0,"",(COUNT(M27:Y27)))</f>
        <v>4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1</v>
      </c>
      <c r="I27" s="186">
        <f>IF(ISERROR(G27-H27),"",G27-H27)</f>
        <v>3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9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15</v>
      </c>
      <c r="L27" s="39"/>
      <c r="M27" s="41">
        <v>21.04</v>
      </c>
      <c r="N27" s="41">
        <v>20.57</v>
      </c>
      <c r="O27" s="41">
        <v>21.22</v>
      </c>
      <c r="P27" s="41">
        <v>17.34</v>
      </c>
      <c r="Q27" s="41"/>
      <c r="R27" s="41"/>
      <c r="S27" s="41"/>
      <c r="T27" s="41"/>
      <c r="U27" s="41"/>
      <c r="V27" s="41"/>
      <c r="W27" s="41"/>
      <c r="X27" s="41"/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20.0425</v>
      </c>
      <c r="AC27" s="184">
        <f>IF(ISERROR(SUM(M27:Y27)/G27+H27),"",(SUM(M27:Y27)/G27+H27))</f>
        <v>21.0425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 t="s">
        <v>88</v>
      </c>
      <c r="N28" s="41" t="s">
        <v>93</v>
      </c>
      <c r="O28" s="41" t="s">
        <v>90</v>
      </c>
      <c r="P28" s="41" t="s">
        <v>90</v>
      </c>
      <c r="Q28" s="41"/>
      <c r="R28" s="41"/>
      <c r="S28" s="41"/>
      <c r="T28" s="41"/>
      <c r="U28" s="41"/>
      <c r="V28" s="41"/>
      <c r="W28" s="41"/>
      <c r="X28" s="41"/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139</v>
      </c>
      <c r="F29" s="38"/>
      <c r="G29" s="181">
        <f>IF(COUNT(M29:Y29)=0,"",(COUNT(M29:Y29)))</f>
        <v>12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4</v>
      </c>
      <c r="I29" s="186">
        <f>IF(ISERROR(G29-H29),"",G29-H29)</f>
        <v>8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25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38</v>
      </c>
      <c r="L29" s="39"/>
      <c r="M29" s="41">
        <v>20.67</v>
      </c>
      <c r="N29" s="41">
        <v>21.21</v>
      </c>
      <c r="O29" s="41">
        <v>21.39</v>
      </c>
      <c r="P29" s="41">
        <v>21.59</v>
      </c>
      <c r="Q29" s="41">
        <v>22.18</v>
      </c>
      <c r="R29" s="41">
        <v>18.559999999999999</v>
      </c>
      <c r="S29" s="41">
        <v>21.11</v>
      </c>
      <c r="T29" s="41">
        <v>22.1</v>
      </c>
      <c r="U29" s="41">
        <v>20.04</v>
      </c>
      <c r="V29" s="41">
        <v>16.13</v>
      </c>
      <c r="W29" s="41">
        <v>21.54</v>
      </c>
      <c r="X29" s="41"/>
      <c r="Y29" s="41">
        <v>24.01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2</v>
      </c>
      <c r="AB29" s="183">
        <f>IF(ISERROR(SUM(M29:Y29)/G29),"",(SUM(M29:Y29)/G29))</f>
        <v>20.877499999999994</v>
      </c>
      <c r="AC29" s="184">
        <f>IF(ISERROR(SUM(M29:Y29)/G29+H29),"",(SUM(M29:Y29)/G29+H29))</f>
        <v>24.877499999999994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 t="s">
        <v>81</v>
      </c>
      <c r="N30" s="41" t="s">
        <v>78</v>
      </c>
      <c r="O30" s="41" t="s">
        <v>88</v>
      </c>
      <c r="P30" s="41" t="s">
        <v>99</v>
      </c>
      <c r="Q30" s="41" t="s">
        <v>90</v>
      </c>
      <c r="R30" s="41" t="s">
        <v>77</v>
      </c>
      <c r="S30" s="41" t="s">
        <v>84</v>
      </c>
      <c r="T30" s="41" t="s">
        <v>97</v>
      </c>
      <c r="U30" s="41" t="s">
        <v>81</v>
      </c>
      <c r="V30" s="41" t="s">
        <v>94</v>
      </c>
      <c r="W30" s="41" t="s">
        <v>81</v>
      </c>
      <c r="X30" s="41"/>
      <c r="Y30" s="41" t="s">
        <v>99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140</v>
      </c>
      <c r="F31" s="38"/>
      <c r="G31" s="181">
        <f>IF(COUNT(M31:Y31)=0,"",(COUNT(M31:Y31)))</f>
        <v>3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186">
        <f>IF(ISERROR(G31-H31),"",G31-H31)</f>
        <v>2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8</v>
      </c>
      <c r="L31" s="39"/>
      <c r="M31" s="41">
        <v>20</v>
      </c>
      <c r="N31" s="41">
        <v>18.39</v>
      </c>
      <c r="O31" s="41">
        <v>15.17</v>
      </c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17.853333333333335</v>
      </c>
      <c r="AC31" s="184">
        <f>IF(ISERROR(SUM(M31:Y31)/G31+H31),"",(SUM(M31:Y31)/G31+H31))</f>
        <v>18.853333333333335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 t="s">
        <v>81</v>
      </c>
      <c r="N32" s="41" t="s">
        <v>77</v>
      </c>
      <c r="O32" s="41" t="s">
        <v>81</v>
      </c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141</v>
      </c>
      <c r="F33" s="38"/>
      <c r="G33" s="181">
        <f>IF(COUNT(M33:Y33)=0,"",(COUNT(M33:Y33)))</f>
        <v>3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>
        <f>IF(ISERROR(G33-H33),"",G33-H33)</f>
        <v>3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5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12</v>
      </c>
      <c r="L33" s="39"/>
      <c r="M33" s="41">
        <v>20.86</v>
      </c>
      <c r="N33" s="41"/>
      <c r="O33" s="41">
        <v>25.59</v>
      </c>
      <c r="P33" s="41"/>
      <c r="Q33" s="41">
        <v>23.01</v>
      </c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1</v>
      </c>
      <c r="AB33" s="183">
        <f>IF(ISERROR(SUM(M33:Y33)/G33),"",(SUM(M33:Y33)/G33))</f>
        <v>23.153333333333336</v>
      </c>
      <c r="AC33" s="184">
        <f>IF(ISERROR(SUM(M33:Y33)/G33+H33),"",(SUM(M33:Y33)/G33+H33))</f>
        <v>23.153333333333336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 t="s">
        <v>81</v>
      </c>
      <c r="N34" s="41"/>
      <c r="O34" s="41" t="s">
        <v>99</v>
      </c>
      <c r="P34" s="41"/>
      <c r="Q34" s="41" t="s">
        <v>83</v>
      </c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 t="s">
        <v>142</v>
      </c>
      <c r="F35" s="38"/>
      <c r="G35" s="181">
        <f>IF(COUNT(M35:Y35)=0,"",(COUNT(M35:Y35)))</f>
        <v>6</v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4</v>
      </c>
      <c r="I35" s="186">
        <f>IF(ISERROR(G35-H35),"",G35-H35)</f>
        <v>2</v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20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14</v>
      </c>
      <c r="L35" s="39"/>
      <c r="M35" s="41"/>
      <c r="N35" s="41"/>
      <c r="O35" s="41"/>
      <c r="P35" s="41"/>
      <c r="Q35" s="41"/>
      <c r="R35" s="41">
        <v>22.31</v>
      </c>
      <c r="S35" s="41">
        <v>20.76</v>
      </c>
      <c r="T35" s="41">
        <v>20.54</v>
      </c>
      <c r="U35" s="41"/>
      <c r="V35" s="41">
        <v>20.309999999999999</v>
      </c>
      <c r="W35" s="41">
        <v>22.52</v>
      </c>
      <c r="X35" s="41">
        <v>21.83</v>
      </c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3</v>
      </c>
      <c r="AB35" s="183">
        <f>IF(ISERROR(SUM(M35:Y35)/G35),"",(SUM(M35:Y35)/G35))</f>
        <v>21.37833333333333</v>
      </c>
      <c r="AC35" s="184">
        <f>IF(ISERROR(SUM(M35:Y35)/G35+H35),"",(SUM(M35:Y35)/G35+H35))</f>
        <v>25.37833333333333</v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 t="s">
        <v>79</v>
      </c>
      <c r="S36" s="41" t="s">
        <v>93</v>
      </c>
      <c r="T36" s="41" t="s">
        <v>99</v>
      </c>
      <c r="U36" s="41"/>
      <c r="V36" s="41" t="s">
        <v>84</v>
      </c>
      <c r="W36" s="41" t="s">
        <v>77</v>
      </c>
      <c r="X36" s="41" t="s">
        <v>128</v>
      </c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 t="s">
        <v>143</v>
      </c>
      <c r="F37" s="38"/>
      <c r="G37" s="181">
        <f>IF(COUNT(M37:Y37)=0,"",(COUNT(M37:Y37)))</f>
        <v>9</v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7</v>
      </c>
      <c r="I37" s="186">
        <f>IF(ISERROR(G37-H37),"",G37-H37)</f>
        <v>2</v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34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17</v>
      </c>
      <c r="L37" s="39"/>
      <c r="M37" s="41"/>
      <c r="N37" s="41"/>
      <c r="O37" s="41">
        <v>21.46</v>
      </c>
      <c r="P37" s="41">
        <v>22.77</v>
      </c>
      <c r="Q37" s="41">
        <v>21.74</v>
      </c>
      <c r="R37" s="41">
        <v>19.05</v>
      </c>
      <c r="S37" s="41">
        <v>19.97</v>
      </c>
      <c r="T37" s="41">
        <v>24.84</v>
      </c>
      <c r="U37" s="41">
        <v>17.079999999999998</v>
      </c>
      <c r="V37" s="41">
        <v>19.86</v>
      </c>
      <c r="W37" s="41"/>
      <c r="X37" s="41"/>
      <c r="Y37" s="52">
        <v>22.52</v>
      </c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1</v>
      </c>
      <c r="AB37" s="183">
        <f>IF(ISERROR(SUM(M37:Y37)/G37),"",(SUM(M37:Y37)/G37))</f>
        <v>21.03222222222222</v>
      </c>
      <c r="AC37" s="184">
        <f>IF(ISERROR(SUM(M37:Y37)/G37+H37),"",(SUM(M37:Y37)/G37+H37))</f>
        <v>28.03222222222222</v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 t="s">
        <v>78</v>
      </c>
      <c r="P38" s="41" t="s">
        <v>77</v>
      </c>
      <c r="Q38" s="41" t="s">
        <v>93</v>
      </c>
      <c r="R38" s="41" t="s">
        <v>79</v>
      </c>
      <c r="S38" s="41" t="s">
        <v>88</v>
      </c>
      <c r="T38" s="41" t="s">
        <v>84</v>
      </c>
      <c r="U38" s="41" t="s">
        <v>84</v>
      </c>
      <c r="V38" s="41" t="s">
        <v>88</v>
      </c>
      <c r="W38" s="41"/>
      <c r="X38" s="41"/>
      <c r="Y38" s="41" t="s">
        <v>77</v>
      </c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 t="s">
        <v>144</v>
      </c>
      <c r="F39" s="38"/>
      <c r="G39" s="181">
        <f>IF(COUNT(M39:Y39)=0,"",(COUNT(M39:Y39)))</f>
        <v>10</v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7</v>
      </c>
      <c r="I39" s="186">
        <f>IF(ISERROR(G39-H39),"",G39-H39)</f>
        <v>3</v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31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20</v>
      </c>
      <c r="L39" s="53"/>
      <c r="M39" s="54"/>
      <c r="N39" s="54"/>
      <c r="O39" s="54"/>
      <c r="P39" s="54">
        <v>21.5</v>
      </c>
      <c r="Q39" s="54">
        <v>23.11</v>
      </c>
      <c r="R39" s="54">
        <v>23.3</v>
      </c>
      <c r="S39" s="54">
        <v>27.27</v>
      </c>
      <c r="T39" s="54">
        <v>22.61</v>
      </c>
      <c r="U39" s="54">
        <v>22.17</v>
      </c>
      <c r="V39" s="54">
        <v>26.72</v>
      </c>
      <c r="W39" s="54">
        <v>26.24</v>
      </c>
      <c r="X39" s="54">
        <v>22.11</v>
      </c>
      <c r="Y39" s="55">
        <v>21.55</v>
      </c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4</v>
      </c>
      <c r="AB39" s="183">
        <f>IF(ISERROR(SUM(M39:Y39)/G39),"",(SUM(M39:Y39)/G39))</f>
        <v>23.657999999999998</v>
      </c>
      <c r="AC39" s="184">
        <f>IF(ISERROR(SUM(M39:Y39)/G39+H39),"",(SUM(M39:Y39)/G39+H39))</f>
        <v>30.657999999999998</v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 t="s">
        <v>88</v>
      </c>
      <c r="Q40" s="41" t="s">
        <v>78</v>
      </c>
      <c r="R40" s="41" t="s">
        <v>86</v>
      </c>
      <c r="S40" s="41" t="s">
        <v>85</v>
      </c>
      <c r="T40" s="41" t="s">
        <v>81</v>
      </c>
      <c r="U40" s="41" t="s">
        <v>81</v>
      </c>
      <c r="V40" s="41" t="s">
        <v>86</v>
      </c>
      <c r="W40" s="41" t="s">
        <v>93</v>
      </c>
      <c r="X40" s="41" t="s">
        <v>85</v>
      </c>
      <c r="Y40" s="41" t="s">
        <v>77</v>
      </c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 t="s">
        <v>145</v>
      </c>
      <c r="F41" s="38"/>
      <c r="G41" s="181">
        <f>IF(COUNT(M41:Y41)=0,"",(COUNT(M41:Y41)))</f>
        <v>6</v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2</v>
      </c>
      <c r="I41" s="186">
        <f>IF(ISERROR(G41-H41),"",G41-H41)</f>
        <v>4</v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14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21</v>
      </c>
      <c r="L41" s="53"/>
      <c r="M41" s="41"/>
      <c r="N41" s="41"/>
      <c r="O41" s="41"/>
      <c r="P41" s="41"/>
      <c r="Q41" s="41">
        <v>15.96</v>
      </c>
      <c r="R41" s="41">
        <v>17.41</v>
      </c>
      <c r="S41" s="41">
        <v>18.57</v>
      </c>
      <c r="T41" s="41">
        <v>18.93</v>
      </c>
      <c r="U41" s="41"/>
      <c r="V41" s="41"/>
      <c r="W41" s="41">
        <v>22.92</v>
      </c>
      <c r="X41" s="41">
        <v>17.11</v>
      </c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2</v>
      </c>
      <c r="AB41" s="183">
        <f>IF(ISERROR(SUM(M41:Y41)/G41),"",(SUM(M41:Y41)/G41))</f>
        <v>18.483333333333334</v>
      </c>
      <c r="AC41" s="184">
        <f>IF(ISERROR(SUM(M41:Y41)/G41+H41),"",(SUM(M41:Y41)/G41+H41))</f>
        <v>20.483333333333334</v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 t="s">
        <v>90</v>
      </c>
      <c r="R42" s="41" t="s">
        <v>84</v>
      </c>
      <c r="S42" s="41" t="s">
        <v>99</v>
      </c>
      <c r="T42" s="41" t="s">
        <v>97</v>
      </c>
      <c r="U42" s="41"/>
      <c r="V42" s="41"/>
      <c r="W42" s="41" t="s">
        <v>91</v>
      </c>
      <c r="X42" s="41" t="s">
        <v>93</v>
      </c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 t="s">
        <v>146</v>
      </c>
      <c r="F43" s="38"/>
      <c r="G43" s="181">
        <f>IF(COUNT(M43:Y43)=0,"",(COUNT(M43:Y43)))</f>
        <v>5</v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2</v>
      </c>
      <c r="I43" s="186">
        <f>IF(ISERROR(G43-H43),"",G43-H43)</f>
        <v>3</v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14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12</v>
      </c>
      <c r="L43" s="53"/>
      <c r="M43" s="41"/>
      <c r="N43" s="41"/>
      <c r="O43" s="41"/>
      <c r="P43" s="41"/>
      <c r="Q43" s="41"/>
      <c r="R43" s="41"/>
      <c r="S43" s="41"/>
      <c r="T43" s="41"/>
      <c r="U43" s="41">
        <v>20.68</v>
      </c>
      <c r="V43" s="41">
        <v>21.06</v>
      </c>
      <c r="W43" s="41">
        <v>24.14</v>
      </c>
      <c r="X43" s="41">
        <v>23.58</v>
      </c>
      <c r="Y43" s="52">
        <v>21.65</v>
      </c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1</v>
      </c>
      <c r="AB43" s="183">
        <f>IF(ISERROR(SUM(M43:Y43)/G43),"",(SUM(M43:Y43)/G43))</f>
        <v>22.221999999999998</v>
      </c>
      <c r="AC43" s="184">
        <f>IF(ISERROR(SUM(M43:Y43)/G43+H43),"",(SUM(M43:Y43)/G43+H43))</f>
        <v>24.221999999999998</v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 t="s">
        <v>90</v>
      </c>
      <c r="V44" s="41" t="s">
        <v>88</v>
      </c>
      <c r="W44" s="41" t="s">
        <v>77</v>
      </c>
      <c r="X44" s="41" t="s">
        <v>86</v>
      </c>
      <c r="Y44" s="41" t="s">
        <v>99</v>
      </c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43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43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0</v>
      </c>
      <c r="N50" s="44">
        <v>1</v>
      </c>
      <c r="O50" s="44">
        <v>1</v>
      </c>
      <c r="P50" s="44">
        <v>2</v>
      </c>
      <c r="Q50" s="44">
        <v>1</v>
      </c>
      <c r="R50" s="44">
        <v>2</v>
      </c>
      <c r="S50" s="44">
        <v>2</v>
      </c>
      <c r="T50" s="44">
        <v>2</v>
      </c>
      <c r="U50" s="44">
        <v>1</v>
      </c>
      <c r="V50" s="44">
        <v>3</v>
      </c>
      <c r="W50" s="44">
        <v>2</v>
      </c>
      <c r="X50" s="44">
        <v>3</v>
      </c>
      <c r="Y50" s="44">
        <v>1</v>
      </c>
      <c r="Z50" s="59"/>
      <c r="AA50" s="1"/>
      <c r="AB50" s="1"/>
      <c r="AC50" s="1"/>
      <c r="AD50" s="1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4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4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9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8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3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3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7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5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8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4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7 M9 M23 M25 M27 M29 M31 M33 M35 M37:Z37 M39:Z39 M41:Z41 M43:Z43 M45:Z45 M47:Z47 O7 O9 O11 O13 O15 O17 O19 O21 O23 O25 O27:Z27 O29:Z29 O31:Z31 O33:Z33 O35:Z35 Q7:Z7 Q9:Z9 Q11:Z11 Q13:Z13 Q15:Z15 Q17:Z17 Q19:Z19 Q21:Z21 Q23:Z23 Q25:Z25 R18">
    <cfRule type="expression" dxfId="140" priority="1">
      <formula>LEFT(R19,1)="4"</formula>
    </cfRule>
  </conditionalFormatting>
  <conditionalFormatting sqref="G7 G9 G11 G13 G15 G17 G19 G21 G23 G25 G27 G29 G31 G33 G35 G37 G39 G41 G43 G45 G47 L7 L9 L11:L48">
    <cfRule type="expression" dxfId="139" priority="2">
      <formula>G7=0</formula>
    </cfRule>
  </conditionalFormatting>
  <conditionalFormatting sqref="M11 M13 M15 M17 M19 M21">
    <cfRule type="expression" dxfId="138" priority="3">
      <formula>LEFT(M12,1)="4"</formula>
    </cfRule>
  </conditionalFormatting>
  <conditionalFormatting sqref="M8 M10 M12 M14 M16 M18 M20 M22 M24 M26 M28 M30 M32 M34 M36 M38:Y38 M40:Y40 M42:Y42 M44:Y44 M46:Y46 M48:Y48 O8 O10 O12 O14 O16 O18 O20 O22 O24 O26 O28:Y28 O30:Y30 O32:Y32 O34:Y34 O36:Y36 Q8:Y8 Q10:Y10 Q12:Y12 Q14:Y14 Q16:Y16 Q18:Y18 Q20:Y20 Q22:Y22 Q24:Y24 Q26:Y26">
    <cfRule type="expression" dxfId="137" priority="4">
      <formula>LEFT(M8,1)="4"</formula>
    </cfRule>
  </conditionalFormatting>
  <conditionalFormatting sqref="P7 P9 P11 P13 P15 P17 P19 P21 P23 P25">
    <cfRule type="expression" dxfId="136" priority="5">
      <formula>LEFT(P8,1)="4"</formula>
    </cfRule>
  </conditionalFormatting>
  <conditionalFormatting sqref="P8 P10 P12 P14 P16 P18 P20 P22 P24 P26">
    <cfRule type="expression" dxfId="135" priority="6">
      <formula>LEFT(P8,1)="4"</formula>
    </cfRule>
  </conditionalFormatting>
  <conditionalFormatting sqref="N7 N9 N23 N25 N27 N29 N31 N33 N35">
    <cfRule type="expression" dxfId="134" priority="7">
      <formula>LEFT(N8,1)="4"</formula>
    </cfRule>
  </conditionalFormatting>
  <conditionalFormatting sqref="N11 N13 N15 N17 N19 N21">
    <cfRule type="expression" dxfId="133" priority="8">
      <formula>LEFT(N12,1)="4"</formula>
    </cfRule>
  </conditionalFormatting>
  <conditionalFormatting sqref="N8 N10 N12 N14 N16 N18 N20 N22 N24 N26 N28 N30 N32 N34 N36">
    <cfRule type="expression" dxfId="132" priority="9">
      <formula>LEFT(N8,1)="4"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31" priority="10">
      <formula>H7=0</formula>
    </cfRule>
  </conditionalFormatting>
  <conditionalFormatting sqref="AA7 AA9 AA11 AA13 AA15 AA17 AA19 AA21 AA23 AA25 AA27 AA29 AA31 AA33 AA35 AA37 AA39 AA41 AA43 AA45 AA47">
    <cfRule type="expression" dxfId="130" priority="11">
      <formula>AA7=0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1000"/>
  <sheetViews>
    <sheetView showGridLines="0" topLeftCell="A7" workbookViewId="0">
      <selection activeCell="R28" sqref="R28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.7109375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13</v>
      </c>
      <c r="E2" s="196" t="s">
        <v>147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148</v>
      </c>
      <c r="F7" s="38"/>
      <c r="G7" s="181">
        <f>IF(COUNT(M7:Y7)=0,"",(COUNT(M7:Y7)))</f>
        <v>11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3</v>
      </c>
      <c r="I7" s="186">
        <f>IF(ISERROR(G7-H7),"",G7-H7)</f>
        <v>8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25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35</v>
      </c>
      <c r="L7" s="39"/>
      <c r="M7" s="41">
        <v>17.87</v>
      </c>
      <c r="N7" s="41"/>
      <c r="O7" s="41">
        <v>20.3</v>
      </c>
      <c r="P7" s="41">
        <v>17.39</v>
      </c>
      <c r="Q7" s="41">
        <v>21.68</v>
      </c>
      <c r="R7" s="41">
        <v>22.18</v>
      </c>
      <c r="S7" s="41">
        <v>19.64</v>
      </c>
      <c r="T7" s="41">
        <v>21.16</v>
      </c>
      <c r="U7" s="41">
        <v>18.690000000000001</v>
      </c>
      <c r="V7" s="41">
        <v>18.13</v>
      </c>
      <c r="W7" s="41">
        <v>18.920000000000002</v>
      </c>
      <c r="X7" s="60">
        <v>18.829999999999998</v>
      </c>
      <c r="Y7" s="41"/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3</v>
      </c>
      <c r="AB7" s="183">
        <f>IF(ISERROR(SUM(M7:Y7)/G7),"",(SUM(M7:Y7)/G7))</f>
        <v>19.526363636363637</v>
      </c>
      <c r="AC7" s="184">
        <f>IF(ISERROR(SUM(M7:Y7)/G7+H7),"",(SUM(M7:Y7)/G7+H7))</f>
        <v>22.526363636363637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Allocation'!$B$30:$B$37,MATCH(Bournemouth!$D$2,'Number Allocation'!$D$30:$D$37,0))),0,(INDEX('Number Allocation'!$B$30:$B$37,MATCH(Bournemouth!$D$2,'Number Allocation'!$D$30:$D$37,0))))+IF(ISERROR(INDEX('Number Allocation'!$D$30:$D$37,MATCH(Bournemouth!$D$2,'Number Allocation'!$B$30:$B$37,0))),0,(INDEX('Number Allocation'!$D$30:$D$37,MATCH(Bournemouth!$D$2,'Number Allocation'!$B$30:$B$37,0))))</f>
        <v>2</v>
      </c>
      <c r="AK7" s="44">
        <v>1</v>
      </c>
      <c r="AL7" s="44" t="str">
        <f>VLOOKUP(AJ7,'Number Allocation'!$I$7:$J$22,2,0)</f>
        <v>Alderney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7</v>
      </c>
      <c r="AS7" s="44">
        <f t="shared" ref="AS7:AS19" si="0">IF(SUM(AO7:AQ7)=0,0,(12-AR7))</f>
        <v>5</v>
      </c>
      <c r="AT7" s="2"/>
      <c r="AU7" s="44">
        <f t="shared" ref="AU7:AU19" si="1">(AR7)</f>
        <v>7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81</v>
      </c>
      <c r="N8" s="41"/>
      <c r="O8" s="41" t="s">
        <v>149</v>
      </c>
      <c r="P8" s="41" t="s">
        <v>84</v>
      </c>
      <c r="Q8" s="41" t="s">
        <v>88</v>
      </c>
      <c r="R8" s="41" t="s">
        <v>78</v>
      </c>
      <c r="S8" s="41" t="s">
        <v>77</v>
      </c>
      <c r="T8" s="41" t="s">
        <v>88</v>
      </c>
      <c r="U8" s="41" t="s">
        <v>81</v>
      </c>
      <c r="V8" s="41" t="s">
        <v>83</v>
      </c>
      <c r="W8" s="41" t="s">
        <v>81</v>
      </c>
      <c r="X8" s="60" t="s">
        <v>88</v>
      </c>
      <c r="Y8" s="41"/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Allocation'!$H$30:$H$37,MATCH(Bournemouth!$D$2,'Number Allocation'!$F$30:$F$37,0))),0,(INDEX('Number Allocation'!$H$30:$H$37,MATCH(Bournemouth!$D$2,'Number Allocation'!$F$30:$F$37,0))))+IF(ISERROR(INDEX('Number Allocation'!$F$30:$F$37,MATCH(Bournemouth!$D$2,'Number Allocation'!$H$30:$H$37,0))),0,(INDEX('Number Allocation'!$F$30:$F$37,MATCH(Bournemouth!$D$2,'Number Allocation'!$H$30:$H$37,0))))</f>
        <v>3</v>
      </c>
      <c r="AK8" s="44">
        <v>2</v>
      </c>
      <c r="AL8" s="44" t="str">
        <f>VLOOKUP(AJ8,'Number Allocation'!$I$7:$J$22,2,0)</f>
        <v>Weymouth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9</v>
      </c>
      <c r="AS8" s="44">
        <f t="shared" si="0"/>
        <v>3</v>
      </c>
      <c r="AT8" s="2"/>
      <c r="AU8" s="44">
        <f t="shared" si="1"/>
        <v>9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150</v>
      </c>
      <c r="F9" s="38"/>
      <c r="G9" s="181">
        <f>IF(COUNT(M9:Y9)=0,"",(COUNT(M9:Y9)))</f>
        <v>13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11</v>
      </c>
      <c r="I9" s="186">
        <f>IF(ISERROR(G9-H9),"",G9-H9)</f>
        <v>2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47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19</v>
      </c>
      <c r="L9" s="39"/>
      <c r="M9" s="41">
        <v>26.72</v>
      </c>
      <c r="N9" s="41">
        <v>23.63</v>
      </c>
      <c r="O9" s="41">
        <v>27.13</v>
      </c>
      <c r="P9" s="41">
        <v>23.89</v>
      </c>
      <c r="Q9" s="41">
        <v>25.1</v>
      </c>
      <c r="R9" s="41">
        <v>27.08</v>
      </c>
      <c r="S9" s="41">
        <v>28.23</v>
      </c>
      <c r="T9" s="41">
        <v>22.97</v>
      </c>
      <c r="U9" s="41">
        <v>23.18</v>
      </c>
      <c r="V9" s="41">
        <v>24.04</v>
      </c>
      <c r="W9" s="41">
        <v>26.07</v>
      </c>
      <c r="X9" s="60">
        <v>24.49</v>
      </c>
      <c r="Y9" s="41">
        <v>23.86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5</v>
      </c>
      <c r="AB9" s="183">
        <f>IF(ISERROR(SUM(M9:Y9)/G9),"",(SUM(M9:Y9)/G9))</f>
        <v>25.106923076923081</v>
      </c>
      <c r="AC9" s="184">
        <f>IF(ISERROR(SUM(M9:Y9)/G9+H9),"",(SUM(M9:Y9)/G9+H9))</f>
        <v>36.106923076923081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Allocation'!$J$30:$J$37,MATCH(Bournemouth!$D$2,'Number Allocation'!$L$30:$L$37,0))),0,(INDEX('Number Allocation'!$J$30:$J$37,MATCH(Bournemouth!$D$2,'Number Allocation'!$L$30:$L$37,0))))+IF(ISERROR(INDEX('Number Allocation'!$L$30:$L$37,MATCH(Bournemouth!$D$2,'Number Allocation'!$J$30:$J$37,0))),0,(INDEX('Number Allocation'!$L$30:$L$37,MATCH(Bournemouth!$D$2,'Number Allocation'!$J$30:$J$37,0))))</f>
        <v>4</v>
      </c>
      <c r="AK9" s="44">
        <v>3</v>
      </c>
      <c r="AL9" s="44" t="str">
        <f>VLOOKUP(AJ9,'Number Allocation'!$I$7:$J$22,2,0)</f>
        <v>Dorchester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44">
        <f t="shared" si="0"/>
        <v>12</v>
      </c>
      <c r="AT9" s="2"/>
      <c r="AU9" s="44">
        <f t="shared" si="1"/>
        <v>0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151</v>
      </c>
      <c r="N10" s="41" t="s">
        <v>84</v>
      </c>
      <c r="O10" s="41" t="s">
        <v>99</v>
      </c>
      <c r="P10" s="41" t="s">
        <v>84</v>
      </c>
      <c r="Q10" s="41" t="s">
        <v>78</v>
      </c>
      <c r="R10" s="41" t="s">
        <v>86</v>
      </c>
      <c r="S10" s="41" t="s">
        <v>77</v>
      </c>
      <c r="T10" s="41" t="s">
        <v>92</v>
      </c>
      <c r="U10" s="41" t="s">
        <v>78</v>
      </c>
      <c r="V10" s="41" t="s">
        <v>78</v>
      </c>
      <c r="W10" s="41" t="s">
        <v>90</v>
      </c>
      <c r="X10" s="60" t="s">
        <v>93</v>
      </c>
      <c r="Y10" s="41" t="s">
        <v>77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Allocation'!$N$30:$N$37,MATCH(Bournemouth!$D$2,'Number Allocation'!$P$30:$P$37,0))),0,(INDEX('Number Allocation'!$N$30:$N$37,MATCH(Bournemouth!$D$2,'Number Allocation'!$P$30:$P$37,0))))+IF(ISERROR(INDEX('Number Allocation'!$P$30:$P$37,MATCH(Bournemouth!$D$2,'Number Allocation'!$N$30:$N$37,0))),0,(INDEX('Number Allocation'!$P$30:$P$37,MATCH(Bournemouth!$D$2,'Number Allocation'!$N$30:$N$37,0))))</f>
        <v>5</v>
      </c>
      <c r="AK10" s="44">
        <v>4</v>
      </c>
      <c r="AL10" s="44" t="str">
        <f>VLOOKUP(AJ10,'Number Allocation'!$I$7:$J$22,2,0)</f>
        <v>Boscombe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8</v>
      </c>
      <c r="AS10" s="44">
        <f t="shared" si="0"/>
        <v>4</v>
      </c>
      <c r="AT10" s="2"/>
      <c r="AU10" s="44">
        <f t="shared" si="1"/>
        <v>8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152</v>
      </c>
      <c r="F11" s="38"/>
      <c r="G11" s="181">
        <f>IF(COUNT(M11:Y11)=0,"",(COUNT(M11:Y11)))</f>
        <v>9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4</v>
      </c>
      <c r="I11" s="186">
        <f>IF(ISERROR(G11-H11),"",G11-H11)</f>
        <v>5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24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25</v>
      </c>
      <c r="L11" s="39"/>
      <c r="M11" s="41">
        <v>18.73</v>
      </c>
      <c r="N11" s="41">
        <v>21.68</v>
      </c>
      <c r="O11" s="41"/>
      <c r="P11" s="41">
        <v>20.03</v>
      </c>
      <c r="Q11" s="41">
        <v>19.149999999999999</v>
      </c>
      <c r="R11" s="41"/>
      <c r="S11" s="41"/>
      <c r="T11" s="41">
        <v>21.4</v>
      </c>
      <c r="U11" s="41"/>
      <c r="V11" s="41">
        <v>19.28</v>
      </c>
      <c r="W11" s="41">
        <v>21.76</v>
      </c>
      <c r="X11" s="60">
        <v>21.54</v>
      </c>
      <c r="Y11" s="41">
        <v>23.37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183">
        <f>IF(ISERROR(SUM(M11:Y11)/G11),"",(SUM(M11:Y11)/G11))</f>
        <v>20.771111111111111</v>
      </c>
      <c r="AC11" s="184">
        <f>IF(ISERROR(SUM(M11:Y11)/G11+H11),"",(SUM(M11:Y11)/G11+H11))</f>
        <v>24.771111111111111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Allocation'!$R$30:$R$37,MATCH(Bournemouth!$D$2,'Number Allocation'!$T$30:$T$37,0))),0,(INDEX('Number Allocation'!$R$30:$R$37,MATCH(Bournemouth!$D$2,'Number Allocation'!$T$30:$T$37,0))))+IF(ISERROR(INDEX('Number Allocation'!$T$30:$T$37,MATCH(Bournemouth!$D$2,'Number Allocation'!$R$30:$R$37,0))),0,(INDEX('Number Allocation'!$T$30:$T$37,MATCH(Bournemouth!$D$2,'Number Allocation'!$R$30:$R$37,0))))</f>
        <v>6</v>
      </c>
      <c r="AK11" s="44">
        <v>5</v>
      </c>
      <c r="AL11" s="44" t="str">
        <f>VLOOKUP(AJ11,'Number Allocation'!$I$7:$J$22,2,0)</f>
        <v>Bridport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1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4</v>
      </c>
      <c r="AS11" s="44">
        <f t="shared" si="0"/>
        <v>8</v>
      </c>
      <c r="AT11" s="2"/>
      <c r="AU11" s="44">
        <f t="shared" si="1"/>
        <v>4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77</v>
      </c>
      <c r="N12" s="41" t="s">
        <v>84</v>
      </c>
      <c r="O12" s="41"/>
      <c r="P12" s="41" t="s">
        <v>99</v>
      </c>
      <c r="Q12" s="41" t="s">
        <v>99</v>
      </c>
      <c r="R12" s="41"/>
      <c r="S12" s="41"/>
      <c r="T12" s="41" t="s">
        <v>81</v>
      </c>
      <c r="U12" s="41"/>
      <c r="V12" s="41" t="s">
        <v>88</v>
      </c>
      <c r="W12" s="41" t="s">
        <v>84</v>
      </c>
      <c r="X12" s="60" t="s">
        <v>90</v>
      </c>
      <c r="Y12" s="41" t="s">
        <v>78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Allocation'!$B$44:$B$51,MATCH(Bournemouth!$D$2,'Number Allocation'!$D$44:$D$51,0))),0,(INDEX('Number Allocation'!$B$44:$B$51,MATCH(Bournemouth!$D$2,'Number Allocation'!$D$44:$D$51,0))))+IF(ISERROR(INDEX('Number Allocation'!$D$44:$D$51,MATCH(Bournemouth!$D$2,'Number Allocation'!$B$44:$B$51,0))),0,(INDEX('Number Allocation'!$D$44:$D$51,MATCH(Bournemouth!$D$2,'Number Allocation'!$B$44:$B$51,0))))</f>
        <v>7</v>
      </c>
      <c r="AK12" s="44">
        <v>6</v>
      </c>
      <c r="AL12" s="44" t="str">
        <f>VLOOKUP(AJ12,'Number Allocation'!$I$7:$J$22,2,0)</f>
        <v>Shaftesbury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1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6</v>
      </c>
      <c r="AS12" s="44">
        <f t="shared" si="0"/>
        <v>6</v>
      </c>
      <c r="AT12" s="2"/>
      <c r="AU12" s="44">
        <f t="shared" si="1"/>
        <v>6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153</v>
      </c>
      <c r="F13" s="38"/>
      <c r="G13" s="181" t="str">
        <f>IF(COUNT(M13:Y13)=0,"",(COUNT(M13:Y13)))</f>
        <v/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186" t="str">
        <f>IF(ISERROR(G13-H13),"",G13-H13)</f>
        <v/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39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 t="str">
        <f>IF(ISERROR(SUM(M13:Y13)/G13),"",(SUM(M13:Y13)/G13))</f>
        <v/>
      </c>
      <c r="AC13" s="184" t="str">
        <f>IF(ISERROR(SUM(M13:Y13)/G13+H13),"",(SUM(M13:Y13)/G13+H13))</f>
        <v/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Allocation'!$H$44:$H$51,MATCH(Bournemouth!$D$2,'Number Allocation'!$F$44:$F$51,0))),0,(INDEX('Number Allocation'!$H$44:$H$51,MATCH(Bournemouth!$D$2,'Number Allocation'!$F$44:$F$51,0))))+IF(ISERROR(INDEX('Number Allocation'!$F$44:$F$51,MATCH(Bournemouth!$D$2,'Number Allocation'!$H$44:$H$51,0))),0,(INDEX('Number Allocation'!$F$44:$F$51,MATCH(Bournemouth!$D$2,'Number Allocation'!$H$44:$H$51,0))))</f>
        <v>8</v>
      </c>
      <c r="AK13" s="44">
        <v>7</v>
      </c>
      <c r="AL13" s="44" t="str">
        <f>VLOOKUP(AJ13,'Number Allocation'!$I$7:$J$22,2,0)</f>
        <v>Alderholt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1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AS13" s="44">
        <f t="shared" si="0"/>
        <v>8</v>
      </c>
      <c r="AT13" s="2"/>
      <c r="AU13" s="44">
        <f t="shared" si="1"/>
        <v>4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Allocation'!$J$44:$J$51,MATCH(Bournemouth!$D$2,'Number Allocation'!$L$44:$L$51,0))),0,(INDEX('Number Allocation'!$J$44:$J$51,MATCH(Bournemouth!$D$2,'Number Allocation'!$L$44:$L$51,0))))+IF(ISERROR(INDEX('Number Allocation'!$L$44:$L$51,MATCH(Bournemouth!$D$2,'Number Allocation'!$J$44:$J$51,0))),0,(INDEX('Number Allocation'!$L$44:$L$51,MATCH(Bournemouth!$D$2,'Number Allocation'!$J$44:$J$51,0))))</f>
        <v>9</v>
      </c>
      <c r="AK14" s="44">
        <v>8</v>
      </c>
      <c r="AL14" s="44" t="str">
        <f>VLOOKUP(AJ14,'Number Allocation'!$I$7:$J$22,2,0)</f>
        <v>Poole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1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AS14" s="44">
        <f t="shared" si="0"/>
        <v>8</v>
      </c>
      <c r="AT14" s="2"/>
      <c r="AU14" s="44">
        <f t="shared" si="1"/>
        <v>4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154</v>
      </c>
      <c r="F15" s="38"/>
      <c r="G15" s="181">
        <f>IF(COUNT(M15:Y15)=0,"",(COUNT(M15:Y15)))</f>
        <v>12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6</v>
      </c>
      <c r="I15" s="186">
        <f>IF(ISERROR(G15-H15),"",G15-H15)</f>
        <v>6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29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35</v>
      </c>
      <c r="L15" s="39"/>
      <c r="M15" s="41">
        <v>16.98</v>
      </c>
      <c r="N15" s="41">
        <v>19.27</v>
      </c>
      <c r="O15" s="41">
        <v>22.18</v>
      </c>
      <c r="P15" s="41">
        <v>20.11</v>
      </c>
      <c r="Q15" s="41">
        <v>18.329999999999998</v>
      </c>
      <c r="R15" s="41">
        <v>21.32</v>
      </c>
      <c r="S15" s="41">
        <v>18.73</v>
      </c>
      <c r="T15" s="41"/>
      <c r="U15" s="41">
        <v>19.84</v>
      </c>
      <c r="V15" s="41">
        <v>17.899999999999999</v>
      </c>
      <c r="W15" s="41">
        <v>22.14</v>
      </c>
      <c r="X15" s="60">
        <v>20.04</v>
      </c>
      <c r="Y15" s="41">
        <v>20.18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183">
        <f>IF(ISERROR(SUM(M15:Y15)/G15),"",(SUM(M15:Y15)/G15))</f>
        <v>19.751666666666669</v>
      </c>
      <c r="AC15" s="184">
        <f>IF(ISERROR(SUM(M15:Y15)/G15+H15),"",(SUM(M15:Y15)/G15+H15))</f>
        <v>25.751666666666669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Allocation'!$N$44:$N$51,MATCH(Bournemouth!$D$2,'Number Allocation'!$P$44:$P$51,0))),0,(INDEX('Number Allocation'!$N$44:$N$51,MATCH(Bournemouth!$D$2,'Number Allocation'!$P$44:$P$51,0))))+IF(ISERROR(INDEX('Number Allocation'!$P$44:$P$51,MATCH(Bournemouth!$D$2,'Number Allocation'!$N$44:$N$51,0))),0,(INDEX('Number Allocation'!$P$44:$P$51,MATCH(Bournemouth!$D$2,'Number Allocation'!$N$44:$N$51,0))))</f>
        <v>10</v>
      </c>
      <c r="AK15" s="44">
        <v>9</v>
      </c>
      <c r="AL15" s="44" t="str">
        <f>VLOOKUP(AJ15,'Number Allocation'!$I$7:$J$22,2,0)</f>
        <v>Lytchett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AS15" s="44">
        <f t="shared" si="0"/>
        <v>10</v>
      </c>
      <c r="AT15" s="2"/>
      <c r="AU15" s="44">
        <f t="shared" si="1"/>
        <v>2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77</v>
      </c>
      <c r="N16" s="41" t="s">
        <v>93</v>
      </c>
      <c r="O16" s="41" t="s">
        <v>81</v>
      </c>
      <c r="P16" s="41" t="s">
        <v>81</v>
      </c>
      <c r="Q16" s="41" t="s">
        <v>93</v>
      </c>
      <c r="R16" s="41" t="s">
        <v>77</v>
      </c>
      <c r="S16" s="41" t="s">
        <v>81</v>
      </c>
      <c r="T16" s="41"/>
      <c r="U16" s="41" t="s">
        <v>99</v>
      </c>
      <c r="V16" s="41" t="s">
        <v>88</v>
      </c>
      <c r="W16" s="41" t="s">
        <v>94</v>
      </c>
      <c r="X16" s="60" t="s">
        <v>81</v>
      </c>
      <c r="Y16" s="41" t="s">
        <v>84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Allocation'!$R$44:$R$51,MATCH(Bournemouth!$D$2,'Number Allocation'!$T$44:$T$51,0))),0,(INDEX('Number Allocation'!$R$44:$R$51,MATCH(Bournemouth!$D$2,'Number Allocation'!$T$44:$T$51,0))))+IF(ISERROR(INDEX('Number Allocation'!$T$44:$T$51,MATCH(Bournemouth!$D$2,'Number Allocation'!$R$44:$R$51,0))),0,(INDEX('Number Allocation'!$T$44:$T$51,MATCH(Bournemouth!$D$2,'Number Allocation'!$R$44:$R$51,0))))</f>
        <v>11</v>
      </c>
      <c r="AK16" s="44">
        <v>10</v>
      </c>
      <c r="AL16" s="44" t="str">
        <f>VLOOKUP(AJ16,'Number Allocation'!$I$7:$J$22,2,0)</f>
        <v>Portland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AS16" s="44">
        <f t="shared" si="0"/>
        <v>10</v>
      </c>
      <c r="AT16" s="2"/>
      <c r="AU16" s="44">
        <f t="shared" si="1"/>
        <v>2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155</v>
      </c>
      <c r="F17" s="38"/>
      <c r="G17" s="181">
        <f>IF(COUNT(M17:Y17)=0,"",(COUNT(M17:Y17)))</f>
        <v>12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5</v>
      </c>
      <c r="I17" s="186">
        <f>IF(ISERROR(G17-H17),"",G17-H17)</f>
        <v>7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34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36</v>
      </c>
      <c r="L17" s="39"/>
      <c r="M17" s="41"/>
      <c r="N17" s="41">
        <v>20.96</v>
      </c>
      <c r="O17" s="41">
        <v>20.21</v>
      </c>
      <c r="P17" s="41">
        <v>21.9</v>
      </c>
      <c r="Q17" s="41">
        <v>19.98</v>
      </c>
      <c r="R17" s="41">
        <v>22.05</v>
      </c>
      <c r="S17" s="41">
        <v>17.68</v>
      </c>
      <c r="T17" s="41">
        <v>21.64</v>
      </c>
      <c r="U17" s="41">
        <v>19.91</v>
      </c>
      <c r="V17" s="41">
        <v>18.829999999999998</v>
      </c>
      <c r="W17" s="41">
        <v>20.93</v>
      </c>
      <c r="X17" s="60">
        <v>20.88</v>
      </c>
      <c r="Y17" s="41">
        <v>18.05</v>
      </c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183">
        <f>IF(ISERROR(SUM(M17:Y17)/G17),"",(SUM(M17:Y17)/G17))</f>
        <v>20.251666666666669</v>
      </c>
      <c r="AC17" s="184">
        <f>IF(ISERROR(SUM(M17:Y17)/G17+H17),"",(SUM(M17:Y17)/G17+H17))</f>
        <v>25.251666666666669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Allocation'!$B$58:$B$65,MATCH(Bournemouth!$D$2,'Number Allocation'!$D$58:$D$65,0))),0,(INDEX('Number Allocation'!$B$58:$B$65,MATCH(Bournemouth!$D$2,'Number Allocation'!$D$58:$D$65,0))))+IF(ISERROR(INDEX('Number Allocation'!$D$58:$D$65,MATCH(Bournemouth!$D$2,'Number Allocation'!$B$58:$B$65,0))),0,(INDEX('Number Allocation'!$D$58:$D$65,MATCH(Bournemouth!$D$2,'Number Allocation'!$B$58:$B$65,0))))</f>
        <v>12</v>
      </c>
      <c r="AK17" s="44">
        <v>11</v>
      </c>
      <c r="AL17" s="44" t="str">
        <f>VLOOKUP(AJ17,'Number Allocation'!$I$7:$J$22,2,0)</f>
        <v>Swanage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1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AS17" s="44">
        <f t="shared" si="0"/>
        <v>8</v>
      </c>
      <c r="AT17" s="2"/>
      <c r="AU17" s="44">
        <f t="shared" si="1"/>
        <v>4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 t="s">
        <v>84</v>
      </c>
      <c r="O18" s="41" t="s">
        <v>88</v>
      </c>
      <c r="P18" s="41" t="s">
        <v>94</v>
      </c>
      <c r="Q18" s="41" t="s">
        <v>88</v>
      </c>
      <c r="R18" s="41" t="s">
        <v>93</v>
      </c>
      <c r="S18" s="41" t="s">
        <v>90</v>
      </c>
      <c r="T18" s="41" t="s">
        <v>88</v>
      </c>
      <c r="U18" s="41" t="s">
        <v>90</v>
      </c>
      <c r="V18" s="41" t="s">
        <v>81</v>
      </c>
      <c r="W18" s="41" t="s">
        <v>88</v>
      </c>
      <c r="X18" s="60" t="s">
        <v>77</v>
      </c>
      <c r="Y18" s="41" t="s">
        <v>77</v>
      </c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Allocation'!$H$58:$H$65,MATCH(Bournemouth!$D$2,'Number Allocation'!$F$58:$F$65,0))),0,(INDEX('Number Allocation'!$H$58:$H$65,MATCH(Bournemouth!$D$2,'Number Allocation'!$F$58:$F$65,0))))+IF(ISERROR(INDEX('Number Allocation'!$F$58:$F$65,MATCH(Bournemouth!$D$2,'Number Allocation'!$H$58:$H$65,0))),0,(INDEX('Number Allocation'!$F$58:$F$65,MATCH(Bournemouth!$D$2,'Number Allocation'!$H$58:$H$65,0))))</f>
        <v>14</v>
      </c>
      <c r="AK18" s="44">
        <v>12</v>
      </c>
      <c r="AL18" s="44" t="str">
        <f>VLOOKUP(AJ18,'Number Allocation'!$I$7:$J$22,2,0)</f>
        <v>Christchurch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1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3</v>
      </c>
      <c r="AS18" s="44">
        <f t="shared" si="0"/>
        <v>9</v>
      </c>
      <c r="AT18" s="2"/>
      <c r="AU18" s="44">
        <f t="shared" si="1"/>
        <v>3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156</v>
      </c>
      <c r="F19" s="38"/>
      <c r="G19" s="181">
        <f>IF(COUNT(M19:Y19)=0,"",(COUNT(M19:Y19)))</f>
        <v>10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186">
        <f>IF(ISERROR(G19-H19),"",G19-H19)</f>
        <v>8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11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34</v>
      </c>
      <c r="L19" s="39"/>
      <c r="M19" s="41">
        <v>18.14</v>
      </c>
      <c r="N19" s="41"/>
      <c r="O19" s="41">
        <v>18.86</v>
      </c>
      <c r="P19" s="41">
        <v>19.82</v>
      </c>
      <c r="Q19" s="41">
        <v>20.170000000000002</v>
      </c>
      <c r="R19" s="41">
        <v>14.31</v>
      </c>
      <c r="S19" s="41">
        <v>17.98</v>
      </c>
      <c r="T19" s="41">
        <v>18.420000000000002</v>
      </c>
      <c r="U19" s="41"/>
      <c r="V19" s="41">
        <v>13.11</v>
      </c>
      <c r="W19" s="41">
        <v>12.43</v>
      </c>
      <c r="X19" s="60">
        <v>12.46</v>
      </c>
      <c r="Y19" s="41"/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183">
        <f>IF(ISERROR(SUM(M19:Y19)/G19),"",(SUM(M19:Y19)/G19))</f>
        <v>16.57</v>
      </c>
      <c r="AC19" s="184">
        <f>IF(ISERROR(SUM(M19:Y19)/G19+H19),"",(SUM(M19:Y19)/G19+H19))</f>
        <v>18.57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Allocation'!$J$58:$J$65,MATCH(Bournemouth!$D$2,'Number Allocation'!$L$58:$L$65,0))),0,(INDEX('Number Allocation'!$J$58:$J$65,MATCH(Bournemouth!$D$2,'Number Allocation'!$L$58:$L$65,0))))+IF(ISERROR(INDEX('Number Allocation'!$L$58:$L$65,MATCH(Bournemouth!$D$2,'Number Allocation'!$J$58:$J$65,0))),0,(INDEX('Number Allocation'!$L$58:$L$65,MATCH(Bournemouth!$D$2,'Number Allocation'!$J$58:$J$65,0))))</f>
        <v>1</v>
      </c>
      <c r="AK19" s="44">
        <v>13</v>
      </c>
      <c r="AL19" s="44" t="str">
        <f>VLOOKUP(AJ19,'Number Allocation'!$I$7:$J$22,2,0)</f>
        <v>Parkstone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AS19" s="44">
        <f t="shared" si="0"/>
        <v>4</v>
      </c>
      <c r="AT19" s="2"/>
      <c r="AU19" s="44">
        <f t="shared" si="1"/>
        <v>8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78</v>
      </c>
      <c r="N20" s="41"/>
      <c r="O20" s="41" t="s">
        <v>88</v>
      </c>
      <c r="P20" s="41" t="s">
        <v>78</v>
      </c>
      <c r="Q20" s="41" t="s">
        <v>81</v>
      </c>
      <c r="R20" s="41" t="s">
        <v>81</v>
      </c>
      <c r="S20" s="41" t="s">
        <v>81</v>
      </c>
      <c r="T20" s="41" t="s">
        <v>81</v>
      </c>
      <c r="U20" s="41"/>
      <c r="V20" s="41" t="s">
        <v>81</v>
      </c>
      <c r="W20" s="41" t="s">
        <v>81</v>
      </c>
      <c r="X20" s="60" t="s">
        <v>81</v>
      </c>
      <c r="Y20" s="41"/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157</v>
      </c>
      <c r="F21" s="38"/>
      <c r="G21" s="181">
        <f>IF(COUNT(M21:Y21)=0,"",(COUNT(M21:Y21)))</f>
        <v>1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186">
        <f>IF(ISERROR(G21-H21),"",G21-H21)</f>
        <v>1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4</v>
      </c>
      <c r="L21" s="39"/>
      <c r="M21" s="41"/>
      <c r="N21" s="41"/>
      <c r="O21" s="41"/>
      <c r="P21" s="41"/>
      <c r="Q21" s="41"/>
      <c r="R21" s="41"/>
      <c r="S21" s="41">
        <v>18</v>
      </c>
      <c r="T21" s="41"/>
      <c r="U21" s="41"/>
      <c r="V21" s="41"/>
      <c r="W21" s="41"/>
      <c r="X21" s="41"/>
      <c r="Y21" s="41"/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183">
        <f>IF(ISERROR(SUM(M21:Y21)/G21),"",(SUM(M21:Y21)/G21))</f>
        <v>18</v>
      </c>
      <c r="AC21" s="184">
        <f>IF(ISERROR(SUM(M21:Y21)/G21+H21),"",(SUM(M21:Y21)/G21+H21))</f>
        <v>18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4</v>
      </c>
      <c r="AP21" s="44">
        <f t="shared" si="2"/>
        <v>1</v>
      </c>
      <c r="AQ21" s="44">
        <f t="shared" si="2"/>
        <v>8</v>
      </c>
      <c r="AR21" s="44">
        <f t="shared" si="2"/>
        <v>61</v>
      </c>
      <c r="AS21" s="44">
        <f t="shared" si="2"/>
        <v>95</v>
      </c>
      <c r="AT21" s="2"/>
      <c r="AU21" s="44">
        <f>SUM(AU7:AU19)</f>
        <v>61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/>
      <c r="N22" s="41"/>
      <c r="O22" s="41"/>
      <c r="P22" s="41"/>
      <c r="Q22" s="41"/>
      <c r="R22" s="41"/>
      <c r="S22" s="41" t="s">
        <v>99</v>
      </c>
      <c r="T22" s="41"/>
      <c r="U22" s="41"/>
      <c r="V22" s="41"/>
      <c r="W22" s="41"/>
      <c r="X22" s="41"/>
      <c r="Y22" s="41"/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158</v>
      </c>
      <c r="F23" s="38"/>
      <c r="G23" s="181">
        <f>IF(COUNT(M23:Y23)=0,"",(COUNT(M23:Y23)))</f>
        <v>12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7</v>
      </c>
      <c r="I23" s="186">
        <f>IF(ISERROR(G23-H23),"",G23-H23)</f>
        <v>5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36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28</v>
      </c>
      <c r="L23" s="39"/>
      <c r="M23" s="41">
        <v>19.899999999999999</v>
      </c>
      <c r="N23" s="41">
        <v>20.09</v>
      </c>
      <c r="O23" s="41">
        <v>21.34</v>
      </c>
      <c r="P23" s="40">
        <v>18.57</v>
      </c>
      <c r="Q23" s="41">
        <v>20.43</v>
      </c>
      <c r="R23" s="41">
        <v>22.52</v>
      </c>
      <c r="S23" s="41"/>
      <c r="T23" s="41">
        <v>22.44</v>
      </c>
      <c r="U23" s="41">
        <v>24.23</v>
      </c>
      <c r="V23" s="41">
        <v>21.39</v>
      </c>
      <c r="W23" s="41">
        <v>21.24</v>
      </c>
      <c r="X23" s="60">
        <v>25.24</v>
      </c>
      <c r="Y23" s="41">
        <v>19.84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7</v>
      </c>
      <c r="AB23" s="183">
        <f>IF(ISERROR(SUM(M23:Y23)/G23),"",(SUM(M23:Y23)/G23))</f>
        <v>21.435833333333335</v>
      </c>
      <c r="AC23" s="184">
        <f>IF(ISERROR(SUM(M23:Y23)/G23+H23),"",(SUM(M23:Y23)/G23+H23))</f>
        <v>28.435833333333335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85</v>
      </c>
      <c r="N24" s="41" t="s">
        <v>78</v>
      </c>
      <c r="O24" s="41" t="s">
        <v>90</v>
      </c>
      <c r="P24" s="41" t="s">
        <v>79</v>
      </c>
      <c r="Q24" s="41" t="s">
        <v>99</v>
      </c>
      <c r="R24" s="41" t="s">
        <v>86</v>
      </c>
      <c r="S24" s="41"/>
      <c r="T24" s="41" t="s">
        <v>94</v>
      </c>
      <c r="U24" s="41" t="s">
        <v>90</v>
      </c>
      <c r="V24" s="41" t="s">
        <v>159</v>
      </c>
      <c r="W24" s="41" t="s">
        <v>79</v>
      </c>
      <c r="X24" s="60" t="s">
        <v>90</v>
      </c>
      <c r="Y24" s="41" t="s">
        <v>77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160</v>
      </c>
      <c r="F25" s="38"/>
      <c r="G25" s="181">
        <f>IF(COUNT(M25:Y25)=0,"",(COUNT(M25:Y25)))</f>
        <v>2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>
        <f>IF(ISERROR(G25-H25),"",G25-H25)</f>
        <v>2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2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8</v>
      </c>
      <c r="L25" s="39"/>
      <c r="M25" s="41"/>
      <c r="N25" s="41">
        <v>17.46</v>
      </c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>
        <v>18.309999999999999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17.884999999999998</v>
      </c>
      <c r="AC25" s="184">
        <f>IF(ISERROR(SUM(M25:Y25)/G25+H25),"",(SUM(M25:Y25)/G25+H25))</f>
        <v>17.884999999999998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 t="s">
        <v>90</v>
      </c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 t="s">
        <v>90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161</v>
      </c>
      <c r="F27" s="38"/>
      <c r="G27" s="181" t="str">
        <f>IF(COUNT(M27:Y27)=0,"",(COUNT(M27:Y27)))</f>
        <v/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186" t="str">
        <f>IF(ISERROR(G27-H27),"",G27-H27)</f>
        <v/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39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 t="str">
        <f>IF(ISERROR(SUM(M27:Y27)/G27),"",(SUM(M27:Y27)/G27))</f>
        <v/>
      </c>
      <c r="AC27" s="184" t="str">
        <f>IF(ISERROR(SUM(M27:Y27)/G27+H27),"",(SUM(M27:Y27)/G27+H27))</f>
        <v/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162</v>
      </c>
      <c r="F29" s="38"/>
      <c r="G29" s="181">
        <f>IF(COUNT(M29:Y29)=0,"",(COUNT(M29:Y29)))</f>
        <v>13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4</v>
      </c>
      <c r="I29" s="186">
        <f>IF(ISERROR(G29-H29),"",G29-H29)</f>
        <v>9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27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43</v>
      </c>
      <c r="L29" s="39"/>
      <c r="M29" s="41">
        <v>18.34</v>
      </c>
      <c r="N29" s="41">
        <v>18.73</v>
      </c>
      <c r="O29" s="41">
        <v>17.72</v>
      </c>
      <c r="P29" s="41">
        <v>20.25</v>
      </c>
      <c r="Q29" s="41">
        <v>20.420000000000002</v>
      </c>
      <c r="R29" s="41">
        <v>20.83</v>
      </c>
      <c r="S29" s="41">
        <v>23.25</v>
      </c>
      <c r="T29" s="41">
        <v>19.350000000000001</v>
      </c>
      <c r="U29" s="41">
        <v>19.41</v>
      </c>
      <c r="V29" s="41">
        <v>19.940000000000001</v>
      </c>
      <c r="W29" s="41">
        <v>20.13</v>
      </c>
      <c r="X29" s="60">
        <v>22.88</v>
      </c>
      <c r="Y29" s="41">
        <v>19.559999999999999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1</v>
      </c>
      <c r="AB29" s="183">
        <f>IF(ISERROR(SUM(M29:Y29)/G29),"",(SUM(M29:Y29)/G29))</f>
        <v>20.062307692307687</v>
      </c>
      <c r="AC29" s="184">
        <f>IF(ISERROR(SUM(M29:Y29)/G29+H29),"",(SUM(M29:Y29)/G29+H29))</f>
        <v>24.062307692307687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 t="s">
        <v>81</v>
      </c>
      <c r="N30" s="41" t="s">
        <v>84</v>
      </c>
      <c r="O30" s="41" t="s">
        <v>81</v>
      </c>
      <c r="P30" s="41" t="s">
        <v>78</v>
      </c>
      <c r="Q30" s="41" t="s">
        <v>99</v>
      </c>
      <c r="R30" s="41" t="s">
        <v>99</v>
      </c>
      <c r="S30" s="41" t="s">
        <v>79</v>
      </c>
      <c r="T30" s="41" t="s">
        <v>93</v>
      </c>
      <c r="U30" s="41" t="s">
        <v>81</v>
      </c>
      <c r="V30" s="41" t="s">
        <v>90</v>
      </c>
      <c r="W30" s="41" t="s">
        <v>88</v>
      </c>
      <c r="X30" s="60" t="s">
        <v>90</v>
      </c>
      <c r="Y30" s="41" t="s">
        <v>99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163</v>
      </c>
      <c r="F31" s="38"/>
      <c r="G31" s="181">
        <f>IF(COUNT(M31:Y31)=0,"",(COUNT(M31:Y31)))</f>
        <v>5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5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20</v>
      </c>
      <c r="L31" s="39"/>
      <c r="M31" s="41">
        <v>13.9</v>
      </c>
      <c r="N31" s="41"/>
      <c r="O31" s="41">
        <v>15.11</v>
      </c>
      <c r="P31" s="41"/>
      <c r="Q31" s="41"/>
      <c r="R31" s="41"/>
      <c r="S31" s="41">
        <v>15.55</v>
      </c>
      <c r="T31" s="41">
        <v>11.82</v>
      </c>
      <c r="U31" s="41">
        <v>13.11</v>
      </c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13.898000000000001</v>
      </c>
      <c r="AC31" s="184">
        <f>IF(ISERROR(SUM(M31:Y31)/G31+H31),"",(SUM(M31:Y31)/G31+H31))</f>
        <v>13.898000000000001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 t="s">
        <v>81</v>
      </c>
      <c r="N32" s="41"/>
      <c r="O32" s="41" t="s">
        <v>81</v>
      </c>
      <c r="P32" s="41"/>
      <c r="Q32" s="41"/>
      <c r="R32" s="41"/>
      <c r="S32" s="41" t="s">
        <v>81</v>
      </c>
      <c r="T32" s="41" t="s">
        <v>81</v>
      </c>
      <c r="U32" s="41" t="s">
        <v>81</v>
      </c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164</v>
      </c>
      <c r="F33" s="38"/>
      <c r="G33" s="181">
        <f>IF(COUNT(M33:Y33)=0,"",(COUNT(M33:Y33)))</f>
        <v>3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1</v>
      </c>
      <c r="I33" s="186">
        <f>IF(ISERROR(G33-H33),"",G33-H33)</f>
        <v>2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6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11</v>
      </c>
      <c r="L33" s="39"/>
      <c r="M33" s="41"/>
      <c r="N33" s="41">
        <v>18.55</v>
      </c>
      <c r="O33" s="41"/>
      <c r="P33" s="41"/>
      <c r="Q33" s="41"/>
      <c r="R33" s="41"/>
      <c r="S33" s="41"/>
      <c r="T33" s="41"/>
      <c r="U33" s="41">
        <v>16.09</v>
      </c>
      <c r="V33" s="41"/>
      <c r="W33" s="41"/>
      <c r="X33" s="41"/>
      <c r="Y33" s="41">
        <v>17.8</v>
      </c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>
        <f>IF(ISERROR(SUM(M33:Y33)/G33),"",(SUM(M33:Y33)/G33))</f>
        <v>17.48</v>
      </c>
      <c r="AC33" s="184">
        <f>IF(ISERROR(SUM(M33:Y33)/G33+H33),"",(SUM(M33:Y33)/G33+H33))</f>
        <v>18.48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 t="s">
        <v>99</v>
      </c>
      <c r="O34" s="41"/>
      <c r="P34" s="41"/>
      <c r="Q34" s="41"/>
      <c r="R34" s="41"/>
      <c r="S34" s="41"/>
      <c r="T34" s="41"/>
      <c r="U34" s="41" t="s">
        <v>81</v>
      </c>
      <c r="V34" s="41"/>
      <c r="W34" s="41"/>
      <c r="X34" s="41"/>
      <c r="Y34" s="41" t="s">
        <v>93</v>
      </c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202" t="s">
        <v>402</v>
      </c>
      <c r="F35" s="38"/>
      <c r="G35" s="181">
        <f>IF(COUNT(M35:Y35)=0,"",(COUNT(M35:Y35)))</f>
        <v>1</v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>
        <f>IF(ISERROR(G35-H35),"",G35-H35)</f>
        <v>1</v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4</v>
      </c>
      <c r="L35" s="39"/>
      <c r="M35" s="41"/>
      <c r="N35" s="41"/>
      <c r="O35" s="41"/>
      <c r="P35" s="41"/>
      <c r="Q35" s="41"/>
      <c r="R35" s="41">
        <v>14.65</v>
      </c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>
        <f>IF(ISERROR(SUM(M35:Y35)/G35),"",(SUM(M35:Y35)/G35))</f>
        <v>14.65</v>
      </c>
      <c r="AC35" s="184">
        <f>IF(ISERROR(SUM(M35:Y35)/G35+H35),"",(SUM(M35:Y35)/G35+H35))</f>
        <v>14.65</v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203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 t="s">
        <v>81</v>
      </c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43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43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3</v>
      </c>
      <c r="O50" s="44">
        <v>0</v>
      </c>
      <c r="P50" s="44">
        <v>2</v>
      </c>
      <c r="Q50" s="44">
        <v>2</v>
      </c>
      <c r="R50" s="44">
        <v>1</v>
      </c>
      <c r="S50" s="44">
        <v>1</v>
      </c>
      <c r="T50" s="44">
        <v>1</v>
      </c>
      <c r="U50" s="44">
        <v>1</v>
      </c>
      <c r="V50" s="44">
        <v>1</v>
      </c>
      <c r="W50" s="44">
        <v>1</v>
      </c>
      <c r="X50" s="61">
        <v>1</v>
      </c>
      <c r="Y50" s="44">
        <v>2</v>
      </c>
      <c r="Z50" s="59"/>
      <c r="AA50" s="1"/>
      <c r="AB50" s="1"/>
      <c r="AC50" s="1"/>
      <c r="AD50" s="1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7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9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8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4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6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4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4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2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3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7:Z7 M9:Z9 M23:O23 M25:O25 M27:O27 M29:O29 M31:O31 M33:O33 M35:Z35 M37:Z37 M39:Z39 M41:Z41 M43:Z43 M45:Z45 M47:Z47 N11:O11 N13:O13 N15:O15 N17:O17 N19:O19 N21:O21 Q11:Z11 Q13:Z13 Q15:Z15 Q17:Z17 Q19:Z19 Q21:Z21 Q23:Z23 Q25:Z25 Q27:Z27 Q29:Z29 Q31:Z31 Q33:Z33 R18">
    <cfRule type="expression" dxfId="129" priority="1">
      <formula>LEFT(R19,1)="4"</formula>
    </cfRule>
  </conditionalFormatting>
  <conditionalFormatting sqref="G7 G9 G11 G13 G15 G17 G19 G21 G23 G25 G27 G29 G31 G33 G35 G37 G39 G41 G43 G45 G47 L7 L9 L11:L48">
    <cfRule type="expression" dxfId="128" priority="2">
      <formula>G7=0</formula>
    </cfRule>
  </conditionalFormatting>
  <conditionalFormatting sqref="M11 M13 M15 M17 M19 M21">
    <cfRule type="expression" dxfId="127" priority="3">
      <formula>LEFT(M12,1)="4"</formula>
    </cfRule>
  </conditionalFormatting>
  <conditionalFormatting sqref="M8:Y8 M10:Y10 M12:O12 M14:O14 M16:O16 M18:O18 M20:O20 M22:O22 M24:O24 M26:O26 M28:O28 M30:O30 M32:O32 M34:O34 M36:Y36 M38:Y38 M40:Y40 M42:Y42 M44:Y44 M46:Y46 M48:Y48 Q12:Y12 Q14:Y14 Q16:Y16 Q18:Y18 Q20:Y20 Q22:Y22 Q24:Y24 Q26:Y26 Q28:Y28 Q30:Y30 Q32:Y32 Q34:Y34">
    <cfRule type="expression" dxfId="126" priority="4">
      <formula>LEFT(M8,1)="4"</formula>
    </cfRule>
  </conditionalFormatting>
  <conditionalFormatting sqref="P11 P13 P15 P17 P19 P21 P23 P25 P27 P29 P31 P33">
    <cfRule type="expression" dxfId="125" priority="5">
      <formula>LEFT(P34,1)="4"</formula>
    </cfRule>
  </conditionalFormatting>
  <conditionalFormatting sqref="P12 P14 P16 P18 P20 P22 P24 P26 P28 P30 P32 P34">
    <cfRule type="expression" dxfId="124" priority="6">
      <formula>LEFT(P12,1)="4"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23" priority="7">
      <formula>H7=0</formula>
    </cfRule>
  </conditionalFormatting>
  <conditionalFormatting sqref="AA7 AA9 AA11 AA13 AA15 AA17 AA19 AA21 AA23 AA25 AA27 AA29 AA31 AA33 AA35 AA37 AA39 AA41 AA43 AA45 AA47">
    <cfRule type="expression" dxfId="122" priority="8">
      <formula>AA7=0</formula>
    </cfRule>
  </conditionalFormatting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1000"/>
  <sheetViews>
    <sheetView showGridLines="0" topLeftCell="D4" workbookViewId="0">
      <selection activeCell="Y19" sqref="Y19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.7109375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6</v>
      </c>
      <c r="E2" s="196" t="s">
        <v>165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166</v>
      </c>
      <c r="F7" s="38"/>
      <c r="G7" s="181">
        <f>IF(COUNT(M7:Y7)=0,"",(COUNT(M7:Y7)))</f>
        <v>12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8</v>
      </c>
      <c r="I7" s="186">
        <f>IF(ISERROR(G7-H7),"",G7-H7)</f>
        <v>4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38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33</v>
      </c>
      <c r="L7" s="39"/>
      <c r="M7" s="41">
        <v>21.35</v>
      </c>
      <c r="N7" s="41">
        <v>23.12</v>
      </c>
      <c r="O7" s="41">
        <v>19.47</v>
      </c>
      <c r="P7" s="41">
        <v>21.29</v>
      </c>
      <c r="Q7" s="41">
        <v>19.510000000000002</v>
      </c>
      <c r="R7" s="41">
        <v>19.36</v>
      </c>
      <c r="S7" s="41">
        <v>18.09</v>
      </c>
      <c r="T7" s="41"/>
      <c r="U7" s="41">
        <v>27.24</v>
      </c>
      <c r="V7" s="41">
        <v>20.079999999999998</v>
      </c>
      <c r="W7" s="41">
        <v>21.96</v>
      </c>
      <c r="X7" s="60">
        <v>23.41</v>
      </c>
      <c r="Y7" s="41">
        <v>22.44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6</v>
      </c>
      <c r="AB7" s="183">
        <f>IF(ISERROR(SUM(M7:Y7)/G7),"",(SUM(M7:Y7)/G7))</f>
        <v>21.443333333333332</v>
      </c>
      <c r="AC7" s="184">
        <f>IF(ISERROR(SUM(M7:Y7)/G7+H7),"",(SUM(M7:Y7)/G7+H7))</f>
        <v>29.443333333333332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Allocation'!$B$30:$B$37,MATCH(Bridport!$D$2,'Number Allocation'!$D$30:$D$37,0))),0,(INDEX('Number Allocation'!$B$30:$B$37,MATCH(Bridport!$D$2,'Number Allocation'!$D$30:$D$37,0))))+IF(ISERROR(INDEX('Number Allocation'!$D$30:$D$37,MATCH(Bridport!$D$2,'Number Allocation'!$B$30:$B$37,0))),0,(INDEX('Number Allocation'!$D$30:$D$37,MATCH(Bridport!$D$2,'Number Allocation'!$B$30:$B$37,0))))</f>
        <v>9</v>
      </c>
      <c r="AK7" s="44">
        <v>1</v>
      </c>
      <c r="AL7" s="44" t="str">
        <f>VLOOKUP(AJ7,'Number Allocation'!$I$7:$J$22,2,0)</f>
        <v>Poole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AS7" s="44">
        <f t="shared" ref="AS7:AS19" si="0">IF(SUM(AO7:AQ7)=0,0,(12-AR7))</f>
        <v>9</v>
      </c>
      <c r="AT7" s="2"/>
      <c r="AU7" s="44">
        <f t="shared" ref="AU7:AU19" si="1">(AR7)</f>
        <v>3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93</v>
      </c>
      <c r="N8" s="41" t="s">
        <v>97</v>
      </c>
      <c r="O8" s="41" t="s">
        <v>84</v>
      </c>
      <c r="P8" s="41" t="s">
        <v>94</v>
      </c>
      <c r="Q8" s="41" t="s">
        <v>84</v>
      </c>
      <c r="R8" s="41" t="s">
        <v>85</v>
      </c>
      <c r="S8" s="41" t="s">
        <v>88</v>
      </c>
      <c r="T8" s="41"/>
      <c r="U8" s="41" t="s">
        <v>78</v>
      </c>
      <c r="V8" s="41" t="s">
        <v>85</v>
      </c>
      <c r="W8" s="41" t="s">
        <v>202</v>
      </c>
      <c r="X8" s="60" t="s">
        <v>90</v>
      </c>
      <c r="Y8" s="41" t="s">
        <v>90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Allocation'!$H$30:$H$37,MATCH(Bridport!$D$2,'Number Allocation'!$F$30:$F$37,0))),0,(INDEX('Number Allocation'!$H$30:$H$37,MATCH(Bridport!$D$2,'Number Allocation'!$F$30:$F$37,0))))+IF(ISERROR(INDEX('Number Allocation'!$F$30:$F$37,MATCH(Bridport!$D$2,'Number Allocation'!$H$30:$H$37,0))),0,(INDEX('Number Allocation'!$F$30:$F$37,MATCH(Bridport!$D$2,'Number Allocation'!$H$30:$H$37,0))))</f>
        <v>10</v>
      </c>
      <c r="AK8" s="44">
        <v>2</v>
      </c>
      <c r="AL8" s="44" t="str">
        <f>VLOOKUP(AJ8,'Number Allocation'!$I$7:$J$22,2,0)</f>
        <v>Lytchett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</v>
      </c>
      <c r="AS8" s="44">
        <f t="shared" si="0"/>
        <v>11</v>
      </c>
      <c r="AT8" s="2"/>
      <c r="AU8" s="44">
        <f t="shared" si="1"/>
        <v>1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167</v>
      </c>
      <c r="F9" s="38"/>
      <c r="G9" s="181">
        <f>IF(COUNT(M9:Y9)=0,"",(COUNT(M9:Y9)))</f>
        <v>9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2</v>
      </c>
      <c r="I9" s="186">
        <f>IF(ISERROR(G9-H9),"",G9-H9)</f>
        <v>7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25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34</v>
      </c>
      <c r="L9" s="39"/>
      <c r="M9" s="41">
        <v>16.64</v>
      </c>
      <c r="N9" s="41"/>
      <c r="O9" s="41">
        <v>19.55</v>
      </c>
      <c r="P9" s="41"/>
      <c r="Q9" s="41">
        <v>17.41</v>
      </c>
      <c r="R9" s="41">
        <v>15.39</v>
      </c>
      <c r="S9" s="41">
        <v>19.239999999999998</v>
      </c>
      <c r="T9" s="41">
        <v>18.440000000000001</v>
      </c>
      <c r="U9" s="41">
        <v>16.72</v>
      </c>
      <c r="V9" s="41">
        <v>14.13</v>
      </c>
      <c r="W9" s="41">
        <v>20.7</v>
      </c>
      <c r="X9" s="41"/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183">
        <f>IF(ISERROR(SUM(M9:Y9)/G9),"",(SUM(M9:Y9)/G9))</f>
        <v>17.579999999999998</v>
      </c>
      <c r="AC9" s="184">
        <f>IF(ISERROR(SUM(M9:Y9)/G9+H9),"",(SUM(M9:Y9)/G9+H9))</f>
        <v>19.579999999999998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Allocation'!$J$30:$J$37,MATCH(Bridport!$D$2,'Number Allocation'!$L$30:$L$37,0))),0,(INDEX('Number Allocation'!$J$30:$J$37,MATCH(Bridport!$D$2,'Number Allocation'!$L$30:$L$37,0))))+IF(ISERROR(INDEX('Number Allocation'!$L$30:$L$37,MATCH(Bridport!$D$2,'Number Allocation'!$J$30:$J$37,0))),0,(INDEX('Number Allocation'!$L$30:$L$37,MATCH(Bridport!$D$2,'Number Allocation'!$J$30:$J$37,0))))</f>
        <v>11</v>
      </c>
      <c r="AK9" s="44">
        <v>3</v>
      </c>
      <c r="AL9" s="44" t="str">
        <f>VLOOKUP(AJ9,'Number Allocation'!$I$7:$J$22,2,0)</f>
        <v>Portland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10</v>
      </c>
      <c r="AS9" s="44">
        <f t="shared" si="0"/>
        <v>2</v>
      </c>
      <c r="AT9" s="2"/>
      <c r="AU9" s="44">
        <f t="shared" si="1"/>
        <v>10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90</v>
      </c>
      <c r="N10" s="41"/>
      <c r="O10" s="41" t="s">
        <v>90</v>
      </c>
      <c r="P10" s="41"/>
      <c r="Q10" s="41" t="s">
        <v>88</v>
      </c>
      <c r="R10" s="41" t="s">
        <v>88</v>
      </c>
      <c r="S10" s="41" t="s">
        <v>93</v>
      </c>
      <c r="T10" s="41" t="s">
        <v>83</v>
      </c>
      <c r="U10" s="41" t="s">
        <v>88</v>
      </c>
      <c r="V10" s="41" t="s">
        <v>88</v>
      </c>
      <c r="W10" s="41" t="s">
        <v>93</v>
      </c>
      <c r="X10" s="41"/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Allocation'!$N$30:$N$37,MATCH(Bridport!$D$2,'Number Allocation'!$P$30:$P$37,0))),0,(INDEX('Number Allocation'!$N$30:$N$37,MATCH(Bridport!$D$2,'Number Allocation'!$P$30:$P$37,0))))+IF(ISERROR(INDEX('Number Allocation'!$P$30:$P$37,MATCH(Bridport!$D$2,'Number Allocation'!$N$30:$N$37,0))),0,(INDEX('Number Allocation'!$P$30:$P$37,MATCH(Bridport!$D$2,'Number Allocation'!$N$30:$N$37,0))))</f>
        <v>12</v>
      </c>
      <c r="AK10" s="44">
        <v>4</v>
      </c>
      <c r="AL10" s="44" t="str">
        <f>VLOOKUP(AJ10,'Number Allocation'!$I$7:$J$22,2,0)</f>
        <v>Swanage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AS10" s="44">
        <f t="shared" si="0"/>
        <v>5</v>
      </c>
      <c r="AT10" s="2"/>
      <c r="AU10" s="44">
        <f t="shared" si="1"/>
        <v>7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168</v>
      </c>
      <c r="F11" s="38"/>
      <c r="G11" s="181">
        <f>IF(COUNT(M11:Y11)=0,"",(COUNT(M11:Y11)))</f>
        <v>8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4</v>
      </c>
      <c r="I11" s="186">
        <f>IF(ISERROR(G11-H11),"",G11-H11)</f>
        <v>4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25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22</v>
      </c>
      <c r="L11" s="39"/>
      <c r="M11" s="41"/>
      <c r="N11" s="41">
        <v>21.75</v>
      </c>
      <c r="O11" s="41">
        <v>16.7</v>
      </c>
      <c r="P11" s="41">
        <v>20.73</v>
      </c>
      <c r="Q11" s="41">
        <v>23.89</v>
      </c>
      <c r="R11" s="41">
        <v>20.55</v>
      </c>
      <c r="S11" s="41">
        <v>18.13</v>
      </c>
      <c r="T11" s="41">
        <v>20.66</v>
      </c>
      <c r="U11" s="41">
        <v>18.3</v>
      </c>
      <c r="V11" s="41"/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</v>
      </c>
      <c r="AB11" s="183">
        <f>IF(ISERROR(SUM(M11:Y11)/G11),"",(SUM(M11:Y11)/G11))</f>
        <v>20.088750000000001</v>
      </c>
      <c r="AC11" s="184">
        <f>IF(ISERROR(SUM(M11:Y11)/G11+H11),"",(SUM(M11:Y11)/G11+H11))</f>
        <v>24.088750000000001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Allocation'!$R$30:$R$37,MATCH(Bridport!$D$2,'Number Allocation'!$T$30:$T$37,0))),0,(INDEX('Number Allocation'!$R$30:$R$37,MATCH(Bridport!$D$2,'Number Allocation'!$T$30:$T$37,0))))+IF(ISERROR(INDEX('Number Allocation'!$T$30:$T$37,MATCH(Bridport!$D$2,'Number Allocation'!$R$30:$R$37,0))),0,(INDEX('Number Allocation'!$T$30:$T$37,MATCH(Bridport!$D$2,'Number Allocation'!$R$30:$R$37,0))))</f>
        <v>13</v>
      </c>
      <c r="AK11" s="44">
        <v>5</v>
      </c>
      <c r="AL11" s="44" t="str">
        <f>VLOOKUP(AJ11,'Number Allocation'!$I$7:$J$22,2,0)</f>
        <v>Bournemouth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8</v>
      </c>
      <c r="AS11" s="44">
        <f t="shared" si="0"/>
        <v>4</v>
      </c>
      <c r="AT11" s="2"/>
      <c r="AU11" s="44">
        <f t="shared" si="1"/>
        <v>8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/>
      <c r="N12" s="41" t="s">
        <v>88</v>
      </c>
      <c r="O12" s="41" t="s">
        <v>77</v>
      </c>
      <c r="P12" s="41" t="s">
        <v>78</v>
      </c>
      <c r="Q12" s="41" t="s">
        <v>84</v>
      </c>
      <c r="R12" s="41" t="s">
        <v>88</v>
      </c>
      <c r="S12" s="41" t="s">
        <v>83</v>
      </c>
      <c r="T12" s="41" t="s">
        <v>93</v>
      </c>
      <c r="U12" s="41" t="s">
        <v>81</v>
      </c>
      <c r="V12" s="41"/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Allocation'!$B$44:$B$51,MATCH(Bridport!$D$2,'Number Allocation'!$D$44:$D$51,0))),0,(INDEX('Number Allocation'!$B$44:$B$51,MATCH(Bridport!$D$2,'Number Allocation'!$D$44:$D$51,0))))+IF(ISERROR(INDEX('Number Allocation'!$D$44:$D$51,MATCH(Bridport!$D$2,'Number Allocation'!$B$44:$B$51,0))),0,(INDEX('Number Allocation'!$D$44:$D$51,MATCH(Bridport!$D$2,'Number Allocation'!$B$44:$B$51,0))))</f>
        <v>1</v>
      </c>
      <c r="AK12" s="44">
        <v>6</v>
      </c>
      <c r="AL12" s="44" t="str">
        <f>VLOOKUP(AJ12,'Number Allocation'!$I$7:$J$22,2,0)</f>
        <v>Parkstone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5</v>
      </c>
      <c r="AS12" s="44">
        <f t="shared" si="0"/>
        <v>7</v>
      </c>
      <c r="AT12" s="2"/>
      <c r="AU12" s="44">
        <f t="shared" si="1"/>
        <v>5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169</v>
      </c>
      <c r="F13" s="38"/>
      <c r="G13" s="181">
        <f>IF(COUNT(M13:Y13)=0,"",(COUNT(M13:Y13)))</f>
        <v>7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3</v>
      </c>
      <c r="I13" s="186">
        <f>IF(ISERROR(G13-H13),"",G13-H13)</f>
        <v>4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20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21</v>
      </c>
      <c r="L13" s="39"/>
      <c r="M13" s="41">
        <v>22.38</v>
      </c>
      <c r="N13" s="41"/>
      <c r="O13" s="41"/>
      <c r="P13" s="41"/>
      <c r="Q13" s="41"/>
      <c r="R13" s="41">
        <v>22.27</v>
      </c>
      <c r="S13" s="41">
        <v>18.54</v>
      </c>
      <c r="T13" s="41"/>
      <c r="U13" s="41">
        <v>21.02</v>
      </c>
      <c r="V13" s="41">
        <v>20.239999999999998</v>
      </c>
      <c r="W13" s="41">
        <v>26.24</v>
      </c>
      <c r="X13" s="41"/>
      <c r="Y13" s="41">
        <v>25.17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183">
        <f>IF(ISERROR(SUM(M13:Y13)/G13),"",(SUM(M13:Y13)/G13))</f>
        <v>22.265714285714289</v>
      </c>
      <c r="AC13" s="184">
        <f>IF(ISERROR(SUM(M13:Y13)/G13+H13),"",(SUM(M13:Y13)/G13+H13))</f>
        <v>25.265714285714289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Allocation'!$H$44:$H$51,MATCH(Bridport!$D$2,'Number Allocation'!$F$44:$F$51,0))),0,(INDEX('Number Allocation'!$H$44:$H$51,MATCH(Bridport!$D$2,'Number Allocation'!$F$44:$F$51,0))))+IF(ISERROR(INDEX('Number Allocation'!$F$44:$F$51,MATCH(Bridport!$D$2,'Number Allocation'!$H$44:$H$51,0))),0,(INDEX('Number Allocation'!$F$44:$F$51,MATCH(Bridport!$D$2,'Number Allocation'!$H$44:$H$51,0))))</f>
        <v>2</v>
      </c>
      <c r="AK13" s="44">
        <v>7</v>
      </c>
      <c r="AL13" s="44" t="str">
        <f>VLOOKUP(AJ13,'Number Allocation'!$I$7:$J$22,2,0)</f>
        <v>Alderney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90</v>
      </c>
      <c r="N14" s="41"/>
      <c r="O14" s="41"/>
      <c r="P14" s="41"/>
      <c r="Q14" s="41"/>
      <c r="R14" s="41" t="s">
        <v>99</v>
      </c>
      <c r="S14" s="41" t="s">
        <v>78</v>
      </c>
      <c r="T14" s="41"/>
      <c r="U14" s="41" t="s">
        <v>99</v>
      </c>
      <c r="V14" s="41" t="s">
        <v>93</v>
      </c>
      <c r="W14" s="41" t="s">
        <v>78</v>
      </c>
      <c r="X14" s="41"/>
      <c r="Y14" s="41" t="s">
        <v>88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Allocation'!$J$44:$J$51,MATCH(Bridport!$D$2,'Number Allocation'!$L$44:$L$51,0))),0,(INDEX('Number Allocation'!$J$44:$J$51,MATCH(Bridport!$D$2,'Number Allocation'!$L$44:$L$51,0))))+IF(ISERROR(INDEX('Number Allocation'!$L$44:$L$51,MATCH(Bridport!$D$2,'Number Allocation'!$J$44:$J$51,0))),0,(INDEX('Number Allocation'!$L$44:$L$51,MATCH(Bridport!$D$2,'Number Allocation'!$J$44:$J$51,0))))</f>
        <v>3</v>
      </c>
      <c r="AK14" s="44">
        <v>8</v>
      </c>
      <c r="AL14" s="44" t="str">
        <f>VLOOKUP(AJ14,'Number Allocation'!$I$7:$J$22,2,0)</f>
        <v>Weymouth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7</v>
      </c>
      <c r="AS14" s="44">
        <f t="shared" si="0"/>
        <v>5</v>
      </c>
      <c r="AT14" s="2"/>
      <c r="AU14" s="44">
        <f t="shared" si="1"/>
        <v>7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170</v>
      </c>
      <c r="F15" s="38"/>
      <c r="G15" s="181">
        <f>IF(COUNT(M15:Y15)=0,"",(COUNT(M15:Y15)))</f>
        <v>6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186">
        <f>IF(ISERROR(G15-H15),"",G15-H15)</f>
        <v>5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12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22</v>
      </c>
      <c r="L15" s="39"/>
      <c r="M15" s="41"/>
      <c r="N15" s="41">
        <v>20.21</v>
      </c>
      <c r="O15" s="41"/>
      <c r="P15" s="41">
        <v>20.59</v>
      </c>
      <c r="Q15" s="41"/>
      <c r="R15" s="41"/>
      <c r="S15" s="41">
        <v>18.63</v>
      </c>
      <c r="T15" s="41">
        <v>16.190000000000001</v>
      </c>
      <c r="U15" s="41"/>
      <c r="V15" s="41"/>
      <c r="W15" s="41"/>
      <c r="X15" s="60">
        <v>20.91</v>
      </c>
      <c r="Y15" s="41">
        <v>17.72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183">
        <f>IF(ISERROR(SUM(M15:Y15)/G15),"",(SUM(M15:Y15)/G15))</f>
        <v>19.041666666666664</v>
      </c>
      <c r="AC15" s="184">
        <f>IF(ISERROR(SUM(M15:Y15)/G15+H15),"",(SUM(M15:Y15)/G15+H15))</f>
        <v>20.041666666666664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Allocation'!$N$44:$N$51,MATCH(Bridport!$D$2,'Number Allocation'!$P$44:$P$51,0))),0,(INDEX('Number Allocation'!$N$44:$N$51,MATCH(Bridport!$D$2,'Number Allocation'!$P$44:$P$51,0))))+IF(ISERROR(INDEX('Number Allocation'!$P$44:$P$51,MATCH(Bridport!$D$2,'Number Allocation'!$N$44:$N$51,0))),0,(INDEX('Number Allocation'!$P$44:$P$51,MATCH(Bridport!$D$2,'Number Allocation'!$N$44:$N$51,0))))</f>
        <v>4</v>
      </c>
      <c r="AK15" s="44">
        <v>9</v>
      </c>
      <c r="AL15" s="44" t="str">
        <f>VLOOKUP(AJ15,'Number Allocation'!$I$7:$J$22,2,0)</f>
        <v>Dorchester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1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AS15" s="44">
        <f t="shared" si="0"/>
        <v>10</v>
      </c>
      <c r="AT15" s="2"/>
      <c r="AU15" s="44">
        <f t="shared" si="1"/>
        <v>2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/>
      <c r="N16" s="41" t="s">
        <v>81</v>
      </c>
      <c r="O16" s="41"/>
      <c r="P16" s="41" t="s">
        <v>88</v>
      </c>
      <c r="Q16" s="41"/>
      <c r="R16" s="41"/>
      <c r="S16" s="41" t="s">
        <v>88</v>
      </c>
      <c r="T16" s="41" t="s">
        <v>81</v>
      </c>
      <c r="U16" s="41"/>
      <c r="V16" s="41"/>
      <c r="W16" s="41"/>
      <c r="X16" s="60" t="s">
        <v>91</v>
      </c>
      <c r="Y16" s="41" t="s">
        <v>84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Allocation'!$R$44:$R$51,MATCH(Bridport!$D$2,'Number Allocation'!$T$44:$T$51,0))),0,(INDEX('Number Allocation'!$R$44:$R$51,MATCH(Bridport!$D$2,'Number Allocation'!$T$44:$T$51,0))))+IF(ISERROR(INDEX('Number Allocation'!$T$44:$T$51,MATCH(Bridport!$D$2,'Number Allocation'!$R$44:$R$51,0))),0,(INDEX('Number Allocation'!$T$44:$T$51,MATCH(Bridport!$D$2,'Number Allocation'!$R$44:$R$51,0))))</f>
        <v>5</v>
      </c>
      <c r="AK16" s="44">
        <v>10</v>
      </c>
      <c r="AL16" s="44" t="str">
        <f>VLOOKUP(AJ16,'Number Allocation'!$I$7:$J$22,2,0)</f>
        <v>Boscombe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1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5</v>
      </c>
      <c r="AS16" s="44">
        <f t="shared" si="0"/>
        <v>7</v>
      </c>
      <c r="AT16" s="2"/>
      <c r="AU16" s="44">
        <f t="shared" si="1"/>
        <v>5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171</v>
      </c>
      <c r="F17" s="38"/>
      <c r="G17" s="181" t="str">
        <f>IF(COUNT(M17:Y17)=0,"",(COUNT(M17:Y17)))</f>
        <v/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186" t="str">
        <f>IF(ISERROR(G17-H17),"",G17-H17)</f>
        <v/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0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0</v>
      </c>
      <c r="L17" s="39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 t="str">
        <f>IF(ISERROR(SUM(M17:Y17)/G17),"",(SUM(M17:Y17)/G17))</f>
        <v/>
      </c>
      <c r="AC17" s="184" t="str">
        <f>IF(ISERROR(SUM(M17:Y17)/G17+H17),"",(SUM(M17:Y17)/G17+H17))</f>
        <v/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Allocation'!$B$58:$B$65,MATCH(Bridport!$D$2,'Number Allocation'!$D$58:$D$65,0))),0,(INDEX('Number Allocation'!$B$58:$B$65,MATCH(Bridport!$D$2,'Number Allocation'!$D$58:$D$65,0))))+IF(ISERROR(INDEX('Number Allocation'!$D$58:$D$65,MATCH(Bridport!$D$2,'Number Allocation'!$B$58:$B$65,0))),0,(INDEX('Number Allocation'!$D$58:$D$65,MATCH(Bridport!$D$2,'Number Allocation'!$B$58:$B$65,0))))</f>
        <v>14</v>
      </c>
      <c r="AK17" s="44">
        <v>11</v>
      </c>
      <c r="AL17" s="44" t="str">
        <f>VLOOKUP(AJ17,'Number Allocation'!$I$7:$J$22,2,0)</f>
        <v>Christchurch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1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AS17" s="44">
        <f t="shared" si="0"/>
        <v>4</v>
      </c>
      <c r="AT17" s="2"/>
      <c r="AU17" s="44">
        <f t="shared" si="1"/>
        <v>8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Allocation'!$H$58:$H$65,MATCH(Bridport!$D$2,'Number Allocation'!$F$58:$F$65,0))),0,(INDEX('Number Allocation'!$H$58:$H$65,MATCH(Bridport!$D$2,'Number Allocation'!$F$58:$F$65,0))))+IF(ISERROR(INDEX('Number Allocation'!$F$58:$F$65,MATCH(Bridport!$D$2,'Number Allocation'!$H$58:$H$65,0))),0,(INDEX('Number Allocation'!$F$58:$F$65,MATCH(Bridport!$D$2,'Number Allocation'!$H$58:$H$65,0))))</f>
        <v>7</v>
      </c>
      <c r="AK18" s="44">
        <v>12</v>
      </c>
      <c r="AL18" s="44" t="str">
        <f>VLOOKUP(AJ18,'Number Allocation'!$I$7:$J$22,2,0)</f>
        <v>Shaftesbury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1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6</v>
      </c>
      <c r="AS18" s="44">
        <f t="shared" si="0"/>
        <v>6</v>
      </c>
      <c r="AT18" s="2"/>
      <c r="AU18" s="44">
        <f t="shared" si="1"/>
        <v>6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172</v>
      </c>
      <c r="F19" s="38"/>
      <c r="G19" s="181">
        <f>IF(COUNT(M19:Y19)=0,"",(COUNT(M19:Y19)))</f>
        <v>11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10</v>
      </c>
      <c r="I19" s="186">
        <f>IF(ISERROR(G19-H19),"",G19-H19)</f>
        <v>1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42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16</v>
      </c>
      <c r="L19" s="39"/>
      <c r="M19" s="41"/>
      <c r="N19" s="41">
        <v>26.85</v>
      </c>
      <c r="O19" s="41">
        <v>24.95</v>
      </c>
      <c r="P19" s="41">
        <v>25.05</v>
      </c>
      <c r="Q19" s="41">
        <v>21.84</v>
      </c>
      <c r="R19" s="41">
        <v>27.47</v>
      </c>
      <c r="S19" s="41">
        <v>22.01</v>
      </c>
      <c r="T19" s="41">
        <v>26.39</v>
      </c>
      <c r="U19" s="41">
        <v>23.16</v>
      </c>
      <c r="V19" s="41">
        <v>25.37</v>
      </c>
      <c r="W19" s="41"/>
      <c r="X19" s="60">
        <v>27.91</v>
      </c>
      <c r="Y19" s="41">
        <v>28.77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4</v>
      </c>
      <c r="AB19" s="183">
        <f>IF(ISERROR(SUM(M19:Y19)/G19),"",(SUM(M19:Y19)/G19))</f>
        <v>25.433636363636364</v>
      </c>
      <c r="AC19" s="184">
        <f>IF(ISERROR(SUM(M19:Y19)/G19+H19),"",(SUM(M19:Y19)/G19+H19))</f>
        <v>35.433636363636367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Allocation'!$J$58:$J$65,MATCH(Bridport!$D$2,'Number Allocation'!$L$58:$L$65,0))),0,(INDEX('Number Allocation'!$J$58:$J$65,MATCH(Bridport!$D$2,'Number Allocation'!$L$58:$L$65,0))))+IF(ISERROR(INDEX('Number Allocation'!$L$58:$L$65,MATCH(Bridport!$D$2,'Number Allocation'!$J$58:$J$65,0))),0,(INDEX('Number Allocation'!$L$58:$L$65,MATCH(Bridport!$D$2,'Number Allocation'!$J$58:$J$65,0))))</f>
        <v>8</v>
      </c>
      <c r="AK19" s="44">
        <v>13</v>
      </c>
      <c r="AL19" s="44" t="str">
        <f>VLOOKUP(AJ19,'Number Allocation'!$I$7:$J$22,2,0)</f>
        <v>Alderholt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7</v>
      </c>
      <c r="AS19" s="44">
        <f t="shared" si="0"/>
        <v>5</v>
      </c>
      <c r="AT19" s="2"/>
      <c r="AU19" s="44">
        <f t="shared" si="1"/>
        <v>7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/>
      <c r="N20" s="41" t="s">
        <v>99</v>
      </c>
      <c r="O20" s="41" t="s">
        <v>84</v>
      </c>
      <c r="P20" s="41" t="s">
        <v>77</v>
      </c>
      <c r="Q20" s="41" t="s">
        <v>84</v>
      </c>
      <c r="R20" s="41" t="s">
        <v>78</v>
      </c>
      <c r="S20" s="41" t="s">
        <v>78</v>
      </c>
      <c r="T20" s="41" t="s">
        <v>84</v>
      </c>
      <c r="U20" s="41" t="s">
        <v>78</v>
      </c>
      <c r="V20" s="41" t="s">
        <v>86</v>
      </c>
      <c r="W20" s="41"/>
      <c r="X20" s="60" t="s">
        <v>79</v>
      </c>
      <c r="Y20" s="41" t="s">
        <v>202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173</v>
      </c>
      <c r="F21" s="38"/>
      <c r="G21" s="181">
        <f>IF(COUNT(M21:Y21)=0,"",(COUNT(M21:Y21)))</f>
        <v>10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6</v>
      </c>
      <c r="I21" s="186">
        <f>IF(ISERROR(G21-H21),"",G21-H21)</f>
        <v>4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29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26</v>
      </c>
      <c r="L21" s="39"/>
      <c r="M21" s="41">
        <v>20.28</v>
      </c>
      <c r="N21" s="41">
        <v>20.49</v>
      </c>
      <c r="O21" s="41">
        <v>20.84</v>
      </c>
      <c r="P21" s="41">
        <v>21.5</v>
      </c>
      <c r="Q21" s="41">
        <v>23.28</v>
      </c>
      <c r="R21" s="41">
        <v>19.68</v>
      </c>
      <c r="S21" s="41"/>
      <c r="T21" s="41">
        <v>19.14</v>
      </c>
      <c r="U21" s="41"/>
      <c r="V21" s="41"/>
      <c r="W21" s="41">
        <v>22.02</v>
      </c>
      <c r="X21" s="60">
        <v>13.82</v>
      </c>
      <c r="Y21" s="41">
        <v>21.19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20.223999999999997</v>
      </c>
      <c r="AC21" s="184">
        <f>IF(ISERROR(SUM(M21:Y21)/G21+H21),"",(SUM(M21:Y21)/G21+H21))</f>
        <v>26.223999999999997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6</v>
      </c>
      <c r="AP21" s="44">
        <f t="shared" si="2"/>
        <v>2</v>
      </c>
      <c r="AQ21" s="44">
        <f t="shared" si="2"/>
        <v>5</v>
      </c>
      <c r="AR21" s="44">
        <f t="shared" si="2"/>
        <v>75</v>
      </c>
      <c r="AS21" s="44">
        <f t="shared" si="2"/>
        <v>81</v>
      </c>
      <c r="AT21" s="2"/>
      <c r="AU21" s="44">
        <f>SUM(AU7:AU19)</f>
        <v>75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88</v>
      </c>
      <c r="N22" s="41" t="s">
        <v>90</v>
      </c>
      <c r="O22" s="41" t="s">
        <v>84</v>
      </c>
      <c r="P22" s="41" t="s">
        <v>90</v>
      </c>
      <c r="Q22" s="41" t="s">
        <v>93</v>
      </c>
      <c r="R22" s="41" t="s">
        <v>81</v>
      </c>
      <c r="S22" s="41"/>
      <c r="T22" s="41" t="s">
        <v>93</v>
      </c>
      <c r="U22" s="41"/>
      <c r="V22" s="41"/>
      <c r="W22" s="41" t="s">
        <v>77</v>
      </c>
      <c r="X22" s="60" t="s">
        <v>78</v>
      </c>
      <c r="Y22" s="41" t="s">
        <v>79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174</v>
      </c>
      <c r="F23" s="38"/>
      <c r="G23" s="181">
        <f>IF(COUNT(M23:Y23)=0,"",(COUNT(M23:Y23)))</f>
        <v>7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6</v>
      </c>
      <c r="I23" s="186">
        <f>IF(ISERROR(G23-H23),"",G23-H23)</f>
        <v>1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25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10</v>
      </c>
      <c r="L23" s="39"/>
      <c r="M23" s="41">
        <v>20.02</v>
      </c>
      <c r="N23" s="40">
        <v>21.02</v>
      </c>
      <c r="O23" s="41">
        <v>20.9</v>
      </c>
      <c r="P23" s="41"/>
      <c r="Q23" s="41">
        <v>21.36</v>
      </c>
      <c r="R23" s="41">
        <v>22.9</v>
      </c>
      <c r="S23" s="41"/>
      <c r="T23" s="41"/>
      <c r="U23" s="41"/>
      <c r="V23" s="41"/>
      <c r="W23" s="41">
        <v>23.58</v>
      </c>
      <c r="X23" s="41"/>
      <c r="Y23" s="41">
        <v>18.75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21.218571428571426</v>
      </c>
      <c r="AC23" s="184">
        <f>IF(ISERROR(SUM(M23:Y23)/G23+H23),"",(SUM(M23:Y23)/G23+H23))</f>
        <v>27.218571428571426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90</v>
      </c>
      <c r="N24" s="41" t="s">
        <v>78</v>
      </c>
      <c r="O24" s="41" t="s">
        <v>77</v>
      </c>
      <c r="P24" s="41"/>
      <c r="Q24" s="41" t="s">
        <v>93</v>
      </c>
      <c r="R24" s="41" t="s">
        <v>78</v>
      </c>
      <c r="S24" s="41"/>
      <c r="T24" s="41"/>
      <c r="U24" s="41"/>
      <c r="V24" s="41"/>
      <c r="W24" s="41" t="s">
        <v>77</v>
      </c>
      <c r="X24" s="41"/>
      <c r="Y24" s="41" t="s">
        <v>79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175</v>
      </c>
      <c r="F25" s="38"/>
      <c r="G25" s="181">
        <f>IF(COUNT(M25:Y25)=0,"",(COUNT(M25:Y25)))</f>
        <v>9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2</v>
      </c>
      <c r="I25" s="186">
        <f>IF(ISERROR(G25-H25),"",G25-H25)</f>
        <v>7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17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31</v>
      </c>
      <c r="L25" s="39"/>
      <c r="M25" s="41">
        <v>22.44</v>
      </c>
      <c r="N25" s="41">
        <v>18.440000000000001</v>
      </c>
      <c r="O25" s="41">
        <v>18.32</v>
      </c>
      <c r="P25" s="41">
        <v>20.81</v>
      </c>
      <c r="Q25" s="41">
        <v>19.95</v>
      </c>
      <c r="R25" s="41">
        <v>19.89</v>
      </c>
      <c r="S25" s="41"/>
      <c r="T25" s="41"/>
      <c r="U25" s="41"/>
      <c r="V25" s="41">
        <v>20.43</v>
      </c>
      <c r="W25" s="41">
        <v>21.35</v>
      </c>
      <c r="X25" s="60">
        <v>20.45</v>
      </c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183">
        <f>IF(ISERROR(SUM(M25:Y25)/G25),"",(SUM(M25:Y25)/G25))</f>
        <v>20.231111111111108</v>
      </c>
      <c r="AC25" s="184">
        <f>IF(ISERROR(SUM(M25:Y25)/G25+H25),"",(SUM(M25:Y25)/G25+H25))</f>
        <v>22.231111111111108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 t="s">
        <v>90</v>
      </c>
      <c r="N26" s="41" t="s">
        <v>81</v>
      </c>
      <c r="O26" s="41" t="s">
        <v>78</v>
      </c>
      <c r="P26" s="41" t="s">
        <v>84</v>
      </c>
      <c r="Q26" s="41" t="s">
        <v>90</v>
      </c>
      <c r="R26" s="41" t="s">
        <v>99</v>
      </c>
      <c r="S26" s="41"/>
      <c r="T26" s="41"/>
      <c r="U26" s="41"/>
      <c r="V26" s="41" t="s">
        <v>99</v>
      </c>
      <c r="W26" s="41" t="s">
        <v>81</v>
      </c>
      <c r="X26" s="60" t="s">
        <v>88</v>
      </c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176</v>
      </c>
      <c r="F27" s="38"/>
      <c r="G27" s="181">
        <f>IF(COUNT(M27:Y27)=0,"",(COUNT(M27:Y27)))</f>
        <v>3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186">
        <f>IF(ISERROR(G27-H27),"",G27-H27)</f>
        <v>3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5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12</v>
      </c>
      <c r="L27" s="39"/>
      <c r="M27" s="41"/>
      <c r="N27" s="41">
        <v>19.829999999999998</v>
      </c>
      <c r="O27" s="41"/>
      <c r="P27" s="41">
        <v>18.09</v>
      </c>
      <c r="Q27" s="41"/>
      <c r="R27" s="41"/>
      <c r="S27" s="41"/>
      <c r="T27" s="41"/>
      <c r="U27" s="41"/>
      <c r="V27" s="41">
        <v>20.09</v>
      </c>
      <c r="W27" s="41"/>
      <c r="X27" s="41"/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19.33666666666667</v>
      </c>
      <c r="AC27" s="184">
        <f>IF(ISERROR(SUM(M27:Y27)/G27+H27),"",(SUM(M27:Y27)/G27+H27))</f>
        <v>19.33666666666667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 t="s">
        <v>99</v>
      </c>
      <c r="O28" s="41"/>
      <c r="P28" s="41" t="s">
        <v>90</v>
      </c>
      <c r="Q28" s="41"/>
      <c r="R28" s="41"/>
      <c r="S28" s="41"/>
      <c r="T28" s="41"/>
      <c r="U28" s="41"/>
      <c r="V28" s="41" t="s">
        <v>99</v>
      </c>
      <c r="W28" s="41"/>
      <c r="X28" s="41"/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177</v>
      </c>
      <c r="F29" s="38"/>
      <c r="G29" s="181">
        <f>IF(COUNT(M29:Y29)=0,"",(COUNT(M29:Y29)))</f>
        <v>11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6</v>
      </c>
      <c r="I29" s="186">
        <f>IF(ISERROR(G29-H29),"",G29-H29)</f>
        <v>5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30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32</v>
      </c>
      <c r="L29" s="39"/>
      <c r="M29" s="41">
        <v>21.09</v>
      </c>
      <c r="N29" s="41"/>
      <c r="O29" s="41">
        <v>21.77</v>
      </c>
      <c r="P29" s="41">
        <v>21.98</v>
      </c>
      <c r="Q29" s="41">
        <v>23.3</v>
      </c>
      <c r="R29" s="41"/>
      <c r="S29" s="41">
        <v>19.87</v>
      </c>
      <c r="T29" s="41">
        <v>21.34</v>
      </c>
      <c r="U29" s="41">
        <v>21.93</v>
      </c>
      <c r="V29" s="41">
        <v>21.98</v>
      </c>
      <c r="W29" s="41">
        <v>21.73</v>
      </c>
      <c r="X29" s="60">
        <v>22.16</v>
      </c>
      <c r="Y29" s="41">
        <v>20.9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3</v>
      </c>
      <c r="AB29" s="183">
        <f>IF(ISERROR(SUM(M29:Y29)/G29),"",(SUM(M29:Y29)/G29))</f>
        <v>21.640909090909091</v>
      </c>
      <c r="AC29" s="184">
        <f>IF(ISERROR(SUM(M29:Y29)/G29+H29),"",(SUM(M29:Y29)/G29+H29))</f>
        <v>27.640909090909091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 t="s">
        <v>93</v>
      </c>
      <c r="N30" s="41"/>
      <c r="O30" s="41" t="s">
        <v>84</v>
      </c>
      <c r="P30" s="41" t="s">
        <v>99</v>
      </c>
      <c r="Q30" s="41" t="s">
        <v>86</v>
      </c>
      <c r="R30" s="41"/>
      <c r="S30" s="41" t="s">
        <v>91</v>
      </c>
      <c r="T30" s="41" t="s">
        <v>84</v>
      </c>
      <c r="U30" s="41" t="s">
        <v>100</v>
      </c>
      <c r="V30" s="41" t="s">
        <v>93</v>
      </c>
      <c r="W30" s="41" t="s">
        <v>81</v>
      </c>
      <c r="X30" s="60" t="s">
        <v>84</v>
      </c>
      <c r="Y30" s="41" t="s">
        <v>99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178</v>
      </c>
      <c r="F31" s="38"/>
      <c r="G31" s="181">
        <f>IF(COUNT(M31:Y31)=0,"",(COUNT(M31:Y31)))</f>
        <v>5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186">
        <f>IF(ISERROR(G31-H31),"",G31-H31)</f>
        <v>4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10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16</v>
      </c>
      <c r="L31" s="39"/>
      <c r="M31" s="41"/>
      <c r="N31" s="41"/>
      <c r="O31" s="41"/>
      <c r="P31" s="41"/>
      <c r="Q31" s="41"/>
      <c r="R31" s="41"/>
      <c r="S31" s="41">
        <v>17.89</v>
      </c>
      <c r="T31" s="41">
        <v>18.09</v>
      </c>
      <c r="U31" s="41">
        <v>19.850000000000001</v>
      </c>
      <c r="V31" s="41">
        <v>16.57</v>
      </c>
      <c r="W31" s="41"/>
      <c r="X31" s="60">
        <v>17.010000000000002</v>
      </c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17.882000000000001</v>
      </c>
      <c r="AC31" s="184">
        <f>IF(ISERROR(SUM(M31:Y31)/G31+H31),"",(SUM(M31:Y31)/G31+H31))</f>
        <v>18.882000000000001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 t="s">
        <v>77</v>
      </c>
      <c r="T32" s="41" t="s">
        <v>90</v>
      </c>
      <c r="U32" s="41" t="s">
        <v>99</v>
      </c>
      <c r="V32" s="41" t="s">
        <v>81</v>
      </c>
      <c r="W32" s="41"/>
      <c r="X32" s="60" t="s">
        <v>88</v>
      </c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 t="s">
        <v>179</v>
      </c>
      <c r="F33" s="38"/>
      <c r="G33" s="181">
        <f>IF(COUNT(M33:Y33)=0,"",(COUNT(M33:Y33)))</f>
        <v>6</v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2</v>
      </c>
      <c r="I33" s="186">
        <f>IF(ISERROR(G33-H33),"",G33-H33)</f>
        <v>4</v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14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21</v>
      </c>
      <c r="L33" s="39"/>
      <c r="M33" s="41">
        <v>17.27</v>
      </c>
      <c r="N33" s="41"/>
      <c r="O33" s="41"/>
      <c r="P33" s="41"/>
      <c r="Q33" s="41"/>
      <c r="R33" s="41"/>
      <c r="S33" s="41"/>
      <c r="T33" s="41">
        <v>18.52</v>
      </c>
      <c r="U33" s="41">
        <v>19.11</v>
      </c>
      <c r="V33" s="41"/>
      <c r="W33" s="41">
        <v>18.53</v>
      </c>
      <c r="X33" s="60">
        <v>16.600000000000001</v>
      </c>
      <c r="Y33" s="41">
        <v>19.55</v>
      </c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1</v>
      </c>
      <c r="AB33" s="183">
        <f>IF(ISERROR(SUM(M33:Y33)/G33),"",(SUM(M33:Y33)/G33))</f>
        <v>18.263333333333332</v>
      </c>
      <c r="AC33" s="184">
        <f>IF(ISERROR(SUM(M33:Y33)/G33+H33),"",(SUM(M33:Y33)/G33+H33))</f>
        <v>20.263333333333332</v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 t="s">
        <v>90</v>
      </c>
      <c r="N34" s="41"/>
      <c r="O34" s="41"/>
      <c r="P34" s="41"/>
      <c r="Q34" s="41"/>
      <c r="R34" s="41"/>
      <c r="S34" s="41"/>
      <c r="T34" s="41" t="s">
        <v>88</v>
      </c>
      <c r="U34" s="41" t="s">
        <v>99</v>
      </c>
      <c r="V34" s="41"/>
      <c r="W34" s="41" t="s">
        <v>93</v>
      </c>
      <c r="X34" s="60" t="s">
        <v>84</v>
      </c>
      <c r="Y34" s="41" t="s">
        <v>100</v>
      </c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1</v>
      </c>
      <c r="N50" s="44">
        <v>0</v>
      </c>
      <c r="O50" s="44">
        <v>3</v>
      </c>
      <c r="P50" s="44">
        <v>3</v>
      </c>
      <c r="Q50" s="44">
        <v>2</v>
      </c>
      <c r="R50" s="44">
        <v>2</v>
      </c>
      <c r="S50" s="44">
        <v>2</v>
      </c>
      <c r="T50" s="44">
        <v>3</v>
      </c>
      <c r="U50" s="44">
        <v>0</v>
      </c>
      <c r="V50" s="44">
        <v>1</v>
      </c>
      <c r="W50" s="44">
        <v>2</v>
      </c>
      <c r="X50" s="61">
        <v>2</v>
      </c>
      <c r="Y50" s="44">
        <v>3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10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7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8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5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7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2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5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6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7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7:Z7 M9:O9 M23:O23 M25:O25 M27:O27 M29:O29 M31:O31 M33:Z33 M35:Z35 M37:Z37 M39:Z39 M41:Z41 M43:Z43 M45:Z45 M47:Z47 N11:O11 N13:O13 N15:O15 N17:O17 N19:O19 N21:O21 Q9:Z9 Q11:Z11 Q13:Z13 Q15:Z15 Q17:Z17 Q19:Z19 Q21:Z21 Q23:Z23 Q25:Z25 Q27:Z27 Q29:Z29 Q31:Z31 R18">
    <cfRule type="expression" dxfId="121" priority="1">
      <formula>LEFT(R19,1)="4"</formula>
    </cfRule>
  </conditionalFormatting>
  <conditionalFormatting sqref="G7 G9 G11 G13 G15 G17 G19 G21 G23 G25 G27 G29 G31 G33 G35 G37 G39 G41 G43 G45 G47 L7 L9 L11:L48">
    <cfRule type="expression" dxfId="120" priority="2">
      <formula>G7=0</formula>
    </cfRule>
  </conditionalFormatting>
  <conditionalFormatting sqref="M11 M13 M15 M17 M19 M21">
    <cfRule type="expression" dxfId="119" priority="3">
      <formula>LEFT(M12,1)="4"</formula>
    </cfRule>
  </conditionalFormatting>
  <conditionalFormatting sqref="M8:Y8 M10:O10 M12:O12 M14:O14 M16:O16 M18:O18 M20:O20 M22:O22 M24:O24 M26:O26 M28:O28 M30:O30 M32:O32 M34:Y34 M36:Y36 M38:Y38 M40:Y40 M42:Y42 M44:Y44 M46:Y46 M48:Y48 Q10:Y10 Q12:Y12 Q14:Y14 Q16:Y16 Q18:Y18 Q20:Y20 Q22:Y22 Q24:Y24 Q26:Y26 Q28:Y28 Q30:Y30 Q32:Y32">
    <cfRule type="expression" dxfId="118" priority="4">
      <formula>LEFT(M8,1)="4"</formula>
    </cfRule>
  </conditionalFormatting>
  <conditionalFormatting sqref="P9 P11 P13 P15 P17 P19 P21 P23 P25 P27 P29 P31">
    <cfRule type="expression" dxfId="117" priority="5">
      <formula>LEFT(P10,1)="4"</formula>
    </cfRule>
  </conditionalFormatting>
  <conditionalFormatting sqref="P10 P12 P14 P16 P18 P20 P22 P24 P26 P28 P30 P32">
    <cfRule type="expression" dxfId="116" priority="6">
      <formula>LEFT(P10,1)="4"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15" priority="7">
      <formula>H7=0</formula>
    </cfRule>
  </conditionalFormatting>
  <conditionalFormatting sqref="AA7 AA9 AA11 AA13 AA15 AA17 AA19 AA21 AA23 AA25 AA27 AA29 AA31 AA33 AA35 AA37 AA39 AA41 AA43 AA45 AA47">
    <cfRule type="expression" dxfId="114" priority="8">
      <formula>AA7=0</formula>
    </cfRule>
  </conditionalFormatting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000"/>
  <sheetViews>
    <sheetView showGridLines="0" topLeftCell="A5" workbookViewId="0">
      <selection activeCell="Y18" sqref="Y18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14</v>
      </c>
      <c r="E2" s="196" t="s">
        <v>180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181</v>
      </c>
      <c r="F7" s="38"/>
      <c r="G7" s="181">
        <f>IF(COUNT(M7:Y7)=0,"",(COUNT(M7:Y7)))</f>
        <v>8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5</v>
      </c>
      <c r="I7" s="186">
        <f>IF(ISERROR(G7-H7),"",G7-H7)</f>
        <v>3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22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18</v>
      </c>
      <c r="L7" s="39"/>
      <c r="M7" s="41"/>
      <c r="N7" s="41">
        <v>23.49</v>
      </c>
      <c r="O7" s="41"/>
      <c r="P7" s="41"/>
      <c r="Q7" s="41">
        <v>23.74</v>
      </c>
      <c r="R7" s="41">
        <v>23.52</v>
      </c>
      <c r="S7" s="41">
        <v>24.95</v>
      </c>
      <c r="T7" s="41">
        <v>18.920000000000002</v>
      </c>
      <c r="U7" s="41"/>
      <c r="V7" s="41">
        <v>23.18</v>
      </c>
      <c r="W7" s="41"/>
      <c r="X7" s="60">
        <v>23.3</v>
      </c>
      <c r="Y7" s="41">
        <v>25.34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4</v>
      </c>
      <c r="AB7" s="183">
        <f>IF(ISERROR(SUM(M7:Y7)/G7),"",(SUM(M7:Y7)/G7))</f>
        <v>23.305000000000003</v>
      </c>
      <c r="AC7" s="184">
        <f>IF(ISERROR(SUM(M7:Y7)/G7+H7),"",(SUM(M7:Y7)/G7+H7))</f>
        <v>28.305000000000003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Allocation'!$B$30:$B$37,MATCH(Christchurch!$D$2,'Number Allocation'!$D$30:$D$37,0))),0,(INDEX('Number Allocation'!$B$30:$B$37,MATCH(Christchurch!$D$2,'Number Allocation'!$D$30:$D$37,0))))+IF(ISERROR(INDEX('Number Allocation'!$D$30:$D$37,MATCH(Christchurch!$D$2,'Number Allocation'!$B$30:$B$37,0))),0,(INDEX('Number Allocation'!$D$30:$D$37,MATCH(Christchurch!$D$2,'Number Allocation'!$B$30:$B$37,0))))</f>
        <v>1</v>
      </c>
      <c r="AK7" s="44">
        <v>1</v>
      </c>
      <c r="AL7" s="44" t="str">
        <f>VLOOKUP(AJ7,'Number Allocation'!$I$7:$J$22,2,0)</f>
        <v>Parkstone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10</v>
      </c>
      <c r="AS7" s="44">
        <f t="shared" ref="AS7:AS19" si="0">IF(SUM(AO7:AQ7)=0,0,(12-AR7))</f>
        <v>2</v>
      </c>
      <c r="AT7" s="2"/>
      <c r="AU7" s="44">
        <f t="shared" ref="AU7:AU19" si="1">(AR7)</f>
        <v>10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/>
      <c r="N8" s="41" t="s">
        <v>90</v>
      </c>
      <c r="O8" s="41"/>
      <c r="P8" s="41"/>
      <c r="Q8" s="41" t="s">
        <v>97</v>
      </c>
      <c r="R8" s="41" t="s">
        <v>81</v>
      </c>
      <c r="S8" s="41" t="s">
        <v>78</v>
      </c>
      <c r="T8" s="41" t="s">
        <v>78</v>
      </c>
      <c r="U8" s="41"/>
      <c r="V8" s="41" t="s">
        <v>92</v>
      </c>
      <c r="W8" s="41"/>
      <c r="X8" s="60" t="s">
        <v>77</v>
      </c>
      <c r="Y8" s="41" t="s">
        <v>94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Allocation'!$H$30:$H$37,MATCH(Christchurch!$D$2,'Number Allocation'!$F$30:$F$37,0))),0,(INDEX('Number Allocation'!$H$30:$H$37,MATCH(Christchurch!$D$2,'Number Allocation'!$F$30:$F$37,0))))+IF(ISERROR(INDEX('Number Allocation'!$F$30:$F$37,MATCH(Christchurch!$D$2,'Number Allocation'!$H$30:$H$37,0))),0,(INDEX('Number Allocation'!$F$30:$F$37,MATCH(Christchurch!$D$2,'Number Allocation'!$H$30:$H$37,0))))</f>
        <v>8</v>
      </c>
      <c r="AK8" s="44">
        <v>2</v>
      </c>
      <c r="AL8" s="44" t="str">
        <f>VLOOKUP(AJ8,'Number Allocation'!$I$7:$J$22,2,0)</f>
        <v>Alderholt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44">
        <f t="shared" si="0"/>
        <v>4</v>
      </c>
      <c r="AT8" s="2"/>
      <c r="AU8" s="44">
        <f t="shared" si="1"/>
        <v>8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182</v>
      </c>
      <c r="F9" s="38"/>
      <c r="G9" s="181">
        <f>IF(COUNT(M9:Y9)=0,"",(COUNT(M9:Y9)))</f>
        <v>13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5</v>
      </c>
      <c r="I9" s="186">
        <f>IF(ISERROR(G9-H9),"",G9-H9)</f>
        <v>8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34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42</v>
      </c>
      <c r="L9" s="39"/>
      <c r="M9" s="40">
        <v>19.52</v>
      </c>
      <c r="N9" s="41">
        <v>22.36</v>
      </c>
      <c r="O9" s="41">
        <v>21.31</v>
      </c>
      <c r="P9" s="41">
        <v>19.41</v>
      </c>
      <c r="Q9" s="41">
        <v>20.14</v>
      </c>
      <c r="R9" s="41">
        <v>21.85</v>
      </c>
      <c r="S9" s="41">
        <v>21.47</v>
      </c>
      <c r="T9" s="41">
        <v>22.02</v>
      </c>
      <c r="U9" s="41">
        <v>22.96</v>
      </c>
      <c r="V9" s="41">
        <v>20.04</v>
      </c>
      <c r="W9" s="41">
        <v>19.850000000000001</v>
      </c>
      <c r="X9" s="60">
        <v>17.73</v>
      </c>
      <c r="Y9" s="41">
        <v>20.36</v>
      </c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3</v>
      </c>
      <c r="AB9" s="183">
        <f>IF(ISERROR(SUM(M9:Y9)/G9),"",(SUM(M9:Y9)/G9))</f>
        <v>20.693846153846152</v>
      </c>
      <c r="AC9" s="184">
        <f>IF(ISERROR(SUM(M9:Y9)/G9+H9),"",(SUM(M9:Y9)/G9+H9))</f>
        <v>25.693846153846152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Allocation'!$J$30:$J$37,MATCH(Christchurch!$D$2,'Number Allocation'!$L$30:$L$37,0))),0,(INDEX('Number Allocation'!$J$30:$J$37,MATCH(Christchurch!$D$2,'Number Allocation'!$L$30:$L$37,0))))+IF(ISERROR(INDEX('Number Allocation'!$L$30:$L$37,MATCH(Christchurch!$D$2,'Number Allocation'!$J$30:$J$37,0))),0,(INDEX('Number Allocation'!$L$30:$L$37,MATCH(Christchurch!$D$2,'Number Allocation'!$J$30:$J$37,0))))</f>
        <v>2</v>
      </c>
      <c r="AK9" s="44">
        <v>3</v>
      </c>
      <c r="AL9" s="44" t="str">
        <f>VLOOKUP(AJ9,'Number Allocation'!$I$7:$J$22,2,0)</f>
        <v>Alderney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AS9" s="44">
        <f t="shared" si="0"/>
        <v>0</v>
      </c>
      <c r="AT9" s="2"/>
      <c r="AU9" s="44">
        <f t="shared" si="1"/>
        <v>12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93</v>
      </c>
      <c r="N10" s="41" t="s">
        <v>88</v>
      </c>
      <c r="O10" s="41" t="s">
        <v>84</v>
      </c>
      <c r="P10" s="41" t="s">
        <v>94</v>
      </c>
      <c r="Q10" s="41" t="s">
        <v>97</v>
      </c>
      <c r="R10" s="41" t="s">
        <v>90</v>
      </c>
      <c r="S10" s="41" t="s">
        <v>99</v>
      </c>
      <c r="T10" s="41" t="s">
        <v>77</v>
      </c>
      <c r="U10" s="41" t="s">
        <v>90</v>
      </c>
      <c r="V10" s="41" t="s">
        <v>84</v>
      </c>
      <c r="W10" s="41" t="s">
        <v>83</v>
      </c>
      <c r="X10" s="60" t="s">
        <v>81</v>
      </c>
      <c r="Y10" s="41" t="s">
        <v>88</v>
      </c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Allocation'!$N$30:$N$37,MATCH(Christchurch!$D$2,'Number Allocation'!$P$30:$P$37,0))),0,(INDEX('Number Allocation'!$N$30:$N$37,MATCH(Christchurch!$D$2,'Number Allocation'!$P$30:$P$37,0))))+IF(ISERROR(INDEX('Number Allocation'!$P$30:$P$37,MATCH(Christchurch!$D$2,'Number Allocation'!$N$30:$N$37,0))),0,(INDEX('Number Allocation'!$P$30:$P$37,MATCH(Christchurch!$D$2,'Number Allocation'!$N$30:$N$37,0))))</f>
        <v>9</v>
      </c>
      <c r="AK10" s="44">
        <v>4</v>
      </c>
      <c r="AL10" s="44" t="str">
        <f>VLOOKUP(AJ10,'Number Allocation'!$I$7:$J$22,2,0)</f>
        <v>Poole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10</v>
      </c>
      <c r="AS10" s="44">
        <f t="shared" si="0"/>
        <v>2</v>
      </c>
      <c r="AT10" s="2"/>
      <c r="AU10" s="44">
        <f t="shared" si="1"/>
        <v>10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183</v>
      </c>
      <c r="F11" s="38"/>
      <c r="G11" s="181">
        <f>IF(COUNT(M11:Y11)=0,"",(COUNT(M11:Y11)))</f>
        <v>12</v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9</v>
      </c>
      <c r="I11" s="186">
        <f>IF(ISERROR(G11-H11),"",G11-H11)</f>
        <v>3</v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41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27</v>
      </c>
      <c r="L11" s="39"/>
      <c r="M11" s="41">
        <v>24.29</v>
      </c>
      <c r="N11" s="41">
        <v>25.66</v>
      </c>
      <c r="O11" s="41">
        <v>25.22</v>
      </c>
      <c r="P11" s="41">
        <v>24.25</v>
      </c>
      <c r="Q11" s="41">
        <v>30.36</v>
      </c>
      <c r="R11" s="41">
        <v>24.31</v>
      </c>
      <c r="S11" s="41">
        <v>28.4</v>
      </c>
      <c r="T11" s="41">
        <v>25.15</v>
      </c>
      <c r="U11" s="41">
        <v>26.03</v>
      </c>
      <c r="V11" s="41">
        <v>27.46</v>
      </c>
      <c r="W11" s="41"/>
      <c r="X11" s="60">
        <v>25.74</v>
      </c>
      <c r="Y11" s="41">
        <v>24.46</v>
      </c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15</v>
      </c>
      <c r="AB11" s="183">
        <f>IF(ISERROR(SUM(M11:Y11)/G11),"",(SUM(M11:Y11)/G11))</f>
        <v>25.944166666666664</v>
      </c>
      <c r="AC11" s="184">
        <f>IF(ISERROR(SUM(M11:Y11)/G11+H11),"",(SUM(M11:Y11)/G11+H11))</f>
        <v>34.944166666666661</v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Allocation'!$R$30:$R$37,MATCH(Christchurch!$D$2,'Number Allocation'!$T$30:$T$37,0))),0,(INDEX('Number Allocation'!$R$30:$R$37,MATCH(Christchurch!$D$2,'Number Allocation'!$T$30:$T$37,0))))+IF(ISERROR(INDEX('Number Allocation'!$T$30:$T$37,MATCH(Christchurch!$D$2,'Number Allocation'!$R$30:$R$37,0))),0,(INDEX('Number Allocation'!$T$30:$T$37,MATCH(Christchurch!$D$2,'Number Allocation'!$R$30:$R$37,0))))</f>
        <v>3</v>
      </c>
      <c r="AK11" s="44">
        <v>5</v>
      </c>
      <c r="AL11" s="44" t="str">
        <f>VLOOKUP(AJ11,'Number Allocation'!$I$7:$J$22,2,0)</f>
        <v>Weymouth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7</v>
      </c>
      <c r="AS11" s="44">
        <f t="shared" si="0"/>
        <v>5</v>
      </c>
      <c r="AT11" s="2"/>
      <c r="AU11" s="44">
        <f t="shared" si="1"/>
        <v>7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 t="s">
        <v>128</v>
      </c>
      <c r="N12" s="41" t="s">
        <v>94</v>
      </c>
      <c r="O12" s="41" t="s">
        <v>84</v>
      </c>
      <c r="P12" s="41" t="s">
        <v>99</v>
      </c>
      <c r="Q12" s="41" t="s">
        <v>86</v>
      </c>
      <c r="R12" s="41" t="s">
        <v>97</v>
      </c>
      <c r="S12" s="41" t="s">
        <v>184</v>
      </c>
      <c r="T12" s="41" t="s">
        <v>185</v>
      </c>
      <c r="U12" s="41" t="s">
        <v>86</v>
      </c>
      <c r="V12" s="41" t="s">
        <v>93</v>
      </c>
      <c r="W12" s="41"/>
      <c r="X12" s="60" t="s">
        <v>185</v>
      </c>
      <c r="Y12" s="41" t="s">
        <v>93</v>
      </c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Allocation'!$B$44:$B$51,MATCH(Christchurch!$D$2,'Number Allocation'!$D$44:$D$51,0))),0,(INDEX('Number Allocation'!$B$44:$B$51,MATCH(Christchurch!$D$2,'Number Allocation'!$D$44:$D$51,0))))+IF(ISERROR(INDEX('Number Allocation'!$D$44:$D$51,MATCH(Christchurch!$D$2,'Number Allocation'!$B$44:$B$51,0))),0,(INDEX('Number Allocation'!$D$44:$D$51,MATCH(Christchurch!$D$2,'Number Allocation'!$B$44:$B$51,0))))</f>
        <v>10</v>
      </c>
      <c r="AK12" s="44">
        <v>6</v>
      </c>
      <c r="AL12" s="44" t="str">
        <f>VLOOKUP(AJ12,'Number Allocation'!$I$7:$J$22,2,0)</f>
        <v>Lytchett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1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AS12" s="44">
        <f t="shared" si="0"/>
        <v>8</v>
      </c>
      <c r="AT12" s="2"/>
      <c r="AU12" s="44">
        <f t="shared" si="1"/>
        <v>4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186</v>
      </c>
      <c r="F13" s="38"/>
      <c r="G13" s="181">
        <f>IF(COUNT(M13:Y13)=0,"",(COUNT(M13:Y13)))</f>
        <v>11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10</v>
      </c>
      <c r="I13" s="186">
        <f>IF(ISERROR(G13-H13),"",G13-H13)</f>
        <v>1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40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18</v>
      </c>
      <c r="L13" s="39"/>
      <c r="M13" s="41">
        <v>25.05</v>
      </c>
      <c r="N13" s="41">
        <v>19.11</v>
      </c>
      <c r="O13" s="41">
        <v>22.96</v>
      </c>
      <c r="P13" s="41">
        <v>20.010000000000002</v>
      </c>
      <c r="Q13" s="41">
        <v>22.66</v>
      </c>
      <c r="R13" s="41">
        <v>22.29</v>
      </c>
      <c r="S13" s="41">
        <v>20.95</v>
      </c>
      <c r="T13" s="41">
        <v>20.04</v>
      </c>
      <c r="U13" s="41">
        <v>21.32</v>
      </c>
      <c r="V13" s="41"/>
      <c r="W13" s="41">
        <v>22.16</v>
      </c>
      <c r="X13" s="41"/>
      <c r="Y13" s="41">
        <v>24.18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4</v>
      </c>
      <c r="AB13" s="183">
        <f>IF(ISERROR(SUM(M13:Y13)/G13),"",(SUM(M13:Y13)/G13))</f>
        <v>21.884545454545453</v>
      </c>
      <c r="AC13" s="184">
        <f>IF(ISERROR(SUM(M13:Y13)/G13+H13),"",(SUM(M13:Y13)/G13+H13))</f>
        <v>31.884545454545453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Allocation'!$H$44:$H$51,MATCH(Christchurch!$D$2,'Number Allocation'!$F$44:$F$51,0))),0,(INDEX('Number Allocation'!$H$44:$H$51,MATCH(Christchurch!$D$2,'Number Allocation'!$F$44:$F$51,0))))+IF(ISERROR(INDEX('Number Allocation'!$F$44:$F$51,MATCH(Christchurch!$D$2,'Number Allocation'!$H$44:$H$51,0))),0,(INDEX('Number Allocation'!$F$44:$F$51,MATCH(Christchurch!$D$2,'Number Allocation'!$H$44:$H$51,0))))</f>
        <v>4</v>
      </c>
      <c r="AK13" s="44">
        <v>7</v>
      </c>
      <c r="AL13" s="44" t="str">
        <f>VLOOKUP(AJ13,'Number Allocation'!$I$7:$J$22,2,0)</f>
        <v>Dorchester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77</v>
      </c>
      <c r="N14" s="41" t="s">
        <v>79</v>
      </c>
      <c r="O14" s="41" t="s">
        <v>78</v>
      </c>
      <c r="P14" s="41" t="s">
        <v>93</v>
      </c>
      <c r="Q14" s="41" t="s">
        <v>78</v>
      </c>
      <c r="R14" s="41" t="s">
        <v>85</v>
      </c>
      <c r="S14" s="41" t="s">
        <v>94</v>
      </c>
      <c r="T14" s="41" t="s">
        <v>77</v>
      </c>
      <c r="U14" s="41" t="s">
        <v>77</v>
      </c>
      <c r="V14" s="41"/>
      <c r="W14" s="41" t="s">
        <v>81</v>
      </c>
      <c r="X14" s="41"/>
      <c r="Y14" s="41" t="s">
        <v>94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Allocation'!$J$44:$J$51,MATCH(Christchurch!$D$2,'Number Allocation'!$L$44:$L$51,0))),0,(INDEX('Number Allocation'!$J$44:$J$51,MATCH(Christchurch!$D$2,'Number Allocation'!$L$44:$L$51,0))))+IF(ISERROR(INDEX('Number Allocation'!$L$44:$L$51,MATCH(Christchurch!$D$2,'Number Allocation'!$J$44:$J$51,0))),0,(INDEX('Number Allocation'!$L$44:$L$51,MATCH(Christchurch!$D$2,'Number Allocation'!$J$44:$J$51,0))))</f>
        <v>11</v>
      </c>
      <c r="AK14" s="44">
        <v>8</v>
      </c>
      <c r="AL14" s="44" t="str">
        <f>VLOOKUP(AJ14,'Number Allocation'!$I$7:$J$22,2,0)</f>
        <v>Portland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12</v>
      </c>
      <c r="AS14" s="44">
        <f t="shared" si="0"/>
        <v>0</v>
      </c>
      <c r="AT14" s="2"/>
      <c r="AU14" s="44">
        <f t="shared" si="1"/>
        <v>12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187</v>
      </c>
      <c r="F15" s="38"/>
      <c r="G15" s="181">
        <f>IF(COUNT(M15:Y15)=0,"",(COUNT(M15:Y15)))</f>
        <v>10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6</v>
      </c>
      <c r="I15" s="186">
        <f>IF(ISERROR(G15-H15),"",G15-H15)</f>
        <v>4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30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26</v>
      </c>
      <c r="L15" s="39"/>
      <c r="M15" s="40">
        <v>23.49</v>
      </c>
      <c r="N15" s="41"/>
      <c r="O15" s="41">
        <v>24.74</v>
      </c>
      <c r="P15" s="41">
        <v>24.5</v>
      </c>
      <c r="Q15" s="41">
        <v>21.35</v>
      </c>
      <c r="R15" s="41">
        <v>22.37</v>
      </c>
      <c r="S15" s="41">
        <v>24.14</v>
      </c>
      <c r="T15" s="41"/>
      <c r="U15" s="41">
        <v>20.190000000000001</v>
      </c>
      <c r="V15" s="41">
        <v>21.16</v>
      </c>
      <c r="W15" s="41">
        <v>19.190000000000001</v>
      </c>
      <c r="X15" s="41"/>
      <c r="Y15" s="41">
        <v>20.61</v>
      </c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183">
        <f>IF(ISERROR(SUM(M15:Y15)/G15),"",(SUM(M15:Y15)/G15))</f>
        <v>22.173999999999996</v>
      </c>
      <c r="AC15" s="184">
        <f>IF(ISERROR(SUM(M15:Y15)/G15+H15),"",(SUM(M15:Y15)/G15+H15))</f>
        <v>28.173999999999996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Allocation'!$N$44:$N$51,MATCH(Christchurch!$D$2,'Number Allocation'!$P$44:$P$51,0))),0,(INDEX('Number Allocation'!$N$44:$N$51,MATCH(Christchurch!$D$2,'Number Allocation'!$P$44:$P$51,0))))+IF(ISERROR(INDEX('Number Allocation'!$P$44:$P$51,MATCH(Christchurch!$D$2,'Number Allocation'!$N$44:$N$51,0))),0,(INDEX('Number Allocation'!$P$44:$P$51,MATCH(Christchurch!$D$2,'Number Allocation'!$N$44:$N$51,0))))</f>
        <v>5</v>
      </c>
      <c r="AK15" s="44">
        <v>9</v>
      </c>
      <c r="AL15" s="44" t="str">
        <f>VLOOKUP(AJ15,'Number Allocation'!$I$7:$J$22,2,0)</f>
        <v>Boscombe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9</v>
      </c>
      <c r="AS15" s="44">
        <f t="shared" si="0"/>
        <v>3</v>
      </c>
      <c r="AT15" s="2"/>
      <c r="AU15" s="44">
        <f t="shared" si="1"/>
        <v>9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93</v>
      </c>
      <c r="N16" s="41"/>
      <c r="O16" s="41" t="s">
        <v>86</v>
      </c>
      <c r="P16" s="41" t="s">
        <v>84</v>
      </c>
      <c r="Q16" s="41" t="s">
        <v>88</v>
      </c>
      <c r="R16" s="41" t="s">
        <v>90</v>
      </c>
      <c r="S16" s="41" t="s">
        <v>77</v>
      </c>
      <c r="T16" s="41"/>
      <c r="U16" s="41" t="s">
        <v>93</v>
      </c>
      <c r="V16" s="41" t="s">
        <v>84</v>
      </c>
      <c r="W16" s="41" t="s">
        <v>99</v>
      </c>
      <c r="X16" s="41"/>
      <c r="Y16" s="41" t="s">
        <v>81</v>
      </c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Allocation'!$R$44:$R$51,MATCH(Christchurch!$D$2,'Number Allocation'!$T$44:$T$51,0))),0,(INDEX('Number Allocation'!$R$44:$R$51,MATCH(Christchurch!$D$2,'Number Allocation'!$T$44:$T$51,0))))+IF(ISERROR(INDEX('Number Allocation'!$T$44:$T$51,MATCH(Christchurch!$D$2,'Number Allocation'!$R$44:$R$51,0))),0,(INDEX('Number Allocation'!$T$44:$T$51,MATCH(Christchurch!$D$2,'Number Allocation'!$R$44:$R$51,0))))</f>
        <v>12</v>
      </c>
      <c r="AK16" s="44">
        <v>10</v>
      </c>
      <c r="AL16" s="44" t="str">
        <f>VLOOKUP(AJ16,'Number Allocation'!$I$7:$J$22,2,0)</f>
        <v>Swanage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11</v>
      </c>
      <c r="AS16" s="44">
        <f t="shared" si="0"/>
        <v>1</v>
      </c>
      <c r="AT16" s="2"/>
      <c r="AU16" s="44">
        <f t="shared" si="1"/>
        <v>11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188</v>
      </c>
      <c r="F17" s="38"/>
      <c r="G17" s="181">
        <f>IF(COUNT(M17:Y17)=0,"",(COUNT(M17:Y17)))</f>
        <v>8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4</v>
      </c>
      <c r="I17" s="186">
        <f>IF(ISERROR(G17-H17),"",G17-H17)</f>
        <v>4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23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19</v>
      </c>
      <c r="L17" s="39"/>
      <c r="M17" s="41">
        <v>21.1</v>
      </c>
      <c r="N17" s="41">
        <v>18.440000000000001</v>
      </c>
      <c r="O17" s="41">
        <v>18.14</v>
      </c>
      <c r="P17" s="41">
        <v>22.02</v>
      </c>
      <c r="Q17" s="41">
        <v>20.27</v>
      </c>
      <c r="R17" s="41">
        <v>21.6</v>
      </c>
      <c r="S17" s="41">
        <v>21.18</v>
      </c>
      <c r="T17" s="41">
        <v>24.44</v>
      </c>
      <c r="U17" s="41"/>
      <c r="V17" s="41"/>
      <c r="W17" s="41"/>
      <c r="X17" s="41"/>
      <c r="Y17" s="41"/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183">
        <f>IF(ISERROR(SUM(M17:Y17)/G17),"",(SUM(M17:Y17)/G17))</f>
        <v>20.89875</v>
      </c>
      <c r="AC17" s="184">
        <f>IF(ISERROR(SUM(M17:Y17)/G17+H17),"",(SUM(M17:Y17)/G17+H17))</f>
        <v>24.89875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Allocation'!$B$58:$B$65,MATCH(Christchurch!$D$2,'Number Allocation'!$D$58:$D$65,0))),0,(INDEX('Number Allocation'!$B$58:$B$65,MATCH(Christchurch!$D$2,'Number Allocation'!$D$58:$D$65,0))))+IF(ISERROR(INDEX('Number Allocation'!$D$58:$D$65,MATCH(Christchurch!$D$2,'Number Allocation'!$B$58:$B$65,0))),0,(INDEX('Number Allocation'!$D$58:$D$65,MATCH(Christchurch!$D$2,'Number Allocation'!$B$58:$B$65,0))))</f>
        <v>6</v>
      </c>
      <c r="AK17" s="44">
        <v>11</v>
      </c>
      <c r="AL17" s="44" t="str">
        <f>VLOOKUP(AJ17,'Number Allocation'!$I$7:$J$22,2,0)</f>
        <v>Bridport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1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AS17" s="44">
        <f t="shared" si="0"/>
        <v>8</v>
      </c>
      <c r="AT17" s="2"/>
      <c r="AU17" s="44">
        <f t="shared" si="1"/>
        <v>4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84</v>
      </c>
      <c r="N18" s="41" t="s">
        <v>90</v>
      </c>
      <c r="O18" s="41" t="s">
        <v>78</v>
      </c>
      <c r="P18" s="41" t="s">
        <v>77</v>
      </c>
      <c r="Q18" s="41" t="s">
        <v>88</v>
      </c>
      <c r="R18" s="41" t="s">
        <v>81</v>
      </c>
      <c r="S18" s="41" t="s">
        <v>88</v>
      </c>
      <c r="T18" s="41" t="s">
        <v>77</v>
      </c>
      <c r="U18" s="41"/>
      <c r="V18" s="41"/>
      <c r="W18" s="41"/>
      <c r="X18" s="41"/>
      <c r="Y18" s="41"/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Allocation'!$H$58:$H$65,MATCH(Christchurch!$D$2,'Number Allocation'!$F$58:$F$65,0))),0,(INDEX('Number Allocation'!$H$58:$H$65,MATCH(Christchurch!$D$2,'Number Allocation'!$F$58:$F$65,0))))+IF(ISERROR(INDEX('Number Allocation'!$F$58:$F$65,MATCH(Christchurch!$D$2,'Number Allocation'!$H$58:$H$65,0))),0,(INDEX('Number Allocation'!$F$58:$F$65,MATCH(Christchurch!$D$2,'Number Allocation'!$H$58:$H$65,0))))</f>
        <v>13</v>
      </c>
      <c r="AK18" s="44">
        <v>12</v>
      </c>
      <c r="AL18" s="44" t="str">
        <f>VLOOKUP(AJ18,'Number Allocation'!$I$7:$J$22,2,0)</f>
        <v>Bournemouth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9</v>
      </c>
      <c r="AS18" s="44">
        <f t="shared" si="0"/>
        <v>3</v>
      </c>
      <c r="AT18" s="2"/>
      <c r="AU18" s="44">
        <f t="shared" si="1"/>
        <v>9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189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13</v>
      </c>
      <c r="I19" s="186">
        <f>IF(ISERROR(G19-H19),"",G19-H19)</f>
        <v>0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52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5</v>
      </c>
      <c r="L19" s="39"/>
      <c r="M19" s="40">
        <v>25.37</v>
      </c>
      <c r="N19" s="41">
        <v>27.45</v>
      </c>
      <c r="O19" s="41">
        <v>29.91</v>
      </c>
      <c r="P19" s="41">
        <v>26.18</v>
      </c>
      <c r="Q19" s="41">
        <v>23.93</v>
      </c>
      <c r="R19" s="41">
        <v>25.69</v>
      </c>
      <c r="S19" s="41">
        <v>29.91</v>
      </c>
      <c r="T19" s="41">
        <v>26.72</v>
      </c>
      <c r="U19" s="41">
        <v>23.3</v>
      </c>
      <c r="V19" s="41">
        <v>28.23</v>
      </c>
      <c r="W19" s="41">
        <v>27.08</v>
      </c>
      <c r="X19" s="60">
        <v>27.88</v>
      </c>
      <c r="Y19" s="41">
        <v>28.23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5</v>
      </c>
      <c r="AB19" s="183">
        <f>IF(ISERROR(SUM(M19:Y19)/G19),"",(SUM(M19:Y19)/G19))</f>
        <v>26.913846153846155</v>
      </c>
      <c r="AC19" s="184">
        <f>IF(ISERROR(SUM(M19:Y19)/G19+H19),"",(SUM(M19:Y19)/G19+H19))</f>
        <v>39.913846153846151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Allocation'!$J$58:$J$65,MATCH(Christchurch!$D$2,'Number Allocation'!$L$58:$L$65,0))),0,(INDEX('Number Allocation'!$J$58:$J$65,MATCH(Christchurch!$D$2,'Number Allocation'!$L$58:$L$65,0))))+IF(ISERROR(INDEX('Number Allocation'!$L$58:$L$65,MATCH(Christchurch!$D$2,'Number Allocation'!$J$58:$J$65,0))),0,(INDEX('Number Allocation'!$L$58:$L$65,MATCH(Christchurch!$D$2,'Number Allocation'!$J$58:$J$65,0))))</f>
        <v>7</v>
      </c>
      <c r="AK19" s="44">
        <v>13</v>
      </c>
      <c r="AL19" s="44" t="str">
        <f>VLOOKUP(AJ19,'Number Allocation'!$I$7:$J$22,2,0)</f>
        <v>Shaftesbury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1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AS19" s="44">
        <f t="shared" si="0"/>
        <v>4</v>
      </c>
      <c r="AT19" s="2"/>
      <c r="AU19" s="44">
        <f t="shared" si="1"/>
        <v>8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77</v>
      </c>
      <c r="N20" s="41" t="s">
        <v>77</v>
      </c>
      <c r="O20" s="41" t="s">
        <v>77</v>
      </c>
      <c r="P20" s="41" t="s">
        <v>84</v>
      </c>
      <c r="Q20" s="41" t="s">
        <v>79</v>
      </c>
      <c r="R20" s="41" t="s">
        <v>77</v>
      </c>
      <c r="S20" s="41" t="s">
        <v>77</v>
      </c>
      <c r="T20" s="41" t="s">
        <v>79</v>
      </c>
      <c r="U20" s="41" t="s">
        <v>77</v>
      </c>
      <c r="V20" s="41" t="s">
        <v>190</v>
      </c>
      <c r="W20" s="41" t="s">
        <v>77</v>
      </c>
      <c r="X20" s="60" t="s">
        <v>78</v>
      </c>
      <c r="Y20" s="41" t="s">
        <v>77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191</v>
      </c>
      <c r="F21" s="38"/>
      <c r="G21" s="181">
        <f>IF(COUNT(M21:Y21)=0,"",(COUNT(M21:Y21)))</f>
        <v>6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5</v>
      </c>
      <c r="I21" s="186">
        <f>IF(ISERROR(G21-H21),"",G21-H21)</f>
        <v>1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21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8</v>
      </c>
      <c r="L21" s="39"/>
      <c r="M21" s="41">
        <v>25.05</v>
      </c>
      <c r="N21" s="41"/>
      <c r="O21" s="41">
        <v>23.86</v>
      </c>
      <c r="P21" s="41"/>
      <c r="Q21" s="41"/>
      <c r="R21" s="41"/>
      <c r="S21" s="41"/>
      <c r="T21" s="41">
        <v>21.64</v>
      </c>
      <c r="U21" s="41"/>
      <c r="V21" s="41">
        <v>23.86</v>
      </c>
      <c r="W21" s="41">
        <v>22.91</v>
      </c>
      <c r="X21" s="41"/>
      <c r="Y21" s="41">
        <v>21.5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183">
        <f>IF(ISERROR(SUM(M21:Y21)/G21),"",(SUM(M21:Y21)/G21))</f>
        <v>23.136666666666667</v>
      </c>
      <c r="AC21" s="184">
        <f>IF(ISERROR(SUM(M21:Y21)/G21+H21),"",(SUM(M21:Y21)/G21+H21))</f>
        <v>28.136666666666667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10</v>
      </c>
      <c r="AP21" s="44">
        <f t="shared" si="2"/>
        <v>1</v>
      </c>
      <c r="AQ21" s="44">
        <f t="shared" si="2"/>
        <v>2</v>
      </c>
      <c r="AR21" s="44">
        <f t="shared" si="2"/>
        <v>110</v>
      </c>
      <c r="AS21" s="44">
        <f t="shared" si="2"/>
        <v>46</v>
      </c>
      <c r="AT21" s="2"/>
      <c r="AU21" s="44">
        <f>SUM(AU7:AU19)</f>
        <v>110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77</v>
      </c>
      <c r="N22" s="41"/>
      <c r="O22" s="41" t="s">
        <v>77</v>
      </c>
      <c r="P22" s="41"/>
      <c r="Q22" s="41"/>
      <c r="R22" s="41"/>
      <c r="S22" s="41"/>
      <c r="T22" s="41" t="s">
        <v>93</v>
      </c>
      <c r="U22" s="41"/>
      <c r="V22" s="41" t="s">
        <v>77</v>
      </c>
      <c r="W22" s="41" t="s">
        <v>90</v>
      </c>
      <c r="X22" s="41"/>
      <c r="Y22" s="41" t="s">
        <v>79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192</v>
      </c>
      <c r="F23" s="38"/>
      <c r="G23" s="181">
        <f>IF(COUNT(M23:Y23)=0,"",(COUNT(M23:Y23)))</f>
        <v>13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8</v>
      </c>
      <c r="I23" s="186">
        <f>IF(ISERROR(G23-H23),"",G23-H23)</f>
        <v>5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41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28</v>
      </c>
      <c r="L23" s="39"/>
      <c r="M23" s="41">
        <v>20.059999999999999</v>
      </c>
      <c r="N23" s="41">
        <v>20.64</v>
      </c>
      <c r="O23" s="41">
        <v>30.36</v>
      </c>
      <c r="P23" s="41">
        <v>20.16</v>
      </c>
      <c r="Q23" s="41">
        <v>27.45</v>
      </c>
      <c r="R23" s="41">
        <v>23.59</v>
      </c>
      <c r="S23" s="41">
        <v>25.14</v>
      </c>
      <c r="T23" s="41">
        <v>23.39</v>
      </c>
      <c r="U23" s="41">
        <v>17.899999999999999</v>
      </c>
      <c r="V23" s="41">
        <v>21.32</v>
      </c>
      <c r="W23" s="41">
        <v>25.05</v>
      </c>
      <c r="X23" s="60">
        <v>20.28</v>
      </c>
      <c r="Y23" s="41">
        <v>26.01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4</v>
      </c>
      <c r="AB23" s="183">
        <f>IF(ISERROR(SUM(M23:Y23)/G23),"",(SUM(M23:Y23)/G23))</f>
        <v>23.180769230769229</v>
      </c>
      <c r="AC23" s="184">
        <f>IF(ISERROR(SUM(M23:Y23)/G23+H23),"",(SUM(M23:Y23)/G23+H23))</f>
        <v>31.180769230769229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83</v>
      </c>
      <c r="N24" s="41" t="s">
        <v>93</v>
      </c>
      <c r="O24" s="41" t="s">
        <v>86</v>
      </c>
      <c r="P24" s="41" t="s">
        <v>90</v>
      </c>
      <c r="Q24" s="41" t="s">
        <v>77</v>
      </c>
      <c r="R24" s="41" t="s">
        <v>93</v>
      </c>
      <c r="S24" s="41" t="s">
        <v>100</v>
      </c>
      <c r="T24" s="41" t="s">
        <v>78</v>
      </c>
      <c r="U24" s="41" t="s">
        <v>99</v>
      </c>
      <c r="V24" s="41" t="s">
        <v>86</v>
      </c>
      <c r="W24" s="41" t="s">
        <v>77</v>
      </c>
      <c r="X24" s="60" t="s">
        <v>88</v>
      </c>
      <c r="Y24" s="41" t="s">
        <v>78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193</v>
      </c>
      <c r="F25" s="38"/>
      <c r="G25" s="181">
        <f>IF(COUNT(M25:Y25)=0,"",(COUNT(M25:Y25)))</f>
        <v>5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5</v>
      </c>
      <c r="I25" s="186">
        <f>IF(ISERROR(G25-H25),"",G25-H25)</f>
        <v>0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20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3</v>
      </c>
      <c r="L25" s="39"/>
      <c r="M25" s="41"/>
      <c r="N25" s="41">
        <v>22.77</v>
      </c>
      <c r="O25" s="41"/>
      <c r="P25" s="41">
        <v>23.3</v>
      </c>
      <c r="Q25" s="41"/>
      <c r="R25" s="41"/>
      <c r="S25" s="41"/>
      <c r="T25" s="41"/>
      <c r="U25" s="41">
        <v>22.96</v>
      </c>
      <c r="V25" s="41">
        <v>23.04</v>
      </c>
      <c r="W25" s="41"/>
      <c r="X25" s="60">
        <v>26.03</v>
      </c>
      <c r="Y25" s="41"/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1</v>
      </c>
      <c r="AB25" s="183">
        <f>IF(ISERROR(SUM(M25:Y25)/G25),"",(SUM(M25:Y25)/G25))</f>
        <v>23.619999999999997</v>
      </c>
      <c r="AC25" s="184">
        <f>IF(ISERROR(SUM(M25:Y25)/G25+H25),"",(SUM(M25:Y25)/G25+H25))</f>
        <v>28.619999999999997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 t="s">
        <v>86</v>
      </c>
      <c r="O26" s="41"/>
      <c r="P26" s="41" t="s">
        <v>77</v>
      </c>
      <c r="Q26" s="41"/>
      <c r="R26" s="41"/>
      <c r="S26" s="41"/>
      <c r="T26" s="41"/>
      <c r="U26" s="41" t="s">
        <v>78</v>
      </c>
      <c r="V26" s="41" t="s">
        <v>84</v>
      </c>
      <c r="W26" s="41"/>
      <c r="X26" s="60" t="s">
        <v>77</v>
      </c>
      <c r="Y26" s="41"/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194</v>
      </c>
      <c r="F27" s="38"/>
      <c r="G27" s="181">
        <f>IF(COUNT(M27:Y27)=0,"",(COUNT(M27:Y27)))</f>
        <v>3</v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2</v>
      </c>
      <c r="I27" s="186">
        <f>IF(ISERROR(G27-H27),"",G27-H27)</f>
        <v>1</v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11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5</v>
      </c>
      <c r="L27" s="39"/>
      <c r="M27" s="41"/>
      <c r="N27" s="41"/>
      <c r="O27" s="41"/>
      <c r="P27" s="41"/>
      <c r="Q27" s="41"/>
      <c r="R27" s="41"/>
      <c r="S27" s="41"/>
      <c r="T27" s="41"/>
      <c r="U27" s="41">
        <v>20.04</v>
      </c>
      <c r="V27" s="41"/>
      <c r="W27" s="41">
        <v>19.79</v>
      </c>
      <c r="X27" s="60">
        <v>23.49</v>
      </c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>
        <f>IF(ISERROR(SUM(M27:Y27)/G27),"",(SUM(M27:Y27)/G27))</f>
        <v>21.106666666666666</v>
      </c>
      <c r="AC27" s="184">
        <f>IF(ISERROR(SUM(M27:Y27)/G27+H27),"",(SUM(M27:Y27)/G27+H27))</f>
        <v>23.106666666666666</v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/>
      <c r="P28" s="41"/>
      <c r="Q28" s="41"/>
      <c r="R28" s="41"/>
      <c r="S28" s="41"/>
      <c r="T28" s="41"/>
      <c r="U28" s="41" t="s">
        <v>77</v>
      </c>
      <c r="V28" s="41"/>
      <c r="W28" s="41" t="s">
        <v>88</v>
      </c>
      <c r="X28" s="60" t="s">
        <v>78</v>
      </c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195</v>
      </c>
      <c r="F29" s="38"/>
      <c r="G29" s="181">
        <f>IF(COUNT(M29:Y29)=0,"",(COUNT(M29:Y29)))</f>
        <v>1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1</v>
      </c>
      <c r="I29" s="186">
        <f>IF(ISERROR(G29-H29),"",G29-H29)</f>
        <v>0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4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3</v>
      </c>
      <c r="L29" s="39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60">
        <v>19.899999999999999</v>
      </c>
      <c r="Y29" s="41"/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1</v>
      </c>
      <c r="AB29" s="183">
        <f>IF(ISERROR(SUM(M29:Y29)/G29),"",(SUM(M29:Y29)/G29))</f>
        <v>19.899999999999999</v>
      </c>
      <c r="AC29" s="184">
        <f>IF(ISERROR(SUM(M29:Y29)/G29+H29),"",(SUM(M29:Y29)/G29+H29))</f>
        <v>20.9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60" t="s">
        <v>94</v>
      </c>
      <c r="Y30" s="41"/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 t="s">
        <v>397</v>
      </c>
      <c r="F31" s="38"/>
      <c r="G31" s="181">
        <f>IF(COUNT(M31:Y31)=0,"",(COUNT(M31:Y31)))</f>
        <v>1</v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>
        <f>IF(ISERROR(G31-H31),"",G31-H31)</f>
        <v>1</v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4</v>
      </c>
      <c r="L31" s="39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>
        <v>15.54</v>
      </c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>
        <f>IF(ISERROR(SUM(M31:Y31)/G31),"",(SUM(M31:Y31)/G31))</f>
        <v>15.54</v>
      </c>
      <c r="AC31" s="184">
        <f>IF(ISERROR(SUM(M31:Y31)/G31+H31),"",(SUM(M31:Y31)/G31+H31))</f>
        <v>15.54</v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 t="s">
        <v>81</v>
      </c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4</v>
      </c>
      <c r="N50" s="44">
        <v>3</v>
      </c>
      <c r="O50" s="44">
        <v>4</v>
      </c>
      <c r="P50" s="44">
        <v>4</v>
      </c>
      <c r="Q50" s="44">
        <v>3</v>
      </c>
      <c r="R50" s="44">
        <v>1</v>
      </c>
      <c r="S50" s="44">
        <v>1</v>
      </c>
      <c r="T50" s="44">
        <v>4</v>
      </c>
      <c r="U50" s="44">
        <v>3</v>
      </c>
      <c r="V50" s="44">
        <v>3</v>
      </c>
      <c r="W50" s="44">
        <v>2</v>
      </c>
      <c r="X50" s="61">
        <v>3</v>
      </c>
      <c r="Y50" s="44">
        <v>2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10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10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7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4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12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9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11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4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9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8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3:Z33 M35:Z35 M37:Z37 M39:Z39 M41:Z41 M43:Z43 M45:Z45 M47:Z47 Q7:Z7 Q9:Z9 Q11:Z11 Q13:Z13 Q15:Z15 Q17:Z17 Q19:Z19 Q21:Z21 Q23:Z23 Q25:Z25 Q27:Z27 Q29:Z29 Q31:Z31 R18">
    <cfRule type="expression" dxfId="113" priority="1">
      <formula>LEFT(R19,1)="4"</formula>
    </cfRule>
  </conditionalFormatting>
  <conditionalFormatting sqref="G7 G9 G11 G13 G15 G17 G19 G21 G23 G25 G27 G29 G31 G33 G35 G37 G39 G41 G43 G45 G47 L7 L9 L11:L48">
    <cfRule type="expression" dxfId="112" priority="2">
      <formula>G7=0</formula>
    </cfRule>
  </conditionalFormatting>
  <conditionalFormatting sqref="M34:Y34 M36:Y36 M38:Y38 M40:Y40 M42:Y42 M44:Y44 M46:Y46 M48:Y48 Q8:Y8 Q10:Y10 Q12:Y12 Q14:Y14 Q16:Y16 Q18:Y18 Q20:Y20 Q22:Y22 Q24:Y24 Q26:Y26 Q28:Y28 Q30:Y30 Q32:Y32">
    <cfRule type="expression" dxfId="111" priority="3">
      <formula>LEFT(Q8,1)="4"</formula>
    </cfRule>
  </conditionalFormatting>
  <conditionalFormatting sqref="M7:P7 M9:P9 M23:P23 M25:P25 M27:P27 M29:P29 M31:P31 N11:P11 N13:P13 N15:P15 N17:P17 N19:P19 N21:P21">
    <cfRule type="expression" dxfId="110" priority="4">
      <formula>LEFT(M8,1)="4"</formula>
    </cfRule>
  </conditionalFormatting>
  <conditionalFormatting sqref="M11 M13 M15 M17 M19 M21">
    <cfRule type="expression" dxfId="109" priority="5">
      <formula>LEFT(M12,1)="4"</formula>
    </cfRule>
  </conditionalFormatting>
  <conditionalFormatting sqref="M8:P8 M10:P10 M12:P12 M14:P14 M16:P16 M18:P18 M20:P20 M22:P22 M24:P24 M26:P26 M28:P28 M30:P30 M32:P32">
    <cfRule type="expression" dxfId="108" priority="6">
      <formula>LEFT(M8,1)="4"</formula>
    </cfRule>
  </conditionalFormatting>
  <conditionalFormatting sqref="AA7 AA9 AA11 AA13 AA15 AA17 AA19 AA21 AA23 AA25 AA27 AA29 AA31 AA33 AA35 AA37 AA39 AA41 AA43 AA45 AA47">
    <cfRule type="expression" dxfId="107" priority="7">
      <formula>AA7=0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06" priority="8">
      <formula>H7=0</formula>
    </cfRule>
  </conditionalFormatting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000"/>
  <sheetViews>
    <sheetView showGridLines="0" topLeftCell="A5" workbookViewId="0">
      <selection activeCell="Y28" sqref="Y28"/>
    </sheetView>
  </sheetViews>
  <sheetFormatPr defaultColWidth="14.42578125" defaultRowHeight="15" customHeight="1" x14ac:dyDescent="0.2"/>
  <cols>
    <col min="1" max="1" width="6.140625" customWidth="1"/>
    <col min="2" max="2" width="7.140625" customWidth="1"/>
    <col min="3" max="3" width="8.42578125" customWidth="1"/>
    <col min="4" max="4" width="5.7109375" customWidth="1"/>
    <col min="5" max="5" width="23.5703125" customWidth="1"/>
    <col min="6" max="6" width="1.5703125" customWidth="1"/>
    <col min="7" max="11" width="4.7109375" customWidth="1"/>
    <col min="12" max="12" width="1.5703125" customWidth="1"/>
    <col min="13" max="16" width="5.7109375" customWidth="1"/>
    <col min="17" max="17" width="5.85546875" customWidth="1"/>
    <col min="18" max="25" width="5.7109375" customWidth="1"/>
    <col min="26" max="26" width="1.5703125" customWidth="1"/>
    <col min="27" max="30" width="5.7109375" customWidth="1"/>
    <col min="31" max="34" width="5.7109375" hidden="1" customWidth="1"/>
    <col min="35" max="35" width="8" hidden="1" customWidth="1"/>
    <col min="36" max="36" width="4" hidden="1" customWidth="1"/>
    <col min="37" max="37" width="9.140625" customWidth="1"/>
    <col min="38" max="38" width="15.28515625" customWidth="1"/>
    <col min="39" max="39" width="9.140625" customWidth="1"/>
    <col min="40" max="40" width="1.5703125" customWidth="1"/>
    <col min="41" max="45" width="9.140625" customWidth="1"/>
    <col min="46" max="46" width="1.5703125" customWidth="1"/>
    <col min="47" max="49" width="9.140625" customWidth="1"/>
  </cols>
  <sheetData>
    <row r="1" spans="1:49" ht="12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9.5" customHeight="1" x14ac:dyDescent="0.2">
      <c r="A2" s="1"/>
      <c r="B2" s="1"/>
      <c r="C2" s="1"/>
      <c r="D2" s="195">
        <v>4</v>
      </c>
      <c r="E2" s="196" t="s">
        <v>196</v>
      </c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8"/>
      <c r="AD2" s="37"/>
      <c r="AE2" s="37"/>
      <c r="AF2" s="37"/>
      <c r="AG2" s="37"/>
      <c r="AH2" s="37"/>
      <c r="AI2" s="1"/>
      <c r="AJ2" s="1"/>
      <c r="AK2" s="196" t="s">
        <v>60</v>
      </c>
      <c r="AL2" s="197"/>
      <c r="AM2" s="197"/>
      <c r="AN2" s="197"/>
      <c r="AO2" s="197"/>
      <c r="AP2" s="197"/>
      <c r="AQ2" s="197"/>
      <c r="AR2" s="197"/>
      <c r="AS2" s="197"/>
      <c r="AT2" s="197"/>
      <c r="AU2" s="198"/>
      <c r="AV2" s="1"/>
      <c r="AW2" s="1"/>
    </row>
    <row r="3" spans="1:49" ht="19.5" customHeight="1" x14ac:dyDescent="0.2">
      <c r="A3" s="1"/>
      <c r="B3" s="1"/>
      <c r="C3" s="1"/>
      <c r="D3" s="182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1"/>
      <c r="AD3" s="37"/>
      <c r="AE3" s="37"/>
      <c r="AF3" s="37"/>
      <c r="AG3" s="37"/>
      <c r="AH3" s="37"/>
      <c r="AI3" s="1"/>
      <c r="AJ3" s="1"/>
      <c r="AK3" s="199"/>
      <c r="AL3" s="200"/>
      <c r="AM3" s="200"/>
      <c r="AN3" s="200"/>
      <c r="AO3" s="200"/>
      <c r="AP3" s="200"/>
      <c r="AQ3" s="200"/>
      <c r="AR3" s="200"/>
      <c r="AS3" s="200"/>
      <c r="AT3" s="200"/>
      <c r="AU3" s="201"/>
      <c r="AV3" s="1"/>
      <c r="AW3" s="1"/>
    </row>
    <row r="4" spans="1:49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2">
      <c r="A5" s="1"/>
      <c r="B5" s="1"/>
      <c r="C5" s="1"/>
      <c r="D5" s="5" t="s">
        <v>61</v>
      </c>
      <c r="E5" s="5" t="s">
        <v>62</v>
      </c>
      <c r="F5" s="36"/>
      <c r="G5" s="5" t="s">
        <v>7</v>
      </c>
      <c r="H5" s="5" t="s">
        <v>8</v>
      </c>
      <c r="I5" s="5" t="s">
        <v>63</v>
      </c>
      <c r="J5" s="5" t="s">
        <v>64</v>
      </c>
      <c r="K5" s="5" t="s">
        <v>65</v>
      </c>
      <c r="L5" s="5"/>
      <c r="M5" s="5">
        <v>1</v>
      </c>
      <c r="N5" s="5">
        <v>2</v>
      </c>
      <c r="O5" s="5">
        <v>3</v>
      </c>
      <c r="P5" s="5">
        <v>4</v>
      </c>
      <c r="Q5" s="5">
        <v>5</v>
      </c>
      <c r="R5" s="5">
        <v>6</v>
      </c>
      <c r="S5" s="5">
        <v>7</v>
      </c>
      <c r="T5" s="5">
        <v>8</v>
      </c>
      <c r="U5" s="5">
        <v>9</v>
      </c>
      <c r="V5" s="5">
        <v>10</v>
      </c>
      <c r="W5" s="5">
        <v>11</v>
      </c>
      <c r="X5" s="5">
        <v>12</v>
      </c>
      <c r="Y5" s="5">
        <v>13</v>
      </c>
      <c r="Z5" s="5"/>
      <c r="AA5" s="5" t="s">
        <v>66</v>
      </c>
      <c r="AB5" s="5" t="s">
        <v>67</v>
      </c>
      <c r="AC5" s="36" t="s">
        <v>68</v>
      </c>
      <c r="AD5" s="36"/>
      <c r="AE5" s="36"/>
      <c r="AF5" s="36"/>
      <c r="AG5" s="36"/>
      <c r="AH5" s="36"/>
      <c r="AI5" s="1"/>
      <c r="AJ5" s="1"/>
      <c r="AK5" s="5" t="s">
        <v>69</v>
      </c>
      <c r="AL5" s="5" t="s">
        <v>70</v>
      </c>
      <c r="AM5" s="5" t="s">
        <v>71</v>
      </c>
      <c r="AN5" s="5"/>
      <c r="AO5" s="5" t="s">
        <v>72</v>
      </c>
      <c r="AP5" s="5" t="s">
        <v>73</v>
      </c>
      <c r="AQ5" s="5" t="s">
        <v>74</v>
      </c>
      <c r="AR5" s="5" t="s">
        <v>64</v>
      </c>
      <c r="AS5" s="5" t="s">
        <v>65</v>
      </c>
      <c r="AT5" s="5"/>
      <c r="AU5" s="5" t="s">
        <v>75</v>
      </c>
      <c r="AV5" s="5"/>
      <c r="AW5" s="1"/>
    </row>
    <row r="6" spans="1:49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"/>
      <c r="AW6" s="1"/>
    </row>
    <row r="7" spans="1:49" ht="15.75" customHeight="1" x14ac:dyDescent="0.2">
      <c r="A7" s="1"/>
      <c r="B7" s="1"/>
      <c r="C7" s="1"/>
      <c r="D7" s="185"/>
      <c r="E7" s="181" t="s">
        <v>197</v>
      </c>
      <c r="F7" s="38"/>
      <c r="G7" s="181">
        <f>IF(COUNT(M7:Y7)=0,"",(COUNT(M7:Y7)))</f>
        <v>13</v>
      </c>
      <c r="H7" s="181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12</v>
      </c>
      <c r="I7" s="186">
        <f>IF(ISERROR(G7-H7),"",G7-H7)</f>
        <v>1</v>
      </c>
      <c r="J7" s="186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49</v>
      </c>
      <c r="K7" s="186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16</v>
      </c>
      <c r="L7" s="39"/>
      <c r="M7" s="41">
        <v>25.05</v>
      </c>
      <c r="N7" s="41">
        <v>29.04</v>
      </c>
      <c r="O7" s="41">
        <v>27.45</v>
      </c>
      <c r="P7" s="41">
        <v>22.08</v>
      </c>
      <c r="Q7" s="41">
        <v>26.03</v>
      </c>
      <c r="R7" s="41">
        <v>21.68</v>
      </c>
      <c r="S7" s="41">
        <v>28.23</v>
      </c>
      <c r="T7" s="41">
        <v>26.39</v>
      </c>
      <c r="U7" s="41">
        <v>21.09</v>
      </c>
      <c r="V7" s="41">
        <v>25.31</v>
      </c>
      <c r="W7" s="41">
        <v>23.94</v>
      </c>
      <c r="X7" s="60">
        <v>25.05</v>
      </c>
      <c r="Y7" s="41">
        <v>22.26</v>
      </c>
      <c r="Z7" s="42"/>
      <c r="AA7" s="181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4</v>
      </c>
      <c r="AB7" s="183">
        <f>IF(ISERROR(SUM(M7:Y7)/G7),"",(SUM(M7:Y7)/G7))</f>
        <v>24.892307692307693</v>
      </c>
      <c r="AC7" s="184">
        <f>IF(ISERROR(SUM(M7:Y7)/G7+H7),"",(SUM(M7:Y7)/G7+H7))</f>
        <v>36.892307692307696</v>
      </c>
      <c r="AD7" s="43"/>
      <c r="AE7" s="43"/>
      <c r="AF7" s="43"/>
      <c r="AG7" s="43"/>
      <c r="AH7" s="43"/>
      <c r="AI7" s="1"/>
      <c r="AJ7" s="1">
        <f t="array" ref="AJ7">IF(ISERROR(INDEX('Number Allocation'!$B$30:$B$37,MATCH(Dorchester!$D$2,'Number Allocation'!$D$30:$D$37,0))),0,(INDEX('Number Allocation'!$B$30:$B$37,MATCH(Dorchester!$D$2,'Number Allocation'!$D$30:$D$37,0))))+IF(ISERROR(INDEX('Number Allocation'!$D$30:$D$37,MATCH(Dorchester!$D$2,'Number Allocation'!$B$30:$B$37,0))),0,(INDEX('Number Allocation'!$D$30:$D$37,MATCH(Dorchester!$D$2,'Number Allocation'!$B$30:$B$37,0))))</f>
        <v>11</v>
      </c>
      <c r="AK7" s="44">
        <v>1</v>
      </c>
      <c r="AL7" s="44" t="str">
        <f>VLOOKUP(AJ7,'Number Allocation'!$I$7:$J$22,2,0)</f>
        <v>Portland</v>
      </c>
      <c r="AM7" s="45" t="str">
        <f>'Number Allocation'!C26</f>
        <v>04.09.21</v>
      </c>
      <c r="AN7" s="46"/>
      <c r="AO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44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44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AS7" s="44">
        <f t="shared" ref="AS7:AS19" si="0">IF(SUM(AO7:AQ7)=0,0,(12-AR7))</f>
        <v>3</v>
      </c>
      <c r="AT7" s="2"/>
      <c r="AU7" s="44">
        <f t="shared" ref="AU7:AU19" si="1">(AR7)</f>
        <v>9</v>
      </c>
      <c r="AV7" s="1"/>
      <c r="AW7" s="11"/>
    </row>
    <row r="8" spans="1:49" ht="15.75" customHeight="1" x14ac:dyDescent="0.2">
      <c r="A8" s="1"/>
      <c r="B8" s="1"/>
      <c r="C8" s="1"/>
      <c r="D8" s="182"/>
      <c r="E8" s="182"/>
      <c r="F8" s="38"/>
      <c r="G8" s="182"/>
      <c r="H8" s="182"/>
      <c r="I8" s="182"/>
      <c r="J8" s="182"/>
      <c r="K8" s="182"/>
      <c r="L8" s="39"/>
      <c r="M8" s="41" t="s">
        <v>77</v>
      </c>
      <c r="N8" s="41" t="s">
        <v>86</v>
      </c>
      <c r="O8" s="41" t="s">
        <v>86</v>
      </c>
      <c r="P8" s="41" t="s">
        <v>78</v>
      </c>
      <c r="Q8" s="41" t="s">
        <v>77</v>
      </c>
      <c r="R8" s="41" t="s">
        <v>84</v>
      </c>
      <c r="S8" s="41" t="s">
        <v>86</v>
      </c>
      <c r="T8" s="41" t="s">
        <v>94</v>
      </c>
      <c r="U8" s="41" t="s">
        <v>77</v>
      </c>
      <c r="V8" s="41" t="s">
        <v>90</v>
      </c>
      <c r="W8" s="41" t="s">
        <v>93</v>
      </c>
      <c r="X8" s="60" t="s">
        <v>77</v>
      </c>
      <c r="Y8" s="41" t="s">
        <v>93</v>
      </c>
      <c r="Z8" s="42"/>
      <c r="AA8" s="182"/>
      <c r="AB8" s="182"/>
      <c r="AC8" s="182"/>
      <c r="AD8" s="43"/>
      <c r="AE8" s="43"/>
      <c r="AF8" s="43"/>
      <c r="AG8" s="43"/>
      <c r="AH8" s="43"/>
      <c r="AI8" s="1"/>
      <c r="AJ8" s="1">
        <f t="array" ref="AJ8">IF(ISERROR(INDEX('Number Allocation'!$H$30:$H$37,MATCH(Dorchester!$D$2,'Number Allocation'!$F$30:$F$37,0))),0,(INDEX('Number Allocation'!$H$30:$H$37,MATCH(Dorchester!$D$2,'Number Allocation'!$F$30:$F$37,0))))+IF(ISERROR(INDEX('Number Allocation'!$F$30:$F$37,MATCH(Dorchester!$D$2,'Number Allocation'!$H$30:$H$37,0))),0,(INDEX('Number Allocation'!$F$30:$F$37,MATCH(Dorchester!$D$2,'Number Allocation'!$H$30:$H$37,0))))</f>
        <v>12</v>
      </c>
      <c r="AK8" s="44">
        <v>2</v>
      </c>
      <c r="AL8" s="44" t="str">
        <f>VLOOKUP(AJ8,'Number Allocation'!$I$7:$J$22,2,0)</f>
        <v>Swanage</v>
      </c>
      <c r="AM8" s="45" t="str">
        <f>'Number Allocation'!G26</f>
        <v>25.09.21</v>
      </c>
      <c r="AN8" s="46"/>
      <c r="AO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44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44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AS8" s="44">
        <f t="shared" si="0"/>
        <v>5</v>
      </c>
      <c r="AT8" s="2"/>
      <c r="AU8" s="44">
        <f t="shared" si="1"/>
        <v>7</v>
      </c>
      <c r="AV8" s="1"/>
      <c r="AW8" s="11"/>
    </row>
    <row r="9" spans="1:49" ht="15.75" customHeight="1" x14ac:dyDescent="0.2">
      <c r="A9" s="1"/>
      <c r="B9" s="1"/>
      <c r="C9" s="1"/>
      <c r="D9" s="185"/>
      <c r="E9" s="181" t="s">
        <v>198</v>
      </c>
      <c r="F9" s="38"/>
      <c r="G9" s="181">
        <f>IF(COUNT(M9:Y9)=0,"",(COUNT(M9:Y9)))</f>
        <v>12</v>
      </c>
      <c r="H9" s="181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10</v>
      </c>
      <c r="I9" s="186">
        <f>IF(ISERROR(G9-H9),"",G9-H9)</f>
        <v>2</v>
      </c>
      <c r="J9" s="186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43</v>
      </c>
      <c r="K9" s="186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17</v>
      </c>
      <c r="L9" s="39"/>
      <c r="M9" s="41">
        <v>22.52</v>
      </c>
      <c r="N9" s="41">
        <v>24.72</v>
      </c>
      <c r="O9" s="40">
        <v>29.25</v>
      </c>
      <c r="P9" s="41">
        <v>32.85</v>
      </c>
      <c r="Q9" s="41">
        <v>21.09</v>
      </c>
      <c r="R9" s="41">
        <v>26.03</v>
      </c>
      <c r="S9" s="41">
        <v>22.98</v>
      </c>
      <c r="T9" s="41">
        <v>25.26</v>
      </c>
      <c r="U9" s="41">
        <v>24.03</v>
      </c>
      <c r="V9" s="41">
        <v>23.4</v>
      </c>
      <c r="W9" s="41">
        <v>27.45</v>
      </c>
      <c r="X9" s="60">
        <v>22.61</v>
      </c>
      <c r="Y9" s="41"/>
      <c r="Z9" s="42"/>
      <c r="AA9" s="181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4</v>
      </c>
      <c r="AB9" s="183">
        <f>IF(ISERROR(SUM(M9:Y9)/G9),"",(SUM(M9:Y9)/G9))</f>
        <v>25.182500000000001</v>
      </c>
      <c r="AC9" s="184">
        <f>IF(ISERROR(SUM(M9:Y9)/G9+H9),"",(SUM(M9:Y9)/G9+H9))</f>
        <v>35.182500000000005</v>
      </c>
      <c r="AD9" s="43"/>
      <c r="AE9" s="43"/>
      <c r="AF9" s="43"/>
      <c r="AG9" s="43"/>
      <c r="AH9" s="43"/>
      <c r="AI9" s="1"/>
      <c r="AJ9" s="1">
        <f t="array" ref="AJ9">IF(ISERROR(INDEX('Number Allocation'!$J$30:$J$37,MATCH(Dorchester!$D$2,'Number Allocation'!$L$30:$L$37,0))),0,(INDEX('Number Allocation'!$J$30:$J$37,MATCH(Dorchester!$D$2,'Number Allocation'!$L$30:$L$37,0))))+IF(ISERROR(INDEX('Number Allocation'!$L$30:$L$37,MATCH(Dorchester!$D$2,'Number Allocation'!$J$30:$J$37,0))),0,(INDEX('Number Allocation'!$L$30:$L$37,MATCH(Dorchester!$D$2,'Number Allocation'!$J$30:$J$37,0))))</f>
        <v>13</v>
      </c>
      <c r="AK9" s="44">
        <v>3</v>
      </c>
      <c r="AL9" s="44" t="str">
        <f>VLOOKUP(AJ9,'Number Allocation'!$I$7:$J$22,2,0)</f>
        <v>Bournemouth</v>
      </c>
      <c r="AM9" s="45" t="str">
        <f>'Number Allocation'!K26</f>
        <v>09.10.21</v>
      </c>
      <c r="AN9" s="46"/>
      <c r="AO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44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44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AS9" s="44">
        <f t="shared" si="0"/>
        <v>0</v>
      </c>
      <c r="AT9" s="2"/>
      <c r="AU9" s="44">
        <f t="shared" si="1"/>
        <v>12</v>
      </c>
      <c r="AV9" s="1"/>
      <c r="AW9" s="11"/>
    </row>
    <row r="10" spans="1:49" ht="15.75" customHeight="1" x14ac:dyDescent="0.2">
      <c r="A10" s="1"/>
      <c r="B10" s="1"/>
      <c r="C10" s="1"/>
      <c r="D10" s="182"/>
      <c r="E10" s="182"/>
      <c r="F10" s="38"/>
      <c r="G10" s="182"/>
      <c r="H10" s="182"/>
      <c r="I10" s="182"/>
      <c r="J10" s="182"/>
      <c r="K10" s="182"/>
      <c r="L10" s="39"/>
      <c r="M10" s="41" t="s">
        <v>77</v>
      </c>
      <c r="N10" s="41" t="s">
        <v>93</v>
      </c>
      <c r="O10" s="41" t="s">
        <v>85</v>
      </c>
      <c r="P10" s="41" t="s">
        <v>86</v>
      </c>
      <c r="Q10" s="41" t="s">
        <v>86</v>
      </c>
      <c r="R10" s="41" t="s">
        <v>77</v>
      </c>
      <c r="S10" s="41" t="s">
        <v>99</v>
      </c>
      <c r="T10" s="41" t="s">
        <v>79</v>
      </c>
      <c r="U10" s="41" t="s">
        <v>90</v>
      </c>
      <c r="V10" s="41" t="s">
        <v>84</v>
      </c>
      <c r="W10" s="41" t="s">
        <v>77</v>
      </c>
      <c r="X10" s="60" t="s">
        <v>78</v>
      </c>
      <c r="Y10" s="41"/>
      <c r="Z10" s="42"/>
      <c r="AA10" s="182"/>
      <c r="AB10" s="182"/>
      <c r="AC10" s="182"/>
      <c r="AD10" s="43"/>
      <c r="AE10" s="43"/>
      <c r="AF10" s="43"/>
      <c r="AG10" s="43"/>
      <c r="AH10" s="43"/>
      <c r="AI10" s="1"/>
      <c r="AJ10" s="1">
        <f t="array" ref="AJ10">IF(ISERROR(INDEX('Number Allocation'!$N$30:$N$37,MATCH(Dorchester!$D$2,'Number Allocation'!$P$30:$P$37,0))),0,(INDEX('Number Allocation'!$N$30:$N$37,MATCH(Dorchester!$D$2,'Number Allocation'!$P$30:$P$37,0))))+IF(ISERROR(INDEX('Number Allocation'!$P$30:$P$37,MATCH(Dorchester!$D$2,'Number Allocation'!$N$30:$N$37,0))),0,(INDEX('Number Allocation'!$P$30:$P$37,MATCH(Dorchester!$D$2,'Number Allocation'!$N$30:$N$37,0))))</f>
        <v>1</v>
      </c>
      <c r="AK10" s="44">
        <v>4</v>
      </c>
      <c r="AL10" s="44" t="str">
        <f>VLOOKUP(AJ10,'Number Allocation'!$I$7:$J$22,2,0)</f>
        <v>Parkstone</v>
      </c>
      <c r="AM10" s="45" t="str">
        <f>'Number Allocation'!O26</f>
        <v>16.10.21</v>
      </c>
      <c r="AN10" s="46"/>
      <c r="AO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1</v>
      </c>
      <c r="AP10" s="44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44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8</v>
      </c>
      <c r="AS10" s="44">
        <f t="shared" si="0"/>
        <v>4</v>
      </c>
      <c r="AT10" s="2"/>
      <c r="AU10" s="44">
        <f t="shared" si="1"/>
        <v>8</v>
      </c>
      <c r="AV10" s="1"/>
      <c r="AW10" s="11"/>
    </row>
    <row r="11" spans="1:49" ht="15.75" customHeight="1" x14ac:dyDescent="0.2">
      <c r="A11" s="1"/>
      <c r="B11" s="1"/>
      <c r="C11" s="1"/>
      <c r="D11" s="185"/>
      <c r="E11" s="181" t="s">
        <v>199</v>
      </c>
      <c r="F11" s="38"/>
      <c r="G11" s="181" t="str">
        <f>IF(COUNT(M11:Y11)=0,"",(COUNT(M11:Y11)))</f>
        <v/>
      </c>
      <c r="H11" s="181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186" t="str">
        <f>IF(ISERROR(G11-H11),"",G11-H11)</f>
        <v/>
      </c>
      <c r="J11" s="186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186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39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2"/>
      <c r="AA11" s="181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183" t="str">
        <f>IF(ISERROR(SUM(M11:Y11)/G11),"",(SUM(M11:Y11)/G11))</f>
        <v/>
      </c>
      <c r="AC11" s="184" t="str">
        <f>IF(ISERROR(SUM(M11:Y11)/G11+H11),"",(SUM(M11:Y11)/G11+H11))</f>
        <v/>
      </c>
      <c r="AD11" s="43"/>
      <c r="AE11" s="43"/>
      <c r="AF11" s="43"/>
      <c r="AG11" s="43"/>
      <c r="AH11" s="43"/>
      <c r="AI11" s="1"/>
      <c r="AJ11" s="1">
        <f t="array" ref="AJ11">IF(ISERROR(INDEX('Number Allocation'!$R$30:$R$37,MATCH(Dorchester!$D$2,'Number Allocation'!$T$30:$T$37,0))),0,(INDEX('Number Allocation'!$R$30:$R$37,MATCH(Dorchester!$D$2,'Number Allocation'!$T$30:$T$37,0))))+IF(ISERROR(INDEX('Number Allocation'!$T$30:$T$37,MATCH(Dorchester!$D$2,'Number Allocation'!$R$30:$R$37,0))),0,(INDEX('Number Allocation'!$T$30:$T$37,MATCH(Dorchester!$D$2,'Number Allocation'!$R$30:$R$37,0))))</f>
        <v>2</v>
      </c>
      <c r="AK11" s="44">
        <v>5</v>
      </c>
      <c r="AL11" s="44" t="str">
        <f>VLOOKUP(AJ11,'Number Allocation'!$I$7:$J$22,2,0)</f>
        <v>Alderney</v>
      </c>
      <c r="AM11" s="45" t="str">
        <f>'Number Allocation'!S26</f>
        <v>13.11.21</v>
      </c>
      <c r="AN11" s="46"/>
      <c r="AO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1</v>
      </c>
      <c r="AP11" s="44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44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10</v>
      </c>
      <c r="AS11" s="44">
        <f t="shared" si="0"/>
        <v>2</v>
      </c>
      <c r="AT11" s="2"/>
      <c r="AU11" s="44">
        <f t="shared" si="1"/>
        <v>10</v>
      </c>
      <c r="AV11" s="1"/>
      <c r="AW11" s="11"/>
    </row>
    <row r="12" spans="1:49" ht="15.75" customHeight="1" x14ac:dyDescent="0.2">
      <c r="A12" s="1"/>
      <c r="B12" s="1"/>
      <c r="C12" s="1"/>
      <c r="D12" s="182"/>
      <c r="E12" s="182"/>
      <c r="F12" s="38"/>
      <c r="G12" s="182"/>
      <c r="H12" s="182"/>
      <c r="I12" s="182"/>
      <c r="J12" s="182"/>
      <c r="K12" s="182"/>
      <c r="L12" s="47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2"/>
      <c r="AA12" s="182"/>
      <c r="AB12" s="182"/>
      <c r="AC12" s="182"/>
      <c r="AD12" s="43"/>
      <c r="AE12" s="43"/>
      <c r="AF12" s="43"/>
      <c r="AG12" s="43"/>
      <c r="AH12" s="43"/>
      <c r="AI12" s="1"/>
      <c r="AJ12" s="1">
        <f t="array" ref="AJ12">IF(ISERROR(INDEX('Number Allocation'!$B$44:$B$51,MATCH(Dorchester!$D$2,'Number Allocation'!$D$44:$D$51,0))),0,(INDEX('Number Allocation'!$B$44:$B$51,MATCH(Dorchester!$D$2,'Number Allocation'!$D$44:$D$51,0))))+IF(ISERROR(INDEX('Number Allocation'!$D$44:$D$51,MATCH(Dorchester!$D$2,'Number Allocation'!$B$44:$B$51,0))),0,(INDEX('Number Allocation'!$D$44:$D$51,MATCH(Dorchester!$D$2,'Number Allocation'!$B$44:$B$51,0))))</f>
        <v>3</v>
      </c>
      <c r="AK12" s="44">
        <v>6</v>
      </c>
      <c r="AL12" s="44" t="str">
        <f>VLOOKUP(AJ12,'Number Allocation'!$I$7:$J$22,2,0)</f>
        <v>Weymouth</v>
      </c>
      <c r="AM12" s="45" t="str">
        <f>'Number Allocation'!C40</f>
        <v>04.12.21</v>
      </c>
      <c r="AN12" s="46"/>
      <c r="AO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1</v>
      </c>
      <c r="AP12" s="44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44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AS12" s="44">
        <f t="shared" si="0"/>
        <v>4</v>
      </c>
      <c r="AT12" s="2"/>
      <c r="AU12" s="44">
        <f t="shared" si="1"/>
        <v>8</v>
      </c>
      <c r="AV12" s="1"/>
      <c r="AW12" s="11"/>
    </row>
    <row r="13" spans="1:49" ht="15.75" customHeight="1" x14ac:dyDescent="0.2">
      <c r="A13" s="1"/>
      <c r="B13" s="1"/>
      <c r="C13" s="1"/>
      <c r="D13" s="185"/>
      <c r="E13" s="181" t="s">
        <v>200</v>
      </c>
      <c r="F13" s="38"/>
      <c r="G13" s="181">
        <f>IF(COUNT(M13:Y13)=0,"",(COUNT(M13:Y13)))</f>
        <v>12</v>
      </c>
      <c r="H13" s="181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8</v>
      </c>
      <c r="I13" s="186">
        <f>IF(ISERROR(G13-H13),"",G13-H13)</f>
        <v>4</v>
      </c>
      <c r="J13" s="186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36</v>
      </c>
      <c r="K13" s="186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33</v>
      </c>
      <c r="L13" s="39"/>
      <c r="M13" s="41">
        <v>20.04</v>
      </c>
      <c r="N13" s="41">
        <v>20.51</v>
      </c>
      <c r="O13" s="41">
        <v>22.61</v>
      </c>
      <c r="P13" s="41">
        <v>21.06</v>
      </c>
      <c r="Q13" s="41">
        <v>21.4</v>
      </c>
      <c r="R13" s="41">
        <v>21.42</v>
      </c>
      <c r="S13" s="41">
        <v>24.13</v>
      </c>
      <c r="T13" s="41">
        <v>18.82</v>
      </c>
      <c r="U13" s="41">
        <v>20.59</v>
      </c>
      <c r="V13" s="41"/>
      <c r="W13" s="41">
        <v>24.87</v>
      </c>
      <c r="X13" s="60">
        <v>22.38</v>
      </c>
      <c r="Y13" s="41">
        <v>22.52</v>
      </c>
      <c r="Z13" s="42"/>
      <c r="AA13" s="181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3</v>
      </c>
      <c r="AB13" s="183">
        <f>IF(ISERROR(SUM(M13:Y13)/G13),"",(SUM(M13:Y13)/G13))</f>
        <v>21.695833333333336</v>
      </c>
      <c r="AC13" s="184">
        <f>IF(ISERROR(SUM(M13:Y13)/G13+H13),"",(SUM(M13:Y13)/G13+H13))</f>
        <v>29.695833333333336</v>
      </c>
      <c r="AD13" s="43"/>
      <c r="AE13" s="43"/>
      <c r="AF13" s="43"/>
      <c r="AG13" s="43"/>
      <c r="AH13" s="43"/>
      <c r="AI13" s="1"/>
      <c r="AJ13" s="1">
        <f t="array" ref="AJ13">IF(ISERROR(INDEX('Number Allocation'!$H$44:$H$51,MATCH(Dorchester!$D$2,'Number Allocation'!$F$44:$F$51,0))),0,(INDEX('Number Allocation'!$H$44:$H$51,MATCH(Dorchester!$D$2,'Number Allocation'!$F$44:$F$51,0))))+IF(ISERROR(INDEX('Number Allocation'!$F$44:$F$51,MATCH(Dorchester!$D$2,'Number Allocation'!$H$44:$H$51,0))),0,(INDEX('Number Allocation'!$F$44:$F$51,MATCH(Dorchester!$D$2,'Number Allocation'!$H$44:$H$51,0))))</f>
        <v>14</v>
      </c>
      <c r="AK13" s="44">
        <v>7</v>
      </c>
      <c r="AL13" s="44" t="str">
        <f>VLOOKUP(AJ13,'Number Allocation'!$I$7:$J$22,2,0)</f>
        <v>Christchurch</v>
      </c>
      <c r="AM13" s="45" t="str">
        <f>'Number Allocation'!G40</f>
        <v>15.01.22</v>
      </c>
      <c r="AN13" s="46"/>
      <c r="AO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44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1</v>
      </c>
      <c r="AQ13" s="44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AS13" s="44">
        <f t="shared" si="0"/>
        <v>6</v>
      </c>
      <c r="AT13" s="2"/>
      <c r="AU13" s="44">
        <f t="shared" si="1"/>
        <v>6</v>
      </c>
      <c r="AV13" s="1"/>
      <c r="AW13" s="11"/>
    </row>
    <row r="14" spans="1:49" ht="15.75" customHeight="1" x14ac:dyDescent="0.2">
      <c r="A14" s="1"/>
      <c r="B14" s="1"/>
      <c r="C14" s="1"/>
      <c r="D14" s="182"/>
      <c r="E14" s="182"/>
      <c r="F14" s="38"/>
      <c r="G14" s="182"/>
      <c r="H14" s="182"/>
      <c r="I14" s="182"/>
      <c r="J14" s="182"/>
      <c r="K14" s="182"/>
      <c r="L14" s="47"/>
      <c r="M14" s="41" t="s">
        <v>79</v>
      </c>
      <c r="N14" s="41" t="s">
        <v>99</v>
      </c>
      <c r="O14" s="41" t="s">
        <v>93</v>
      </c>
      <c r="P14" s="41" t="s">
        <v>90</v>
      </c>
      <c r="Q14" s="41" t="s">
        <v>78</v>
      </c>
      <c r="R14" s="41" t="s">
        <v>85</v>
      </c>
      <c r="S14" s="41" t="s">
        <v>81</v>
      </c>
      <c r="T14" s="41" t="s">
        <v>84</v>
      </c>
      <c r="U14" s="41" t="s">
        <v>84</v>
      </c>
      <c r="V14" s="41"/>
      <c r="W14" s="41" t="s">
        <v>93</v>
      </c>
      <c r="X14" s="60" t="s">
        <v>90</v>
      </c>
      <c r="Y14" s="41" t="s">
        <v>94</v>
      </c>
      <c r="Z14" s="42"/>
      <c r="AA14" s="182"/>
      <c r="AB14" s="182"/>
      <c r="AC14" s="182"/>
      <c r="AD14" s="43"/>
      <c r="AE14" s="43"/>
      <c r="AF14" s="43"/>
      <c r="AG14" s="43"/>
      <c r="AH14" s="43"/>
      <c r="AI14" s="1"/>
      <c r="AJ14" s="1">
        <f t="array" ref="AJ14">IF(ISERROR(INDEX('Number Allocation'!$J$44:$J$51,MATCH(Dorchester!$D$2,'Number Allocation'!$L$44:$L$51,0))),0,(INDEX('Number Allocation'!$J$44:$J$51,MATCH(Dorchester!$D$2,'Number Allocation'!$L$44:$L$51,0))))+IF(ISERROR(INDEX('Number Allocation'!$L$44:$L$51,MATCH(Dorchester!$D$2,'Number Allocation'!$J$44:$J$51,0))),0,(INDEX('Number Allocation'!$L$44:$L$51,MATCH(Dorchester!$D$2,'Number Allocation'!$J$44:$J$51,0))))</f>
        <v>5</v>
      </c>
      <c r="AK14" s="44">
        <v>8</v>
      </c>
      <c r="AL14" s="44" t="str">
        <f>VLOOKUP(AJ14,'Number Allocation'!$I$7:$J$22,2,0)</f>
        <v>Boscombe</v>
      </c>
      <c r="AM14" s="45" t="str">
        <f>'Number Allocation'!K40</f>
        <v>29.01.22</v>
      </c>
      <c r="AN14" s="46"/>
      <c r="AO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1</v>
      </c>
      <c r="AP14" s="44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44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9</v>
      </c>
      <c r="AS14" s="44">
        <f t="shared" si="0"/>
        <v>3</v>
      </c>
      <c r="AT14" s="2"/>
      <c r="AU14" s="44">
        <f t="shared" si="1"/>
        <v>9</v>
      </c>
      <c r="AV14" s="1"/>
      <c r="AW14" s="11"/>
    </row>
    <row r="15" spans="1:49" ht="15.75" customHeight="1" x14ac:dyDescent="0.2">
      <c r="A15" s="1"/>
      <c r="B15" s="1"/>
      <c r="C15" s="1"/>
      <c r="D15" s="185"/>
      <c r="E15" s="181" t="s">
        <v>201</v>
      </c>
      <c r="F15" s="38"/>
      <c r="G15" s="181">
        <f>IF(COUNT(M15:Y15)=0,"",(COUNT(M15:Y15)))</f>
        <v>10</v>
      </c>
      <c r="H15" s="181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9</v>
      </c>
      <c r="I15" s="186">
        <f>IF(ISERROR(G15-H15),"",G15-H15)</f>
        <v>1</v>
      </c>
      <c r="J15" s="186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38</v>
      </c>
      <c r="K15" s="186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13</v>
      </c>
      <c r="L15" s="39"/>
      <c r="M15" s="41">
        <v>20.329999999999998</v>
      </c>
      <c r="N15" s="41">
        <v>22.73</v>
      </c>
      <c r="O15" s="41">
        <v>22.52</v>
      </c>
      <c r="P15" s="41">
        <v>21.27</v>
      </c>
      <c r="Q15" s="41">
        <v>21.9</v>
      </c>
      <c r="R15" s="41">
        <v>23.58</v>
      </c>
      <c r="S15" s="41">
        <v>21.77</v>
      </c>
      <c r="T15" s="41">
        <v>25.21</v>
      </c>
      <c r="U15" s="41"/>
      <c r="V15" s="41">
        <v>25.37</v>
      </c>
      <c r="W15" s="41">
        <v>27.65</v>
      </c>
      <c r="X15" s="41"/>
      <c r="Y15" s="41"/>
      <c r="Z15" s="42"/>
      <c r="AA15" s="181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4</v>
      </c>
      <c r="AB15" s="183">
        <f>IF(ISERROR(SUM(M15:Y15)/G15),"",(SUM(M15:Y15)/G15))</f>
        <v>23.233000000000001</v>
      </c>
      <c r="AC15" s="184">
        <f>IF(ISERROR(SUM(M15:Y15)/G15+H15),"",(SUM(M15:Y15)/G15+H15))</f>
        <v>32.233000000000004</v>
      </c>
      <c r="AD15" s="43"/>
      <c r="AE15" s="43"/>
      <c r="AF15" s="43"/>
      <c r="AG15" s="43"/>
      <c r="AH15" s="43"/>
      <c r="AI15" s="1"/>
      <c r="AJ15" s="1">
        <f t="array" ref="AJ15">IF(ISERROR(INDEX('Number Allocation'!$N$44:$N$51,MATCH(Dorchester!$D$2,'Number Allocation'!$P$44:$P$51,0))),0,(INDEX('Number Allocation'!$N$44:$N$51,MATCH(Dorchester!$D$2,'Number Allocation'!$P$44:$P$51,0))))+IF(ISERROR(INDEX('Number Allocation'!$P$44:$P$51,MATCH(Dorchester!$D$2,'Number Allocation'!$N$44:$N$51,0))),0,(INDEX('Number Allocation'!$P$44:$P$51,MATCH(Dorchester!$D$2,'Number Allocation'!$N$44:$N$51,0))))</f>
        <v>6</v>
      </c>
      <c r="AK15" s="44">
        <v>9</v>
      </c>
      <c r="AL15" s="44" t="str">
        <f>VLOOKUP(AJ15,'Number Allocation'!$I$7:$J$22,2,0)</f>
        <v>Bridport</v>
      </c>
      <c r="AM15" s="45" t="str">
        <f>'Number Allocation'!O40</f>
        <v>19.02.22</v>
      </c>
      <c r="AN15" s="46"/>
      <c r="AO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1</v>
      </c>
      <c r="AP15" s="44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44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AS15" s="44">
        <f t="shared" si="0"/>
        <v>2</v>
      </c>
      <c r="AT15" s="2"/>
      <c r="AU15" s="44">
        <f t="shared" si="1"/>
        <v>10</v>
      </c>
      <c r="AV15" s="1"/>
      <c r="AW15" s="11"/>
    </row>
    <row r="16" spans="1:49" ht="15.75" customHeight="1" x14ac:dyDescent="0.2">
      <c r="A16" s="1"/>
      <c r="B16" s="1"/>
      <c r="C16" s="1"/>
      <c r="D16" s="182"/>
      <c r="E16" s="182"/>
      <c r="F16" s="38"/>
      <c r="G16" s="182"/>
      <c r="H16" s="182"/>
      <c r="I16" s="182"/>
      <c r="J16" s="182"/>
      <c r="K16" s="182"/>
      <c r="L16" s="47"/>
      <c r="M16" s="41" t="s">
        <v>78</v>
      </c>
      <c r="N16" s="41" t="s">
        <v>86</v>
      </c>
      <c r="O16" s="41" t="s">
        <v>77</v>
      </c>
      <c r="P16" s="41" t="s">
        <v>202</v>
      </c>
      <c r="Q16" s="41" t="s">
        <v>79</v>
      </c>
      <c r="R16" s="41" t="s">
        <v>77</v>
      </c>
      <c r="S16" s="41" t="s">
        <v>84</v>
      </c>
      <c r="T16" s="41" t="s">
        <v>99</v>
      </c>
      <c r="U16" s="41"/>
      <c r="V16" s="41" t="s">
        <v>77</v>
      </c>
      <c r="W16" s="41" t="s">
        <v>93</v>
      </c>
      <c r="X16" s="41"/>
      <c r="Y16" s="41"/>
      <c r="Z16" s="42"/>
      <c r="AA16" s="182"/>
      <c r="AB16" s="182"/>
      <c r="AC16" s="182"/>
      <c r="AD16" s="43"/>
      <c r="AE16" s="43"/>
      <c r="AF16" s="43"/>
      <c r="AG16" s="43"/>
      <c r="AH16" s="43"/>
      <c r="AI16" s="1"/>
      <c r="AJ16" s="1">
        <f t="array" ref="AJ16">IF(ISERROR(INDEX('Number Allocation'!$R$44:$R$51,MATCH(Dorchester!$D$2,'Number Allocation'!$T$44:$T$51,0))),0,(INDEX('Number Allocation'!$R$44:$R$51,MATCH(Dorchester!$D$2,'Number Allocation'!$T$44:$T$51,0))))+IF(ISERROR(INDEX('Number Allocation'!$T$44:$T$51,MATCH(Dorchester!$D$2,'Number Allocation'!$R$44:$R$51,0))),0,(INDEX('Number Allocation'!$T$44:$T$51,MATCH(Dorchester!$D$2,'Number Allocation'!$R$44:$R$51,0))))</f>
        <v>7</v>
      </c>
      <c r="AK16" s="44">
        <v>10</v>
      </c>
      <c r="AL16" s="44" t="str">
        <f>VLOOKUP(AJ16,'Number Allocation'!$I$7:$J$22,2,0)</f>
        <v>Shaftesbury</v>
      </c>
      <c r="AM16" s="45" t="str">
        <f>'Number Allocation'!S40</f>
        <v>05.03.22</v>
      </c>
      <c r="AN16" s="46"/>
      <c r="AO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1</v>
      </c>
      <c r="AP16" s="44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44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AS16" s="44">
        <f t="shared" si="0"/>
        <v>2</v>
      </c>
      <c r="AT16" s="2"/>
      <c r="AU16" s="44">
        <f t="shared" si="1"/>
        <v>10</v>
      </c>
      <c r="AV16" s="1"/>
      <c r="AW16" s="11"/>
    </row>
    <row r="17" spans="1:49" ht="15.75" customHeight="1" x14ac:dyDescent="0.2">
      <c r="A17" s="1"/>
      <c r="B17" s="1"/>
      <c r="C17" s="1"/>
      <c r="D17" s="185"/>
      <c r="E17" s="181" t="s">
        <v>203</v>
      </c>
      <c r="F17" s="38"/>
      <c r="G17" s="181">
        <f>IF(COUNT(M17:Y17)=0,"",(COUNT(M17:Y17)))</f>
        <v>10</v>
      </c>
      <c r="H17" s="181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5</v>
      </c>
      <c r="I17" s="186">
        <f>IF(ISERROR(G17-H17),"",G17-H17)</f>
        <v>5</v>
      </c>
      <c r="J17" s="186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28</v>
      </c>
      <c r="K17" s="186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28</v>
      </c>
      <c r="L17" s="39"/>
      <c r="M17" s="41">
        <v>21.05</v>
      </c>
      <c r="N17" s="41">
        <v>21.62</v>
      </c>
      <c r="O17" s="41">
        <v>22.25</v>
      </c>
      <c r="P17" s="41">
        <v>19.64</v>
      </c>
      <c r="Q17" s="41">
        <v>25.53</v>
      </c>
      <c r="R17" s="41"/>
      <c r="S17" s="41"/>
      <c r="T17" s="41"/>
      <c r="U17" s="41">
        <v>22.76</v>
      </c>
      <c r="V17" s="41">
        <v>19.87</v>
      </c>
      <c r="W17" s="41">
        <v>24.46</v>
      </c>
      <c r="X17" s="60">
        <v>24.52</v>
      </c>
      <c r="Y17" s="41">
        <v>21.6</v>
      </c>
      <c r="Z17" s="42"/>
      <c r="AA17" s="181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183">
        <f>IF(ISERROR(SUM(M17:Y17)/G17),"",(SUM(M17:Y17)/G17))</f>
        <v>22.330000000000002</v>
      </c>
      <c r="AC17" s="184">
        <f>IF(ISERROR(SUM(M17:Y17)/G17+H17),"",(SUM(M17:Y17)/G17+H17))</f>
        <v>27.330000000000002</v>
      </c>
      <c r="AD17" s="43"/>
      <c r="AE17" s="43"/>
      <c r="AF17" s="43"/>
      <c r="AG17" s="43"/>
      <c r="AH17" s="43"/>
      <c r="AI17" s="1"/>
      <c r="AJ17" s="1">
        <f t="array" ref="AJ17">IF(ISERROR(INDEX('Number Allocation'!$B$58:$B$65,MATCH(Dorchester!$D$2,'Number Allocation'!$D$58:$D$65,0))),0,(INDEX('Number Allocation'!$B$58:$B$65,MATCH(Dorchester!$D$2,'Number Allocation'!$D$58:$D$65,0))))+IF(ISERROR(INDEX('Number Allocation'!$D$58:$D$65,MATCH(Dorchester!$D$2,'Number Allocation'!$B$58:$B$65,0))),0,(INDEX('Number Allocation'!$D$58:$D$65,MATCH(Dorchester!$D$2,'Number Allocation'!$B$58:$B$65,0))))</f>
        <v>8</v>
      </c>
      <c r="AK17" s="44">
        <v>11</v>
      </c>
      <c r="AL17" s="44" t="str">
        <f>VLOOKUP(AJ17,'Number Allocation'!$I$7:$J$22,2,0)</f>
        <v>Alderholt</v>
      </c>
      <c r="AM17" s="45" t="str">
        <f>'Number Allocation'!C54</f>
        <v>12.03.22</v>
      </c>
      <c r="AN17" s="46"/>
      <c r="AO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1</v>
      </c>
      <c r="AP17" s="44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44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AS17" s="44">
        <f t="shared" si="0"/>
        <v>4</v>
      </c>
      <c r="AT17" s="2"/>
      <c r="AU17" s="44">
        <f t="shared" si="1"/>
        <v>8</v>
      </c>
      <c r="AV17" s="1"/>
      <c r="AW17" s="11"/>
    </row>
    <row r="18" spans="1:49" ht="15.75" customHeight="1" x14ac:dyDescent="0.2">
      <c r="A18" s="1"/>
      <c r="B18" s="1"/>
      <c r="C18" s="1"/>
      <c r="D18" s="182"/>
      <c r="E18" s="182"/>
      <c r="F18" s="38"/>
      <c r="G18" s="182"/>
      <c r="H18" s="182"/>
      <c r="I18" s="182"/>
      <c r="J18" s="182"/>
      <c r="K18" s="182"/>
      <c r="L18" s="47"/>
      <c r="M18" s="41" t="s">
        <v>78</v>
      </c>
      <c r="N18" s="41" t="s">
        <v>99</v>
      </c>
      <c r="O18" s="41" t="s">
        <v>93</v>
      </c>
      <c r="P18" s="41" t="s">
        <v>99</v>
      </c>
      <c r="Q18" s="41" t="s">
        <v>90</v>
      </c>
      <c r="R18" s="41"/>
      <c r="S18" s="41"/>
      <c r="T18" s="41"/>
      <c r="U18" s="41" t="s">
        <v>84</v>
      </c>
      <c r="V18" s="41" t="s">
        <v>78</v>
      </c>
      <c r="W18" s="41" t="s">
        <v>79</v>
      </c>
      <c r="X18" s="60" t="s">
        <v>99</v>
      </c>
      <c r="Y18" s="41" t="s">
        <v>90</v>
      </c>
      <c r="Z18" s="42"/>
      <c r="AA18" s="182"/>
      <c r="AB18" s="182"/>
      <c r="AC18" s="182"/>
      <c r="AD18" s="43"/>
      <c r="AE18" s="43"/>
      <c r="AF18" s="43"/>
      <c r="AG18" s="43"/>
      <c r="AH18" s="43"/>
      <c r="AI18" s="1"/>
      <c r="AJ18" s="1">
        <f t="array" ref="AJ18">IF(ISERROR(INDEX('Number Allocation'!$H$58:$H$65,MATCH(Dorchester!$D$2,'Number Allocation'!$F$58:$F$65,0))),0,(INDEX('Number Allocation'!$H$58:$H$65,MATCH(Dorchester!$D$2,'Number Allocation'!$F$58:$F$65,0))))+IF(ISERROR(INDEX('Number Allocation'!$F$58:$F$65,MATCH(Dorchester!$D$2,'Number Allocation'!$H$58:$H$65,0))),0,(INDEX('Number Allocation'!$F$58:$F$65,MATCH(Dorchester!$D$2,'Number Allocation'!$H$58:$H$65,0))))</f>
        <v>9</v>
      </c>
      <c r="AK18" s="44">
        <v>12</v>
      </c>
      <c r="AL18" s="44" t="str">
        <f>VLOOKUP(AJ18,'Number Allocation'!$I$7:$J$22,2,0)</f>
        <v>Poole</v>
      </c>
      <c r="AM18" s="45" t="str">
        <f>'Number Allocation'!G54</f>
        <v>02.04.22</v>
      </c>
      <c r="AN18" s="46"/>
      <c r="AO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1</v>
      </c>
      <c r="AP18" s="44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44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8</v>
      </c>
      <c r="AS18" s="44">
        <f t="shared" si="0"/>
        <v>4</v>
      </c>
      <c r="AT18" s="2"/>
      <c r="AU18" s="44">
        <f t="shared" si="1"/>
        <v>8</v>
      </c>
      <c r="AV18" s="1"/>
      <c r="AW18" s="11"/>
    </row>
    <row r="19" spans="1:49" ht="15.75" customHeight="1" x14ac:dyDescent="0.2">
      <c r="A19" s="1"/>
      <c r="B19" s="1"/>
      <c r="C19" s="1"/>
      <c r="D19" s="185"/>
      <c r="E19" s="181" t="s">
        <v>204</v>
      </c>
      <c r="F19" s="38"/>
      <c r="G19" s="181">
        <f>IF(COUNT(M19:Y19)=0,"",(COUNT(M19:Y19)))</f>
        <v>13</v>
      </c>
      <c r="H19" s="181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10</v>
      </c>
      <c r="I19" s="186">
        <f>IF(ISERROR(G19-H19),"",G19-H19)</f>
        <v>3</v>
      </c>
      <c r="J19" s="186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43</v>
      </c>
      <c r="K19" s="186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24</v>
      </c>
      <c r="L19" s="39"/>
      <c r="M19" s="41">
        <v>22.15</v>
      </c>
      <c r="N19" s="41">
        <v>22.02</v>
      </c>
      <c r="O19" s="41">
        <v>24.07</v>
      </c>
      <c r="P19" s="41">
        <v>23.57</v>
      </c>
      <c r="Q19" s="41">
        <v>22.52</v>
      </c>
      <c r="R19" s="41">
        <v>20.76</v>
      </c>
      <c r="S19" s="41">
        <v>21.98</v>
      </c>
      <c r="T19" s="41">
        <v>21.6</v>
      </c>
      <c r="U19" s="41">
        <v>21.36</v>
      </c>
      <c r="V19" s="41">
        <v>20.97</v>
      </c>
      <c r="W19" s="41">
        <v>23.07</v>
      </c>
      <c r="X19" s="60">
        <v>24.74</v>
      </c>
      <c r="Y19" s="41">
        <v>20.84</v>
      </c>
      <c r="Z19" s="42"/>
      <c r="AA19" s="181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4</v>
      </c>
      <c r="AB19" s="183">
        <f>IF(ISERROR(SUM(M19:Y19)/G19),"",(SUM(M19:Y19)/G19))</f>
        <v>22.280769230769224</v>
      </c>
      <c r="AC19" s="184">
        <f>IF(ISERROR(SUM(M19:Y19)/G19+H19),"",(SUM(M19:Y19)/G19+H19))</f>
        <v>32.280769230769224</v>
      </c>
      <c r="AD19" s="43"/>
      <c r="AE19" s="43"/>
      <c r="AF19" s="43"/>
      <c r="AG19" s="43"/>
      <c r="AH19" s="43"/>
      <c r="AI19" s="1"/>
      <c r="AJ19" s="1">
        <f t="array" ref="AJ19">IF(ISERROR(INDEX('Number Allocation'!$J$58:$J$65,MATCH(Dorchester!$D$2,'Number Allocation'!$L$58:$L$65,0))),0,(INDEX('Number Allocation'!$J$58:$J$65,MATCH(Dorchester!$D$2,'Number Allocation'!$L$58:$L$65,0))))+IF(ISERROR(INDEX('Number Allocation'!$L$58:$L$65,MATCH(Dorchester!$D$2,'Number Allocation'!$J$58:$J$65,0))),0,(INDEX('Number Allocation'!$L$58:$L$65,MATCH(Dorchester!$D$2,'Number Allocation'!$J$58:$J$65,0))))</f>
        <v>10</v>
      </c>
      <c r="AK19" s="44">
        <v>13</v>
      </c>
      <c r="AL19" s="44" t="str">
        <f>VLOOKUP(AJ19,'Number Allocation'!$I$7:$J$22,2,0)</f>
        <v>Lytchett</v>
      </c>
      <c r="AM19" s="45" t="str">
        <f>'Number Allocation'!K54</f>
        <v>07.05.22</v>
      </c>
      <c r="AN19" s="46"/>
      <c r="AO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44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44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1</v>
      </c>
      <c r="AR19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5</v>
      </c>
      <c r="AS19" s="44">
        <f t="shared" si="0"/>
        <v>7</v>
      </c>
      <c r="AT19" s="2"/>
      <c r="AU19" s="44">
        <f t="shared" si="1"/>
        <v>5</v>
      </c>
      <c r="AV19" s="1"/>
      <c r="AW19" s="11"/>
    </row>
    <row r="20" spans="1:49" ht="15.75" customHeight="1" x14ac:dyDescent="0.2">
      <c r="A20" s="1"/>
      <c r="B20" s="1"/>
      <c r="C20" s="1"/>
      <c r="D20" s="182"/>
      <c r="E20" s="182"/>
      <c r="F20" s="38"/>
      <c r="G20" s="182"/>
      <c r="H20" s="182"/>
      <c r="I20" s="182"/>
      <c r="J20" s="182"/>
      <c r="K20" s="182"/>
      <c r="L20" s="47"/>
      <c r="M20" s="41" t="s">
        <v>83</v>
      </c>
      <c r="N20" s="41" t="s">
        <v>77</v>
      </c>
      <c r="O20" s="41" t="s">
        <v>78</v>
      </c>
      <c r="P20" s="41" t="s">
        <v>79</v>
      </c>
      <c r="Q20" s="41" t="s">
        <v>77</v>
      </c>
      <c r="R20" s="41" t="s">
        <v>81</v>
      </c>
      <c r="S20" s="41" t="s">
        <v>93</v>
      </c>
      <c r="T20" s="41" t="s">
        <v>79</v>
      </c>
      <c r="U20" s="41" t="s">
        <v>84</v>
      </c>
      <c r="V20" s="41" t="s">
        <v>93</v>
      </c>
      <c r="W20" s="41" t="s">
        <v>81</v>
      </c>
      <c r="X20" s="60" t="s">
        <v>86</v>
      </c>
      <c r="Y20" s="41" t="s">
        <v>78</v>
      </c>
      <c r="Z20" s="42"/>
      <c r="AA20" s="182"/>
      <c r="AB20" s="182"/>
      <c r="AC20" s="182"/>
      <c r="AD20" s="43"/>
      <c r="AE20" s="43"/>
      <c r="AF20" s="43"/>
      <c r="AG20" s="43"/>
      <c r="AH20" s="43"/>
      <c r="AI20" s="1"/>
      <c r="AJ20" s="1"/>
      <c r="AK20" s="1"/>
      <c r="AL20" s="1"/>
      <c r="AM20" s="48"/>
      <c r="AN20" s="48"/>
      <c r="AO20" s="11"/>
      <c r="AP20" s="11"/>
      <c r="AQ20" s="11"/>
      <c r="AR20" s="11"/>
      <c r="AS20" s="11"/>
      <c r="AT20" s="11"/>
      <c r="AU20" s="11"/>
      <c r="AV20" s="1"/>
      <c r="AW20" s="11"/>
    </row>
    <row r="21" spans="1:49" ht="15.75" customHeight="1" x14ac:dyDescent="0.2">
      <c r="A21" s="1"/>
      <c r="B21" s="1"/>
      <c r="C21" s="1"/>
      <c r="D21" s="185"/>
      <c r="E21" s="181" t="s">
        <v>205</v>
      </c>
      <c r="F21" s="38"/>
      <c r="G21" s="181">
        <f>IF(COUNT(M21:Y21)=0,"",(COUNT(M21:Y21)))</f>
        <v>13</v>
      </c>
      <c r="H21" s="181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6</v>
      </c>
      <c r="I21" s="186">
        <f>IF(ISERROR(G21-H21),"",G21-H21)</f>
        <v>7</v>
      </c>
      <c r="J21" s="186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35</v>
      </c>
      <c r="K21" s="186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37</v>
      </c>
      <c r="L21" s="39"/>
      <c r="M21" s="41">
        <v>21.57</v>
      </c>
      <c r="N21" s="41">
        <v>23.32</v>
      </c>
      <c r="O21" s="41">
        <v>23.82</v>
      </c>
      <c r="P21" s="41">
        <v>19.46</v>
      </c>
      <c r="Q21" s="41">
        <v>19.14</v>
      </c>
      <c r="R21" s="41">
        <v>22.39</v>
      </c>
      <c r="S21" s="41">
        <v>22.74</v>
      </c>
      <c r="T21" s="41">
        <v>28.63</v>
      </c>
      <c r="U21" s="41">
        <v>21.59</v>
      </c>
      <c r="V21" s="41">
        <v>25.6</v>
      </c>
      <c r="W21" s="41">
        <v>21.05</v>
      </c>
      <c r="X21" s="60">
        <v>17.809999999999999</v>
      </c>
      <c r="Y21" s="41">
        <v>17.93</v>
      </c>
      <c r="Z21" s="42"/>
      <c r="AA21" s="181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3</v>
      </c>
      <c r="AB21" s="183">
        <f>IF(ISERROR(SUM(M21:Y21)/G21),"",(SUM(M21:Y21)/G21))</f>
        <v>21.926923076923078</v>
      </c>
      <c r="AC21" s="184">
        <f>IF(ISERROR(SUM(M21:Y21)/G21+H21),"",(SUM(M21:Y21)/G21+H21))</f>
        <v>27.926923076923078</v>
      </c>
      <c r="AD21" s="43"/>
      <c r="AE21" s="43"/>
      <c r="AF21" s="43"/>
      <c r="AG21" s="43"/>
      <c r="AH21" s="43"/>
      <c r="AI21" s="1"/>
      <c r="AJ21" s="1"/>
      <c r="AK21" s="1"/>
      <c r="AL21" s="1" t="s">
        <v>102</v>
      </c>
      <c r="AM21" s="1"/>
      <c r="AN21" s="1"/>
      <c r="AO21" s="44">
        <f t="shared" ref="AO21:AS21" si="2">SUM(AO7:AO19)</f>
        <v>11</v>
      </c>
      <c r="AP21" s="44">
        <f t="shared" si="2"/>
        <v>1</v>
      </c>
      <c r="AQ21" s="44">
        <f t="shared" si="2"/>
        <v>1</v>
      </c>
      <c r="AR21" s="44">
        <f t="shared" si="2"/>
        <v>110</v>
      </c>
      <c r="AS21" s="44">
        <f t="shared" si="2"/>
        <v>46</v>
      </c>
      <c r="AT21" s="2"/>
      <c r="AU21" s="44">
        <f>SUM(AU7:AU19)</f>
        <v>110</v>
      </c>
      <c r="AV21" s="1"/>
      <c r="AW21" s="11"/>
    </row>
    <row r="22" spans="1:49" ht="15.75" customHeight="1" x14ac:dyDescent="0.2">
      <c r="A22" s="1"/>
      <c r="B22" s="1"/>
      <c r="C22" s="1"/>
      <c r="D22" s="182"/>
      <c r="E22" s="182"/>
      <c r="F22" s="38"/>
      <c r="G22" s="182"/>
      <c r="H22" s="182"/>
      <c r="I22" s="182"/>
      <c r="J22" s="182"/>
      <c r="K22" s="182"/>
      <c r="L22" s="47"/>
      <c r="M22" s="41" t="s">
        <v>93</v>
      </c>
      <c r="N22" s="41" t="s">
        <v>99</v>
      </c>
      <c r="O22" s="41" t="s">
        <v>79</v>
      </c>
      <c r="P22" s="41" t="s">
        <v>77</v>
      </c>
      <c r="Q22" s="41" t="s">
        <v>84</v>
      </c>
      <c r="R22" s="41" t="s">
        <v>97</v>
      </c>
      <c r="S22" s="41" t="s">
        <v>88</v>
      </c>
      <c r="T22" s="41" t="s">
        <v>77</v>
      </c>
      <c r="U22" s="41" t="s">
        <v>90</v>
      </c>
      <c r="V22" s="41" t="s">
        <v>94</v>
      </c>
      <c r="W22" s="41" t="s">
        <v>88</v>
      </c>
      <c r="X22" s="60" t="s">
        <v>81</v>
      </c>
      <c r="Y22" s="41" t="s">
        <v>90</v>
      </c>
      <c r="Z22" s="42"/>
      <c r="AA22" s="182"/>
      <c r="AB22" s="182"/>
      <c r="AC22" s="182"/>
      <c r="AD22" s="43"/>
      <c r="AE22" s="43"/>
      <c r="AF22" s="43"/>
      <c r="AG22" s="43"/>
      <c r="AH22" s="43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1"/>
    </row>
    <row r="23" spans="1:49" ht="15.75" customHeight="1" x14ac:dyDescent="0.2">
      <c r="A23" s="1"/>
      <c r="B23" s="1"/>
      <c r="C23" s="1"/>
      <c r="D23" s="185"/>
      <c r="E23" s="181" t="s">
        <v>206</v>
      </c>
      <c r="F23" s="38"/>
      <c r="G23" s="181">
        <f>IF(COUNT(M23:Y23)=0,"",(COUNT(M23:Y23)))</f>
        <v>11</v>
      </c>
      <c r="H23" s="181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7</v>
      </c>
      <c r="I23" s="186">
        <f>IF(ISERROR(G23-H23),"",G23-H23)</f>
        <v>4</v>
      </c>
      <c r="J23" s="186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31</v>
      </c>
      <c r="K23" s="186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31</v>
      </c>
      <c r="L23" s="39"/>
      <c r="M23" s="41">
        <v>18.920000000000002</v>
      </c>
      <c r="N23" s="41">
        <v>19.98</v>
      </c>
      <c r="O23" s="41">
        <v>26.72</v>
      </c>
      <c r="P23" s="41">
        <v>25.41</v>
      </c>
      <c r="Q23" s="41"/>
      <c r="R23" s="41">
        <v>25.89</v>
      </c>
      <c r="S23" s="41">
        <v>22.69</v>
      </c>
      <c r="T23" s="41">
        <v>23.43</v>
      </c>
      <c r="U23" s="41">
        <v>18.260000000000002</v>
      </c>
      <c r="V23" s="41">
        <v>19.57</v>
      </c>
      <c r="W23" s="41"/>
      <c r="X23" s="60">
        <v>21.44</v>
      </c>
      <c r="Y23" s="41">
        <v>24.93</v>
      </c>
      <c r="Z23" s="42"/>
      <c r="AA23" s="181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183">
        <f>IF(ISERROR(SUM(M23:Y23)/G23),"",(SUM(M23:Y23)/G23))</f>
        <v>22.476363636363637</v>
      </c>
      <c r="AC23" s="184">
        <f>IF(ISERROR(SUM(M23:Y23)/G23+H23),"",(SUM(M23:Y23)/G23+H23))</f>
        <v>29.476363636363637</v>
      </c>
      <c r="AD23" s="43"/>
      <c r="AE23" s="43"/>
      <c r="AF23" s="43"/>
      <c r="AG23" s="43"/>
      <c r="AH23" s="43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5.75" customHeight="1" x14ac:dyDescent="0.2">
      <c r="A24" s="1"/>
      <c r="B24" s="1"/>
      <c r="C24" s="1"/>
      <c r="D24" s="182"/>
      <c r="E24" s="182"/>
      <c r="F24" s="38"/>
      <c r="G24" s="182"/>
      <c r="H24" s="182"/>
      <c r="I24" s="182"/>
      <c r="J24" s="182"/>
      <c r="K24" s="182"/>
      <c r="L24" s="47"/>
      <c r="M24" s="41" t="s">
        <v>94</v>
      </c>
      <c r="N24" s="41" t="s">
        <v>99</v>
      </c>
      <c r="O24" s="41" t="s">
        <v>77</v>
      </c>
      <c r="P24" s="41" t="s">
        <v>84</v>
      </c>
      <c r="Q24" s="41"/>
      <c r="R24" s="41" t="s">
        <v>78</v>
      </c>
      <c r="S24" s="41" t="s">
        <v>81</v>
      </c>
      <c r="T24" s="41" t="s">
        <v>93</v>
      </c>
      <c r="U24" s="41" t="s">
        <v>93</v>
      </c>
      <c r="V24" s="41" t="s">
        <v>81</v>
      </c>
      <c r="W24" s="41"/>
      <c r="X24" s="60" t="s">
        <v>93</v>
      </c>
      <c r="Y24" s="41" t="s">
        <v>90</v>
      </c>
      <c r="Z24" s="42"/>
      <c r="AA24" s="182"/>
      <c r="AB24" s="182"/>
      <c r="AC24" s="182"/>
      <c r="AD24" s="43"/>
      <c r="AE24" s="43"/>
      <c r="AF24" s="43"/>
      <c r="AG24" s="43"/>
      <c r="AH24" s="43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5.75" customHeight="1" x14ac:dyDescent="0.2">
      <c r="A25" s="1"/>
      <c r="B25" s="1"/>
      <c r="C25" s="1"/>
      <c r="D25" s="185"/>
      <c r="E25" s="181" t="s">
        <v>207</v>
      </c>
      <c r="F25" s="38"/>
      <c r="G25" s="181">
        <f>IF(COUNT(M25:Y25)=0,"",(COUNT(M25:Y25)))</f>
        <v>1</v>
      </c>
      <c r="H25" s="181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186">
        <f>IF(ISERROR(G25-H25),"",G25-H25)</f>
        <v>1</v>
      </c>
      <c r="J25" s="186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186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4</v>
      </c>
      <c r="L25" s="39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>
        <v>16.829999999999998</v>
      </c>
      <c r="Z25" s="42"/>
      <c r="AA25" s="181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1</v>
      </c>
      <c r="AB25" s="183">
        <f>IF(ISERROR(SUM(M25:Y25)/G25),"",(SUM(M25:Y25)/G25))</f>
        <v>16.829999999999998</v>
      </c>
      <c r="AC25" s="184">
        <f>IF(ISERROR(SUM(M25:Y25)/G25+H25),"",(SUM(M25:Y25)/G25+H25))</f>
        <v>16.829999999999998</v>
      </c>
      <c r="AD25" s="43"/>
      <c r="AE25" s="43"/>
      <c r="AF25" s="43"/>
      <c r="AG25" s="43"/>
      <c r="AH25" s="43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49"/>
    </row>
    <row r="26" spans="1:49" ht="15.75" customHeight="1" x14ac:dyDescent="0.2">
      <c r="A26" s="1"/>
      <c r="B26" s="1"/>
      <c r="C26" s="1"/>
      <c r="D26" s="182"/>
      <c r="E26" s="182"/>
      <c r="F26" s="38"/>
      <c r="G26" s="182"/>
      <c r="H26" s="182"/>
      <c r="I26" s="182"/>
      <c r="J26" s="182"/>
      <c r="K26" s="182"/>
      <c r="L26" s="47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 t="s">
        <v>100</v>
      </c>
      <c r="Z26" s="42"/>
      <c r="AA26" s="182"/>
      <c r="AB26" s="182"/>
      <c r="AC26" s="182"/>
      <c r="AD26" s="43"/>
      <c r="AE26" s="43"/>
      <c r="AF26" s="43"/>
      <c r="AG26" s="43"/>
      <c r="AH26" s="43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15.75" customHeight="1" x14ac:dyDescent="0.2">
      <c r="A27" s="1"/>
      <c r="B27" s="1"/>
      <c r="C27" s="1"/>
      <c r="D27" s="185"/>
      <c r="E27" s="181" t="s">
        <v>208</v>
      </c>
      <c r="F27" s="38"/>
      <c r="G27" s="181" t="str">
        <f>IF(COUNT(M27:Y27)=0,"",(COUNT(M27:Y27)))</f>
        <v/>
      </c>
      <c r="H27" s="181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186" t="str">
        <f>IF(ISERROR(G27-H27),"",G27-H27)</f>
        <v/>
      </c>
      <c r="J27" s="186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186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39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2"/>
      <c r="AA27" s="181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183" t="str">
        <f>IF(ISERROR(SUM(M27:Y27)/G27),"",(SUM(M27:Y27)/G27))</f>
        <v/>
      </c>
      <c r="AC27" s="184" t="str">
        <f>IF(ISERROR(SUM(M27:Y27)/G27+H27),"",(SUM(M27:Y27)/G27+H27))</f>
        <v/>
      </c>
      <c r="AD27" s="43"/>
      <c r="AE27" s="43"/>
      <c r="AF27" s="43"/>
      <c r="AG27" s="43"/>
      <c r="AH27" s="43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5.75" customHeight="1" x14ac:dyDescent="0.2">
      <c r="A28" s="1"/>
      <c r="B28" s="1"/>
      <c r="C28" s="1"/>
      <c r="D28" s="182"/>
      <c r="E28" s="182"/>
      <c r="F28" s="38"/>
      <c r="G28" s="182"/>
      <c r="H28" s="182"/>
      <c r="I28" s="182"/>
      <c r="J28" s="182"/>
      <c r="K28" s="182"/>
      <c r="L28" s="47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2"/>
      <c r="AA28" s="182"/>
      <c r="AB28" s="182"/>
      <c r="AC28" s="182"/>
      <c r="AD28" s="43"/>
      <c r="AE28" s="43"/>
      <c r="AF28" s="43"/>
      <c r="AG28" s="43"/>
      <c r="AH28" s="4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.75" customHeight="1" x14ac:dyDescent="0.2">
      <c r="A29" s="1"/>
      <c r="B29" s="1"/>
      <c r="C29" s="1"/>
      <c r="D29" s="185"/>
      <c r="E29" s="181" t="s">
        <v>209</v>
      </c>
      <c r="F29" s="38"/>
      <c r="G29" s="181">
        <f>IF(COUNT(M29:Y29)=0,"",(COUNT(M29:Y29)))</f>
        <v>9</v>
      </c>
      <c r="H29" s="181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7</v>
      </c>
      <c r="I29" s="186">
        <f>IF(ISERROR(G29-H29),"",G29-H29)</f>
        <v>2</v>
      </c>
      <c r="J29" s="186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31</v>
      </c>
      <c r="K29" s="186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13</v>
      </c>
      <c r="L29" s="39"/>
      <c r="M29" s="41"/>
      <c r="N29" s="41"/>
      <c r="O29" s="41"/>
      <c r="P29" s="41"/>
      <c r="Q29" s="41">
        <v>24.44</v>
      </c>
      <c r="R29" s="41">
        <v>30.36</v>
      </c>
      <c r="S29" s="41">
        <v>23.95</v>
      </c>
      <c r="T29" s="41">
        <v>24.44</v>
      </c>
      <c r="U29" s="41">
        <v>22.52</v>
      </c>
      <c r="V29" s="41">
        <v>22.3</v>
      </c>
      <c r="W29" s="41">
        <v>21.81</v>
      </c>
      <c r="X29" s="60">
        <v>19.89</v>
      </c>
      <c r="Y29" s="41">
        <v>21.39</v>
      </c>
      <c r="Z29" s="42"/>
      <c r="AA29" s="181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2</v>
      </c>
      <c r="AB29" s="183">
        <f>IF(ISERROR(SUM(M29:Y29)/G29),"",(SUM(M29:Y29)/G29))</f>
        <v>23.455555555555552</v>
      </c>
      <c r="AC29" s="184">
        <f>IF(ISERROR(SUM(M29:Y29)/G29+H29),"",(SUM(M29:Y29)/G29+H29))</f>
        <v>30.455555555555552</v>
      </c>
      <c r="AD29" s="43"/>
      <c r="AE29" s="43"/>
      <c r="AF29" s="43"/>
      <c r="AG29" s="43"/>
      <c r="AH29" s="4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.75" customHeight="1" x14ac:dyDescent="0.2">
      <c r="A30" s="1"/>
      <c r="B30" s="1"/>
      <c r="C30" s="1"/>
      <c r="D30" s="182"/>
      <c r="E30" s="182"/>
      <c r="F30" s="38"/>
      <c r="G30" s="182"/>
      <c r="H30" s="182"/>
      <c r="I30" s="182"/>
      <c r="J30" s="182"/>
      <c r="K30" s="182"/>
      <c r="L30" s="47"/>
      <c r="M30" s="41"/>
      <c r="N30" s="41"/>
      <c r="O30" s="41"/>
      <c r="P30" s="41"/>
      <c r="Q30" s="41" t="s">
        <v>77</v>
      </c>
      <c r="R30" s="41" t="s">
        <v>86</v>
      </c>
      <c r="S30" s="41" t="s">
        <v>90</v>
      </c>
      <c r="T30" s="41" t="s">
        <v>86</v>
      </c>
      <c r="U30" s="41" t="s">
        <v>77</v>
      </c>
      <c r="V30" s="41" t="s">
        <v>93</v>
      </c>
      <c r="W30" s="41" t="s">
        <v>78</v>
      </c>
      <c r="X30" s="60" t="s">
        <v>99</v>
      </c>
      <c r="Y30" s="41" t="s">
        <v>78</v>
      </c>
      <c r="Z30" s="42"/>
      <c r="AA30" s="182"/>
      <c r="AB30" s="182"/>
      <c r="AC30" s="182"/>
      <c r="AD30" s="43"/>
      <c r="AE30" s="43"/>
      <c r="AF30" s="43"/>
      <c r="AG30" s="43"/>
      <c r="AH30" s="43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5.75" customHeight="1" x14ac:dyDescent="0.2">
      <c r="A31" s="1"/>
      <c r="B31" s="1"/>
      <c r="C31" s="1"/>
      <c r="D31" s="185"/>
      <c r="E31" s="181"/>
      <c r="F31" s="38"/>
      <c r="G31" s="181" t="str">
        <f>IF(COUNT(M31:Y31)=0,"",(COUNT(M31:Y31)))</f>
        <v/>
      </c>
      <c r="H31" s="181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186" t="str">
        <f>IF(ISERROR(G31-H31),"",G31-H31)</f>
        <v/>
      </c>
      <c r="J31" s="186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186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39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2"/>
      <c r="AA31" s="181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183" t="str">
        <f>IF(ISERROR(SUM(M31:Y31)/G31),"",(SUM(M31:Y31)/G31))</f>
        <v/>
      </c>
      <c r="AC31" s="184" t="str">
        <f>IF(ISERROR(SUM(M31:Y31)/G31+H31),"",(SUM(M31:Y31)/G31+H31))</f>
        <v/>
      </c>
      <c r="AD31" s="43"/>
      <c r="AE31" s="43"/>
      <c r="AF31" s="43"/>
      <c r="AG31" s="43"/>
      <c r="AH31" s="4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5.75" customHeight="1" x14ac:dyDescent="0.2">
      <c r="A32" s="1"/>
      <c r="B32" s="1"/>
      <c r="C32" s="1"/>
      <c r="D32" s="182"/>
      <c r="E32" s="182"/>
      <c r="F32" s="38"/>
      <c r="G32" s="182"/>
      <c r="H32" s="182"/>
      <c r="I32" s="182"/>
      <c r="J32" s="182"/>
      <c r="K32" s="182"/>
      <c r="L32" s="47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2"/>
      <c r="AA32" s="182"/>
      <c r="AB32" s="182"/>
      <c r="AC32" s="182"/>
      <c r="AD32" s="43"/>
      <c r="AE32" s="43"/>
      <c r="AF32" s="43"/>
      <c r="AG32" s="43"/>
      <c r="AH32" s="43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5.75" customHeight="1" x14ac:dyDescent="0.2">
      <c r="A33" s="1"/>
      <c r="B33" s="1"/>
      <c r="C33" s="1"/>
      <c r="D33" s="185"/>
      <c r="E33" s="181"/>
      <c r="F33" s="38"/>
      <c r="G33" s="181" t="str">
        <f>IF(COUNT(M33:Y33)=0,"",(COUNT(M33:Y33)))</f>
        <v/>
      </c>
      <c r="H33" s="181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186" t="str">
        <f>IF(ISERROR(G33-H33),"",G33-H33)</f>
        <v/>
      </c>
      <c r="J33" s="186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186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39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2"/>
      <c r="AA33" s="181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183" t="str">
        <f>IF(ISERROR(SUM(M33:Y33)/G33),"",(SUM(M33:Y33)/G33))</f>
        <v/>
      </c>
      <c r="AC33" s="184" t="str">
        <f>IF(ISERROR(SUM(M33:Y33)/G33+H33),"",(SUM(M33:Y33)/G33+H33))</f>
        <v/>
      </c>
      <c r="AD33" s="43"/>
      <c r="AE33" s="43"/>
      <c r="AF33" s="43"/>
      <c r="AG33" s="43"/>
      <c r="AH33" s="43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5.75" customHeight="1" x14ac:dyDescent="0.2">
      <c r="A34" s="1"/>
      <c r="B34" s="1"/>
      <c r="C34" s="1"/>
      <c r="D34" s="182"/>
      <c r="E34" s="182"/>
      <c r="F34" s="38"/>
      <c r="G34" s="182"/>
      <c r="H34" s="182"/>
      <c r="I34" s="182"/>
      <c r="J34" s="182"/>
      <c r="K34" s="182"/>
      <c r="L34" s="47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2"/>
      <c r="AA34" s="182"/>
      <c r="AB34" s="182"/>
      <c r="AC34" s="182"/>
      <c r="AD34" s="43"/>
      <c r="AE34" s="43"/>
      <c r="AF34" s="43"/>
      <c r="AG34" s="43"/>
      <c r="AH34" s="5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5.75" customHeight="1" x14ac:dyDescent="0.2">
      <c r="A35" s="1"/>
      <c r="B35" s="1"/>
      <c r="C35" s="1"/>
      <c r="D35" s="185"/>
      <c r="E35" s="181"/>
      <c r="F35" s="38"/>
      <c r="G35" s="181" t="str">
        <f>IF(COUNT(M35:Y35)=0,"",(COUNT(M35:Y35)))</f>
        <v/>
      </c>
      <c r="H35" s="181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186" t="str">
        <f>IF(ISERROR(G35-H35),"",G35-H35)</f>
        <v/>
      </c>
      <c r="J35" s="186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186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39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2"/>
      <c r="AA35" s="181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183" t="str">
        <f>IF(ISERROR(SUM(M35:Y35)/G35),"",(SUM(M35:Y35)/G35))</f>
        <v/>
      </c>
      <c r="AC35" s="184" t="str">
        <f>IF(ISERROR(SUM(M35:Y35)/G35+H35),"",(SUM(M35:Y35)/G35+H35))</f>
        <v/>
      </c>
      <c r="AD35" s="43"/>
      <c r="AE35" s="43"/>
      <c r="AF35" s="43"/>
      <c r="AG35" s="43"/>
      <c r="AH35" s="43"/>
      <c r="AI35" s="51"/>
      <c r="AJ35" s="5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5.75" customHeight="1" x14ac:dyDescent="0.2">
      <c r="A36" s="1"/>
      <c r="B36" s="1"/>
      <c r="C36" s="1"/>
      <c r="D36" s="182"/>
      <c r="E36" s="182"/>
      <c r="F36" s="38"/>
      <c r="G36" s="182"/>
      <c r="H36" s="182"/>
      <c r="I36" s="182"/>
      <c r="J36" s="182"/>
      <c r="K36" s="182"/>
      <c r="L36" s="47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2"/>
      <c r="AA36" s="182"/>
      <c r="AB36" s="182"/>
      <c r="AC36" s="182"/>
      <c r="AD36" s="43"/>
      <c r="AE36" s="43"/>
      <c r="AF36" s="43"/>
      <c r="AG36" s="43"/>
      <c r="AH36" s="43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5.75" customHeight="1" x14ac:dyDescent="0.2">
      <c r="A37" s="1"/>
      <c r="B37" s="1"/>
      <c r="C37" s="1"/>
      <c r="D37" s="185"/>
      <c r="E37" s="181"/>
      <c r="F37" s="38"/>
      <c r="G37" s="181" t="str">
        <f>IF(COUNT(M37:Y37)=0,"",(COUNT(M37:Y37)))</f>
        <v/>
      </c>
      <c r="H37" s="181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186" t="str">
        <f>IF(ISERROR(G37-H37),"",G37-H37)</f>
        <v/>
      </c>
      <c r="J37" s="186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186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39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52"/>
      <c r="Z37" s="42"/>
      <c r="AA37" s="181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183" t="str">
        <f>IF(ISERROR(SUM(M37:Y37)/G37),"",(SUM(M37:Y37)/G37))</f>
        <v/>
      </c>
      <c r="AC37" s="184" t="str">
        <f>IF(ISERROR(SUM(M37:Y37)/G37+H37),"",(SUM(M37:Y37)/G37+H37))</f>
        <v/>
      </c>
      <c r="AD37" s="43"/>
      <c r="AE37" s="43"/>
      <c r="AF37" s="43"/>
      <c r="AG37" s="43"/>
      <c r="AH37" s="43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5.75" customHeight="1" x14ac:dyDescent="0.2">
      <c r="A38" s="1"/>
      <c r="B38" s="1"/>
      <c r="C38" s="1"/>
      <c r="D38" s="182"/>
      <c r="E38" s="182"/>
      <c r="F38" s="38"/>
      <c r="G38" s="182"/>
      <c r="H38" s="182"/>
      <c r="I38" s="182"/>
      <c r="J38" s="182"/>
      <c r="K38" s="182"/>
      <c r="L38" s="47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2"/>
      <c r="AA38" s="182"/>
      <c r="AB38" s="182"/>
      <c r="AC38" s="182"/>
      <c r="AD38" s="43"/>
      <c r="AE38" s="43"/>
      <c r="AF38" s="43"/>
      <c r="AG38" s="43"/>
      <c r="AH38" s="43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5.75" customHeight="1" x14ac:dyDescent="0.2">
      <c r="A39" s="1"/>
      <c r="B39" s="1"/>
      <c r="C39" s="1"/>
      <c r="D39" s="185"/>
      <c r="E39" s="181"/>
      <c r="F39" s="38"/>
      <c r="G39" s="181" t="str">
        <f>IF(COUNT(M39:Y39)=0,"",(COUNT(M39:Y39)))</f>
        <v/>
      </c>
      <c r="H39" s="181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186" t="str">
        <f>IF(ISERROR(G39-H39),"",G39-H39)</f>
        <v/>
      </c>
      <c r="J39" s="186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186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53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5"/>
      <c r="Z39" s="56"/>
      <c r="AA39" s="181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183" t="str">
        <f>IF(ISERROR(SUM(M39:Y39)/G39),"",(SUM(M39:Y39)/G39))</f>
        <v/>
      </c>
      <c r="AC39" s="184" t="str">
        <f>IF(ISERROR(SUM(M39:Y39)/G39+H39),"",(SUM(M39:Y39)/G39+H39))</f>
        <v/>
      </c>
      <c r="AD39" s="43"/>
      <c r="AE39" s="43"/>
      <c r="AF39" s="43"/>
      <c r="AG39" s="43"/>
      <c r="AH39" s="43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5.75" customHeight="1" x14ac:dyDescent="0.2">
      <c r="A40" s="1"/>
      <c r="B40" s="1"/>
      <c r="C40" s="1"/>
      <c r="D40" s="182"/>
      <c r="E40" s="182"/>
      <c r="F40" s="38"/>
      <c r="G40" s="182"/>
      <c r="H40" s="182"/>
      <c r="I40" s="182"/>
      <c r="J40" s="182"/>
      <c r="K40" s="182"/>
      <c r="L40" s="57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56"/>
      <c r="AA40" s="182"/>
      <c r="AB40" s="182"/>
      <c r="AC40" s="182"/>
      <c r="AD40" s="43"/>
      <c r="AE40" s="43"/>
      <c r="AF40" s="43"/>
      <c r="AG40" s="43"/>
      <c r="AH40" s="43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5.75" customHeight="1" x14ac:dyDescent="0.2">
      <c r="A41" s="1"/>
      <c r="B41" s="1"/>
      <c r="C41" s="1"/>
      <c r="D41" s="185"/>
      <c r="E41" s="181"/>
      <c r="F41" s="38"/>
      <c r="G41" s="181" t="str">
        <f>IF(COUNT(M41:Y41)=0,"",(COUNT(M41:Y41)))</f>
        <v/>
      </c>
      <c r="H41" s="181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186" t="str">
        <f>IF(ISERROR(G41-H41),"",G41-H41)</f>
        <v/>
      </c>
      <c r="J41" s="186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186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5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52"/>
      <c r="Z41" s="56"/>
      <c r="AA41" s="181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183" t="str">
        <f>IF(ISERROR(SUM(M41:Y41)/G41),"",(SUM(M41:Y41)/G41))</f>
        <v/>
      </c>
      <c r="AC41" s="184" t="str">
        <f>IF(ISERROR(SUM(M41:Y41)/G41+H41),"",(SUM(M41:Y41)/G41+H41))</f>
        <v/>
      </c>
      <c r="AD41" s="43"/>
      <c r="AE41" s="43"/>
      <c r="AF41" s="43"/>
      <c r="AG41" s="43"/>
      <c r="AH41" s="43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5.75" customHeight="1" x14ac:dyDescent="0.2">
      <c r="A42" s="1"/>
      <c r="B42" s="1"/>
      <c r="C42" s="1"/>
      <c r="D42" s="182"/>
      <c r="E42" s="182"/>
      <c r="F42" s="38"/>
      <c r="G42" s="182"/>
      <c r="H42" s="182"/>
      <c r="I42" s="182"/>
      <c r="J42" s="182"/>
      <c r="K42" s="182"/>
      <c r="L42" s="57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56"/>
      <c r="AA42" s="182"/>
      <c r="AB42" s="182"/>
      <c r="AC42" s="182"/>
      <c r="AD42" s="43"/>
      <c r="AE42" s="43"/>
      <c r="AF42" s="43"/>
      <c r="AG42" s="43"/>
      <c r="AH42" s="43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5.75" customHeight="1" x14ac:dyDescent="0.2">
      <c r="A43" s="1"/>
      <c r="B43" s="1"/>
      <c r="C43" s="1"/>
      <c r="D43" s="185"/>
      <c r="E43" s="181"/>
      <c r="F43" s="38"/>
      <c r="G43" s="181" t="str">
        <f>IF(COUNT(M43:Y43)=0,"",(COUNT(M43:Y43)))</f>
        <v/>
      </c>
      <c r="H43" s="181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186" t="str">
        <f>IF(ISERROR(G43-H43),"",G43-H43)</f>
        <v/>
      </c>
      <c r="J43" s="186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186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5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52"/>
      <c r="Z43" s="56"/>
      <c r="AA43" s="181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183" t="str">
        <f>IF(ISERROR(SUM(M43:Y43)/G43),"",(SUM(M43:Y43)/G43))</f>
        <v/>
      </c>
      <c r="AC43" s="184" t="str">
        <f>IF(ISERROR(SUM(M43:Y43)/G43+H43),"",(SUM(M43:Y43)/G43+H43))</f>
        <v/>
      </c>
      <c r="AD43" s="43"/>
      <c r="AE43" s="43"/>
      <c r="AF43" s="43"/>
      <c r="AG43" s="43"/>
      <c r="AH43" s="43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5.75" customHeight="1" x14ac:dyDescent="0.2">
      <c r="A44" s="1"/>
      <c r="B44" s="1"/>
      <c r="C44" s="1"/>
      <c r="D44" s="182"/>
      <c r="E44" s="182"/>
      <c r="F44" s="38"/>
      <c r="G44" s="182"/>
      <c r="H44" s="182"/>
      <c r="I44" s="182"/>
      <c r="J44" s="182"/>
      <c r="K44" s="182"/>
      <c r="L44" s="57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56"/>
      <c r="AA44" s="182"/>
      <c r="AB44" s="182"/>
      <c r="AC44" s="182"/>
      <c r="AD44" s="43"/>
      <c r="AE44" s="43"/>
      <c r="AF44" s="43"/>
      <c r="AG44" s="43"/>
      <c r="AH44" s="43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5.75" customHeight="1" x14ac:dyDescent="0.2">
      <c r="A45" s="1"/>
      <c r="B45" s="1"/>
      <c r="C45" s="1"/>
      <c r="D45" s="185"/>
      <c r="E45" s="181"/>
      <c r="F45" s="38"/>
      <c r="G45" s="181" t="str">
        <f>IF(COUNT(M45:Y45)=0,"",(COUNT(M45:Y45)))</f>
        <v/>
      </c>
      <c r="H45" s="181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186" t="str">
        <f>IF(ISERROR(G45-H45),"",G45-H45)</f>
        <v/>
      </c>
      <c r="J45" s="186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186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5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52"/>
      <c r="Z45" s="56"/>
      <c r="AA45" s="181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183" t="str">
        <f>IF(ISERROR(SUM(M45:Y45)/G45),"",(SUM(M45:Y45)/G45))</f>
        <v/>
      </c>
      <c r="AC45" s="184" t="str">
        <f>IF(ISERROR(SUM(M45:Y45)/G45+H45),"",(SUM(M45:Y45)/G45+H45))</f>
        <v/>
      </c>
      <c r="AD45" s="43"/>
      <c r="AE45" s="43"/>
      <c r="AF45" s="43"/>
      <c r="AG45" s="43"/>
      <c r="AH45" s="43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5.75" customHeight="1" x14ac:dyDescent="0.2">
      <c r="A46" s="1"/>
      <c r="B46" s="1"/>
      <c r="C46" s="1"/>
      <c r="D46" s="182"/>
      <c r="E46" s="182"/>
      <c r="F46" s="38"/>
      <c r="G46" s="182"/>
      <c r="H46" s="182"/>
      <c r="I46" s="182"/>
      <c r="J46" s="182"/>
      <c r="K46" s="182"/>
      <c r="L46" s="57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56"/>
      <c r="AA46" s="182"/>
      <c r="AB46" s="182"/>
      <c r="AC46" s="182"/>
      <c r="AD46" s="43"/>
      <c r="AE46" s="43"/>
      <c r="AF46" s="43"/>
      <c r="AG46" s="43"/>
      <c r="AH46" s="43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5.75" customHeight="1" x14ac:dyDescent="0.2">
      <c r="A47" s="1"/>
      <c r="B47" s="1"/>
      <c r="C47" s="1"/>
      <c r="D47" s="185"/>
      <c r="E47" s="181"/>
      <c r="F47" s="38"/>
      <c r="G47" s="181" t="str">
        <f>IF(COUNT(M47:Y47)=0,"",(COUNT(M47:Y47)))</f>
        <v/>
      </c>
      <c r="H47" s="181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186" t="str">
        <f>IF(ISERROR(G47-H47),"",G47-H47)</f>
        <v/>
      </c>
      <c r="J47" s="186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186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5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52"/>
      <c r="Z47" s="56"/>
      <c r="AA47" s="181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183" t="str">
        <f>IF(ISERROR(SUM(M47:Y47)/G47),"",(SUM(M47:Y47)/G47))</f>
        <v/>
      </c>
      <c r="AC47" s="184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5.75" customHeight="1" x14ac:dyDescent="0.2">
      <c r="A48" s="1"/>
      <c r="B48" s="1"/>
      <c r="C48" s="1"/>
      <c r="D48" s="182"/>
      <c r="E48" s="182"/>
      <c r="F48" s="38"/>
      <c r="G48" s="182"/>
      <c r="H48" s="182"/>
      <c r="I48" s="182"/>
      <c r="J48" s="182"/>
      <c r="K48" s="182"/>
      <c r="L48" s="57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56"/>
      <c r="AA48" s="182"/>
      <c r="AB48" s="182"/>
      <c r="AC48" s="182"/>
      <c r="AD48" s="11"/>
      <c r="AE48" s="11"/>
      <c r="AF48" s="11"/>
      <c r="AG48" s="11"/>
      <c r="AH48" s="1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5.75" customHeight="1" x14ac:dyDescent="0.2">
      <c r="A49" s="1"/>
      <c r="B49" s="1"/>
      <c r="C49" s="1"/>
      <c r="D49" s="1"/>
      <c r="E49" s="1"/>
      <c r="F49" s="1"/>
      <c r="G49" s="1"/>
      <c r="H49" s="58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109</v>
      </c>
      <c r="L50" s="1"/>
      <c r="M50" s="44">
        <v>2</v>
      </c>
      <c r="N50" s="44">
        <v>3</v>
      </c>
      <c r="O50" s="44">
        <v>4</v>
      </c>
      <c r="P50" s="44">
        <v>2</v>
      </c>
      <c r="Q50" s="44">
        <v>3</v>
      </c>
      <c r="R50" s="44">
        <v>2</v>
      </c>
      <c r="S50" s="44">
        <v>3</v>
      </c>
      <c r="T50" s="44">
        <v>2</v>
      </c>
      <c r="U50" s="44">
        <v>4</v>
      </c>
      <c r="V50" s="44">
        <v>4</v>
      </c>
      <c r="W50" s="44">
        <v>2</v>
      </c>
      <c r="X50" s="61">
        <v>4</v>
      </c>
      <c r="Y50" s="44">
        <v>1</v>
      </c>
      <c r="Z50" s="5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110</v>
      </c>
      <c r="L53" s="1"/>
      <c r="M53" s="44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N53" s="44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O53" s="44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P53" s="44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8</v>
      </c>
      <c r="Q53" s="44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10</v>
      </c>
      <c r="R53" s="44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8</v>
      </c>
      <c r="S53" s="44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6</v>
      </c>
      <c r="T53" s="44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9</v>
      </c>
      <c r="U53" s="44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10</v>
      </c>
      <c r="V53" s="44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10</v>
      </c>
      <c r="W53" s="44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8</v>
      </c>
      <c r="X53" s="44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8</v>
      </c>
      <c r="Y53" s="44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5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5.75" customHeight="1" x14ac:dyDescent="0.2"/>
    <row r="255" spans="1:49" ht="15.75" customHeight="1" x14ac:dyDescent="0.2"/>
    <row r="256" spans="1:4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3">
    <mergeCell ref="D43:D44"/>
    <mergeCell ref="E43:E44"/>
    <mergeCell ref="G43:G44"/>
    <mergeCell ref="H43:H44"/>
    <mergeCell ref="I43:I44"/>
    <mergeCell ref="J43:J44"/>
    <mergeCell ref="K43:K44"/>
    <mergeCell ref="E13:E14"/>
    <mergeCell ref="G13:G14"/>
    <mergeCell ref="H13:H14"/>
    <mergeCell ref="I13:I14"/>
    <mergeCell ref="J13:J14"/>
    <mergeCell ref="K13:K14"/>
    <mergeCell ref="D41:D42"/>
    <mergeCell ref="E41:E42"/>
    <mergeCell ref="G41:G42"/>
    <mergeCell ref="H41:H42"/>
    <mergeCell ref="I41:I42"/>
    <mergeCell ref="J41:J42"/>
    <mergeCell ref="K41:K42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AK2:AU3"/>
    <mergeCell ref="D7:D8"/>
    <mergeCell ref="E7:E8"/>
    <mergeCell ref="G7:G8"/>
    <mergeCell ref="H7:H8"/>
    <mergeCell ref="AB7:AB8"/>
    <mergeCell ref="AC7:AC8"/>
    <mergeCell ref="I7:I8"/>
    <mergeCell ref="J7:J8"/>
    <mergeCell ref="G9:G10"/>
    <mergeCell ref="H9:H10"/>
    <mergeCell ref="I9:I10"/>
    <mergeCell ref="K7:K8"/>
    <mergeCell ref="AA7:AA8"/>
    <mergeCell ref="AA9:AA10"/>
    <mergeCell ref="AB9:AB10"/>
    <mergeCell ref="D2:D3"/>
    <mergeCell ref="E2:AC3"/>
    <mergeCell ref="AC9:AC10"/>
    <mergeCell ref="J9:J10"/>
    <mergeCell ref="K9:K10"/>
    <mergeCell ref="D9:D10"/>
    <mergeCell ref="E9:E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11:D12"/>
    <mergeCell ref="E11:E12"/>
    <mergeCell ref="G11:G12"/>
    <mergeCell ref="H11:H12"/>
    <mergeCell ref="I11:I12"/>
    <mergeCell ref="J11:J12"/>
    <mergeCell ref="K11:K12"/>
    <mergeCell ref="D13:D14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AB35:AB36"/>
    <mergeCell ref="AC35:AC36"/>
    <mergeCell ref="AA37:AA38"/>
    <mergeCell ref="AB37:AB38"/>
    <mergeCell ref="AC37:AC38"/>
    <mergeCell ref="AA39:AA40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A47:AA48"/>
    <mergeCell ref="AB47:AB48"/>
    <mergeCell ref="AC47:AC4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39:AB40"/>
    <mergeCell ref="AC39:AC40"/>
    <mergeCell ref="AA35:AA36"/>
  </mergeCells>
  <conditionalFormatting sqref="M33:Z33 M35:Z35 M37:Z37 M39:Z39 M41:Z41 M43:Z43 M45:Z45 M47:Z47 Q7:Z7 Q9:Z9 Q11:Z11 Q13:Z13 Q15:Z15 Q17:Z17 Q19:Z19 Q21:Z21 Q23:Z23 Q25:Z25 Q27:Z27 Q29:Z29 Q31:Z31 R18">
    <cfRule type="expression" dxfId="105" priority="1">
      <formula>LEFT(R19,1)="4"</formula>
    </cfRule>
  </conditionalFormatting>
  <conditionalFormatting sqref="G7 G9 G11 G13 G15 G17 G19 G21 G23 G25 G27 G29 G31 G33 G35 G37 G39 G41 G43 G45 G47 L7 L9 L11:L48">
    <cfRule type="expression" dxfId="104" priority="2">
      <formula>G7=0</formula>
    </cfRule>
  </conditionalFormatting>
  <conditionalFormatting sqref="M34:Y34 M36:Y36 M38:Y38 M40:Y40 M42:Y42 M44:Y44 M46:Y46 M48:Y48 Q8:Y8 Q10:Y10 Q12:Y12 Q14:Y14 Q16:Y16 Q18:Y18 Q20:Y20 Q22:Y22 Q24:Y24 Q26:Y26 Q28:Y28 Q30:Y30 Q32:Y32">
    <cfRule type="expression" dxfId="103" priority="3">
      <formula>LEFT(Q8,1)="4"</formula>
    </cfRule>
  </conditionalFormatting>
  <conditionalFormatting sqref="M7:P7 M9:P9 M23:P23 M25:P25 M27:P27 M29:P29 M31:P31 N11:P11 N13:P13 N15:P15 N17:P17 N19:P19 N21:P21">
    <cfRule type="expression" dxfId="102" priority="4">
      <formula>LEFT(M8,1)="4"</formula>
    </cfRule>
  </conditionalFormatting>
  <conditionalFormatting sqref="M11 M13 M15 M17 M19 M21">
    <cfRule type="expression" dxfId="101" priority="5">
      <formula>LEFT(M12,1)="4"</formula>
    </cfRule>
  </conditionalFormatting>
  <conditionalFormatting sqref="M8:P8 M10:P10 M12:P12 M14:P14 M16:P16 M18:P18 M20:P20 M22:P22 M24:P24 M26:P26 M28:P28 M30:P30 M32:P32">
    <cfRule type="expression" dxfId="100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99" priority="7">
      <formula>H7=0</formula>
    </cfRule>
  </conditionalFormatting>
  <conditionalFormatting sqref="AA7 AA9 AA11 AA13 AA15 AA17 AA19 AA21 AA23 AA25 AA27 AA29 AA31 AA33 AA35 AA37 AA39 AA41 AA43 AA45 AA47">
    <cfRule type="expression" dxfId="98" priority="8">
      <formula>AA7=0</formula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Summary</vt:lpstr>
      <vt:lpstr>Number Allocation</vt:lpstr>
      <vt:lpstr>Alderholt</vt:lpstr>
      <vt:lpstr>Alderney</vt:lpstr>
      <vt:lpstr>Boscombe</vt:lpstr>
      <vt:lpstr>Bournemouth</vt:lpstr>
      <vt:lpstr>Bridport</vt:lpstr>
      <vt:lpstr>Christchurch</vt:lpstr>
      <vt:lpstr>Dorchester</vt:lpstr>
      <vt:lpstr>Lytchett</vt:lpstr>
      <vt:lpstr>Parkstone</vt:lpstr>
      <vt:lpstr>Poole</vt:lpstr>
      <vt:lpstr>Portland</vt:lpstr>
      <vt:lpstr>Shaftesbury</vt:lpstr>
      <vt:lpstr>Swanage</vt:lpstr>
      <vt:lpstr>Weymouth</vt:lpstr>
      <vt:lpstr>League Table</vt:lpstr>
      <vt:lpstr>Mens Averages</vt:lpstr>
      <vt:lpstr>Weekly Results</vt:lpstr>
      <vt:lpstr>Weekly Top 10</vt:lpstr>
      <vt:lpstr>All Team Data</vt:lpstr>
      <vt:lpstr>All Player Data Store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Carl D. Beattie</cp:lastModifiedBy>
  <cp:lastPrinted>2022-04-06T13:38:38Z</cp:lastPrinted>
  <dcterms:modified xsi:type="dcterms:W3CDTF">2022-05-17T16:04:56Z</dcterms:modified>
</cp:coreProperties>
</file>